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18" documentId="8_{C4387897-B93A-4AAA-96CD-00212D30BB35}" xr6:coauthVersionLast="47" xr6:coauthVersionMax="47" xr10:uidLastSave="{70DD8DF9-9459-4844-BADC-5718B071CB1B}"/>
  <bookViews>
    <workbookView xWindow="-28920" yWindow="-120" windowWidth="29040" windowHeight="15840" xr2:uid="{A403E559-38BF-4278-B230-34BF05BB616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1833" i="1" l="1"/>
  <c r="AU1833" i="1"/>
  <c r="AT1833" i="1"/>
  <c r="AV1832" i="1"/>
  <c r="AU1832" i="1"/>
  <c r="AT1832" i="1"/>
  <c r="AV1831" i="1"/>
  <c r="AU1831" i="1"/>
  <c r="AV1830" i="1"/>
  <c r="AU1830" i="1"/>
  <c r="AV1829" i="1"/>
  <c r="AU1829" i="1"/>
  <c r="AT1829" i="1"/>
  <c r="AV1828" i="1"/>
  <c r="AU1828" i="1"/>
  <c r="AT1828" i="1"/>
  <c r="AV1827" i="1"/>
  <c r="AU1827" i="1"/>
  <c r="AV1826" i="1"/>
  <c r="AU1826" i="1"/>
  <c r="AT1826" i="1"/>
  <c r="AV1825" i="1"/>
  <c r="AU1825" i="1"/>
  <c r="AV1824" i="1"/>
  <c r="AU1824" i="1"/>
  <c r="AT1824" i="1"/>
  <c r="AV1823" i="1"/>
  <c r="AU1823" i="1"/>
  <c r="AT1823" i="1"/>
  <c r="AV1822" i="1"/>
  <c r="AU1822" i="1"/>
  <c r="AT1822" i="1"/>
  <c r="AV1821" i="1"/>
  <c r="AU1821" i="1"/>
  <c r="AT1821" i="1"/>
  <c r="AV1820" i="1"/>
  <c r="AU1820" i="1"/>
  <c r="AV1819" i="1"/>
  <c r="AU1819" i="1"/>
  <c r="AV1818" i="1"/>
  <c r="AU1818" i="1"/>
  <c r="AV1817" i="1"/>
  <c r="AU1817" i="1"/>
  <c r="AT1817" i="1"/>
  <c r="AV1816" i="1"/>
  <c r="AU1816" i="1"/>
  <c r="AV1815" i="1"/>
  <c r="AU1815" i="1"/>
  <c r="AT1815" i="1"/>
  <c r="AV1814" i="1"/>
  <c r="AU1814" i="1"/>
  <c r="AT1814" i="1"/>
  <c r="AV1813" i="1"/>
  <c r="AU1813" i="1"/>
  <c r="AT1813" i="1"/>
  <c r="AV1812" i="1"/>
  <c r="AU1812" i="1"/>
  <c r="AT1812" i="1"/>
  <c r="AV1811" i="1"/>
  <c r="AU1811" i="1"/>
  <c r="AT1811" i="1"/>
  <c r="AV1810" i="1"/>
  <c r="AU1810" i="1"/>
  <c r="AT1810" i="1"/>
  <c r="AV1809" i="1"/>
  <c r="AU1809" i="1"/>
  <c r="AT1809" i="1"/>
  <c r="AV1808" i="1"/>
  <c r="AU1808" i="1"/>
  <c r="AT1808" i="1"/>
  <c r="AV1807" i="1"/>
  <c r="AU1807" i="1"/>
  <c r="AV1806" i="1"/>
  <c r="AU1806" i="1"/>
  <c r="AT1806" i="1"/>
  <c r="AV1805" i="1"/>
  <c r="AU1805" i="1"/>
  <c r="AT1805" i="1"/>
  <c r="AV1804" i="1"/>
  <c r="AU1804" i="1"/>
  <c r="AT1804" i="1"/>
  <c r="AV1803" i="1"/>
  <c r="AU1803" i="1"/>
  <c r="AT1803" i="1"/>
  <c r="AV1802" i="1"/>
  <c r="AU1802" i="1"/>
  <c r="AT1802" i="1"/>
  <c r="AV1801" i="1"/>
  <c r="AU1801" i="1"/>
  <c r="AT1801" i="1"/>
  <c r="AV1800" i="1"/>
  <c r="AU1800" i="1"/>
  <c r="AT1800" i="1"/>
  <c r="AV1799" i="1"/>
  <c r="AU1799" i="1"/>
  <c r="AT1799" i="1"/>
  <c r="AV1798" i="1"/>
  <c r="AU1798" i="1"/>
  <c r="AT1798" i="1"/>
  <c r="AV1797" i="1"/>
  <c r="AU1797" i="1"/>
  <c r="AT1797" i="1"/>
  <c r="AV1796" i="1"/>
  <c r="AU1796" i="1"/>
  <c r="AT1796" i="1"/>
  <c r="AV1795" i="1"/>
  <c r="AU1795" i="1"/>
  <c r="AT1795" i="1"/>
  <c r="AV1794" i="1"/>
  <c r="AU1794" i="1"/>
  <c r="AT1794" i="1"/>
  <c r="AV1793" i="1"/>
  <c r="AU1793" i="1"/>
  <c r="AV1792" i="1"/>
  <c r="AU1792" i="1"/>
  <c r="AV1791" i="1"/>
  <c r="AU1791" i="1"/>
  <c r="AT1791" i="1"/>
  <c r="AV1790" i="1"/>
  <c r="AU1790" i="1"/>
  <c r="AV1789" i="1"/>
  <c r="AU1789" i="1"/>
  <c r="AT1789" i="1"/>
  <c r="AV1788" i="1"/>
  <c r="AU1788" i="1"/>
  <c r="AV1787" i="1"/>
  <c r="AU1787" i="1"/>
  <c r="AV1786" i="1"/>
  <c r="AU1786" i="1"/>
  <c r="AV1785" i="1"/>
  <c r="AU1785" i="1"/>
  <c r="AT1785" i="1"/>
  <c r="AV1784" i="1"/>
  <c r="AU1784" i="1"/>
  <c r="AV1783" i="1"/>
  <c r="AU1783" i="1"/>
  <c r="AT1783" i="1"/>
  <c r="AV1782" i="1"/>
  <c r="AU1782" i="1"/>
  <c r="AV1781" i="1"/>
  <c r="AU1781" i="1"/>
  <c r="AT1781" i="1"/>
  <c r="AV1780" i="1"/>
  <c r="AU1780" i="1"/>
  <c r="AT1780" i="1"/>
  <c r="AV1779" i="1"/>
  <c r="AU1779" i="1"/>
  <c r="AT1779" i="1"/>
  <c r="AV1778" i="1"/>
  <c r="AU1778" i="1"/>
  <c r="AV1777" i="1"/>
  <c r="AU1777" i="1"/>
  <c r="AT1777" i="1"/>
  <c r="AV1776" i="1"/>
  <c r="AU1776" i="1"/>
  <c r="AV1775" i="1"/>
  <c r="AU1775" i="1"/>
  <c r="AT1775" i="1"/>
  <c r="AV1774" i="1"/>
  <c r="AU1774" i="1"/>
  <c r="AV1773" i="1"/>
  <c r="AU1773" i="1"/>
  <c r="AV1772" i="1"/>
  <c r="AU1772" i="1"/>
  <c r="AV1771" i="1"/>
  <c r="AU1771" i="1"/>
  <c r="AT1771" i="1"/>
  <c r="AV1770" i="1"/>
  <c r="AU1770" i="1"/>
  <c r="AV1769" i="1"/>
  <c r="AU1769" i="1"/>
  <c r="AT1769" i="1"/>
  <c r="AV1768" i="1"/>
  <c r="AU1768" i="1"/>
  <c r="AT1768" i="1"/>
  <c r="AV1767" i="1"/>
  <c r="AU1767" i="1"/>
  <c r="AV1766" i="1"/>
  <c r="AU1766" i="1"/>
  <c r="AT1766" i="1"/>
  <c r="AV1765" i="1"/>
  <c r="AU1765" i="1"/>
  <c r="AT1765" i="1"/>
  <c r="AV1764" i="1"/>
  <c r="AU1764" i="1"/>
  <c r="AV1763" i="1"/>
  <c r="AU1763" i="1"/>
  <c r="AT1763" i="1"/>
  <c r="AV1762" i="1"/>
  <c r="AU1762" i="1"/>
  <c r="AT1762" i="1"/>
  <c r="AV1761" i="1"/>
  <c r="AU1761" i="1"/>
  <c r="AV1760" i="1"/>
  <c r="AU1760" i="1"/>
  <c r="AV1759" i="1"/>
  <c r="AU1759" i="1"/>
  <c r="AT1759" i="1"/>
  <c r="AV1758" i="1"/>
  <c r="AU1758" i="1"/>
  <c r="AT1758" i="1"/>
  <c r="AV1757" i="1"/>
  <c r="AU1757" i="1"/>
  <c r="AV1756" i="1"/>
  <c r="AU1756" i="1"/>
  <c r="AT1756" i="1"/>
  <c r="AV1755" i="1"/>
  <c r="AU1755" i="1"/>
  <c r="AV1754" i="1"/>
  <c r="AU1754" i="1"/>
  <c r="AT1754" i="1"/>
  <c r="AV1753" i="1"/>
  <c r="AU1753" i="1"/>
  <c r="AT1753" i="1"/>
  <c r="AV1752" i="1"/>
  <c r="AU1752" i="1"/>
  <c r="AT1752" i="1"/>
  <c r="AV1751" i="1"/>
  <c r="AU1751" i="1"/>
  <c r="AT1751" i="1"/>
  <c r="AV1750" i="1"/>
  <c r="AU1750" i="1"/>
  <c r="AT1750" i="1"/>
  <c r="AV1749" i="1"/>
  <c r="AU1749" i="1"/>
  <c r="AT1749" i="1"/>
  <c r="AV1748" i="1"/>
  <c r="AU1748" i="1"/>
  <c r="AT1748" i="1"/>
  <c r="AV1747" i="1"/>
  <c r="AU1747" i="1"/>
  <c r="AT1747" i="1"/>
  <c r="AV1746" i="1"/>
  <c r="AU1746" i="1"/>
  <c r="AT1746" i="1"/>
  <c r="AV1745" i="1"/>
  <c r="AU1745" i="1"/>
  <c r="AT1745" i="1"/>
  <c r="AV1744" i="1"/>
  <c r="AU1744" i="1"/>
  <c r="AT1744" i="1"/>
  <c r="AV1743" i="1"/>
  <c r="AU1743" i="1"/>
  <c r="AV1742" i="1"/>
  <c r="AU1742" i="1"/>
  <c r="AT1742" i="1"/>
  <c r="AV1741" i="1"/>
  <c r="AU1741" i="1"/>
  <c r="AT1741" i="1"/>
  <c r="AV1740" i="1"/>
  <c r="AU1740" i="1"/>
  <c r="AV1739" i="1"/>
  <c r="AU1739" i="1"/>
  <c r="AV1738" i="1"/>
  <c r="AU1738" i="1"/>
  <c r="AT1738" i="1"/>
  <c r="AV1737" i="1"/>
  <c r="AU1737" i="1"/>
  <c r="AT1737" i="1"/>
  <c r="AV1736" i="1"/>
  <c r="AU1736" i="1"/>
  <c r="AT1736" i="1"/>
  <c r="AV1735" i="1"/>
  <c r="AU1735" i="1"/>
  <c r="AT1735" i="1"/>
  <c r="AV1734" i="1"/>
  <c r="AU1734" i="1"/>
  <c r="AT1734" i="1"/>
  <c r="AV1733" i="1"/>
  <c r="AU1733" i="1"/>
  <c r="AT1733" i="1"/>
  <c r="AV1732" i="1"/>
  <c r="AU1732" i="1"/>
  <c r="AV1731" i="1"/>
  <c r="AU1731" i="1"/>
  <c r="AT1731" i="1"/>
  <c r="AV1730" i="1"/>
  <c r="AU1730" i="1"/>
  <c r="AV1729" i="1"/>
  <c r="AU1729" i="1"/>
  <c r="AT1729" i="1"/>
  <c r="AV1728" i="1"/>
  <c r="AU1728" i="1"/>
  <c r="AT1728" i="1"/>
  <c r="AV1727" i="1"/>
  <c r="AU1727" i="1"/>
  <c r="AT1727" i="1"/>
  <c r="AV1726" i="1"/>
  <c r="AU1726" i="1"/>
  <c r="AT1726" i="1"/>
  <c r="AV1725" i="1"/>
  <c r="AU1725" i="1"/>
  <c r="AV1724" i="1"/>
  <c r="AU1724" i="1"/>
  <c r="AT1724" i="1"/>
  <c r="AV1723" i="1"/>
  <c r="AU1723" i="1"/>
  <c r="AT1723" i="1"/>
  <c r="AV1722" i="1"/>
  <c r="AU1722" i="1"/>
  <c r="AT1722" i="1"/>
  <c r="AV1721" i="1"/>
  <c r="AU1721" i="1"/>
  <c r="AT1721" i="1"/>
  <c r="AV1720" i="1"/>
  <c r="AU1720" i="1"/>
  <c r="AT1720" i="1"/>
  <c r="AV1719" i="1"/>
  <c r="AU1719" i="1"/>
  <c r="AT1719" i="1"/>
  <c r="AV1718" i="1"/>
  <c r="AU1718" i="1"/>
  <c r="AT1718" i="1"/>
  <c r="AV1717" i="1"/>
  <c r="AU1717" i="1"/>
  <c r="AT1717" i="1"/>
  <c r="AV1716" i="1"/>
  <c r="AU1716" i="1"/>
  <c r="AV1715" i="1"/>
  <c r="AU1715" i="1"/>
  <c r="AT1715" i="1"/>
  <c r="AV1714" i="1"/>
  <c r="AU1714" i="1"/>
  <c r="AT1714" i="1"/>
  <c r="AV1713" i="1"/>
  <c r="AU1713" i="1"/>
  <c r="AV1712" i="1"/>
  <c r="AU1712" i="1"/>
  <c r="AT1712" i="1"/>
  <c r="AV1711" i="1"/>
  <c r="AU1711" i="1"/>
  <c r="AV1710" i="1"/>
  <c r="AU1710" i="1"/>
  <c r="AT1710" i="1"/>
  <c r="AV1709" i="1"/>
  <c r="AU1709" i="1"/>
  <c r="AV1708" i="1"/>
  <c r="AU1708" i="1"/>
  <c r="AT1708" i="1"/>
  <c r="AV1707" i="1"/>
  <c r="AU1707" i="1"/>
  <c r="AT1707" i="1"/>
  <c r="AV1706" i="1"/>
  <c r="AU1706" i="1"/>
  <c r="AT1706" i="1"/>
  <c r="AV1705" i="1"/>
  <c r="AU1705" i="1"/>
  <c r="AV1704" i="1"/>
  <c r="AU1704" i="1"/>
  <c r="AT1704" i="1"/>
  <c r="AV1703" i="1"/>
  <c r="AU1703" i="1"/>
  <c r="AT1703" i="1"/>
  <c r="AV1702" i="1"/>
  <c r="AU1702" i="1"/>
  <c r="AT1702" i="1"/>
  <c r="AV1701" i="1"/>
  <c r="AU1701" i="1"/>
  <c r="AV1700" i="1"/>
  <c r="AU1700" i="1"/>
  <c r="AT1700" i="1"/>
  <c r="AV1699" i="1"/>
  <c r="AU1699" i="1"/>
  <c r="AT1699" i="1"/>
  <c r="AV1698" i="1"/>
  <c r="AU1698" i="1"/>
  <c r="AT1698" i="1"/>
  <c r="AV1697" i="1"/>
  <c r="AU1697" i="1"/>
  <c r="AT1697" i="1"/>
  <c r="AV1696" i="1"/>
  <c r="AU1696" i="1"/>
  <c r="AT1696" i="1"/>
  <c r="AV1695" i="1"/>
  <c r="AU1695" i="1"/>
  <c r="AT1695" i="1"/>
  <c r="AV1694" i="1"/>
  <c r="AU1694" i="1"/>
  <c r="AT1694" i="1"/>
  <c r="AV1693" i="1"/>
  <c r="AU1693" i="1"/>
  <c r="AV1692" i="1"/>
  <c r="AU1692" i="1"/>
  <c r="AT1692" i="1"/>
  <c r="AV1691" i="1"/>
  <c r="AU1691" i="1"/>
  <c r="AT1691" i="1"/>
  <c r="AV1690" i="1"/>
  <c r="AU1690" i="1"/>
  <c r="AV1689" i="1"/>
  <c r="AU1689" i="1"/>
  <c r="AT1689" i="1"/>
  <c r="AV1688" i="1"/>
  <c r="AU1688" i="1"/>
  <c r="AT1688" i="1"/>
  <c r="AV1687" i="1"/>
  <c r="AU1687" i="1"/>
  <c r="AT1687" i="1"/>
  <c r="AV1686" i="1"/>
  <c r="AU1686" i="1"/>
  <c r="AT1686" i="1"/>
  <c r="AV1685" i="1"/>
  <c r="AU1685" i="1"/>
  <c r="AV1684" i="1"/>
  <c r="AU1684" i="1"/>
  <c r="AV1683" i="1"/>
  <c r="AU1683" i="1"/>
  <c r="AT1683" i="1"/>
  <c r="AV1682" i="1"/>
  <c r="AU1682" i="1"/>
  <c r="AT1682" i="1"/>
  <c r="AV1681" i="1"/>
  <c r="AU1681" i="1"/>
  <c r="AV1680" i="1"/>
  <c r="AU1680" i="1"/>
  <c r="AT1680" i="1"/>
  <c r="AV1679" i="1"/>
  <c r="AU1679" i="1"/>
  <c r="AV1678" i="1"/>
  <c r="AU1678" i="1"/>
  <c r="AT1678" i="1"/>
  <c r="AV1677" i="1"/>
  <c r="AU1677" i="1"/>
  <c r="AV1676" i="1"/>
  <c r="AU1676" i="1"/>
  <c r="AT1676" i="1"/>
  <c r="AV1675" i="1"/>
  <c r="AU1675" i="1"/>
  <c r="AT1675" i="1"/>
  <c r="AV1674" i="1"/>
  <c r="AU1674" i="1"/>
  <c r="AT1674" i="1"/>
  <c r="AV1673" i="1"/>
  <c r="AU1673" i="1"/>
  <c r="AV1672" i="1"/>
  <c r="AU1672" i="1"/>
  <c r="AT1672" i="1"/>
  <c r="AV1671" i="1"/>
  <c r="AU1671" i="1"/>
  <c r="AT1671" i="1"/>
  <c r="AV1670" i="1"/>
  <c r="AU1670" i="1"/>
  <c r="AT1670" i="1"/>
  <c r="AV1669" i="1"/>
  <c r="AU1669" i="1"/>
  <c r="AT1669" i="1"/>
  <c r="AV1668" i="1"/>
  <c r="AU1668" i="1"/>
  <c r="AT1668" i="1"/>
  <c r="AV1667" i="1"/>
  <c r="AU1667" i="1"/>
  <c r="AT1667" i="1"/>
  <c r="AV1666" i="1"/>
  <c r="AU1666" i="1"/>
  <c r="AT1666" i="1"/>
  <c r="AV1665" i="1"/>
  <c r="AU1665" i="1"/>
  <c r="AT1665" i="1"/>
  <c r="AV1664" i="1"/>
  <c r="AU1664" i="1"/>
  <c r="AT1664" i="1"/>
  <c r="AV1663" i="1"/>
  <c r="AU1663" i="1"/>
  <c r="AV1662" i="1"/>
  <c r="AU1662" i="1"/>
  <c r="AT1662" i="1"/>
  <c r="AV1661" i="1"/>
  <c r="AU1661" i="1"/>
  <c r="AV1660" i="1"/>
  <c r="AU1660" i="1"/>
  <c r="AT1660" i="1"/>
  <c r="AV1659" i="1"/>
  <c r="AU1659" i="1"/>
  <c r="AT1659" i="1"/>
  <c r="AV1658" i="1"/>
  <c r="AU1658" i="1"/>
  <c r="AT1658" i="1"/>
  <c r="AV1657" i="1"/>
  <c r="AU1657" i="1"/>
  <c r="AV1656" i="1"/>
  <c r="AU1656" i="1"/>
  <c r="AT1656" i="1"/>
  <c r="AV1655" i="1"/>
  <c r="AU1655" i="1"/>
  <c r="AT1655" i="1"/>
  <c r="AV1654" i="1"/>
  <c r="AU1654" i="1"/>
  <c r="AV1653" i="1"/>
  <c r="AU1653" i="1"/>
  <c r="AT1653" i="1"/>
  <c r="AV1652" i="1"/>
  <c r="AU1652" i="1"/>
  <c r="AT1652" i="1"/>
  <c r="AV1651" i="1"/>
  <c r="AU1651" i="1"/>
  <c r="AT1651" i="1"/>
  <c r="AV1650" i="1"/>
  <c r="AU1650" i="1"/>
  <c r="AT1650" i="1"/>
  <c r="AV1649" i="1"/>
  <c r="AU1649" i="1"/>
  <c r="AV1648" i="1"/>
  <c r="AU1648" i="1"/>
  <c r="AV1647" i="1"/>
  <c r="AU1647" i="1"/>
  <c r="AV1646" i="1"/>
  <c r="AU1646" i="1"/>
  <c r="AT1646" i="1"/>
  <c r="AV1645" i="1"/>
  <c r="AU1645" i="1"/>
  <c r="AT1645" i="1"/>
  <c r="AV1644" i="1"/>
  <c r="AU1644" i="1"/>
  <c r="AT1644" i="1"/>
  <c r="AV1643" i="1"/>
  <c r="AU1643" i="1"/>
  <c r="AV1642" i="1"/>
  <c r="AU1642" i="1"/>
  <c r="AV1641" i="1"/>
  <c r="AU1641" i="1"/>
  <c r="AV1640" i="1"/>
  <c r="AU1640" i="1"/>
  <c r="AT1640" i="1"/>
  <c r="AV1639" i="1"/>
  <c r="AU1639" i="1"/>
  <c r="AT1639" i="1"/>
  <c r="AV1638" i="1"/>
  <c r="AU1638" i="1"/>
  <c r="AT1638" i="1"/>
  <c r="AV1637" i="1"/>
  <c r="AU1637" i="1"/>
  <c r="AT1637" i="1"/>
  <c r="AV1636" i="1"/>
  <c r="AU1636" i="1"/>
  <c r="AT1636" i="1"/>
  <c r="AV1635" i="1"/>
  <c r="AU1635" i="1"/>
  <c r="AT1635" i="1"/>
  <c r="AV1634" i="1"/>
  <c r="AU1634" i="1"/>
  <c r="AT1634" i="1"/>
  <c r="AV1633" i="1"/>
  <c r="AU1633" i="1"/>
  <c r="AT1633" i="1"/>
  <c r="AV1632" i="1"/>
  <c r="AU1632" i="1"/>
  <c r="AT1632" i="1"/>
  <c r="AV1631" i="1"/>
  <c r="AU1631" i="1"/>
  <c r="AV1630" i="1"/>
  <c r="AU1630" i="1"/>
  <c r="AT1630" i="1"/>
  <c r="AV1629" i="1"/>
  <c r="AU1629" i="1"/>
  <c r="AV1628" i="1"/>
  <c r="AU1628" i="1"/>
  <c r="AV1627" i="1"/>
  <c r="AU1627" i="1"/>
  <c r="AT1627" i="1"/>
  <c r="AV1626" i="1"/>
  <c r="AU1626" i="1"/>
  <c r="AV1625" i="1"/>
  <c r="AU1625" i="1"/>
  <c r="AV1624" i="1"/>
  <c r="AU1624" i="1"/>
  <c r="AV1623" i="1"/>
  <c r="AU1623" i="1"/>
  <c r="AV1622" i="1"/>
  <c r="AU1622" i="1"/>
  <c r="AV1621" i="1"/>
  <c r="AU1621" i="1"/>
  <c r="AT1621" i="1"/>
  <c r="AV1620" i="1"/>
  <c r="AU1620" i="1"/>
  <c r="AV1619" i="1"/>
  <c r="AU1619" i="1"/>
  <c r="AV1618" i="1"/>
  <c r="AU1618" i="1"/>
  <c r="AT1618" i="1"/>
  <c r="AV1617" i="1"/>
  <c r="AU1617" i="1"/>
  <c r="AV1616" i="1"/>
  <c r="AU1616" i="1"/>
  <c r="AT1616" i="1"/>
  <c r="AV1615" i="1"/>
  <c r="AU1615" i="1"/>
  <c r="AT1615" i="1"/>
  <c r="AV1614" i="1"/>
  <c r="AU1614" i="1"/>
  <c r="AT1614" i="1"/>
  <c r="AV1613" i="1"/>
  <c r="AU1613" i="1"/>
  <c r="AT1613" i="1"/>
  <c r="AV1612" i="1"/>
  <c r="AU1612" i="1"/>
  <c r="AV1611" i="1"/>
  <c r="AU1611" i="1"/>
  <c r="AV1610" i="1"/>
  <c r="AU1610" i="1"/>
  <c r="AV1609" i="1"/>
  <c r="AU1609" i="1"/>
  <c r="AV1608" i="1"/>
  <c r="AU1608" i="1"/>
  <c r="AV1607" i="1"/>
  <c r="AU1607" i="1"/>
  <c r="AT1607" i="1"/>
  <c r="AV1606" i="1"/>
  <c r="AU1606" i="1"/>
  <c r="AT1606" i="1"/>
  <c r="AV1605" i="1"/>
  <c r="AU1605" i="1"/>
  <c r="AV1604" i="1"/>
  <c r="AU1604" i="1"/>
  <c r="AT1604" i="1"/>
  <c r="AV1603" i="1"/>
  <c r="AU1603" i="1"/>
  <c r="AV1602" i="1"/>
  <c r="AU1602" i="1"/>
  <c r="AT1602" i="1"/>
  <c r="AV1601" i="1"/>
  <c r="AU1601" i="1"/>
  <c r="AT1601" i="1"/>
  <c r="AV1600" i="1"/>
  <c r="AU1600" i="1"/>
  <c r="AT1600" i="1"/>
  <c r="AV1599" i="1"/>
  <c r="AU1599" i="1"/>
  <c r="AT1599" i="1"/>
  <c r="AV1598" i="1"/>
  <c r="AU1598" i="1"/>
  <c r="AV1597" i="1"/>
  <c r="AU1597" i="1"/>
  <c r="AT1597" i="1"/>
  <c r="AV1596" i="1"/>
  <c r="AU1596" i="1"/>
  <c r="AT1596" i="1"/>
  <c r="AV1595" i="1"/>
  <c r="AU1595" i="1"/>
  <c r="AV1594" i="1"/>
  <c r="AU1594" i="1"/>
  <c r="AV1593" i="1"/>
  <c r="AU1593" i="1"/>
  <c r="AT1593" i="1"/>
  <c r="AV1592" i="1"/>
  <c r="AU1592" i="1"/>
  <c r="AT1592" i="1"/>
  <c r="AV1591" i="1"/>
  <c r="AU1591" i="1"/>
  <c r="AV1590" i="1"/>
  <c r="AU1590" i="1"/>
  <c r="AT1590" i="1"/>
  <c r="AV1589" i="1"/>
  <c r="AU1589" i="1"/>
  <c r="AV1588" i="1"/>
  <c r="AU1588" i="1"/>
  <c r="AT1588" i="1"/>
  <c r="AV1587" i="1"/>
  <c r="AU1587" i="1"/>
  <c r="AT1587" i="1"/>
  <c r="AV1586" i="1"/>
  <c r="AU1586" i="1"/>
  <c r="AT1586" i="1"/>
  <c r="AV1585" i="1"/>
  <c r="AU1585" i="1"/>
  <c r="AT1585" i="1"/>
  <c r="AV1584" i="1"/>
  <c r="AU1584" i="1"/>
  <c r="AV1583" i="1"/>
  <c r="AU1583" i="1"/>
  <c r="AT1583" i="1"/>
  <c r="AV1582" i="1"/>
  <c r="AU1582" i="1"/>
  <c r="AT1582" i="1"/>
  <c r="AV1581" i="1"/>
  <c r="AU1581" i="1"/>
  <c r="AV1580" i="1"/>
  <c r="AU1580" i="1"/>
  <c r="AT1580" i="1"/>
  <c r="AV1579" i="1"/>
  <c r="AU1579" i="1"/>
  <c r="AT1579" i="1"/>
  <c r="AV1578" i="1"/>
  <c r="AU1578" i="1"/>
  <c r="AV1577" i="1"/>
  <c r="AU1577" i="1"/>
  <c r="AT1577" i="1"/>
  <c r="AV1576" i="1"/>
  <c r="AU1576" i="1"/>
  <c r="AV1575" i="1"/>
  <c r="AU1575" i="1"/>
  <c r="AT1575" i="1"/>
  <c r="AV1574" i="1"/>
  <c r="AU1574" i="1"/>
  <c r="AV1573" i="1"/>
  <c r="AU1573" i="1"/>
  <c r="AT1573" i="1"/>
  <c r="AV1572" i="1"/>
  <c r="AU1572" i="1"/>
  <c r="AT1572" i="1"/>
  <c r="AV1571" i="1"/>
  <c r="AU1571" i="1"/>
  <c r="AT1571" i="1"/>
  <c r="AV1570" i="1"/>
  <c r="AU1570" i="1"/>
  <c r="AV1569" i="1"/>
  <c r="AU1569" i="1"/>
  <c r="AT1569" i="1"/>
  <c r="AV1568" i="1"/>
  <c r="AU1568" i="1"/>
  <c r="AT1568" i="1"/>
  <c r="AV1567" i="1"/>
  <c r="AU1567" i="1"/>
  <c r="AT1567" i="1"/>
  <c r="AV1566" i="1"/>
  <c r="AU1566" i="1"/>
  <c r="AT1566" i="1"/>
  <c r="AV1565" i="1"/>
  <c r="AU1565" i="1"/>
  <c r="AV1564" i="1"/>
  <c r="AU1564" i="1"/>
  <c r="AV1563" i="1"/>
  <c r="AU1563" i="1"/>
  <c r="AT1563" i="1"/>
  <c r="AV1562" i="1"/>
  <c r="AU1562" i="1"/>
  <c r="AT1562" i="1"/>
  <c r="AV1561" i="1"/>
  <c r="AU1561" i="1"/>
  <c r="AT1561" i="1"/>
  <c r="AV1560" i="1"/>
  <c r="AU1560" i="1"/>
  <c r="AT1560" i="1"/>
  <c r="AV1559" i="1"/>
  <c r="AU1559" i="1"/>
  <c r="AT1559" i="1"/>
  <c r="AV1558" i="1"/>
  <c r="AU1558" i="1"/>
  <c r="AT1558" i="1"/>
  <c r="AV1557" i="1"/>
  <c r="AU1557" i="1"/>
  <c r="AT1557" i="1"/>
  <c r="AV1556" i="1"/>
  <c r="AU1556" i="1"/>
  <c r="AT1556" i="1"/>
  <c r="AV1555" i="1"/>
  <c r="AU1555" i="1"/>
  <c r="AV1554" i="1"/>
  <c r="AU1554" i="1"/>
  <c r="AT1554" i="1"/>
  <c r="AV1553" i="1"/>
  <c r="AU1553" i="1"/>
  <c r="AV1552" i="1"/>
  <c r="AU1552" i="1"/>
  <c r="AT1552" i="1"/>
  <c r="AV1551" i="1"/>
  <c r="AU1551" i="1"/>
  <c r="AT1551" i="1"/>
  <c r="AV1550" i="1"/>
  <c r="AU1550" i="1"/>
  <c r="AT1550" i="1"/>
  <c r="AV1549" i="1"/>
  <c r="AU1549" i="1"/>
  <c r="AT1549" i="1"/>
  <c r="AV1548" i="1"/>
  <c r="AU1548" i="1"/>
  <c r="AT1548" i="1"/>
  <c r="AV1547" i="1"/>
  <c r="AU1547" i="1"/>
  <c r="AT1547" i="1"/>
  <c r="AV1546" i="1"/>
  <c r="AU1546" i="1"/>
  <c r="AV1545" i="1"/>
  <c r="AU1545" i="1"/>
  <c r="AT1545" i="1"/>
  <c r="AV1544" i="1"/>
  <c r="AU1544" i="1"/>
  <c r="AT1544" i="1"/>
  <c r="AV1543" i="1"/>
  <c r="AU1543" i="1"/>
  <c r="AT1543" i="1"/>
  <c r="AV1542" i="1"/>
  <c r="AU1542" i="1"/>
  <c r="AV1541" i="1"/>
  <c r="AU1541" i="1"/>
  <c r="AT1541" i="1"/>
  <c r="AV1540" i="1"/>
  <c r="AU1540" i="1"/>
  <c r="AT1540" i="1"/>
  <c r="AV1539" i="1"/>
  <c r="AU1539" i="1"/>
  <c r="AT1539" i="1"/>
  <c r="AV1538" i="1"/>
  <c r="AU1538" i="1"/>
  <c r="AT1538" i="1"/>
  <c r="AV1537" i="1"/>
  <c r="AU1537" i="1"/>
  <c r="AT1537" i="1"/>
  <c r="AV1536" i="1"/>
  <c r="AU1536" i="1"/>
  <c r="AT1536" i="1"/>
  <c r="AV1535" i="1"/>
  <c r="AU1535" i="1"/>
  <c r="AT1535" i="1"/>
  <c r="AV1534" i="1"/>
  <c r="AU1534" i="1"/>
  <c r="AT1534" i="1"/>
  <c r="AV1533" i="1"/>
  <c r="AU1533" i="1"/>
  <c r="AT1533" i="1"/>
  <c r="AV1532" i="1"/>
  <c r="AU1532" i="1"/>
  <c r="AV1531" i="1"/>
  <c r="AU1531" i="1"/>
  <c r="AT1531" i="1"/>
  <c r="AV1530" i="1"/>
  <c r="AU1530" i="1"/>
  <c r="AV1529" i="1"/>
  <c r="AU1529" i="1"/>
  <c r="AT1529" i="1"/>
  <c r="AV1528" i="1"/>
  <c r="AU1528" i="1"/>
  <c r="AT1528" i="1"/>
  <c r="AV1527" i="1"/>
  <c r="AU1527" i="1"/>
  <c r="AT1527" i="1"/>
  <c r="AV1526" i="1"/>
  <c r="AU1526" i="1"/>
  <c r="AT1526" i="1"/>
  <c r="AV1525" i="1"/>
  <c r="AU1525" i="1"/>
  <c r="AT1525" i="1"/>
  <c r="AV1524" i="1"/>
  <c r="AU1524" i="1"/>
  <c r="AT1524" i="1"/>
  <c r="AV1523" i="1"/>
  <c r="AU1523" i="1"/>
  <c r="AV1522" i="1"/>
  <c r="AU1522" i="1"/>
  <c r="AT1522" i="1"/>
  <c r="AV1521" i="1"/>
  <c r="AU1521" i="1"/>
  <c r="AT1521" i="1"/>
  <c r="AV1520" i="1"/>
  <c r="AU1520" i="1"/>
  <c r="AT1520" i="1"/>
  <c r="AV1519" i="1"/>
  <c r="AU1519" i="1"/>
  <c r="AV1518" i="1"/>
  <c r="AU1518" i="1"/>
  <c r="AT1518" i="1"/>
  <c r="AV1517" i="1"/>
  <c r="AU1517" i="1"/>
  <c r="AT1517" i="1"/>
  <c r="AV1516" i="1"/>
  <c r="AU1516" i="1"/>
  <c r="AT1516" i="1"/>
  <c r="AV1515" i="1"/>
  <c r="AU1515" i="1"/>
  <c r="AV1514" i="1"/>
  <c r="AU1514" i="1"/>
  <c r="AV1513" i="1"/>
  <c r="AU1513" i="1"/>
  <c r="AT1513" i="1"/>
  <c r="AV1512" i="1"/>
  <c r="AU1512" i="1"/>
  <c r="AT1512" i="1"/>
  <c r="AV1511" i="1"/>
  <c r="AU1511" i="1"/>
  <c r="AV1510" i="1"/>
  <c r="AU1510" i="1"/>
  <c r="AT1510" i="1"/>
  <c r="AV1509" i="1"/>
  <c r="AU1509" i="1"/>
  <c r="AT1509" i="1"/>
  <c r="AV1508" i="1"/>
  <c r="AU1508" i="1"/>
  <c r="AT1508" i="1"/>
  <c r="AV1507" i="1"/>
  <c r="AU1507" i="1"/>
  <c r="AT1507" i="1"/>
  <c r="AV1506" i="1"/>
  <c r="AU1506" i="1"/>
  <c r="AT1506" i="1"/>
  <c r="AV1505" i="1"/>
  <c r="AU1505" i="1"/>
  <c r="AT1505" i="1"/>
  <c r="AV1504" i="1"/>
  <c r="AU1504" i="1"/>
  <c r="AT1504" i="1"/>
  <c r="AV1503" i="1"/>
  <c r="AU1503" i="1"/>
  <c r="AV1502" i="1"/>
  <c r="AU1502" i="1"/>
  <c r="AT1502" i="1"/>
  <c r="AV1501" i="1"/>
  <c r="AU1501" i="1"/>
  <c r="AT1501" i="1"/>
  <c r="AV1500" i="1"/>
  <c r="AU1500" i="1"/>
  <c r="AT1500" i="1"/>
  <c r="AV1499" i="1"/>
  <c r="AU1499" i="1"/>
  <c r="AT1499" i="1"/>
  <c r="AV1498" i="1"/>
  <c r="AU1498" i="1"/>
  <c r="AV1497" i="1"/>
  <c r="AU1497" i="1"/>
  <c r="AT1497" i="1"/>
  <c r="AV1496" i="1"/>
  <c r="AU1496" i="1"/>
  <c r="AT1496" i="1"/>
  <c r="AV1495" i="1"/>
  <c r="AU1495" i="1"/>
  <c r="AT1495" i="1"/>
  <c r="AV1494" i="1"/>
  <c r="AU1494" i="1"/>
  <c r="AT1494" i="1"/>
  <c r="AV1493" i="1"/>
  <c r="AU1493" i="1"/>
  <c r="AT1493" i="1"/>
  <c r="AV1492" i="1"/>
  <c r="AU1492" i="1"/>
  <c r="AT1492" i="1"/>
  <c r="AV1491" i="1"/>
  <c r="AU1491" i="1"/>
  <c r="AT1491" i="1"/>
  <c r="AV1490" i="1"/>
  <c r="AU1490" i="1"/>
  <c r="AT1490" i="1"/>
  <c r="AV1489" i="1"/>
  <c r="AU1489" i="1"/>
  <c r="AT1489" i="1"/>
  <c r="AV1488" i="1"/>
  <c r="AU1488" i="1"/>
  <c r="AT1488" i="1"/>
  <c r="AV1487" i="1"/>
  <c r="AU1487" i="1"/>
  <c r="AT1487" i="1"/>
  <c r="AV1486" i="1"/>
  <c r="AU1486" i="1"/>
  <c r="AT1486" i="1"/>
  <c r="AV1485" i="1"/>
  <c r="AU1485" i="1"/>
  <c r="AT1485" i="1"/>
  <c r="AV1484" i="1"/>
  <c r="AU1484" i="1"/>
  <c r="AV1483" i="1"/>
  <c r="AU1483" i="1"/>
  <c r="AV1482" i="1"/>
  <c r="AU1482" i="1"/>
  <c r="AV1481" i="1"/>
  <c r="AU1481" i="1"/>
  <c r="AV1480" i="1"/>
  <c r="AU1480" i="1"/>
  <c r="AT1480" i="1"/>
  <c r="AV1479" i="1"/>
  <c r="AU1479" i="1"/>
  <c r="AT1479" i="1"/>
  <c r="AV1478" i="1"/>
  <c r="AU1478" i="1"/>
  <c r="AV1477" i="1"/>
  <c r="AU1477" i="1"/>
  <c r="AV1476" i="1"/>
  <c r="AU1476" i="1"/>
  <c r="AV1475" i="1"/>
  <c r="AU1475" i="1"/>
  <c r="AV1474" i="1"/>
  <c r="AU1474" i="1"/>
  <c r="AT1474" i="1"/>
  <c r="AV1473" i="1"/>
  <c r="AU1473" i="1"/>
  <c r="AT1473" i="1"/>
  <c r="AV1472" i="1"/>
  <c r="AU1472" i="1"/>
  <c r="AV1471" i="1"/>
  <c r="AU1471" i="1"/>
  <c r="AT1471" i="1"/>
  <c r="AV1470" i="1"/>
  <c r="AU1470" i="1"/>
  <c r="AT1470" i="1"/>
  <c r="AV1469" i="1"/>
  <c r="AU1469" i="1"/>
  <c r="AT1469" i="1"/>
  <c r="AV1468" i="1"/>
  <c r="AU1468" i="1"/>
  <c r="AT1468" i="1"/>
  <c r="AV1467" i="1"/>
  <c r="AU1467" i="1"/>
  <c r="AT1467" i="1"/>
  <c r="AV1466" i="1"/>
  <c r="AU1466" i="1"/>
  <c r="AT1466" i="1"/>
  <c r="AV1465" i="1"/>
  <c r="AU1465" i="1"/>
  <c r="AT1465" i="1"/>
  <c r="AV1464" i="1"/>
  <c r="AU1464" i="1"/>
  <c r="AT1464" i="1"/>
  <c r="AV1463" i="1"/>
  <c r="AU1463" i="1"/>
  <c r="AV1462" i="1"/>
  <c r="AU1462" i="1"/>
  <c r="AT1462" i="1"/>
  <c r="AV1461" i="1"/>
  <c r="AU1461" i="1"/>
  <c r="AT1461" i="1"/>
  <c r="AV1460" i="1"/>
  <c r="AU1460" i="1"/>
  <c r="AT1460" i="1"/>
  <c r="AV1459" i="1"/>
  <c r="AU1459" i="1"/>
  <c r="AT1459" i="1"/>
  <c r="AV1458" i="1"/>
  <c r="AU1458" i="1"/>
  <c r="AT1458" i="1"/>
  <c r="AV1457" i="1"/>
  <c r="AU1457" i="1"/>
  <c r="AT1457" i="1"/>
  <c r="AV1456" i="1"/>
  <c r="AU1456" i="1"/>
  <c r="AT1456" i="1"/>
  <c r="AV1455" i="1"/>
  <c r="AU1455" i="1"/>
  <c r="AT1455" i="1"/>
  <c r="AV1454" i="1"/>
  <c r="AU1454" i="1"/>
  <c r="AT1454" i="1"/>
  <c r="AV1453" i="1"/>
  <c r="AU1453" i="1"/>
  <c r="AT1453" i="1"/>
  <c r="AV1452" i="1"/>
  <c r="AU1452" i="1"/>
  <c r="AT1452" i="1"/>
  <c r="AV1451" i="1"/>
  <c r="AU1451" i="1"/>
  <c r="AT1451" i="1"/>
  <c r="AV1450" i="1"/>
  <c r="AU1450" i="1"/>
  <c r="AT1450" i="1"/>
  <c r="AV1449" i="1"/>
  <c r="AU1449" i="1"/>
  <c r="AV1448" i="1"/>
  <c r="AU1448" i="1"/>
  <c r="AT1448" i="1"/>
  <c r="AV1447" i="1"/>
  <c r="AU1447" i="1"/>
  <c r="AT1447" i="1"/>
  <c r="AV1446" i="1"/>
  <c r="AU1446" i="1"/>
  <c r="AV1445" i="1"/>
  <c r="AU1445" i="1"/>
  <c r="AT1445" i="1"/>
  <c r="AV1444" i="1"/>
  <c r="AU1444" i="1"/>
  <c r="AV1443" i="1"/>
  <c r="AU1443" i="1"/>
  <c r="AT1443" i="1"/>
  <c r="AV1442" i="1"/>
  <c r="AU1442" i="1"/>
  <c r="AV1441" i="1"/>
  <c r="AU1441" i="1"/>
  <c r="AV1440" i="1"/>
  <c r="AU1440" i="1"/>
  <c r="AT1440" i="1"/>
  <c r="AV1439" i="1"/>
  <c r="AU1439" i="1"/>
  <c r="AV1438" i="1"/>
  <c r="AU1438" i="1"/>
  <c r="AT1438" i="1"/>
  <c r="AV1437" i="1"/>
  <c r="AU1437" i="1"/>
  <c r="AT1437" i="1"/>
  <c r="AV1436" i="1"/>
  <c r="AU1436" i="1"/>
  <c r="AV1435" i="1"/>
  <c r="AU1435" i="1"/>
  <c r="AT1435" i="1"/>
  <c r="AV1434" i="1"/>
  <c r="AU1434" i="1"/>
  <c r="AV1433" i="1"/>
  <c r="AU1433" i="1"/>
  <c r="AT1433" i="1"/>
  <c r="AV1432" i="1"/>
  <c r="AU1432" i="1"/>
  <c r="AT1432" i="1"/>
  <c r="AV1431" i="1"/>
  <c r="AU1431" i="1"/>
  <c r="AT1431" i="1"/>
  <c r="AV1430" i="1"/>
  <c r="AU1430" i="1"/>
  <c r="AV1429" i="1"/>
  <c r="AU1429" i="1"/>
  <c r="AT1429" i="1"/>
  <c r="AV1428" i="1"/>
  <c r="AU1428" i="1"/>
  <c r="AT1428" i="1"/>
  <c r="AV1427" i="1"/>
  <c r="AU1427" i="1"/>
  <c r="AV1426" i="1"/>
  <c r="AU1426" i="1"/>
  <c r="AT1426" i="1"/>
  <c r="AV1425" i="1"/>
  <c r="AU1425" i="1"/>
  <c r="AT1425" i="1"/>
  <c r="AV1424" i="1"/>
  <c r="AU1424" i="1"/>
  <c r="AT1424" i="1"/>
  <c r="AV1423" i="1"/>
  <c r="AU1423" i="1"/>
  <c r="AT1423" i="1"/>
  <c r="AV1422" i="1"/>
  <c r="AU1422" i="1"/>
  <c r="AT1422" i="1"/>
  <c r="AV1421" i="1"/>
  <c r="AU1421" i="1"/>
  <c r="AV1420" i="1"/>
  <c r="AU1420" i="1"/>
  <c r="AT1420" i="1"/>
  <c r="AV1419" i="1"/>
  <c r="AU1419" i="1"/>
  <c r="AT1419" i="1"/>
  <c r="AV1418" i="1"/>
  <c r="AU1418" i="1"/>
  <c r="AT1418" i="1"/>
  <c r="AV1417" i="1"/>
  <c r="AU1417" i="1"/>
  <c r="AT1417" i="1"/>
  <c r="AV1416" i="1"/>
  <c r="AU1416" i="1"/>
  <c r="AT1416" i="1"/>
  <c r="AV1415" i="1"/>
  <c r="AU1415" i="1"/>
  <c r="AV1414" i="1"/>
  <c r="AU1414" i="1"/>
  <c r="AT1414" i="1"/>
  <c r="AV1413" i="1"/>
  <c r="AU1413" i="1"/>
  <c r="AT1413" i="1"/>
  <c r="AV1412" i="1"/>
  <c r="AU1412" i="1"/>
  <c r="AT1412" i="1"/>
  <c r="AV1411" i="1"/>
  <c r="AU1411" i="1"/>
  <c r="AT1411" i="1"/>
  <c r="AV1410" i="1"/>
  <c r="AU1410" i="1"/>
  <c r="AT1410" i="1"/>
  <c r="AV1409" i="1"/>
  <c r="AU1409" i="1"/>
  <c r="AV1408" i="1"/>
  <c r="AU1408" i="1"/>
  <c r="AT1408" i="1"/>
  <c r="AV1407" i="1"/>
  <c r="AU1407" i="1"/>
  <c r="AT1407" i="1"/>
  <c r="AV1406" i="1"/>
  <c r="AU1406" i="1"/>
  <c r="AV1405" i="1"/>
  <c r="AU1405" i="1"/>
  <c r="AV1404" i="1"/>
  <c r="AU1404" i="1"/>
  <c r="AT1404" i="1"/>
  <c r="AV1403" i="1"/>
  <c r="AU1403" i="1"/>
  <c r="AT1403" i="1"/>
  <c r="AV1402" i="1"/>
  <c r="AU1402" i="1"/>
  <c r="AT1402" i="1"/>
  <c r="AV1401" i="1"/>
  <c r="AU1401" i="1"/>
  <c r="AV1400" i="1"/>
  <c r="AU1400" i="1"/>
  <c r="AT1400" i="1"/>
  <c r="AV1399" i="1"/>
  <c r="AU1399" i="1"/>
  <c r="AV1398" i="1"/>
  <c r="AU1398" i="1"/>
  <c r="AT1398" i="1"/>
  <c r="AV1397" i="1"/>
  <c r="AU1397" i="1"/>
  <c r="AT1397" i="1"/>
  <c r="AV1396" i="1"/>
  <c r="AU1396" i="1"/>
  <c r="AV1395" i="1"/>
  <c r="AU1395" i="1"/>
  <c r="AT1395" i="1"/>
  <c r="AV1394" i="1"/>
  <c r="AU1394" i="1"/>
  <c r="AT1394" i="1"/>
  <c r="AV1393" i="1"/>
  <c r="AU1393" i="1"/>
  <c r="AT1393" i="1"/>
  <c r="AV1392" i="1"/>
  <c r="AU1392" i="1"/>
  <c r="AT1392" i="1"/>
  <c r="AV1391" i="1"/>
  <c r="AU1391" i="1"/>
  <c r="AV1390" i="1"/>
  <c r="AU1390" i="1"/>
  <c r="AT1390" i="1"/>
  <c r="AV1389" i="1"/>
  <c r="AU1389" i="1"/>
  <c r="AT1389" i="1"/>
  <c r="AV1388" i="1"/>
  <c r="AU1388" i="1"/>
  <c r="AT1388" i="1"/>
  <c r="AV1387" i="1"/>
  <c r="AU1387" i="1"/>
  <c r="AT1387" i="1"/>
  <c r="AV1386" i="1"/>
  <c r="AU1386" i="1"/>
  <c r="AT1386" i="1"/>
  <c r="AV1385" i="1"/>
  <c r="AU1385" i="1"/>
  <c r="AT1385" i="1"/>
  <c r="AV1384" i="1"/>
  <c r="AU1384" i="1"/>
  <c r="AV1383" i="1"/>
  <c r="AU1383" i="1"/>
  <c r="AT1383" i="1"/>
  <c r="AV1382" i="1"/>
  <c r="AU1382" i="1"/>
  <c r="AT1382" i="1"/>
  <c r="AV1381" i="1"/>
  <c r="AU1381" i="1"/>
  <c r="AT1381" i="1"/>
  <c r="AV1380" i="1"/>
  <c r="AU1380" i="1"/>
  <c r="AT1380" i="1"/>
  <c r="AV1379" i="1"/>
  <c r="AU1379" i="1"/>
  <c r="AT1379" i="1"/>
  <c r="AV1378" i="1"/>
  <c r="AU1378" i="1"/>
  <c r="AT1378" i="1"/>
  <c r="AV1377" i="1"/>
  <c r="AU1377" i="1"/>
  <c r="AT1377" i="1"/>
  <c r="AV1376" i="1"/>
  <c r="AU1376" i="1"/>
  <c r="AT1376" i="1"/>
  <c r="AV1375" i="1"/>
  <c r="AU1375" i="1"/>
  <c r="AT1375" i="1"/>
  <c r="AV1374" i="1"/>
  <c r="AU1374" i="1"/>
  <c r="AT1374" i="1"/>
  <c r="AV1373" i="1"/>
  <c r="AU1373" i="1"/>
  <c r="AT1373" i="1"/>
  <c r="AV1372" i="1"/>
  <c r="AU1372" i="1"/>
  <c r="AT1372" i="1"/>
  <c r="AV1371" i="1"/>
  <c r="AU1371" i="1"/>
  <c r="AT1371" i="1"/>
  <c r="AV1370" i="1"/>
  <c r="AU1370" i="1"/>
  <c r="AT1370" i="1"/>
  <c r="AV1369" i="1"/>
  <c r="AU1369" i="1"/>
  <c r="AT1369" i="1"/>
  <c r="AV1368" i="1"/>
  <c r="AU1368" i="1"/>
  <c r="AV1367" i="1"/>
  <c r="AU1367" i="1"/>
  <c r="AT1367" i="1"/>
  <c r="AV1366" i="1"/>
  <c r="AU1366" i="1"/>
  <c r="AT1366" i="1"/>
  <c r="AV1365" i="1"/>
  <c r="AU1365" i="1"/>
  <c r="AT1365" i="1"/>
  <c r="AV1364" i="1"/>
  <c r="AU1364" i="1"/>
  <c r="AT1364" i="1"/>
  <c r="AV1363" i="1"/>
  <c r="AU1363" i="1"/>
  <c r="AV1362" i="1"/>
  <c r="AU1362" i="1"/>
  <c r="AT1362" i="1"/>
  <c r="AV1361" i="1"/>
  <c r="AU1361" i="1"/>
  <c r="AV1360" i="1"/>
  <c r="AU1360" i="1"/>
  <c r="AV1359" i="1"/>
  <c r="AU1359" i="1"/>
  <c r="AT1359" i="1"/>
  <c r="AV1358" i="1"/>
  <c r="AU1358" i="1"/>
  <c r="AT1358" i="1"/>
  <c r="AV1357" i="1"/>
  <c r="AU1357" i="1"/>
  <c r="AT1357" i="1"/>
  <c r="AV1356" i="1"/>
  <c r="AU1356" i="1"/>
  <c r="AT1356" i="1"/>
  <c r="AV1355" i="1"/>
  <c r="AU1355" i="1"/>
  <c r="AV1354" i="1"/>
  <c r="AU1354" i="1"/>
  <c r="AV1353" i="1"/>
  <c r="AU1353" i="1"/>
  <c r="AT1353" i="1"/>
  <c r="AV1352" i="1"/>
  <c r="AU1352" i="1"/>
  <c r="AT1352" i="1"/>
  <c r="AV1351" i="1"/>
  <c r="AU1351" i="1"/>
  <c r="AV1350" i="1"/>
  <c r="AU1350" i="1"/>
  <c r="AT1350" i="1"/>
  <c r="AV1349" i="1"/>
  <c r="AU1349" i="1"/>
  <c r="AT1349" i="1"/>
  <c r="AV1348" i="1"/>
  <c r="AU1348" i="1"/>
  <c r="AV1347" i="1"/>
  <c r="AU1347" i="1"/>
  <c r="AT1347" i="1"/>
  <c r="AV1346" i="1"/>
  <c r="AU1346" i="1"/>
  <c r="AT1346" i="1"/>
  <c r="AV1345" i="1"/>
  <c r="AU1345" i="1"/>
  <c r="AT1345" i="1"/>
  <c r="AV1344" i="1"/>
  <c r="AU1344" i="1"/>
  <c r="AT1344" i="1"/>
  <c r="AV1343" i="1"/>
  <c r="AU1343" i="1"/>
  <c r="AT1343" i="1"/>
  <c r="AV1342" i="1"/>
  <c r="AU1342" i="1"/>
  <c r="AT1342" i="1"/>
  <c r="AV1341" i="1"/>
  <c r="AU1341" i="1"/>
  <c r="AT1341" i="1"/>
  <c r="AV1340" i="1"/>
  <c r="AU1340" i="1"/>
  <c r="AT1340" i="1"/>
  <c r="AV1339" i="1"/>
  <c r="AU1339" i="1"/>
  <c r="AT1339" i="1"/>
  <c r="AV1338" i="1"/>
  <c r="AU1338" i="1"/>
  <c r="AV1337" i="1"/>
  <c r="AU1337" i="1"/>
  <c r="AT1337" i="1"/>
  <c r="AV1336" i="1"/>
  <c r="AU1336" i="1"/>
  <c r="AT1336" i="1"/>
  <c r="AV1335" i="1"/>
  <c r="AU1335" i="1"/>
  <c r="AT1335" i="1"/>
  <c r="AV1334" i="1"/>
  <c r="AU1334" i="1"/>
  <c r="AV1333" i="1"/>
  <c r="AU1333" i="1"/>
  <c r="AV1332" i="1"/>
  <c r="AU1332" i="1"/>
  <c r="AT1332" i="1"/>
  <c r="AV1331" i="1"/>
  <c r="AU1331" i="1"/>
  <c r="AV1330" i="1"/>
  <c r="AU1330" i="1"/>
  <c r="AV1329" i="1"/>
  <c r="AU1329" i="1"/>
  <c r="AT1329" i="1"/>
  <c r="AV1328" i="1"/>
  <c r="AU1328" i="1"/>
  <c r="AT1328" i="1"/>
  <c r="AV1327" i="1"/>
  <c r="AU1327" i="1"/>
  <c r="AV1326" i="1"/>
  <c r="AU1326" i="1"/>
  <c r="AT1326" i="1"/>
  <c r="AV1325" i="1"/>
  <c r="AU1325" i="1"/>
  <c r="AT1325" i="1"/>
  <c r="AV1324" i="1"/>
  <c r="AU1324" i="1"/>
  <c r="AT1324" i="1"/>
  <c r="AV1323" i="1"/>
  <c r="AU1323" i="1"/>
  <c r="AT1323" i="1"/>
  <c r="AV1322" i="1"/>
  <c r="AU1322" i="1"/>
  <c r="AT1322" i="1"/>
  <c r="AV1321" i="1"/>
  <c r="AU1321" i="1"/>
  <c r="AV1320" i="1"/>
  <c r="AU1320" i="1"/>
  <c r="AV1319" i="1"/>
  <c r="AU1319" i="1"/>
  <c r="AT1319" i="1"/>
  <c r="AV1318" i="1"/>
  <c r="AU1318" i="1"/>
  <c r="AT1318" i="1"/>
  <c r="AV1317" i="1"/>
  <c r="AU1317" i="1"/>
  <c r="AT1317" i="1"/>
  <c r="AV1316" i="1"/>
  <c r="AU1316" i="1"/>
  <c r="AV1315" i="1"/>
  <c r="AU1315" i="1"/>
  <c r="AV1314" i="1"/>
  <c r="AU1314" i="1"/>
  <c r="AV1313" i="1"/>
  <c r="AU1313" i="1"/>
  <c r="AV1312" i="1"/>
  <c r="AU1312" i="1"/>
  <c r="AT1312" i="1"/>
  <c r="AV1311" i="1"/>
  <c r="AU1311" i="1"/>
  <c r="AT1311" i="1"/>
  <c r="AV1310" i="1"/>
  <c r="AU1310" i="1"/>
  <c r="AV1309" i="1"/>
  <c r="AU1309" i="1"/>
  <c r="AT1309" i="1"/>
  <c r="AV1308" i="1"/>
  <c r="AU1308" i="1"/>
  <c r="AT1308" i="1"/>
  <c r="AV1307" i="1"/>
  <c r="AU1307" i="1"/>
  <c r="AT1307" i="1"/>
  <c r="AV1306" i="1"/>
  <c r="AU1306" i="1"/>
  <c r="AV1305" i="1"/>
  <c r="AU1305" i="1"/>
  <c r="AT1305" i="1"/>
  <c r="AV1304" i="1"/>
  <c r="AU1304" i="1"/>
  <c r="AT1304" i="1"/>
  <c r="AV1303" i="1"/>
  <c r="AU1303" i="1"/>
  <c r="AT1303" i="1"/>
  <c r="AV1302" i="1"/>
  <c r="AU1302" i="1"/>
  <c r="AT1302" i="1"/>
  <c r="AV1301" i="1"/>
  <c r="AU1301" i="1"/>
  <c r="AT1301" i="1"/>
  <c r="AV1300" i="1"/>
  <c r="AU1300" i="1"/>
  <c r="AT1300" i="1"/>
  <c r="AV1299" i="1"/>
  <c r="AU1299" i="1"/>
  <c r="AV1298" i="1"/>
  <c r="AU1298" i="1"/>
  <c r="AV1297" i="1"/>
  <c r="AU1297" i="1"/>
  <c r="AV1296" i="1"/>
  <c r="AU1296" i="1"/>
  <c r="AT1296" i="1"/>
  <c r="AV1295" i="1"/>
  <c r="AU1295" i="1"/>
  <c r="AT1295" i="1"/>
  <c r="AV1294" i="1"/>
  <c r="AU1294" i="1"/>
  <c r="AT1294" i="1"/>
  <c r="AV1293" i="1"/>
  <c r="AU1293" i="1"/>
  <c r="AT1293" i="1"/>
  <c r="AV1292" i="1"/>
  <c r="AU1292" i="1"/>
  <c r="AT1292" i="1"/>
  <c r="AV1291" i="1"/>
  <c r="AU1291" i="1"/>
  <c r="AT1291" i="1"/>
  <c r="AV1290" i="1"/>
  <c r="AU1290" i="1"/>
  <c r="AT1290" i="1"/>
  <c r="AV1289" i="1"/>
  <c r="AU1289" i="1"/>
  <c r="AT1289" i="1"/>
  <c r="AV1288" i="1"/>
  <c r="AU1288" i="1"/>
  <c r="AT1288" i="1"/>
  <c r="AV1287" i="1"/>
  <c r="AU1287" i="1"/>
  <c r="AT1287" i="1"/>
  <c r="AV1286" i="1"/>
  <c r="AU1286" i="1"/>
  <c r="AT1286" i="1"/>
  <c r="AV1285" i="1"/>
  <c r="AU1285" i="1"/>
  <c r="AV1284" i="1"/>
  <c r="AU1284" i="1"/>
  <c r="AT1284" i="1"/>
  <c r="AV1283" i="1"/>
  <c r="AU1283" i="1"/>
  <c r="AV1282" i="1"/>
  <c r="AU1282" i="1"/>
  <c r="AT1282" i="1"/>
  <c r="AV1281" i="1"/>
  <c r="AU1281" i="1"/>
  <c r="AT1281" i="1"/>
  <c r="AV1280" i="1"/>
  <c r="AU1280" i="1"/>
  <c r="AT1280" i="1"/>
  <c r="AV1279" i="1"/>
  <c r="AU1279" i="1"/>
  <c r="AT1279" i="1"/>
  <c r="AV1278" i="1"/>
  <c r="AU1278" i="1"/>
  <c r="AT1278" i="1"/>
  <c r="AV1277" i="1"/>
  <c r="AU1277" i="1"/>
  <c r="AV1276" i="1"/>
  <c r="AU1276" i="1"/>
  <c r="AV1275" i="1"/>
  <c r="AU1275" i="1"/>
  <c r="AT1275" i="1"/>
  <c r="AV1274" i="1"/>
  <c r="AU1274" i="1"/>
  <c r="AT1274" i="1"/>
  <c r="AV1273" i="1"/>
  <c r="AU1273" i="1"/>
  <c r="AT1273" i="1"/>
  <c r="AV1272" i="1"/>
  <c r="AU1272" i="1"/>
  <c r="AV1271" i="1"/>
  <c r="AU1271" i="1"/>
  <c r="AV1270" i="1"/>
  <c r="AU1270" i="1"/>
  <c r="AT1270" i="1"/>
  <c r="AV1269" i="1"/>
  <c r="AU1269" i="1"/>
  <c r="AT1269" i="1"/>
  <c r="AV1268" i="1"/>
  <c r="AU1268" i="1"/>
  <c r="AT1268" i="1"/>
  <c r="AV1267" i="1"/>
  <c r="AU1267" i="1"/>
  <c r="AT1267" i="1"/>
  <c r="AV1266" i="1"/>
  <c r="AU1266" i="1"/>
  <c r="AV1265" i="1"/>
  <c r="AU1265" i="1"/>
  <c r="AV1264" i="1"/>
  <c r="AU1264" i="1"/>
  <c r="AT1264" i="1"/>
  <c r="AV1263" i="1"/>
  <c r="AU1263" i="1"/>
  <c r="AT1263" i="1"/>
  <c r="AV1262" i="1"/>
  <c r="AU1262" i="1"/>
  <c r="AV1261" i="1"/>
  <c r="AU1261" i="1"/>
  <c r="AT1261" i="1"/>
  <c r="AV1260" i="1"/>
  <c r="AU1260" i="1"/>
  <c r="AT1260" i="1"/>
  <c r="AV1259" i="1"/>
  <c r="AU1259" i="1"/>
  <c r="AT1259" i="1"/>
  <c r="AV1258" i="1"/>
  <c r="AU1258" i="1"/>
  <c r="AT1258" i="1"/>
  <c r="AV1257" i="1"/>
  <c r="AU1257" i="1"/>
  <c r="AT1257" i="1"/>
  <c r="AV1256" i="1"/>
  <c r="AU1256" i="1"/>
  <c r="AV1255" i="1"/>
  <c r="AU1255" i="1"/>
  <c r="AT1255" i="1"/>
  <c r="AV1254" i="1"/>
  <c r="AU1254" i="1"/>
  <c r="AT1254" i="1"/>
  <c r="AV1253" i="1"/>
  <c r="AU1253" i="1"/>
  <c r="AT1253" i="1"/>
  <c r="AV1252" i="1"/>
  <c r="AU1252" i="1"/>
  <c r="AT1252" i="1"/>
  <c r="AV1251" i="1"/>
  <c r="AU1251" i="1"/>
  <c r="AV1250" i="1"/>
  <c r="AU1250" i="1"/>
  <c r="AT1250" i="1"/>
  <c r="AV1249" i="1"/>
  <c r="AU1249" i="1"/>
  <c r="AT1249" i="1"/>
  <c r="AV1248" i="1"/>
  <c r="AU1248" i="1"/>
  <c r="AT1248" i="1"/>
  <c r="AV1247" i="1"/>
  <c r="AU1247" i="1"/>
  <c r="AV1246" i="1"/>
  <c r="AU1246" i="1"/>
  <c r="AT1246" i="1"/>
  <c r="AV1245" i="1"/>
  <c r="AU1245" i="1"/>
  <c r="AT1245" i="1"/>
  <c r="AV1244" i="1"/>
  <c r="AU1244" i="1"/>
  <c r="AT1244" i="1"/>
  <c r="AV1243" i="1"/>
  <c r="AU1243" i="1"/>
  <c r="AV1242" i="1"/>
  <c r="AU1242" i="1"/>
  <c r="AV1241" i="1"/>
  <c r="AU1241" i="1"/>
  <c r="AV1240" i="1"/>
  <c r="AU1240" i="1"/>
  <c r="AV1239" i="1"/>
  <c r="AU1239" i="1"/>
  <c r="AT1239" i="1"/>
  <c r="AV1238" i="1"/>
  <c r="AU1238" i="1"/>
  <c r="AT1238" i="1"/>
  <c r="AV1237" i="1"/>
  <c r="AU1237" i="1"/>
  <c r="AT1237" i="1"/>
  <c r="AV1236" i="1"/>
  <c r="AU1236" i="1"/>
  <c r="AT1236" i="1"/>
  <c r="AV1235" i="1"/>
  <c r="AU1235" i="1"/>
  <c r="AT1235" i="1"/>
  <c r="AV1234" i="1"/>
  <c r="AU1234" i="1"/>
  <c r="AT1234" i="1"/>
  <c r="AV1233" i="1"/>
  <c r="AU1233" i="1"/>
  <c r="AT1233" i="1"/>
  <c r="AV1232" i="1"/>
  <c r="AU1232" i="1"/>
  <c r="AT1232" i="1"/>
  <c r="AV1231" i="1"/>
  <c r="AU1231" i="1"/>
  <c r="AT1231" i="1"/>
  <c r="AV1230" i="1"/>
  <c r="AU1230" i="1"/>
  <c r="AT1230" i="1"/>
  <c r="AV1229" i="1"/>
  <c r="AU1229" i="1"/>
  <c r="AT1229" i="1"/>
  <c r="AV1228" i="1"/>
  <c r="AU1228" i="1"/>
  <c r="AT1228" i="1"/>
  <c r="AV1227" i="1"/>
  <c r="AU1227" i="1"/>
  <c r="AT1227" i="1"/>
  <c r="AV1226" i="1"/>
  <c r="AU1226" i="1"/>
  <c r="AT1226" i="1"/>
  <c r="AV1225" i="1"/>
  <c r="AU1225" i="1"/>
  <c r="AT1225" i="1"/>
  <c r="AV1224" i="1"/>
  <c r="AU1224" i="1"/>
  <c r="AT1224" i="1"/>
  <c r="AV1223" i="1"/>
  <c r="AU1223" i="1"/>
  <c r="AT1223" i="1"/>
  <c r="AV1222" i="1"/>
  <c r="AU1222" i="1"/>
  <c r="AV1221" i="1"/>
  <c r="AU1221" i="1"/>
  <c r="AT1221" i="1"/>
  <c r="AV1220" i="1"/>
  <c r="AU1220" i="1"/>
  <c r="AT1220" i="1"/>
  <c r="AV1219" i="1"/>
  <c r="AU1219" i="1"/>
  <c r="AT1219" i="1"/>
  <c r="AV1218" i="1"/>
  <c r="AU1218" i="1"/>
  <c r="AT1218" i="1"/>
  <c r="AV1217" i="1"/>
  <c r="AU1217" i="1"/>
  <c r="AV1216" i="1"/>
  <c r="AU1216" i="1"/>
  <c r="AT1216" i="1"/>
  <c r="AV1215" i="1"/>
  <c r="AU1215" i="1"/>
  <c r="AT1215" i="1"/>
  <c r="AV1214" i="1"/>
  <c r="AU1214" i="1"/>
  <c r="AV1213" i="1"/>
  <c r="AU1213" i="1"/>
  <c r="AT1213" i="1"/>
  <c r="AV1212" i="1"/>
  <c r="AU1212" i="1"/>
  <c r="AT1212" i="1"/>
  <c r="AV1211" i="1"/>
  <c r="AU1211" i="1"/>
  <c r="AT1211" i="1"/>
  <c r="AV1210" i="1"/>
  <c r="AU1210" i="1"/>
  <c r="AT1210" i="1"/>
  <c r="AV1209" i="1"/>
  <c r="AU1209" i="1"/>
  <c r="AT1209" i="1"/>
  <c r="AV1208" i="1"/>
  <c r="AU1208" i="1"/>
  <c r="AV1207" i="1"/>
  <c r="AU1207" i="1"/>
  <c r="AT1207" i="1"/>
  <c r="AV1206" i="1"/>
  <c r="AU1206" i="1"/>
  <c r="AT1206" i="1"/>
  <c r="AV1205" i="1"/>
  <c r="AU1205" i="1"/>
  <c r="AT1205" i="1"/>
  <c r="AV1204" i="1"/>
  <c r="AU1204" i="1"/>
  <c r="AT1204" i="1"/>
  <c r="AV1203" i="1"/>
  <c r="AU1203" i="1"/>
  <c r="AV1202" i="1"/>
  <c r="AU1202" i="1"/>
  <c r="AV1201" i="1"/>
  <c r="AU1201" i="1"/>
  <c r="AT1201" i="1"/>
  <c r="AV1200" i="1"/>
  <c r="AU1200" i="1"/>
  <c r="AT1200" i="1"/>
  <c r="AV1199" i="1"/>
  <c r="AU1199" i="1"/>
  <c r="AV1198" i="1"/>
  <c r="AU1198" i="1"/>
  <c r="AT1198" i="1"/>
  <c r="AV1197" i="1"/>
  <c r="AU1197" i="1"/>
  <c r="AT1197" i="1"/>
  <c r="AV1196" i="1"/>
  <c r="AU1196" i="1"/>
  <c r="AT1196" i="1"/>
  <c r="AV1195" i="1"/>
  <c r="AU1195" i="1"/>
  <c r="AT1195" i="1"/>
  <c r="AV1194" i="1"/>
  <c r="AU1194" i="1"/>
  <c r="AT1194" i="1"/>
  <c r="AV1193" i="1"/>
  <c r="AU1193" i="1"/>
  <c r="AT1193" i="1"/>
  <c r="AV1192" i="1"/>
  <c r="AU1192" i="1"/>
  <c r="AT1192" i="1"/>
  <c r="AV1191" i="1"/>
  <c r="AU1191" i="1"/>
  <c r="AT1191" i="1"/>
  <c r="AV1190" i="1"/>
  <c r="AU1190" i="1"/>
  <c r="AT1190" i="1"/>
  <c r="AV1189" i="1"/>
  <c r="AU1189" i="1"/>
  <c r="AT1189" i="1"/>
  <c r="AV1188" i="1"/>
  <c r="AU1188" i="1"/>
  <c r="AT1188" i="1"/>
  <c r="AV1187" i="1"/>
  <c r="AU1187" i="1"/>
  <c r="AT1187" i="1"/>
  <c r="AV1186" i="1"/>
  <c r="AU1186" i="1"/>
  <c r="AT1186" i="1"/>
  <c r="AV1185" i="1"/>
  <c r="AU1185" i="1"/>
  <c r="AT1185" i="1"/>
  <c r="AV1184" i="1"/>
  <c r="AU1184" i="1"/>
  <c r="AV1183" i="1"/>
  <c r="AU1183" i="1"/>
  <c r="AT1183" i="1"/>
  <c r="AV1182" i="1"/>
  <c r="AU1182" i="1"/>
  <c r="AV1181" i="1"/>
  <c r="AU1181" i="1"/>
  <c r="AT1181" i="1"/>
  <c r="AV1180" i="1"/>
  <c r="AU1180" i="1"/>
  <c r="AT1180" i="1"/>
  <c r="AV1179" i="1"/>
  <c r="AU1179" i="1"/>
  <c r="AV1178" i="1"/>
  <c r="AU1178" i="1"/>
  <c r="AT1178" i="1"/>
  <c r="AV1177" i="1"/>
  <c r="AU1177" i="1"/>
  <c r="AT1177" i="1"/>
  <c r="AV1176" i="1"/>
  <c r="AU1176" i="1"/>
  <c r="AT1176" i="1"/>
  <c r="AV1175" i="1"/>
  <c r="AU1175" i="1"/>
  <c r="AT1175" i="1"/>
  <c r="AV1174" i="1"/>
  <c r="AU1174" i="1"/>
  <c r="AT1174" i="1"/>
  <c r="AV1173" i="1"/>
  <c r="AU1173" i="1"/>
  <c r="AT1173" i="1"/>
  <c r="AV1172" i="1"/>
  <c r="AU1172" i="1"/>
  <c r="AV1171" i="1"/>
  <c r="AU1171" i="1"/>
  <c r="AV1170" i="1"/>
  <c r="AU1170" i="1"/>
  <c r="AT1170" i="1"/>
  <c r="AV1169" i="1"/>
  <c r="AU1169" i="1"/>
  <c r="AV1168" i="1"/>
  <c r="AU1168" i="1"/>
  <c r="AT1168" i="1"/>
  <c r="AV1167" i="1"/>
  <c r="AU1167" i="1"/>
  <c r="AV1166" i="1"/>
  <c r="AU1166" i="1"/>
  <c r="AT1166" i="1"/>
  <c r="AV1165" i="1"/>
  <c r="AU1165" i="1"/>
  <c r="AT1165" i="1"/>
  <c r="AV1164" i="1"/>
  <c r="AU1164" i="1"/>
  <c r="AT1164" i="1"/>
  <c r="AV1163" i="1"/>
  <c r="AU1163" i="1"/>
  <c r="AT1163" i="1"/>
  <c r="AV1162" i="1"/>
  <c r="AU1162" i="1"/>
  <c r="AT1162" i="1"/>
  <c r="AV1161" i="1"/>
  <c r="AU1161" i="1"/>
  <c r="AT1161" i="1"/>
  <c r="AV1160" i="1"/>
  <c r="AU1160" i="1"/>
  <c r="AT1160" i="1"/>
  <c r="AV1159" i="1"/>
  <c r="AU1159" i="1"/>
  <c r="AT1159" i="1"/>
  <c r="AV1158" i="1"/>
  <c r="AU1158" i="1"/>
  <c r="AV1157" i="1"/>
  <c r="AU1157" i="1"/>
  <c r="AT1157" i="1"/>
  <c r="AV1156" i="1"/>
  <c r="AU1156" i="1"/>
  <c r="AT1156" i="1"/>
  <c r="AV1155" i="1"/>
  <c r="AU1155" i="1"/>
  <c r="AT1155" i="1"/>
  <c r="AV1154" i="1"/>
  <c r="AU1154" i="1"/>
  <c r="AV1153" i="1"/>
  <c r="AU1153" i="1"/>
  <c r="AT1153" i="1"/>
  <c r="AV1152" i="1"/>
  <c r="AU1152" i="1"/>
  <c r="AT1152" i="1"/>
  <c r="AV1151" i="1"/>
  <c r="AU1151" i="1"/>
  <c r="AT1151" i="1"/>
  <c r="AV1150" i="1"/>
  <c r="AU1150" i="1"/>
  <c r="AT1150" i="1"/>
  <c r="AV1149" i="1"/>
  <c r="AU1149" i="1"/>
  <c r="AT1149" i="1"/>
  <c r="AV1148" i="1"/>
  <c r="AU1148" i="1"/>
  <c r="AT1148" i="1"/>
  <c r="AV1147" i="1"/>
  <c r="AU1147" i="1"/>
  <c r="AT1147" i="1"/>
  <c r="AV1146" i="1"/>
  <c r="AU1146" i="1"/>
  <c r="AT1146" i="1"/>
  <c r="AV1145" i="1"/>
  <c r="AU1145" i="1"/>
  <c r="AV1144" i="1"/>
  <c r="AU1144" i="1"/>
  <c r="AV1143" i="1"/>
  <c r="AU1143" i="1"/>
  <c r="AV1142" i="1"/>
  <c r="AU1142" i="1"/>
  <c r="AT1142" i="1"/>
  <c r="AV1141" i="1"/>
  <c r="AU1141" i="1"/>
  <c r="AT1141" i="1"/>
  <c r="AV1140" i="1"/>
  <c r="AU1140" i="1"/>
  <c r="AT1140" i="1"/>
  <c r="AV1139" i="1"/>
  <c r="AU1139" i="1"/>
  <c r="AT1139" i="1"/>
  <c r="AV1138" i="1"/>
  <c r="AU1138" i="1"/>
  <c r="AT1138" i="1"/>
  <c r="AV1137" i="1"/>
  <c r="AU1137" i="1"/>
  <c r="AT1137" i="1"/>
  <c r="AV1136" i="1"/>
  <c r="AU1136" i="1"/>
  <c r="AT1136" i="1"/>
  <c r="AV1135" i="1"/>
  <c r="AU1135" i="1"/>
  <c r="AT1135" i="1"/>
  <c r="AV1134" i="1"/>
  <c r="AU1134" i="1"/>
  <c r="AV1133" i="1"/>
  <c r="AU1133" i="1"/>
  <c r="AT1133" i="1"/>
  <c r="AV1132" i="1"/>
  <c r="AU1132" i="1"/>
  <c r="AT1132" i="1"/>
  <c r="AV1131" i="1"/>
  <c r="AU1131" i="1"/>
  <c r="AT1131" i="1"/>
  <c r="AV1130" i="1"/>
  <c r="AU1130" i="1"/>
  <c r="AT1130" i="1"/>
  <c r="AV1129" i="1"/>
  <c r="AU1129" i="1"/>
  <c r="AV1128" i="1"/>
  <c r="AU1128" i="1"/>
  <c r="AT1128" i="1"/>
  <c r="AV1127" i="1"/>
  <c r="AU1127" i="1"/>
  <c r="AV1126" i="1"/>
  <c r="AU1126" i="1"/>
  <c r="AT1126" i="1"/>
  <c r="AV1125" i="1"/>
  <c r="AU1125" i="1"/>
  <c r="AT1125" i="1"/>
  <c r="AV1124" i="1"/>
  <c r="AU1124" i="1"/>
  <c r="AV1123" i="1"/>
  <c r="AU1123" i="1"/>
  <c r="AT1123" i="1"/>
  <c r="AV1122" i="1"/>
  <c r="AU1122" i="1"/>
  <c r="AT1122" i="1"/>
  <c r="AV1121" i="1"/>
  <c r="AU1121" i="1"/>
  <c r="AV1120" i="1"/>
  <c r="AU1120" i="1"/>
  <c r="AT1120" i="1"/>
  <c r="AV1119" i="1"/>
  <c r="AU1119" i="1"/>
  <c r="AT1119" i="1"/>
  <c r="AV1118" i="1"/>
  <c r="AU1118" i="1"/>
  <c r="AT1118" i="1"/>
  <c r="AV1117" i="1"/>
  <c r="AU1117" i="1"/>
  <c r="AT1117" i="1"/>
  <c r="AV1116" i="1"/>
  <c r="AU1116" i="1"/>
  <c r="AT1116" i="1"/>
  <c r="AV1115" i="1"/>
  <c r="AU1115" i="1"/>
  <c r="AT1115" i="1"/>
  <c r="AV1114" i="1"/>
  <c r="AU1114" i="1"/>
  <c r="AT1114" i="1"/>
  <c r="AV1113" i="1"/>
  <c r="AU1113" i="1"/>
  <c r="AT1113" i="1"/>
  <c r="AV1112" i="1"/>
  <c r="AU1112" i="1"/>
  <c r="AT1112" i="1"/>
  <c r="AV1111" i="1"/>
  <c r="AU1111" i="1"/>
  <c r="AV1110" i="1"/>
  <c r="AU1110" i="1"/>
  <c r="AV1109" i="1"/>
  <c r="AU1109" i="1"/>
  <c r="AT1109" i="1"/>
  <c r="AV1108" i="1"/>
  <c r="AU1108" i="1"/>
  <c r="AT1108" i="1"/>
  <c r="AV1107" i="1"/>
  <c r="AU1107" i="1"/>
  <c r="AV1106" i="1"/>
  <c r="AU1106" i="1"/>
  <c r="AT1106" i="1"/>
  <c r="AV1105" i="1"/>
  <c r="AU1105" i="1"/>
  <c r="AV1104" i="1"/>
  <c r="AU1104" i="1"/>
  <c r="AT1104" i="1"/>
  <c r="AV1103" i="1"/>
  <c r="AU1103" i="1"/>
  <c r="AV1102" i="1"/>
  <c r="AU1102" i="1"/>
  <c r="AT1102" i="1"/>
  <c r="AV1101" i="1"/>
  <c r="AU1101" i="1"/>
  <c r="AT1101" i="1"/>
  <c r="AV1100" i="1"/>
  <c r="AU1100" i="1"/>
  <c r="AT1100" i="1"/>
  <c r="AV1099" i="1"/>
  <c r="AU1099" i="1"/>
  <c r="AT1099" i="1"/>
  <c r="AV1098" i="1"/>
  <c r="AU1098" i="1"/>
  <c r="AV1097" i="1"/>
  <c r="AU1097" i="1"/>
  <c r="AT1097" i="1"/>
  <c r="AV1096" i="1"/>
  <c r="AU1096" i="1"/>
  <c r="AT1096" i="1"/>
  <c r="AV1095" i="1"/>
  <c r="AU1095" i="1"/>
  <c r="AV1094" i="1"/>
  <c r="AU1094" i="1"/>
  <c r="AT1094" i="1"/>
  <c r="AV1093" i="1"/>
  <c r="AU1093" i="1"/>
  <c r="AT1093" i="1"/>
  <c r="AV1092" i="1"/>
  <c r="AU1092" i="1"/>
  <c r="AT1092" i="1"/>
  <c r="AV1091" i="1"/>
  <c r="AU1091" i="1"/>
  <c r="AV1090" i="1"/>
  <c r="AU1090" i="1"/>
  <c r="AT1090" i="1"/>
  <c r="AV1089" i="1"/>
  <c r="AU1089" i="1"/>
  <c r="AT1089" i="1"/>
  <c r="AV1088" i="1"/>
  <c r="AU1088" i="1"/>
  <c r="AT1088" i="1"/>
  <c r="AV1087" i="1"/>
  <c r="AU1087" i="1"/>
  <c r="AV1086" i="1"/>
  <c r="AU1086" i="1"/>
  <c r="AT1086" i="1"/>
  <c r="AV1085" i="1"/>
  <c r="AU1085" i="1"/>
  <c r="AV1084" i="1"/>
  <c r="AU1084" i="1"/>
  <c r="AT1084" i="1"/>
  <c r="AV1083" i="1"/>
  <c r="AU1083" i="1"/>
  <c r="AT1083" i="1"/>
  <c r="AV1082" i="1"/>
  <c r="AU1082" i="1"/>
  <c r="AT1082" i="1"/>
  <c r="AV1081" i="1"/>
  <c r="AU1081" i="1"/>
  <c r="AT1081" i="1"/>
  <c r="AV1080" i="1"/>
  <c r="AU1080" i="1"/>
  <c r="AT1080" i="1"/>
  <c r="AV1079" i="1"/>
  <c r="AU1079" i="1"/>
  <c r="AV1078" i="1"/>
  <c r="AU1078" i="1"/>
  <c r="AT1078" i="1"/>
  <c r="AV1077" i="1"/>
  <c r="AU1077" i="1"/>
  <c r="AT1077" i="1"/>
  <c r="AV1076" i="1"/>
  <c r="AU1076" i="1"/>
  <c r="AT1076" i="1"/>
  <c r="AV1075" i="1"/>
  <c r="AU1075" i="1"/>
  <c r="AT1075" i="1"/>
  <c r="AV1074" i="1"/>
  <c r="AU1074" i="1"/>
  <c r="AV1073" i="1"/>
  <c r="AU1073" i="1"/>
  <c r="AV1072" i="1"/>
  <c r="AU1072" i="1"/>
  <c r="AV1071" i="1"/>
  <c r="AU1071" i="1"/>
  <c r="AT1071" i="1"/>
  <c r="AV1070" i="1"/>
  <c r="AU1070" i="1"/>
  <c r="AT1070" i="1"/>
  <c r="AV1069" i="1"/>
  <c r="AU1069" i="1"/>
  <c r="AT1069" i="1"/>
  <c r="AV1068" i="1"/>
  <c r="AU1068" i="1"/>
  <c r="AV1067" i="1"/>
  <c r="AU1067" i="1"/>
  <c r="AT1067" i="1"/>
  <c r="AV1066" i="1"/>
  <c r="AU1066" i="1"/>
  <c r="AV1065" i="1"/>
  <c r="AU1065" i="1"/>
  <c r="AT1065" i="1"/>
  <c r="AV1064" i="1"/>
  <c r="AU1064" i="1"/>
  <c r="AT1064" i="1"/>
  <c r="AV1063" i="1"/>
  <c r="AU1063" i="1"/>
  <c r="AT1063" i="1"/>
  <c r="AV1062" i="1"/>
  <c r="AU1062" i="1"/>
  <c r="AV1061" i="1"/>
  <c r="AU1061" i="1"/>
  <c r="AT1061" i="1"/>
  <c r="AV1060" i="1"/>
  <c r="AU1060" i="1"/>
  <c r="AV1059" i="1"/>
  <c r="AU1059" i="1"/>
  <c r="AV1058" i="1"/>
  <c r="AU1058" i="1"/>
  <c r="AV1057" i="1"/>
  <c r="AU1057" i="1"/>
  <c r="AT1057" i="1"/>
  <c r="AV1056" i="1"/>
  <c r="AU1056" i="1"/>
  <c r="AV1055" i="1"/>
  <c r="AU1055" i="1"/>
  <c r="AT1055" i="1"/>
  <c r="AV1054" i="1"/>
  <c r="AU1054" i="1"/>
  <c r="AT1054" i="1"/>
  <c r="AV1053" i="1"/>
  <c r="AU1053" i="1"/>
  <c r="AT1053" i="1"/>
  <c r="AV1052" i="1"/>
  <c r="AU1052" i="1"/>
  <c r="AT1052" i="1"/>
  <c r="AV1051" i="1"/>
  <c r="AU1051" i="1"/>
  <c r="AV1050" i="1"/>
  <c r="AU1050" i="1"/>
  <c r="AV1049" i="1"/>
  <c r="AU1049" i="1"/>
  <c r="AV1048" i="1"/>
  <c r="AU1048" i="1"/>
  <c r="AV1047" i="1"/>
  <c r="AU1047" i="1"/>
  <c r="AV1046" i="1"/>
  <c r="AU1046" i="1"/>
  <c r="AV1045" i="1"/>
  <c r="AU1045" i="1"/>
  <c r="AT1045" i="1"/>
  <c r="AV1044" i="1"/>
  <c r="AU1044" i="1"/>
  <c r="AV1043" i="1"/>
  <c r="AU1043" i="1"/>
  <c r="AV1042" i="1"/>
  <c r="AU1042" i="1"/>
  <c r="AT1042" i="1"/>
  <c r="AV1041" i="1"/>
  <c r="AU1041" i="1"/>
  <c r="AV1040" i="1"/>
  <c r="AU1040" i="1"/>
  <c r="AT1040" i="1"/>
  <c r="AV1039" i="1"/>
  <c r="AU1039" i="1"/>
  <c r="AV1038" i="1"/>
  <c r="AU1038" i="1"/>
  <c r="AT1038" i="1"/>
  <c r="AV1037" i="1"/>
  <c r="AU1037" i="1"/>
  <c r="AV1036" i="1"/>
  <c r="AU1036" i="1"/>
  <c r="AV1035" i="1"/>
  <c r="AU1035" i="1"/>
  <c r="AT1035" i="1"/>
  <c r="AV1034" i="1"/>
  <c r="AU1034" i="1"/>
  <c r="AT1034" i="1"/>
  <c r="AV1033" i="1"/>
  <c r="AU1033" i="1"/>
  <c r="AT1033" i="1"/>
  <c r="AV1032" i="1"/>
  <c r="AU1032" i="1"/>
  <c r="AT1032" i="1"/>
  <c r="AV1031" i="1"/>
  <c r="AU1031" i="1"/>
  <c r="AT1031" i="1"/>
  <c r="AV1030" i="1"/>
  <c r="AU1030" i="1"/>
  <c r="AV1029" i="1"/>
  <c r="AU1029" i="1"/>
  <c r="AV1028" i="1"/>
  <c r="AU1028" i="1"/>
  <c r="AT1028" i="1"/>
  <c r="AV1027" i="1"/>
  <c r="AU1027" i="1"/>
  <c r="AV1026" i="1"/>
  <c r="AU1026" i="1"/>
  <c r="AT1026" i="1"/>
  <c r="AV1025" i="1"/>
  <c r="AU1025" i="1"/>
  <c r="AT1025" i="1"/>
  <c r="AV1024" i="1"/>
  <c r="AU1024" i="1"/>
  <c r="AT1024" i="1"/>
  <c r="AV1023" i="1"/>
  <c r="AU1023" i="1"/>
  <c r="AT1023" i="1"/>
  <c r="AV1022" i="1"/>
  <c r="AU1022" i="1"/>
  <c r="AV1021" i="1"/>
  <c r="AU1021" i="1"/>
  <c r="AT1021" i="1"/>
  <c r="AV1020" i="1"/>
  <c r="AU1020" i="1"/>
  <c r="AT1020" i="1"/>
  <c r="AV1019" i="1"/>
  <c r="AU1019" i="1"/>
  <c r="AT1019" i="1"/>
  <c r="AV1018" i="1"/>
  <c r="AU1018" i="1"/>
  <c r="AT1018" i="1"/>
  <c r="AV1017" i="1"/>
  <c r="AU1017" i="1"/>
  <c r="AT1017" i="1"/>
  <c r="AV1016" i="1"/>
  <c r="AU1016" i="1"/>
  <c r="AV1015" i="1"/>
  <c r="AU1015" i="1"/>
  <c r="AT1015" i="1"/>
  <c r="AV1014" i="1"/>
  <c r="AU1014" i="1"/>
  <c r="AV1013" i="1"/>
  <c r="AU1013" i="1"/>
  <c r="AT1013" i="1"/>
  <c r="AV1012" i="1"/>
  <c r="AU1012" i="1"/>
  <c r="AT1012" i="1"/>
  <c r="AV1011" i="1"/>
  <c r="AU1011" i="1"/>
  <c r="AT1011" i="1"/>
  <c r="AV1010" i="1"/>
  <c r="AU1010" i="1"/>
  <c r="AV1009" i="1"/>
  <c r="AU1009" i="1"/>
  <c r="AT1009" i="1"/>
  <c r="AV1008" i="1"/>
  <c r="AU1008" i="1"/>
  <c r="AT1008" i="1"/>
  <c r="AV1007" i="1"/>
  <c r="AU1007" i="1"/>
  <c r="AT1007" i="1"/>
  <c r="AV1006" i="1"/>
  <c r="AU1006" i="1"/>
  <c r="AV1005" i="1"/>
  <c r="AU1005" i="1"/>
  <c r="AT1005" i="1"/>
  <c r="AV1004" i="1"/>
  <c r="AU1004" i="1"/>
  <c r="AT1004" i="1"/>
  <c r="AV1003" i="1"/>
  <c r="AU1003" i="1"/>
  <c r="AT1003" i="1"/>
  <c r="AV1002" i="1"/>
  <c r="AU1002" i="1"/>
  <c r="AT1002" i="1"/>
  <c r="AV1001" i="1"/>
  <c r="AU1001" i="1"/>
  <c r="AT1001" i="1"/>
  <c r="AV1000" i="1"/>
  <c r="AU1000" i="1"/>
  <c r="AT1000" i="1"/>
  <c r="AV999" i="1"/>
  <c r="AU999" i="1"/>
  <c r="AT999" i="1"/>
  <c r="AV998" i="1"/>
  <c r="AU998" i="1"/>
  <c r="AT998" i="1"/>
  <c r="AV997" i="1"/>
  <c r="AU997" i="1"/>
  <c r="AT997" i="1"/>
  <c r="AV996" i="1"/>
  <c r="AU996" i="1"/>
  <c r="AT996" i="1"/>
  <c r="AV995" i="1"/>
  <c r="AU995" i="1"/>
  <c r="AT995" i="1"/>
  <c r="AV994" i="1"/>
  <c r="AU994" i="1"/>
  <c r="AT994" i="1"/>
  <c r="AV993" i="1"/>
  <c r="AU993" i="1"/>
  <c r="AT993" i="1"/>
  <c r="AV992" i="1"/>
  <c r="AU992" i="1"/>
  <c r="AT992" i="1"/>
  <c r="AV991" i="1"/>
  <c r="AU991" i="1"/>
  <c r="AT991" i="1"/>
  <c r="AV990" i="1"/>
  <c r="AU990" i="1"/>
  <c r="AT990" i="1"/>
  <c r="AV989" i="1"/>
  <c r="AU989" i="1"/>
  <c r="AT989" i="1"/>
  <c r="AV988" i="1"/>
  <c r="AU988" i="1"/>
  <c r="AV987" i="1"/>
  <c r="AU987" i="1"/>
  <c r="AT987" i="1"/>
  <c r="AV986" i="1"/>
  <c r="AU986" i="1"/>
  <c r="AT986" i="1"/>
  <c r="AV985" i="1"/>
  <c r="AU985" i="1"/>
  <c r="AV984" i="1"/>
  <c r="AU984" i="1"/>
  <c r="AT984" i="1"/>
  <c r="AV983" i="1"/>
  <c r="AU983" i="1"/>
  <c r="AT983" i="1"/>
  <c r="AV982" i="1"/>
  <c r="AU982" i="1"/>
  <c r="AT982" i="1"/>
  <c r="AV981" i="1"/>
  <c r="AU981" i="1"/>
  <c r="AT981" i="1"/>
  <c r="AV980" i="1"/>
  <c r="AU980" i="1"/>
  <c r="AT980" i="1"/>
  <c r="AV979" i="1"/>
  <c r="AU979" i="1"/>
  <c r="AT979" i="1"/>
  <c r="AV978" i="1"/>
  <c r="AU978" i="1"/>
  <c r="AT978" i="1"/>
  <c r="AV977" i="1"/>
  <c r="AU977" i="1"/>
  <c r="AT977" i="1"/>
  <c r="AV976" i="1"/>
  <c r="AU976" i="1"/>
  <c r="AV975" i="1"/>
  <c r="AU975" i="1"/>
  <c r="AT975" i="1"/>
  <c r="AV974" i="1"/>
  <c r="AU974" i="1"/>
  <c r="AT974" i="1"/>
  <c r="AV973" i="1"/>
  <c r="AU973" i="1"/>
  <c r="AV972" i="1"/>
  <c r="AU972" i="1"/>
  <c r="AV971" i="1"/>
  <c r="AU971" i="1"/>
  <c r="AT971" i="1"/>
  <c r="AV970" i="1"/>
  <c r="AU970" i="1"/>
  <c r="AV969" i="1"/>
  <c r="AU969" i="1"/>
  <c r="AT969" i="1"/>
  <c r="AV968" i="1"/>
  <c r="AU968" i="1"/>
  <c r="AT968" i="1"/>
  <c r="AV967" i="1"/>
  <c r="AU967" i="1"/>
  <c r="AT967" i="1"/>
  <c r="AV966" i="1"/>
  <c r="AU966" i="1"/>
  <c r="AV965" i="1"/>
  <c r="AU965" i="1"/>
  <c r="AV964" i="1"/>
  <c r="AU964" i="1"/>
  <c r="AT964" i="1"/>
  <c r="AV963" i="1"/>
  <c r="AU963" i="1"/>
  <c r="AT963" i="1"/>
  <c r="AV962" i="1"/>
  <c r="AU962" i="1"/>
  <c r="AV961" i="1"/>
  <c r="AU961" i="1"/>
  <c r="AV960" i="1"/>
  <c r="AU960" i="1"/>
  <c r="AV959" i="1"/>
  <c r="AU959" i="1"/>
  <c r="AT959" i="1"/>
  <c r="AV958" i="1"/>
  <c r="AU958" i="1"/>
  <c r="AT958" i="1"/>
  <c r="AV957" i="1"/>
  <c r="AU957" i="1"/>
  <c r="AT957" i="1"/>
  <c r="AV956" i="1"/>
  <c r="AU956" i="1"/>
  <c r="AT956" i="1"/>
  <c r="AV955" i="1"/>
  <c r="AU955" i="1"/>
  <c r="AT955" i="1"/>
  <c r="AV954" i="1"/>
  <c r="AU954" i="1"/>
  <c r="AV953" i="1"/>
  <c r="AU953" i="1"/>
  <c r="AT953" i="1"/>
  <c r="AV952" i="1"/>
  <c r="AU952" i="1"/>
  <c r="AT952" i="1"/>
  <c r="AV951" i="1"/>
  <c r="AU951" i="1"/>
  <c r="AT951" i="1"/>
  <c r="AV950" i="1"/>
  <c r="AU950" i="1"/>
  <c r="AT950" i="1"/>
  <c r="AV949" i="1"/>
  <c r="AU949" i="1"/>
  <c r="AT949" i="1"/>
  <c r="AV948" i="1"/>
  <c r="AU948" i="1"/>
  <c r="AT948" i="1"/>
  <c r="AV947" i="1"/>
  <c r="AU947" i="1"/>
  <c r="AT947" i="1"/>
  <c r="AV946" i="1"/>
  <c r="AU946" i="1"/>
  <c r="AT946" i="1"/>
  <c r="AV945" i="1"/>
  <c r="AU945" i="1"/>
  <c r="AT945" i="1"/>
  <c r="AV944" i="1"/>
  <c r="AU944" i="1"/>
  <c r="AT944" i="1"/>
  <c r="AV943" i="1"/>
  <c r="AU943" i="1"/>
  <c r="AV942" i="1"/>
  <c r="AU942" i="1"/>
  <c r="AT942" i="1"/>
  <c r="AV941" i="1"/>
  <c r="AU941" i="1"/>
  <c r="AV940" i="1"/>
  <c r="AU940" i="1"/>
  <c r="AT940" i="1"/>
  <c r="AV939" i="1"/>
  <c r="AU939" i="1"/>
  <c r="AV938" i="1"/>
  <c r="AU938" i="1"/>
  <c r="AT938" i="1"/>
  <c r="AV937" i="1"/>
  <c r="AU937" i="1"/>
  <c r="AT937" i="1"/>
  <c r="AV936" i="1"/>
  <c r="AU936" i="1"/>
  <c r="AT936" i="1"/>
  <c r="AV935" i="1"/>
  <c r="AU935" i="1"/>
  <c r="AT935" i="1"/>
  <c r="AV934" i="1"/>
  <c r="AU934" i="1"/>
  <c r="AT934" i="1"/>
  <c r="AV933" i="1"/>
  <c r="AU933" i="1"/>
  <c r="AT933" i="1"/>
  <c r="AV932" i="1"/>
  <c r="AU932" i="1"/>
  <c r="AT932" i="1"/>
  <c r="AV931" i="1"/>
  <c r="AU931" i="1"/>
  <c r="AT931" i="1"/>
  <c r="AV930" i="1"/>
  <c r="AU930" i="1"/>
  <c r="AT930" i="1"/>
  <c r="AV929" i="1"/>
  <c r="AU929" i="1"/>
  <c r="AV928" i="1"/>
  <c r="AU928" i="1"/>
  <c r="AV927" i="1"/>
  <c r="AU927" i="1"/>
  <c r="AV926" i="1"/>
  <c r="AU926" i="1"/>
  <c r="AT926" i="1"/>
  <c r="AV925" i="1"/>
  <c r="AU925" i="1"/>
  <c r="AV924" i="1"/>
  <c r="AU924" i="1"/>
  <c r="AT924" i="1"/>
  <c r="AV923" i="1"/>
  <c r="AU923" i="1"/>
  <c r="AV922" i="1"/>
  <c r="AU922" i="1"/>
  <c r="AV921" i="1"/>
  <c r="AU921" i="1"/>
  <c r="AT921" i="1"/>
  <c r="AV920" i="1"/>
  <c r="AU920" i="1"/>
  <c r="AT920" i="1"/>
  <c r="AV919" i="1"/>
  <c r="AU919" i="1"/>
  <c r="AT919" i="1"/>
  <c r="AV918" i="1"/>
  <c r="AU918" i="1"/>
  <c r="AT918" i="1"/>
  <c r="AV917" i="1"/>
  <c r="AU917" i="1"/>
  <c r="AT917" i="1"/>
  <c r="AV916" i="1"/>
  <c r="AU916" i="1"/>
  <c r="AT916" i="1"/>
  <c r="AV915" i="1"/>
  <c r="AU915" i="1"/>
  <c r="AT915" i="1"/>
  <c r="AV914" i="1"/>
  <c r="AU914" i="1"/>
  <c r="AT914" i="1"/>
  <c r="AV913" i="1"/>
  <c r="AU913" i="1"/>
  <c r="AT913" i="1"/>
  <c r="AV912" i="1"/>
  <c r="AU912" i="1"/>
  <c r="AT912" i="1"/>
  <c r="AV911" i="1"/>
  <c r="AU911" i="1"/>
  <c r="AT911" i="1"/>
  <c r="AV910" i="1"/>
  <c r="AU910" i="1"/>
  <c r="AT910" i="1"/>
  <c r="AV909" i="1"/>
  <c r="AU909" i="1"/>
  <c r="AV908" i="1"/>
  <c r="AU908" i="1"/>
  <c r="AT908" i="1"/>
  <c r="AV907" i="1"/>
  <c r="AU907" i="1"/>
  <c r="AV906" i="1"/>
  <c r="AU906" i="1"/>
  <c r="AT906" i="1"/>
  <c r="AV905" i="1"/>
  <c r="AU905" i="1"/>
  <c r="AT905" i="1"/>
  <c r="AV904" i="1"/>
  <c r="AU904" i="1"/>
  <c r="AT904" i="1"/>
  <c r="AV903" i="1"/>
  <c r="AU903" i="1"/>
  <c r="AV902" i="1"/>
  <c r="AU902" i="1"/>
  <c r="AT902" i="1"/>
  <c r="AV901" i="1"/>
  <c r="AU901" i="1"/>
  <c r="AT901" i="1"/>
  <c r="AV900" i="1"/>
  <c r="AU900" i="1"/>
  <c r="AT900" i="1"/>
  <c r="AV899" i="1"/>
  <c r="AU899" i="1"/>
  <c r="AT899" i="1"/>
  <c r="AV898" i="1"/>
  <c r="AU898" i="1"/>
  <c r="AT898" i="1"/>
  <c r="AV897" i="1"/>
  <c r="AU897" i="1"/>
  <c r="AV896" i="1"/>
  <c r="AU896" i="1"/>
  <c r="AV895" i="1"/>
  <c r="AU895" i="1"/>
  <c r="AT895" i="1"/>
  <c r="AV894" i="1"/>
  <c r="AU894" i="1"/>
  <c r="AT894" i="1"/>
  <c r="AV893" i="1"/>
  <c r="AU893" i="1"/>
  <c r="AT893" i="1"/>
  <c r="AV892" i="1"/>
  <c r="AU892" i="1"/>
  <c r="AT892" i="1"/>
  <c r="AV891" i="1"/>
  <c r="AU891" i="1"/>
  <c r="AT891" i="1"/>
  <c r="AV890" i="1"/>
  <c r="AU890" i="1"/>
  <c r="AT890" i="1"/>
  <c r="AV889" i="1"/>
  <c r="AU889" i="1"/>
  <c r="AT889" i="1"/>
  <c r="AV888" i="1"/>
  <c r="AU888" i="1"/>
  <c r="AT888" i="1"/>
  <c r="AV887" i="1"/>
  <c r="AU887" i="1"/>
  <c r="AV886" i="1"/>
  <c r="AU886" i="1"/>
  <c r="AV885" i="1"/>
  <c r="AU885" i="1"/>
  <c r="AT885" i="1"/>
  <c r="AV884" i="1"/>
  <c r="AU884" i="1"/>
  <c r="AT884" i="1"/>
  <c r="AV883" i="1"/>
  <c r="AU883" i="1"/>
  <c r="AV882" i="1"/>
  <c r="AU882" i="1"/>
  <c r="AT882" i="1"/>
  <c r="AV881" i="1"/>
  <c r="AU881" i="1"/>
  <c r="AV880" i="1"/>
  <c r="AU880" i="1"/>
  <c r="AT880" i="1"/>
  <c r="AV879" i="1"/>
  <c r="AU879" i="1"/>
  <c r="AV878" i="1"/>
  <c r="AU878" i="1"/>
  <c r="AT878" i="1"/>
  <c r="AV877" i="1"/>
  <c r="AU877" i="1"/>
  <c r="AT877" i="1"/>
  <c r="AV876" i="1"/>
  <c r="AU876" i="1"/>
  <c r="AT876" i="1"/>
  <c r="AV875" i="1"/>
  <c r="AU875" i="1"/>
  <c r="AV874" i="1"/>
  <c r="AU874" i="1"/>
  <c r="AV873" i="1"/>
  <c r="AU873" i="1"/>
  <c r="AT873" i="1"/>
  <c r="AV872" i="1"/>
  <c r="AU872" i="1"/>
  <c r="AT872" i="1"/>
  <c r="AV871" i="1"/>
  <c r="AU871" i="1"/>
  <c r="AT871" i="1"/>
  <c r="AV870" i="1"/>
  <c r="AU870" i="1"/>
  <c r="AT870" i="1"/>
  <c r="AV869" i="1"/>
  <c r="AU869" i="1"/>
  <c r="AT869" i="1"/>
  <c r="AV868" i="1"/>
  <c r="AU868" i="1"/>
  <c r="AT868" i="1"/>
  <c r="AV867" i="1"/>
  <c r="AU867" i="1"/>
  <c r="AV866" i="1"/>
  <c r="AU866" i="1"/>
  <c r="AT866" i="1"/>
  <c r="AV865" i="1"/>
  <c r="AU865" i="1"/>
  <c r="AV864" i="1"/>
  <c r="AU864" i="1"/>
  <c r="AT864" i="1"/>
  <c r="AV863" i="1"/>
  <c r="AU863" i="1"/>
  <c r="AT863" i="1"/>
  <c r="AV862" i="1"/>
  <c r="AU862" i="1"/>
  <c r="AV861" i="1"/>
  <c r="AU861" i="1"/>
  <c r="AV860" i="1"/>
  <c r="AU860" i="1"/>
  <c r="AT860" i="1"/>
  <c r="AV859" i="1"/>
  <c r="AU859" i="1"/>
  <c r="AV858" i="1"/>
  <c r="AU858" i="1"/>
  <c r="AT858" i="1"/>
  <c r="AV857" i="1"/>
  <c r="AU857" i="1"/>
  <c r="AV856" i="1"/>
  <c r="AU856" i="1"/>
  <c r="AT856" i="1"/>
  <c r="AV855" i="1"/>
  <c r="AU855" i="1"/>
  <c r="AT855" i="1"/>
  <c r="AV854" i="1"/>
  <c r="AU854" i="1"/>
  <c r="AT854" i="1"/>
  <c r="AV853" i="1"/>
  <c r="AU853" i="1"/>
  <c r="AT853" i="1"/>
  <c r="AV852" i="1"/>
  <c r="AU852" i="1"/>
  <c r="AV851" i="1"/>
  <c r="AU851" i="1"/>
  <c r="AV850" i="1"/>
  <c r="AU850" i="1"/>
  <c r="AT850" i="1"/>
  <c r="AV849" i="1"/>
  <c r="AU849" i="1"/>
  <c r="AT849" i="1"/>
  <c r="AV848" i="1"/>
  <c r="AU848" i="1"/>
  <c r="AV847" i="1"/>
  <c r="AU847" i="1"/>
  <c r="AV846" i="1"/>
  <c r="AU846" i="1"/>
  <c r="AT846" i="1"/>
  <c r="AV845" i="1"/>
  <c r="AU845" i="1"/>
  <c r="AT845" i="1"/>
  <c r="AV844" i="1"/>
  <c r="AU844" i="1"/>
  <c r="AT844" i="1"/>
  <c r="AV843" i="1"/>
  <c r="AU843" i="1"/>
  <c r="AT843" i="1"/>
  <c r="AV842" i="1"/>
  <c r="AU842" i="1"/>
  <c r="AT842" i="1"/>
  <c r="AV841" i="1"/>
  <c r="AU841" i="1"/>
  <c r="AT841" i="1"/>
  <c r="AV840" i="1"/>
  <c r="AU840" i="1"/>
  <c r="AT840" i="1"/>
  <c r="AV839" i="1"/>
  <c r="AU839" i="1"/>
  <c r="AT839" i="1"/>
  <c r="AV838" i="1"/>
  <c r="AU838" i="1"/>
  <c r="AT838" i="1"/>
  <c r="AV837" i="1"/>
  <c r="AU837" i="1"/>
  <c r="AV836" i="1"/>
  <c r="AU836" i="1"/>
  <c r="AV835" i="1"/>
  <c r="AU835" i="1"/>
  <c r="AT835" i="1"/>
  <c r="AV834" i="1"/>
  <c r="AU834" i="1"/>
  <c r="AV833" i="1"/>
  <c r="AU833" i="1"/>
  <c r="AT833" i="1"/>
  <c r="AV832" i="1"/>
  <c r="AU832" i="1"/>
  <c r="AT832" i="1"/>
  <c r="AV831" i="1"/>
  <c r="AU831" i="1"/>
  <c r="AT831" i="1"/>
  <c r="AV830" i="1"/>
  <c r="AU830" i="1"/>
  <c r="AT830" i="1"/>
  <c r="AV829" i="1"/>
  <c r="AU829" i="1"/>
  <c r="AT829" i="1"/>
  <c r="AV828" i="1"/>
  <c r="AU828" i="1"/>
  <c r="AT828" i="1"/>
  <c r="AV827" i="1"/>
  <c r="AU827" i="1"/>
  <c r="AT827" i="1"/>
  <c r="AV826" i="1"/>
  <c r="AU826" i="1"/>
  <c r="AT826" i="1"/>
  <c r="AV825" i="1"/>
  <c r="AU825" i="1"/>
  <c r="AT825" i="1"/>
  <c r="AV824" i="1"/>
  <c r="AU824" i="1"/>
  <c r="AV823" i="1"/>
  <c r="AU823" i="1"/>
  <c r="AT823" i="1"/>
  <c r="AV822" i="1"/>
  <c r="AU822" i="1"/>
  <c r="AT822" i="1"/>
  <c r="AV821" i="1"/>
  <c r="AU821" i="1"/>
  <c r="AT821" i="1"/>
  <c r="AV820" i="1"/>
  <c r="AU820" i="1"/>
  <c r="AT820" i="1"/>
  <c r="AV819" i="1"/>
  <c r="AU819" i="1"/>
  <c r="AT819" i="1"/>
  <c r="AV818" i="1"/>
  <c r="AU818" i="1"/>
  <c r="AT818" i="1"/>
  <c r="AV817" i="1"/>
  <c r="AU817" i="1"/>
  <c r="AT817" i="1"/>
  <c r="AV816" i="1"/>
  <c r="AU816" i="1"/>
  <c r="AT816" i="1"/>
  <c r="AV815" i="1"/>
  <c r="AU815" i="1"/>
  <c r="AV814" i="1"/>
  <c r="AU814" i="1"/>
  <c r="AT814" i="1"/>
  <c r="AV813" i="1"/>
  <c r="AU813" i="1"/>
  <c r="AT813" i="1"/>
  <c r="AV812" i="1"/>
  <c r="AU812" i="1"/>
  <c r="AV811" i="1"/>
  <c r="AU811" i="1"/>
  <c r="AT811" i="1"/>
  <c r="AV810" i="1"/>
  <c r="AU810" i="1"/>
  <c r="AT810" i="1"/>
  <c r="AV809" i="1"/>
  <c r="AU809" i="1"/>
  <c r="AT809" i="1"/>
  <c r="AV808" i="1"/>
  <c r="AU808" i="1"/>
  <c r="AV807" i="1"/>
  <c r="AU807" i="1"/>
  <c r="AT807" i="1"/>
  <c r="AV806" i="1"/>
  <c r="AU806" i="1"/>
  <c r="AT806" i="1"/>
  <c r="AV805" i="1"/>
  <c r="AU805" i="1"/>
  <c r="AT805" i="1"/>
  <c r="AV804" i="1"/>
  <c r="AU804" i="1"/>
  <c r="AT804" i="1"/>
  <c r="AV803" i="1"/>
  <c r="AU803" i="1"/>
  <c r="AT803" i="1"/>
  <c r="AV802" i="1"/>
  <c r="AU802" i="1"/>
  <c r="AT802" i="1"/>
  <c r="AV801" i="1"/>
  <c r="AU801" i="1"/>
  <c r="AV800" i="1"/>
  <c r="AU800" i="1"/>
  <c r="AT800" i="1"/>
  <c r="AV799" i="1"/>
  <c r="AU799" i="1"/>
  <c r="AT799" i="1"/>
  <c r="AV798" i="1"/>
  <c r="AU798" i="1"/>
  <c r="AT798" i="1"/>
  <c r="AV797" i="1"/>
  <c r="AU797" i="1"/>
  <c r="AT797" i="1"/>
  <c r="AV796" i="1"/>
  <c r="AU796" i="1"/>
  <c r="AT796" i="1"/>
  <c r="AV795" i="1"/>
  <c r="AU795" i="1"/>
  <c r="AV794" i="1"/>
  <c r="AU794" i="1"/>
  <c r="AT794" i="1"/>
  <c r="AV793" i="1"/>
  <c r="AU793" i="1"/>
  <c r="AT793" i="1"/>
  <c r="AV792" i="1"/>
  <c r="AU792" i="1"/>
  <c r="AV791" i="1"/>
  <c r="AU791" i="1"/>
  <c r="AT791" i="1"/>
  <c r="AV790" i="1"/>
  <c r="AU790" i="1"/>
  <c r="AT790" i="1"/>
  <c r="AV789" i="1"/>
  <c r="AU789" i="1"/>
  <c r="AT789" i="1"/>
  <c r="AV788" i="1"/>
  <c r="AU788" i="1"/>
  <c r="AT788" i="1"/>
  <c r="AV787" i="1"/>
  <c r="AU787" i="1"/>
  <c r="AT787" i="1"/>
  <c r="AV786" i="1"/>
  <c r="AU786" i="1"/>
  <c r="AT786" i="1"/>
  <c r="AV785" i="1"/>
  <c r="AU785" i="1"/>
  <c r="AT785" i="1"/>
  <c r="AV784" i="1"/>
  <c r="AU784" i="1"/>
  <c r="AT784" i="1"/>
  <c r="AV783" i="1"/>
  <c r="AU783" i="1"/>
  <c r="AT783" i="1"/>
  <c r="AV782" i="1"/>
  <c r="AU782" i="1"/>
  <c r="AT782" i="1"/>
  <c r="AV781" i="1"/>
  <c r="AU781" i="1"/>
  <c r="AT781" i="1"/>
  <c r="AV780" i="1"/>
  <c r="AU780" i="1"/>
  <c r="AT780" i="1"/>
  <c r="AV779" i="1"/>
  <c r="AU779" i="1"/>
  <c r="AT779" i="1"/>
  <c r="AV778" i="1"/>
  <c r="AU778" i="1"/>
  <c r="AT778" i="1"/>
  <c r="AV777" i="1"/>
  <c r="AU777" i="1"/>
  <c r="AT777" i="1"/>
  <c r="AV776" i="1"/>
  <c r="AU776" i="1"/>
  <c r="AT776" i="1"/>
  <c r="AV775" i="1"/>
  <c r="AU775" i="1"/>
  <c r="AT775" i="1"/>
  <c r="AV774" i="1"/>
  <c r="AU774" i="1"/>
  <c r="AT774" i="1"/>
  <c r="AV773" i="1"/>
  <c r="AU773" i="1"/>
  <c r="AT773" i="1"/>
  <c r="AV772" i="1"/>
  <c r="AU772" i="1"/>
  <c r="AV771" i="1"/>
  <c r="AU771" i="1"/>
  <c r="AT771" i="1"/>
  <c r="AV770" i="1"/>
  <c r="AU770" i="1"/>
  <c r="AT770" i="1"/>
  <c r="AV769" i="1"/>
  <c r="AU769" i="1"/>
  <c r="AT769" i="1"/>
  <c r="AV768" i="1"/>
  <c r="AU768" i="1"/>
  <c r="AT768" i="1"/>
  <c r="AV767" i="1"/>
  <c r="AU767" i="1"/>
  <c r="AT767" i="1"/>
  <c r="AV766" i="1"/>
  <c r="AU766" i="1"/>
  <c r="AT766" i="1"/>
  <c r="AV765" i="1"/>
  <c r="AU765" i="1"/>
  <c r="AV764" i="1"/>
  <c r="AU764" i="1"/>
  <c r="AV763" i="1"/>
  <c r="AU763" i="1"/>
  <c r="AT763" i="1"/>
  <c r="AV762" i="1"/>
  <c r="AU762" i="1"/>
  <c r="AT762" i="1"/>
  <c r="AV761" i="1"/>
  <c r="AU761" i="1"/>
  <c r="AT761" i="1"/>
  <c r="AV760" i="1"/>
  <c r="AU760" i="1"/>
  <c r="AT760" i="1"/>
  <c r="AV759" i="1"/>
  <c r="AU759" i="1"/>
  <c r="AT759" i="1"/>
  <c r="AV758" i="1"/>
  <c r="AU758" i="1"/>
  <c r="AT758" i="1"/>
  <c r="AV757" i="1"/>
  <c r="AU757" i="1"/>
  <c r="AT757" i="1"/>
  <c r="AV756" i="1"/>
  <c r="AU756" i="1"/>
  <c r="AT756" i="1"/>
  <c r="AV755" i="1"/>
  <c r="AU755" i="1"/>
  <c r="AT755" i="1"/>
  <c r="AV754" i="1"/>
  <c r="AU754" i="1"/>
  <c r="AT754" i="1"/>
  <c r="AV753" i="1"/>
  <c r="AU753" i="1"/>
  <c r="AT753" i="1"/>
  <c r="AV752" i="1"/>
  <c r="AU752" i="1"/>
  <c r="AT752" i="1"/>
  <c r="AV751" i="1"/>
  <c r="AU751" i="1"/>
  <c r="AT751" i="1"/>
  <c r="AV750" i="1"/>
  <c r="AU750" i="1"/>
  <c r="AT750" i="1"/>
  <c r="AV749" i="1"/>
  <c r="AU749" i="1"/>
  <c r="AT749" i="1"/>
  <c r="AV748" i="1"/>
  <c r="AU748" i="1"/>
  <c r="AT748" i="1"/>
  <c r="AV747" i="1"/>
  <c r="AU747" i="1"/>
  <c r="AT747" i="1"/>
  <c r="AV746" i="1"/>
  <c r="AU746" i="1"/>
  <c r="AT746" i="1"/>
  <c r="AV745" i="1"/>
  <c r="AU745" i="1"/>
  <c r="AT745" i="1"/>
  <c r="AV744" i="1"/>
  <c r="AU744" i="1"/>
  <c r="AT744" i="1"/>
  <c r="AV743" i="1"/>
  <c r="AU743" i="1"/>
  <c r="AT743" i="1"/>
  <c r="AV742" i="1"/>
  <c r="AU742" i="1"/>
  <c r="AT742" i="1"/>
  <c r="AV741" i="1"/>
  <c r="AU741" i="1"/>
  <c r="AT741" i="1"/>
  <c r="AV740" i="1"/>
  <c r="AU740" i="1"/>
  <c r="AV739" i="1"/>
  <c r="AU739" i="1"/>
  <c r="AV738" i="1"/>
  <c r="AU738" i="1"/>
  <c r="AV737" i="1"/>
  <c r="AU737" i="1"/>
  <c r="AV736" i="1"/>
  <c r="AU736" i="1"/>
  <c r="AT736" i="1"/>
  <c r="AV735" i="1"/>
  <c r="AU735" i="1"/>
  <c r="AT735" i="1"/>
  <c r="AV734" i="1"/>
  <c r="AU734" i="1"/>
  <c r="AT734" i="1"/>
  <c r="AV733" i="1"/>
  <c r="AU733" i="1"/>
  <c r="AT733" i="1"/>
  <c r="AV732" i="1"/>
  <c r="AU732" i="1"/>
  <c r="AT732" i="1"/>
  <c r="AV731" i="1"/>
  <c r="AU731" i="1"/>
  <c r="AT731" i="1"/>
  <c r="AV730" i="1"/>
  <c r="AU730" i="1"/>
  <c r="AT730" i="1"/>
  <c r="AV729" i="1"/>
  <c r="AU729" i="1"/>
  <c r="AT729" i="1"/>
  <c r="AV728" i="1"/>
  <c r="AU728" i="1"/>
  <c r="AV727" i="1"/>
  <c r="AU727" i="1"/>
  <c r="AV726" i="1"/>
  <c r="AU726" i="1"/>
  <c r="AV725" i="1"/>
  <c r="AU725" i="1"/>
  <c r="AT725" i="1"/>
  <c r="AV724" i="1"/>
  <c r="AU724" i="1"/>
  <c r="AT724" i="1"/>
  <c r="AV723" i="1"/>
  <c r="AU723" i="1"/>
  <c r="AT723" i="1"/>
  <c r="AV722" i="1"/>
  <c r="AU722" i="1"/>
  <c r="AT722" i="1"/>
  <c r="AV721" i="1"/>
  <c r="AU721" i="1"/>
  <c r="AV720" i="1"/>
  <c r="AU720" i="1"/>
  <c r="AT720" i="1"/>
  <c r="AV719" i="1"/>
  <c r="AU719" i="1"/>
  <c r="AV718" i="1"/>
  <c r="AU718" i="1"/>
  <c r="AV717" i="1"/>
  <c r="AU717" i="1"/>
  <c r="AV716" i="1"/>
  <c r="AU716" i="1"/>
  <c r="AT716" i="1"/>
  <c r="AV715" i="1"/>
  <c r="AU715" i="1"/>
  <c r="AV714" i="1"/>
  <c r="AU714" i="1"/>
  <c r="AT714" i="1"/>
  <c r="AV713" i="1"/>
  <c r="AU713" i="1"/>
  <c r="AV712" i="1"/>
  <c r="AU712" i="1"/>
  <c r="AT712" i="1"/>
  <c r="AV711" i="1"/>
  <c r="AU711" i="1"/>
  <c r="AT711" i="1"/>
  <c r="AV710" i="1"/>
  <c r="AU710" i="1"/>
  <c r="AT710" i="1"/>
  <c r="AV709" i="1"/>
  <c r="AU709" i="1"/>
  <c r="AV708" i="1"/>
  <c r="AU708" i="1"/>
  <c r="AT708" i="1"/>
  <c r="AV707" i="1"/>
  <c r="AU707" i="1"/>
  <c r="AV706" i="1"/>
  <c r="AU706" i="1"/>
  <c r="AT706" i="1"/>
  <c r="AV705" i="1"/>
  <c r="AU705" i="1"/>
  <c r="AT705" i="1"/>
  <c r="AV704" i="1"/>
  <c r="AU704" i="1"/>
  <c r="AT704" i="1"/>
  <c r="AV703" i="1"/>
  <c r="AU703" i="1"/>
  <c r="AT703" i="1"/>
  <c r="AV702" i="1"/>
  <c r="AU702" i="1"/>
  <c r="AT702" i="1"/>
  <c r="AV701" i="1"/>
  <c r="AU701" i="1"/>
  <c r="AV700" i="1"/>
  <c r="AU700" i="1"/>
  <c r="AT700" i="1"/>
  <c r="AV699" i="1"/>
  <c r="AU699" i="1"/>
  <c r="AT699" i="1"/>
  <c r="AV698" i="1"/>
  <c r="AU698" i="1"/>
  <c r="AT698" i="1"/>
  <c r="AV697" i="1"/>
  <c r="AU697" i="1"/>
  <c r="AT697" i="1"/>
  <c r="AV696" i="1"/>
  <c r="AU696" i="1"/>
  <c r="AV695" i="1"/>
  <c r="AU695" i="1"/>
  <c r="AT695" i="1"/>
  <c r="AV694" i="1"/>
  <c r="AU694" i="1"/>
  <c r="AV693" i="1"/>
  <c r="AU693" i="1"/>
  <c r="AT693" i="1"/>
  <c r="AV692" i="1"/>
  <c r="AU692" i="1"/>
  <c r="AT692" i="1"/>
  <c r="AV691" i="1"/>
  <c r="AU691" i="1"/>
  <c r="AT691" i="1"/>
  <c r="AV690" i="1"/>
  <c r="AU690" i="1"/>
  <c r="AT690" i="1"/>
  <c r="AV689" i="1"/>
  <c r="AU689" i="1"/>
  <c r="AV688" i="1"/>
  <c r="AU688" i="1"/>
  <c r="AV687" i="1"/>
  <c r="AU687" i="1"/>
  <c r="AT687" i="1"/>
  <c r="AV686" i="1"/>
  <c r="AU686" i="1"/>
  <c r="AV685" i="1"/>
  <c r="AU685" i="1"/>
  <c r="AT685" i="1"/>
  <c r="AV684" i="1"/>
  <c r="AU684" i="1"/>
  <c r="AT684" i="1"/>
  <c r="AV683" i="1"/>
  <c r="AU683" i="1"/>
  <c r="AT683" i="1"/>
  <c r="AV682" i="1"/>
  <c r="AU682" i="1"/>
  <c r="AT682" i="1"/>
  <c r="AV681" i="1"/>
  <c r="AU681" i="1"/>
  <c r="AT681" i="1"/>
  <c r="AV680" i="1"/>
  <c r="AU680" i="1"/>
  <c r="AV679" i="1"/>
  <c r="AU679" i="1"/>
  <c r="AT679" i="1"/>
  <c r="AV678" i="1"/>
  <c r="AU678" i="1"/>
  <c r="AT678" i="1"/>
  <c r="AV677" i="1"/>
  <c r="AU677" i="1"/>
  <c r="AT677" i="1"/>
  <c r="AV676" i="1"/>
  <c r="AU676" i="1"/>
  <c r="AV675" i="1"/>
  <c r="AU675" i="1"/>
  <c r="AT675" i="1"/>
  <c r="AV674" i="1"/>
  <c r="AU674" i="1"/>
  <c r="AT674" i="1"/>
  <c r="AV673" i="1"/>
  <c r="AU673" i="1"/>
  <c r="AV672" i="1"/>
  <c r="AU672" i="1"/>
  <c r="AV671" i="1"/>
  <c r="AU671" i="1"/>
  <c r="AT671" i="1"/>
  <c r="AV670" i="1"/>
  <c r="AU670" i="1"/>
  <c r="AT670" i="1"/>
  <c r="AV669" i="1"/>
  <c r="AU669" i="1"/>
  <c r="AV668" i="1"/>
  <c r="AU668" i="1"/>
  <c r="AV667" i="1"/>
  <c r="AU667" i="1"/>
  <c r="AT667" i="1"/>
  <c r="AV666" i="1"/>
  <c r="AU666" i="1"/>
  <c r="AT666" i="1"/>
  <c r="AV665" i="1"/>
  <c r="AU665" i="1"/>
  <c r="AV664" i="1"/>
  <c r="AU664" i="1"/>
  <c r="AT664" i="1"/>
  <c r="AV663" i="1"/>
  <c r="AU663" i="1"/>
  <c r="AT663" i="1"/>
  <c r="AV662" i="1"/>
  <c r="AU662" i="1"/>
  <c r="AV661" i="1"/>
  <c r="AU661" i="1"/>
  <c r="AT661" i="1"/>
  <c r="AV660" i="1"/>
  <c r="AU660" i="1"/>
  <c r="AV659" i="1"/>
  <c r="AU659" i="1"/>
  <c r="AT659" i="1"/>
  <c r="AV658" i="1"/>
  <c r="AU658" i="1"/>
  <c r="AV657" i="1"/>
  <c r="AU657" i="1"/>
  <c r="AT657" i="1"/>
  <c r="AV656" i="1"/>
  <c r="AU656" i="1"/>
  <c r="AT656" i="1"/>
  <c r="AV655" i="1"/>
  <c r="AU655" i="1"/>
  <c r="AT655" i="1"/>
  <c r="AV654" i="1"/>
  <c r="AU654" i="1"/>
  <c r="AV653" i="1"/>
  <c r="AU653" i="1"/>
  <c r="AT653" i="1"/>
  <c r="AV652" i="1"/>
  <c r="AU652" i="1"/>
  <c r="AT652" i="1"/>
  <c r="AV651" i="1"/>
  <c r="AU651" i="1"/>
  <c r="AT651" i="1"/>
  <c r="AV650" i="1"/>
  <c r="AU650" i="1"/>
  <c r="AV649" i="1"/>
  <c r="AU649" i="1"/>
  <c r="AV648" i="1"/>
  <c r="AU648" i="1"/>
  <c r="AT648" i="1"/>
  <c r="AV647" i="1"/>
  <c r="AU647" i="1"/>
  <c r="AT647" i="1"/>
  <c r="AV646" i="1"/>
  <c r="AU646" i="1"/>
  <c r="AT646" i="1"/>
  <c r="AV645" i="1"/>
  <c r="AU645" i="1"/>
  <c r="AT645" i="1"/>
  <c r="AV644" i="1"/>
  <c r="AU644" i="1"/>
  <c r="AT644" i="1"/>
  <c r="AV643" i="1"/>
  <c r="AU643" i="1"/>
  <c r="AT643" i="1"/>
  <c r="AV642" i="1"/>
  <c r="AU642" i="1"/>
  <c r="AV641" i="1"/>
  <c r="AU641" i="1"/>
  <c r="AV640" i="1"/>
  <c r="AU640" i="1"/>
  <c r="AV639" i="1"/>
  <c r="AU639" i="1"/>
  <c r="AT639" i="1"/>
  <c r="AV638" i="1"/>
  <c r="AU638" i="1"/>
  <c r="AV637" i="1"/>
  <c r="AU637" i="1"/>
  <c r="AT637" i="1"/>
  <c r="AV636" i="1"/>
  <c r="AU636" i="1"/>
  <c r="AV635" i="1"/>
  <c r="AU635" i="1"/>
  <c r="AV634" i="1"/>
  <c r="AU634" i="1"/>
  <c r="AV633" i="1"/>
  <c r="AU633" i="1"/>
  <c r="AV632" i="1"/>
  <c r="AU632" i="1"/>
  <c r="AT632" i="1"/>
  <c r="AV631" i="1"/>
  <c r="AU631" i="1"/>
  <c r="AV630" i="1"/>
  <c r="AU630" i="1"/>
  <c r="AT630" i="1"/>
  <c r="AV629" i="1"/>
  <c r="AU629" i="1"/>
  <c r="AT629" i="1"/>
  <c r="AV628" i="1"/>
  <c r="AU628" i="1"/>
  <c r="AV627" i="1"/>
  <c r="AU627" i="1"/>
  <c r="AT627" i="1"/>
  <c r="AV626" i="1"/>
  <c r="AU626" i="1"/>
  <c r="AT626" i="1"/>
  <c r="AV625" i="1"/>
  <c r="AU625" i="1"/>
  <c r="AV624" i="1"/>
  <c r="AU624" i="1"/>
  <c r="AT624" i="1"/>
  <c r="AV623" i="1"/>
  <c r="AU623" i="1"/>
  <c r="AT623" i="1"/>
  <c r="AV622" i="1"/>
  <c r="AU622" i="1"/>
  <c r="AV621" i="1"/>
  <c r="AU621" i="1"/>
  <c r="AT621" i="1"/>
  <c r="AV620" i="1"/>
  <c r="AU620" i="1"/>
  <c r="AV619" i="1"/>
  <c r="AU619" i="1"/>
  <c r="AV618" i="1"/>
  <c r="AU618" i="1"/>
  <c r="AV617" i="1"/>
  <c r="AU617" i="1"/>
  <c r="AT617" i="1"/>
  <c r="AV616" i="1"/>
  <c r="AU616" i="1"/>
  <c r="AV615" i="1"/>
  <c r="AU615" i="1"/>
  <c r="AV614" i="1"/>
  <c r="AU614" i="1"/>
  <c r="AV613" i="1"/>
  <c r="AU613" i="1"/>
  <c r="AT613" i="1"/>
  <c r="AV612" i="1"/>
  <c r="AU612" i="1"/>
  <c r="AV611" i="1"/>
  <c r="AU611" i="1"/>
  <c r="AT611" i="1"/>
  <c r="AV610" i="1"/>
  <c r="AU610" i="1"/>
  <c r="AV609" i="1"/>
  <c r="AU609" i="1"/>
  <c r="AT609" i="1"/>
  <c r="AV608" i="1"/>
  <c r="AU608" i="1"/>
  <c r="AV607" i="1"/>
  <c r="AU607" i="1"/>
  <c r="AT607" i="1"/>
  <c r="AV606" i="1"/>
  <c r="AU606" i="1"/>
  <c r="AV605" i="1"/>
  <c r="AU605" i="1"/>
  <c r="AT605" i="1"/>
  <c r="AV604" i="1"/>
  <c r="AU604" i="1"/>
  <c r="AT604" i="1"/>
  <c r="AV603" i="1"/>
  <c r="AU603" i="1"/>
  <c r="AT603" i="1"/>
  <c r="AV602" i="1"/>
  <c r="AU602" i="1"/>
  <c r="AT602" i="1"/>
  <c r="AV601" i="1"/>
  <c r="AU601" i="1"/>
  <c r="AT601" i="1"/>
  <c r="AV600" i="1"/>
  <c r="AU600" i="1"/>
  <c r="AT600" i="1"/>
  <c r="AV599" i="1"/>
  <c r="AU599" i="1"/>
  <c r="AT599" i="1"/>
  <c r="AV598" i="1"/>
  <c r="AU598" i="1"/>
  <c r="AT598" i="1"/>
  <c r="AV597" i="1"/>
  <c r="AU597" i="1"/>
  <c r="AT597" i="1"/>
  <c r="AV596" i="1"/>
  <c r="AU596" i="1"/>
  <c r="AT596" i="1"/>
  <c r="AV595" i="1"/>
  <c r="AU595" i="1"/>
  <c r="AT595" i="1"/>
  <c r="AV594" i="1"/>
  <c r="AU594" i="1"/>
  <c r="AT594" i="1"/>
  <c r="AV593" i="1"/>
  <c r="AU593" i="1"/>
  <c r="AV592" i="1"/>
  <c r="AU592" i="1"/>
  <c r="AV591" i="1"/>
  <c r="AU591" i="1"/>
  <c r="AV590" i="1"/>
  <c r="AU590" i="1"/>
  <c r="AV589" i="1"/>
  <c r="AU589" i="1"/>
  <c r="AV588" i="1"/>
  <c r="AU588" i="1"/>
  <c r="AV587" i="1"/>
  <c r="AU587" i="1"/>
  <c r="AT587" i="1"/>
  <c r="AV586" i="1"/>
  <c r="AU586" i="1"/>
  <c r="AV585" i="1"/>
  <c r="AU585" i="1"/>
  <c r="AT585" i="1"/>
  <c r="AV584" i="1"/>
  <c r="AU584" i="1"/>
  <c r="AV583" i="1"/>
  <c r="AU583" i="1"/>
  <c r="AV582" i="1"/>
  <c r="AU582" i="1"/>
  <c r="AT582" i="1"/>
  <c r="AV581" i="1"/>
  <c r="AU581" i="1"/>
  <c r="AT581" i="1"/>
  <c r="AV580" i="1"/>
  <c r="AU580" i="1"/>
  <c r="AT580" i="1"/>
  <c r="AV579" i="1"/>
  <c r="AU579" i="1"/>
  <c r="AT579" i="1"/>
  <c r="AV578" i="1"/>
  <c r="AU578" i="1"/>
  <c r="AT578" i="1"/>
  <c r="AV577" i="1"/>
  <c r="AU577" i="1"/>
  <c r="AT577" i="1"/>
  <c r="AV576" i="1"/>
  <c r="AU576" i="1"/>
  <c r="AT576" i="1"/>
  <c r="AV575" i="1"/>
  <c r="AU575" i="1"/>
  <c r="AT575" i="1"/>
  <c r="AV574" i="1"/>
  <c r="AU574" i="1"/>
  <c r="AT574" i="1"/>
  <c r="AV573" i="1"/>
  <c r="AU573" i="1"/>
  <c r="AT573" i="1"/>
  <c r="AV572" i="1"/>
  <c r="AU572" i="1"/>
  <c r="AT572" i="1"/>
  <c r="AV571" i="1"/>
  <c r="AU571" i="1"/>
  <c r="AV570" i="1"/>
  <c r="AU570" i="1"/>
  <c r="AT570" i="1"/>
  <c r="AV569" i="1"/>
  <c r="AU569" i="1"/>
  <c r="AV568" i="1"/>
  <c r="AU568" i="1"/>
  <c r="AV567" i="1"/>
  <c r="AU567" i="1"/>
  <c r="AV566" i="1"/>
  <c r="AU566" i="1"/>
  <c r="AT566" i="1"/>
  <c r="AV565" i="1"/>
  <c r="AU565" i="1"/>
  <c r="AT565" i="1"/>
  <c r="AV564" i="1"/>
  <c r="AU564" i="1"/>
  <c r="AT564" i="1"/>
  <c r="AV563" i="1"/>
  <c r="AU563" i="1"/>
  <c r="AV562" i="1"/>
  <c r="AU562" i="1"/>
  <c r="AT562" i="1"/>
  <c r="AV561" i="1"/>
  <c r="AU561" i="1"/>
  <c r="AT561" i="1"/>
  <c r="AV560" i="1"/>
  <c r="AU560" i="1"/>
  <c r="AV559" i="1"/>
  <c r="AU559" i="1"/>
  <c r="AT559" i="1"/>
  <c r="AV558" i="1"/>
  <c r="AU558" i="1"/>
  <c r="AT558" i="1"/>
  <c r="AV557" i="1"/>
  <c r="AU557" i="1"/>
  <c r="AT557" i="1"/>
  <c r="AV556" i="1"/>
  <c r="AU556" i="1"/>
  <c r="AV555" i="1"/>
  <c r="AU555" i="1"/>
  <c r="AV554" i="1"/>
  <c r="AU554" i="1"/>
  <c r="AT554" i="1"/>
  <c r="AV553" i="1"/>
  <c r="AU553" i="1"/>
  <c r="AT553" i="1"/>
  <c r="AV552" i="1"/>
  <c r="AU552" i="1"/>
  <c r="AT552" i="1"/>
  <c r="AV551" i="1"/>
  <c r="AU551" i="1"/>
  <c r="AT551" i="1"/>
  <c r="AV550" i="1"/>
  <c r="AU550" i="1"/>
  <c r="AV549" i="1"/>
  <c r="AU549" i="1"/>
  <c r="AT549" i="1"/>
  <c r="AV548" i="1"/>
  <c r="AU548" i="1"/>
  <c r="AT548" i="1"/>
  <c r="AV547" i="1"/>
  <c r="AU547" i="1"/>
  <c r="AT547" i="1"/>
  <c r="AV546" i="1"/>
  <c r="AU546" i="1"/>
  <c r="AV545" i="1"/>
  <c r="AU545" i="1"/>
  <c r="AT545" i="1"/>
  <c r="AV544" i="1"/>
  <c r="AU544" i="1"/>
  <c r="AV543" i="1"/>
  <c r="AU543" i="1"/>
  <c r="AT543" i="1"/>
  <c r="AV542" i="1"/>
  <c r="AU542" i="1"/>
  <c r="AT542" i="1"/>
  <c r="AV541" i="1"/>
  <c r="AU541" i="1"/>
  <c r="AT541" i="1"/>
  <c r="AV540" i="1"/>
  <c r="AU540" i="1"/>
  <c r="AT540" i="1"/>
  <c r="AV539" i="1"/>
  <c r="AU539" i="1"/>
  <c r="AT539" i="1"/>
  <c r="AV538" i="1"/>
  <c r="AU538" i="1"/>
  <c r="AV537" i="1"/>
  <c r="AU537" i="1"/>
  <c r="AV536" i="1"/>
  <c r="AU536" i="1"/>
  <c r="AV535" i="1"/>
  <c r="AU535" i="1"/>
  <c r="AT535" i="1"/>
  <c r="AV534" i="1"/>
  <c r="AU534" i="1"/>
  <c r="AT534" i="1"/>
  <c r="AV533" i="1"/>
  <c r="AU533" i="1"/>
  <c r="AT533" i="1"/>
  <c r="AV532" i="1"/>
  <c r="AU532" i="1"/>
  <c r="AT532" i="1"/>
  <c r="AV531" i="1"/>
  <c r="AU531" i="1"/>
  <c r="AT531" i="1"/>
  <c r="AV530" i="1"/>
  <c r="AU530" i="1"/>
  <c r="AT530" i="1"/>
  <c r="AV529" i="1"/>
  <c r="AU529" i="1"/>
  <c r="AT529" i="1"/>
  <c r="AV528" i="1"/>
  <c r="AU528" i="1"/>
  <c r="AT528" i="1"/>
  <c r="AV527" i="1"/>
  <c r="AU527" i="1"/>
  <c r="AT527" i="1"/>
  <c r="AV526" i="1"/>
  <c r="AU526" i="1"/>
  <c r="AT526" i="1"/>
  <c r="AV525" i="1"/>
  <c r="AU525" i="1"/>
  <c r="AT525" i="1"/>
  <c r="AV524" i="1"/>
  <c r="AU524" i="1"/>
  <c r="AT524" i="1"/>
  <c r="AV523" i="1"/>
  <c r="AU523" i="1"/>
  <c r="AV522" i="1"/>
  <c r="AU522" i="1"/>
  <c r="AT522" i="1"/>
  <c r="AV521" i="1"/>
  <c r="AU521" i="1"/>
  <c r="AV520" i="1"/>
  <c r="AU520" i="1"/>
  <c r="AT520" i="1"/>
  <c r="AV519" i="1"/>
  <c r="AU519" i="1"/>
  <c r="AV518" i="1"/>
  <c r="AU518" i="1"/>
  <c r="AT518" i="1"/>
  <c r="AV517" i="1"/>
  <c r="AU517" i="1"/>
  <c r="AT517" i="1"/>
  <c r="AV516" i="1"/>
  <c r="AU516" i="1"/>
  <c r="AT516" i="1"/>
  <c r="AV515" i="1"/>
  <c r="AU515" i="1"/>
  <c r="AT515" i="1"/>
  <c r="AV514" i="1"/>
  <c r="AU514" i="1"/>
  <c r="AT514" i="1"/>
  <c r="AV513" i="1"/>
  <c r="AU513" i="1"/>
  <c r="AT513" i="1"/>
  <c r="AV512" i="1"/>
  <c r="AU512" i="1"/>
  <c r="AT512" i="1"/>
  <c r="AV511" i="1"/>
  <c r="AU511" i="1"/>
  <c r="AT511" i="1"/>
  <c r="AV510" i="1"/>
  <c r="AU510" i="1"/>
  <c r="AT510" i="1"/>
  <c r="AV509" i="1"/>
  <c r="AU509" i="1"/>
  <c r="AT509" i="1"/>
  <c r="AV508" i="1"/>
  <c r="AU508" i="1"/>
  <c r="AT508" i="1"/>
  <c r="AV507" i="1"/>
  <c r="AU507" i="1"/>
  <c r="AV506" i="1"/>
  <c r="AU506" i="1"/>
  <c r="AT506" i="1"/>
  <c r="AV505" i="1"/>
  <c r="AU505" i="1"/>
  <c r="AV504" i="1"/>
  <c r="AU504" i="1"/>
  <c r="AT504" i="1"/>
  <c r="AV503" i="1"/>
  <c r="AU503" i="1"/>
  <c r="AT503" i="1"/>
  <c r="AV502" i="1"/>
  <c r="AU502" i="1"/>
  <c r="AT502" i="1"/>
  <c r="AV501" i="1"/>
  <c r="AU501" i="1"/>
  <c r="AT501" i="1"/>
  <c r="AV500" i="1"/>
  <c r="AU500" i="1"/>
  <c r="AT500" i="1"/>
  <c r="AV499" i="1"/>
  <c r="AU499" i="1"/>
  <c r="AT499" i="1"/>
  <c r="AV498" i="1"/>
  <c r="AU498" i="1"/>
  <c r="AT498" i="1"/>
  <c r="AV497" i="1"/>
  <c r="AU497" i="1"/>
  <c r="AT497" i="1"/>
  <c r="AV496" i="1"/>
  <c r="AU496" i="1"/>
  <c r="AV495" i="1"/>
  <c r="AU495" i="1"/>
  <c r="AT495" i="1"/>
  <c r="AV494" i="1"/>
  <c r="AU494" i="1"/>
  <c r="AT494" i="1"/>
  <c r="AV493" i="1"/>
  <c r="AU493" i="1"/>
  <c r="AT493" i="1"/>
  <c r="AV492" i="1"/>
  <c r="AU492" i="1"/>
  <c r="AT492" i="1"/>
  <c r="AV491" i="1"/>
  <c r="AU491" i="1"/>
  <c r="AV490" i="1"/>
  <c r="AU490" i="1"/>
  <c r="AT490" i="1"/>
  <c r="AV489" i="1"/>
  <c r="AU489" i="1"/>
  <c r="AT489" i="1"/>
  <c r="AV488" i="1"/>
  <c r="AU488" i="1"/>
  <c r="AV487" i="1"/>
  <c r="AU487" i="1"/>
  <c r="AV486" i="1"/>
  <c r="AU486" i="1"/>
  <c r="AT486" i="1"/>
  <c r="AV485" i="1"/>
  <c r="AU485" i="1"/>
  <c r="AT485" i="1"/>
  <c r="AV484" i="1"/>
  <c r="AU484" i="1"/>
  <c r="AT484" i="1"/>
  <c r="AV483" i="1"/>
  <c r="AU483" i="1"/>
  <c r="AT483" i="1"/>
  <c r="AV482" i="1"/>
  <c r="AU482" i="1"/>
  <c r="AT482" i="1"/>
  <c r="AV481" i="1"/>
  <c r="AU481" i="1"/>
  <c r="AT481" i="1"/>
  <c r="AV480" i="1"/>
  <c r="AU480" i="1"/>
  <c r="AT480" i="1"/>
  <c r="AV479" i="1"/>
  <c r="AU479" i="1"/>
  <c r="AT479" i="1"/>
  <c r="AV478" i="1"/>
  <c r="AU478" i="1"/>
  <c r="AV477" i="1"/>
  <c r="AU477" i="1"/>
  <c r="AV476" i="1"/>
  <c r="AU476" i="1"/>
  <c r="AT476" i="1"/>
  <c r="AV475" i="1"/>
  <c r="AU475" i="1"/>
  <c r="AT475" i="1"/>
  <c r="AV474" i="1"/>
  <c r="AU474" i="1"/>
  <c r="AT474" i="1"/>
  <c r="AV473" i="1"/>
  <c r="AU473" i="1"/>
  <c r="AT473" i="1"/>
  <c r="AV472" i="1"/>
  <c r="AU472" i="1"/>
  <c r="AT472" i="1"/>
  <c r="AV471" i="1"/>
  <c r="AU471" i="1"/>
  <c r="AT471" i="1"/>
  <c r="AV470" i="1"/>
  <c r="AU470" i="1"/>
  <c r="AT470" i="1"/>
  <c r="AV469" i="1"/>
  <c r="AU469" i="1"/>
  <c r="AT469" i="1"/>
  <c r="AV468" i="1"/>
  <c r="AU468" i="1"/>
  <c r="AT468" i="1"/>
  <c r="AV467" i="1"/>
  <c r="AU467" i="1"/>
  <c r="AT467" i="1"/>
  <c r="AV466" i="1"/>
  <c r="AU466" i="1"/>
  <c r="AV465" i="1"/>
  <c r="AU465" i="1"/>
  <c r="AV464" i="1"/>
  <c r="AU464" i="1"/>
  <c r="AV463" i="1"/>
  <c r="AU463" i="1"/>
  <c r="AV462" i="1"/>
  <c r="AU462" i="1"/>
  <c r="AT462" i="1"/>
  <c r="AV461" i="1"/>
  <c r="AU461" i="1"/>
  <c r="AT461" i="1"/>
  <c r="AV460" i="1"/>
  <c r="AU460" i="1"/>
  <c r="AT460" i="1"/>
  <c r="AV459" i="1"/>
  <c r="AU459" i="1"/>
  <c r="AT459" i="1"/>
  <c r="AV458" i="1"/>
  <c r="AU458" i="1"/>
  <c r="AT458" i="1"/>
  <c r="AV457" i="1"/>
  <c r="AU457" i="1"/>
  <c r="AV456" i="1"/>
  <c r="AU456" i="1"/>
  <c r="AT456" i="1"/>
  <c r="AV455" i="1"/>
  <c r="AU455" i="1"/>
  <c r="AT455" i="1"/>
  <c r="AV454" i="1"/>
  <c r="AU454" i="1"/>
  <c r="AT454" i="1"/>
  <c r="AV453" i="1"/>
  <c r="AU453" i="1"/>
  <c r="AT453" i="1"/>
  <c r="AV452" i="1"/>
  <c r="AU452" i="1"/>
  <c r="AT452" i="1"/>
  <c r="AV451" i="1"/>
  <c r="AU451" i="1"/>
  <c r="AV450" i="1"/>
  <c r="AU450" i="1"/>
  <c r="AV449" i="1"/>
  <c r="AU449" i="1"/>
  <c r="AT449" i="1"/>
  <c r="AV448" i="1"/>
  <c r="AU448" i="1"/>
  <c r="AT448" i="1"/>
  <c r="AV447" i="1"/>
  <c r="AU447" i="1"/>
  <c r="AV446" i="1"/>
  <c r="AU446" i="1"/>
  <c r="AV445" i="1"/>
  <c r="AU445" i="1"/>
  <c r="AT445" i="1"/>
  <c r="AV444" i="1"/>
  <c r="AU444" i="1"/>
  <c r="AT444" i="1"/>
  <c r="AV443" i="1"/>
  <c r="AU443" i="1"/>
  <c r="AT443" i="1"/>
  <c r="AV442" i="1"/>
  <c r="AU442" i="1"/>
  <c r="AV441" i="1"/>
  <c r="AU441" i="1"/>
  <c r="AT441" i="1"/>
  <c r="AV440" i="1"/>
  <c r="AU440" i="1"/>
  <c r="AT440" i="1"/>
  <c r="AV439" i="1"/>
  <c r="AU439" i="1"/>
  <c r="AT439" i="1"/>
  <c r="AV438" i="1"/>
  <c r="AU438" i="1"/>
  <c r="AV437" i="1"/>
  <c r="AU437" i="1"/>
  <c r="AT437" i="1"/>
  <c r="AV436" i="1"/>
  <c r="AU436" i="1"/>
  <c r="AT436" i="1"/>
  <c r="AV435" i="1"/>
  <c r="AU435" i="1"/>
  <c r="AT435" i="1"/>
  <c r="AV434" i="1"/>
  <c r="AU434" i="1"/>
  <c r="AT434" i="1"/>
  <c r="AV433" i="1"/>
  <c r="AU433" i="1"/>
  <c r="AT433" i="1"/>
  <c r="AV432" i="1"/>
  <c r="AU432" i="1"/>
  <c r="AV431" i="1"/>
  <c r="AU431" i="1"/>
  <c r="AT431" i="1"/>
  <c r="AV430" i="1"/>
  <c r="AU430" i="1"/>
  <c r="AV429" i="1"/>
  <c r="AU429" i="1"/>
  <c r="AV428" i="1"/>
  <c r="AU428" i="1"/>
  <c r="AT428" i="1"/>
  <c r="AV427" i="1"/>
  <c r="AU427" i="1"/>
  <c r="AV426" i="1"/>
  <c r="AU426" i="1"/>
  <c r="AV425" i="1"/>
  <c r="AU425" i="1"/>
  <c r="AT425" i="1"/>
  <c r="AV424" i="1"/>
  <c r="AU424" i="1"/>
  <c r="AT424" i="1"/>
  <c r="AV423" i="1"/>
  <c r="AU423" i="1"/>
  <c r="AT423" i="1"/>
  <c r="AV422" i="1"/>
  <c r="AU422" i="1"/>
  <c r="AT422" i="1"/>
  <c r="AV421" i="1"/>
  <c r="AU421" i="1"/>
  <c r="AV420" i="1"/>
  <c r="AU420" i="1"/>
  <c r="AV419" i="1"/>
  <c r="AU419" i="1"/>
  <c r="AV418" i="1"/>
  <c r="AU418" i="1"/>
  <c r="AT418" i="1"/>
  <c r="AV417" i="1"/>
  <c r="AU417" i="1"/>
  <c r="AV416" i="1"/>
  <c r="AU416" i="1"/>
  <c r="AV415" i="1"/>
  <c r="AU415" i="1"/>
  <c r="AV414" i="1"/>
  <c r="AU414" i="1"/>
  <c r="AV413" i="1"/>
  <c r="AU413" i="1"/>
  <c r="AT413" i="1"/>
  <c r="AV412" i="1"/>
  <c r="AU412" i="1"/>
  <c r="AT412" i="1"/>
  <c r="AV411" i="1"/>
  <c r="AU411" i="1"/>
  <c r="AT411" i="1"/>
  <c r="AV410" i="1"/>
  <c r="AU410" i="1"/>
  <c r="AT410" i="1"/>
  <c r="AV409" i="1"/>
  <c r="AU409" i="1"/>
  <c r="AT409" i="1"/>
  <c r="AV408" i="1"/>
  <c r="AU408" i="1"/>
  <c r="AV407" i="1"/>
  <c r="AU407" i="1"/>
  <c r="AV406" i="1"/>
  <c r="AU406" i="1"/>
  <c r="AT406" i="1"/>
  <c r="AV405" i="1"/>
  <c r="AU405" i="1"/>
  <c r="AT405" i="1"/>
  <c r="AV404" i="1"/>
  <c r="AU404" i="1"/>
  <c r="AT404" i="1"/>
  <c r="AV403" i="1"/>
  <c r="AU403" i="1"/>
  <c r="AV402" i="1"/>
  <c r="AU402" i="1"/>
  <c r="AT402" i="1"/>
  <c r="AV401" i="1"/>
  <c r="AU401" i="1"/>
  <c r="AV400" i="1"/>
  <c r="AU400" i="1"/>
  <c r="AT400" i="1"/>
  <c r="AV399" i="1"/>
  <c r="AU399" i="1"/>
  <c r="AT399" i="1"/>
  <c r="AV398" i="1"/>
  <c r="AU398" i="1"/>
  <c r="AV397" i="1"/>
  <c r="AU397" i="1"/>
  <c r="AT397" i="1"/>
  <c r="AV396" i="1"/>
  <c r="AU396" i="1"/>
  <c r="AV395" i="1"/>
  <c r="AU395" i="1"/>
  <c r="AT395" i="1"/>
  <c r="AV394" i="1"/>
  <c r="AU394" i="1"/>
  <c r="AV393" i="1"/>
  <c r="AU393" i="1"/>
  <c r="AT393" i="1"/>
  <c r="AV392" i="1"/>
  <c r="AU392" i="1"/>
  <c r="AV391" i="1"/>
  <c r="AU391" i="1"/>
  <c r="AV390" i="1"/>
  <c r="AU390" i="1"/>
  <c r="AT390" i="1"/>
  <c r="AV389" i="1"/>
  <c r="AU389" i="1"/>
  <c r="AT389" i="1"/>
  <c r="AV388" i="1"/>
  <c r="AU388" i="1"/>
  <c r="AV387" i="1"/>
  <c r="AU387" i="1"/>
  <c r="AT387" i="1"/>
  <c r="AV386" i="1"/>
  <c r="AU386" i="1"/>
  <c r="AT386" i="1"/>
  <c r="AV385" i="1"/>
  <c r="AU385" i="1"/>
  <c r="AT385" i="1"/>
  <c r="AV384" i="1"/>
  <c r="AU384" i="1"/>
  <c r="AT384" i="1"/>
  <c r="AV383" i="1"/>
  <c r="AU383" i="1"/>
  <c r="AT383" i="1"/>
  <c r="AV382" i="1"/>
  <c r="AU382" i="1"/>
  <c r="AT382" i="1"/>
  <c r="AV381" i="1"/>
  <c r="AU381" i="1"/>
  <c r="AV380" i="1"/>
  <c r="AU380" i="1"/>
  <c r="AV379" i="1"/>
  <c r="AU379" i="1"/>
  <c r="AT379" i="1"/>
  <c r="AV378" i="1"/>
  <c r="AU378" i="1"/>
  <c r="AV377" i="1"/>
  <c r="AU377" i="1"/>
  <c r="AT377" i="1"/>
  <c r="AV376" i="1"/>
  <c r="AU376" i="1"/>
  <c r="AV375" i="1"/>
  <c r="AU375" i="1"/>
  <c r="AV374" i="1"/>
  <c r="AU374" i="1"/>
  <c r="AT374" i="1"/>
  <c r="AV373" i="1"/>
  <c r="AU373" i="1"/>
  <c r="AV372" i="1"/>
  <c r="AU372" i="1"/>
  <c r="AV371" i="1"/>
  <c r="AU371" i="1"/>
  <c r="AV370" i="1"/>
  <c r="AU370" i="1"/>
  <c r="AT370" i="1"/>
  <c r="AV369" i="1"/>
  <c r="AU369" i="1"/>
  <c r="AV368" i="1"/>
  <c r="AU368" i="1"/>
  <c r="AV367" i="1"/>
  <c r="AU367" i="1"/>
  <c r="AV366" i="1"/>
  <c r="AU366" i="1"/>
  <c r="AV365" i="1"/>
  <c r="AU365" i="1"/>
  <c r="AT365" i="1"/>
  <c r="AV364" i="1"/>
  <c r="AU364" i="1"/>
  <c r="AV363" i="1"/>
  <c r="AU363" i="1"/>
  <c r="AV362" i="1"/>
  <c r="AU362" i="1"/>
  <c r="AT362" i="1"/>
  <c r="AV361" i="1"/>
  <c r="AU361" i="1"/>
  <c r="AT361" i="1"/>
  <c r="AV360" i="1"/>
  <c r="AU360" i="1"/>
  <c r="AV359" i="1"/>
  <c r="AU359" i="1"/>
  <c r="AT359" i="1"/>
  <c r="AV358" i="1"/>
  <c r="AU358" i="1"/>
  <c r="AV357" i="1"/>
  <c r="AU357" i="1"/>
  <c r="AT357" i="1"/>
  <c r="AV356" i="1"/>
  <c r="AU356" i="1"/>
  <c r="AT356" i="1"/>
  <c r="AV355" i="1"/>
  <c r="AU355" i="1"/>
  <c r="AV354" i="1"/>
  <c r="AU354" i="1"/>
  <c r="AT354" i="1"/>
  <c r="AV353" i="1"/>
  <c r="AU353" i="1"/>
  <c r="AT353" i="1"/>
  <c r="AV352" i="1"/>
  <c r="AU352" i="1"/>
  <c r="AT352" i="1"/>
  <c r="AV351" i="1"/>
  <c r="AU351" i="1"/>
  <c r="AV350" i="1"/>
  <c r="AU350" i="1"/>
  <c r="AV349" i="1"/>
  <c r="AU349" i="1"/>
  <c r="AT349" i="1"/>
  <c r="AV348" i="1"/>
  <c r="AU348" i="1"/>
  <c r="AT348" i="1"/>
  <c r="AV347" i="1"/>
  <c r="AU347" i="1"/>
  <c r="AV346" i="1"/>
  <c r="AU346" i="1"/>
  <c r="AV345" i="1"/>
  <c r="AU345" i="1"/>
  <c r="AT345" i="1"/>
  <c r="AV344" i="1"/>
  <c r="AU344" i="1"/>
  <c r="AV343" i="1"/>
  <c r="AU343" i="1"/>
  <c r="AV342" i="1"/>
  <c r="AU342" i="1"/>
  <c r="AV341" i="1"/>
  <c r="AU341" i="1"/>
  <c r="AV340" i="1"/>
  <c r="AU340" i="1"/>
  <c r="AT340" i="1"/>
  <c r="AV339" i="1"/>
  <c r="AU339" i="1"/>
  <c r="AV338" i="1"/>
  <c r="AU338" i="1"/>
  <c r="AT338" i="1"/>
  <c r="AV337" i="1"/>
  <c r="AU337" i="1"/>
  <c r="AV336" i="1"/>
  <c r="AU336" i="1"/>
  <c r="AV335" i="1"/>
  <c r="AU335" i="1"/>
  <c r="AV334" i="1"/>
  <c r="AU334" i="1"/>
  <c r="AV333" i="1"/>
  <c r="AU333" i="1"/>
  <c r="AV332" i="1"/>
  <c r="AU332" i="1"/>
  <c r="AV331" i="1"/>
  <c r="AU331" i="1"/>
  <c r="AV330" i="1"/>
  <c r="AU330" i="1"/>
  <c r="AV329" i="1"/>
  <c r="AU329" i="1"/>
  <c r="AV328" i="1"/>
  <c r="AU328" i="1"/>
  <c r="AT328" i="1"/>
  <c r="AV327" i="1"/>
  <c r="AU327" i="1"/>
  <c r="AV326" i="1"/>
  <c r="AU326" i="1"/>
  <c r="AT326" i="1"/>
  <c r="AV325" i="1"/>
  <c r="AU325" i="1"/>
  <c r="AV324" i="1"/>
  <c r="AU324" i="1"/>
  <c r="AV323" i="1"/>
  <c r="AU323" i="1"/>
  <c r="AT323" i="1"/>
  <c r="AV322" i="1"/>
  <c r="AU322" i="1"/>
  <c r="AT322" i="1"/>
  <c r="AV321" i="1"/>
  <c r="AU321" i="1"/>
  <c r="AV320" i="1"/>
  <c r="AU320" i="1"/>
  <c r="AT320" i="1"/>
  <c r="AV319" i="1"/>
  <c r="AU319" i="1"/>
  <c r="AV318" i="1"/>
  <c r="AU318" i="1"/>
  <c r="AT318" i="1"/>
  <c r="AV317" i="1"/>
  <c r="AU317" i="1"/>
  <c r="AV316" i="1"/>
  <c r="AU316" i="1"/>
  <c r="AT316" i="1"/>
  <c r="AV315" i="1"/>
  <c r="AU315" i="1"/>
  <c r="AT315" i="1"/>
  <c r="AV314" i="1"/>
  <c r="AU314" i="1"/>
  <c r="AT314" i="1"/>
  <c r="AV313" i="1"/>
  <c r="AU313" i="1"/>
  <c r="AV312" i="1"/>
  <c r="AU312" i="1"/>
  <c r="AT312" i="1"/>
  <c r="AV311" i="1"/>
  <c r="AU311" i="1"/>
  <c r="AT311" i="1"/>
  <c r="AV310" i="1"/>
  <c r="AU310" i="1"/>
  <c r="AT310" i="1"/>
  <c r="AV309" i="1"/>
  <c r="AU309" i="1"/>
  <c r="AV308" i="1"/>
  <c r="AU308" i="1"/>
  <c r="AV307" i="1"/>
  <c r="AU307" i="1"/>
  <c r="AV306" i="1"/>
  <c r="AU306" i="1"/>
  <c r="AV305" i="1"/>
  <c r="AU305" i="1"/>
  <c r="AV304" i="1"/>
  <c r="AU304" i="1"/>
  <c r="AT304" i="1"/>
  <c r="AV303" i="1"/>
  <c r="AU303" i="1"/>
  <c r="AV302" i="1"/>
  <c r="AU302" i="1"/>
  <c r="AT302" i="1"/>
  <c r="AV301" i="1"/>
  <c r="AU301" i="1"/>
  <c r="AT301" i="1"/>
  <c r="AV300" i="1"/>
  <c r="AU300" i="1"/>
  <c r="AV299" i="1"/>
  <c r="AU299" i="1"/>
  <c r="AT299" i="1"/>
  <c r="AV298" i="1"/>
  <c r="AU298" i="1"/>
  <c r="AV297" i="1"/>
  <c r="AU297" i="1"/>
  <c r="AV296" i="1"/>
  <c r="AU296" i="1"/>
  <c r="AV295" i="1"/>
  <c r="AU295" i="1"/>
  <c r="AV294" i="1"/>
  <c r="AU294" i="1"/>
  <c r="AT294" i="1"/>
  <c r="AV293" i="1"/>
  <c r="AU293" i="1"/>
  <c r="AV292" i="1"/>
  <c r="AU292" i="1"/>
  <c r="AT292" i="1"/>
  <c r="AV291" i="1"/>
  <c r="AU291" i="1"/>
  <c r="AT291" i="1"/>
  <c r="AV290" i="1"/>
  <c r="AU290" i="1"/>
  <c r="AV289" i="1"/>
  <c r="AU289" i="1"/>
  <c r="AV288" i="1"/>
  <c r="AU288" i="1"/>
  <c r="AV287" i="1"/>
  <c r="AU287" i="1"/>
  <c r="AT287" i="1"/>
  <c r="AV286" i="1"/>
  <c r="AU286" i="1"/>
  <c r="AT286" i="1"/>
  <c r="AV285" i="1"/>
  <c r="AU285" i="1"/>
  <c r="AV284" i="1"/>
  <c r="AU284" i="1"/>
  <c r="AV283" i="1"/>
  <c r="AU283" i="1"/>
  <c r="AT283" i="1"/>
  <c r="AV282" i="1"/>
  <c r="AU282" i="1"/>
  <c r="AV281" i="1"/>
  <c r="AU281" i="1"/>
  <c r="AV280" i="1"/>
  <c r="AU280" i="1"/>
  <c r="AT280" i="1"/>
  <c r="AV279" i="1"/>
  <c r="AU279" i="1"/>
  <c r="AV278" i="1"/>
  <c r="AU278" i="1"/>
  <c r="AT278" i="1"/>
  <c r="AV277" i="1"/>
  <c r="AU277" i="1"/>
  <c r="AT277" i="1"/>
  <c r="AV276" i="1"/>
  <c r="AU276" i="1"/>
  <c r="AT276" i="1"/>
  <c r="AV275" i="1"/>
  <c r="AU275" i="1"/>
  <c r="AV274" i="1"/>
  <c r="AU274" i="1"/>
  <c r="AT274" i="1"/>
  <c r="AV273" i="1"/>
  <c r="AU273" i="1"/>
  <c r="AT273" i="1"/>
  <c r="AV272" i="1"/>
  <c r="AU272" i="1"/>
  <c r="AT272" i="1"/>
  <c r="AV271" i="1"/>
  <c r="AU271" i="1"/>
  <c r="AT271" i="1"/>
  <c r="AV270" i="1"/>
  <c r="AU270" i="1"/>
  <c r="AV269" i="1"/>
  <c r="AU269" i="1"/>
  <c r="AV268" i="1"/>
  <c r="AU268" i="1"/>
  <c r="AT268" i="1"/>
  <c r="AV267" i="1"/>
  <c r="AU267" i="1"/>
  <c r="AV266" i="1"/>
  <c r="AU266" i="1"/>
  <c r="AT266" i="1"/>
  <c r="AV265" i="1"/>
  <c r="AU265" i="1"/>
  <c r="AT265" i="1"/>
  <c r="AV264" i="1"/>
  <c r="AU264" i="1"/>
  <c r="AT264" i="1"/>
  <c r="AV263" i="1"/>
  <c r="AU263" i="1"/>
  <c r="AT263" i="1"/>
  <c r="AV262" i="1"/>
  <c r="AU262" i="1"/>
  <c r="AV261" i="1"/>
  <c r="AU261" i="1"/>
  <c r="AT261" i="1"/>
  <c r="AV260" i="1"/>
  <c r="AU260" i="1"/>
  <c r="AV259" i="1"/>
  <c r="AU259" i="1"/>
  <c r="AV258" i="1"/>
  <c r="AU258" i="1"/>
  <c r="AV257" i="1"/>
  <c r="AU257" i="1"/>
  <c r="AT257" i="1"/>
  <c r="AV256" i="1"/>
  <c r="AU256" i="1"/>
  <c r="AV255" i="1"/>
  <c r="AU255" i="1"/>
  <c r="AV254" i="1"/>
  <c r="AU254" i="1"/>
  <c r="AV253" i="1"/>
  <c r="AU253" i="1"/>
  <c r="AT253" i="1"/>
  <c r="AV252" i="1"/>
  <c r="AU252" i="1"/>
  <c r="AT252" i="1"/>
  <c r="AV251" i="1"/>
  <c r="AU251" i="1"/>
  <c r="AT251" i="1"/>
  <c r="AV250" i="1"/>
  <c r="AU250" i="1"/>
  <c r="AT250" i="1"/>
  <c r="AV249" i="1"/>
  <c r="AU249" i="1"/>
  <c r="AV248" i="1"/>
  <c r="AU248" i="1"/>
  <c r="AT248" i="1"/>
  <c r="AV247" i="1"/>
  <c r="AU247" i="1"/>
  <c r="AT247" i="1"/>
  <c r="AV246" i="1"/>
  <c r="AU246" i="1"/>
  <c r="AT246" i="1"/>
  <c r="AV245" i="1"/>
  <c r="AU245" i="1"/>
  <c r="AT245" i="1"/>
  <c r="AV244" i="1"/>
  <c r="AU244" i="1"/>
  <c r="AV243" i="1"/>
  <c r="AU243" i="1"/>
  <c r="AT243" i="1"/>
  <c r="AV242" i="1"/>
  <c r="AU242" i="1"/>
  <c r="AT242" i="1"/>
  <c r="AV241" i="1"/>
  <c r="AU241" i="1"/>
  <c r="AT241" i="1"/>
  <c r="AV240" i="1"/>
  <c r="AU240" i="1"/>
  <c r="AV239" i="1"/>
  <c r="AU239" i="1"/>
  <c r="AV238" i="1"/>
  <c r="AU238" i="1"/>
  <c r="AT238" i="1"/>
  <c r="AV237" i="1"/>
  <c r="AU237" i="1"/>
  <c r="AV236" i="1"/>
  <c r="AU236" i="1"/>
  <c r="AV235" i="1"/>
  <c r="AU235" i="1"/>
  <c r="AV234" i="1"/>
  <c r="AU234" i="1"/>
  <c r="AT234" i="1"/>
  <c r="AV233" i="1"/>
  <c r="AU233" i="1"/>
  <c r="AT233" i="1"/>
  <c r="AV232" i="1"/>
  <c r="AU232" i="1"/>
  <c r="AT232" i="1"/>
  <c r="AV231" i="1"/>
  <c r="AU231" i="1"/>
  <c r="AT231" i="1"/>
  <c r="AV230" i="1"/>
  <c r="AU230" i="1"/>
  <c r="AT230" i="1"/>
  <c r="AV229" i="1"/>
  <c r="AU229" i="1"/>
  <c r="AV228" i="1"/>
  <c r="AU228" i="1"/>
  <c r="AT228" i="1"/>
  <c r="AV227" i="1"/>
  <c r="AU227" i="1"/>
  <c r="AT227" i="1"/>
  <c r="AV226" i="1"/>
  <c r="AU226" i="1"/>
  <c r="AT226" i="1"/>
  <c r="AV225" i="1"/>
  <c r="AU225" i="1"/>
  <c r="AT225" i="1"/>
  <c r="AV224" i="1"/>
  <c r="AU224" i="1"/>
  <c r="AT224" i="1"/>
  <c r="AV223" i="1"/>
  <c r="AU223" i="1"/>
  <c r="AT223" i="1"/>
  <c r="AV222" i="1"/>
  <c r="AU222" i="1"/>
  <c r="AT222" i="1"/>
  <c r="AV221" i="1"/>
  <c r="AU221" i="1"/>
  <c r="AV220" i="1"/>
  <c r="AU220" i="1"/>
  <c r="AT220" i="1"/>
  <c r="AV219" i="1"/>
  <c r="AU219" i="1"/>
  <c r="AT219" i="1"/>
  <c r="AV218" i="1"/>
  <c r="AU218" i="1"/>
  <c r="AV217" i="1"/>
  <c r="AU217" i="1"/>
  <c r="AV216" i="1"/>
  <c r="AU216" i="1"/>
  <c r="AV215" i="1"/>
  <c r="AU215" i="1"/>
  <c r="AV214" i="1"/>
  <c r="AU214" i="1"/>
  <c r="AT214" i="1"/>
  <c r="AV213" i="1"/>
  <c r="AU213" i="1"/>
  <c r="AV212" i="1"/>
  <c r="AU212" i="1"/>
  <c r="AV211" i="1"/>
  <c r="AU211" i="1"/>
  <c r="AV210" i="1"/>
  <c r="AU210" i="1"/>
  <c r="AV209" i="1"/>
  <c r="AU209" i="1"/>
  <c r="AT209" i="1"/>
  <c r="AV208" i="1"/>
  <c r="AU208" i="1"/>
  <c r="AT208" i="1"/>
  <c r="AV207" i="1"/>
  <c r="AU207" i="1"/>
  <c r="AT207" i="1"/>
  <c r="AV206" i="1"/>
  <c r="AU206" i="1"/>
  <c r="AV205" i="1"/>
  <c r="AU205" i="1"/>
  <c r="AT205" i="1"/>
  <c r="AV204" i="1"/>
  <c r="AU204" i="1"/>
  <c r="AV203" i="1"/>
  <c r="AU203" i="1"/>
  <c r="AT203" i="1"/>
  <c r="AV202" i="1"/>
  <c r="AU202" i="1"/>
  <c r="AT202" i="1"/>
  <c r="AV201" i="1"/>
  <c r="AU201" i="1"/>
  <c r="AV200" i="1"/>
  <c r="AU200" i="1"/>
  <c r="AT200" i="1"/>
  <c r="AV199" i="1"/>
  <c r="AU199" i="1"/>
  <c r="AV198" i="1"/>
  <c r="AU198" i="1"/>
  <c r="AT198" i="1"/>
  <c r="AV197" i="1"/>
  <c r="AU197" i="1"/>
  <c r="AV196" i="1"/>
  <c r="AU196" i="1"/>
  <c r="AT196" i="1"/>
  <c r="AV195" i="1"/>
  <c r="AU195" i="1"/>
  <c r="AV194" i="1"/>
  <c r="AU194" i="1"/>
  <c r="AV193" i="1"/>
  <c r="AU193" i="1"/>
  <c r="AV192" i="1"/>
  <c r="AU192" i="1"/>
  <c r="AT192" i="1"/>
  <c r="AV191" i="1"/>
  <c r="AU191" i="1"/>
  <c r="AV190" i="1"/>
  <c r="AU190" i="1"/>
  <c r="AV189" i="1"/>
  <c r="AU189" i="1"/>
  <c r="AT189" i="1"/>
  <c r="AV188" i="1"/>
  <c r="AU188" i="1"/>
  <c r="AV187" i="1"/>
  <c r="AU187" i="1"/>
  <c r="AT187" i="1"/>
  <c r="AV186" i="1"/>
  <c r="AU186" i="1"/>
  <c r="AT186" i="1"/>
  <c r="AV185" i="1"/>
  <c r="AU185" i="1"/>
  <c r="AT185" i="1"/>
  <c r="AV184" i="1"/>
  <c r="AU184" i="1"/>
  <c r="AV183" i="1"/>
  <c r="AU183" i="1"/>
  <c r="AT183" i="1"/>
  <c r="AV182" i="1"/>
  <c r="AU182" i="1"/>
  <c r="AV181" i="1"/>
  <c r="AU181" i="1"/>
  <c r="AV180" i="1"/>
  <c r="AU180" i="1"/>
  <c r="AT180" i="1"/>
  <c r="AV179" i="1"/>
  <c r="AU179" i="1"/>
  <c r="AT179" i="1"/>
  <c r="AV178" i="1"/>
  <c r="AU178" i="1"/>
  <c r="AV177" i="1"/>
  <c r="AU177" i="1"/>
  <c r="AT177" i="1"/>
  <c r="AV176" i="1"/>
  <c r="AU176" i="1"/>
  <c r="AV175" i="1"/>
  <c r="AU175" i="1"/>
  <c r="AT175" i="1"/>
  <c r="AV174" i="1"/>
  <c r="AU174" i="1"/>
  <c r="AV173" i="1"/>
  <c r="AU173" i="1"/>
  <c r="AV172" i="1"/>
  <c r="AU172" i="1"/>
  <c r="AT172" i="1"/>
  <c r="AV171" i="1"/>
  <c r="AU171" i="1"/>
  <c r="AV170" i="1"/>
  <c r="AU170" i="1"/>
  <c r="AT170" i="1"/>
  <c r="AV169" i="1"/>
  <c r="AU169" i="1"/>
  <c r="AT169" i="1"/>
  <c r="AV168" i="1"/>
  <c r="AU168" i="1"/>
  <c r="AV167" i="1"/>
  <c r="AU167" i="1"/>
  <c r="AV166" i="1"/>
  <c r="AU166" i="1"/>
  <c r="AT166" i="1"/>
  <c r="AV165" i="1"/>
  <c r="AU165" i="1"/>
  <c r="AT165" i="1"/>
  <c r="AV164" i="1"/>
  <c r="AU164" i="1"/>
  <c r="AT164" i="1"/>
  <c r="AV163" i="1"/>
  <c r="AU163" i="1"/>
  <c r="AT163" i="1"/>
  <c r="AV162" i="1"/>
  <c r="AU162" i="1"/>
  <c r="AT162" i="1"/>
  <c r="AV161" i="1"/>
  <c r="AU161" i="1"/>
  <c r="AT161" i="1"/>
  <c r="AV160" i="1"/>
  <c r="AU160" i="1"/>
  <c r="AT160" i="1"/>
  <c r="AV159" i="1"/>
  <c r="AU159" i="1"/>
  <c r="AT159" i="1"/>
  <c r="AV158" i="1"/>
  <c r="AU158" i="1"/>
  <c r="AV157" i="1"/>
  <c r="AU157" i="1"/>
  <c r="AT157" i="1"/>
  <c r="AV156" i="1"/>
  <c r="AU156" i="1"/>
  <c r="AT156" i="1"/>
  <c r="AV155" i="1"/>
  <c r="AU155" i="1"/>
  <c r="AT155" i="1"/>
  <c r="AV154" i="1"/>
  <c r="AU154" i="1"/>
  <c r="AT154" i="1"/>
  <c r="AV153" i="1"/>
  <c r="AU153" i="1"/>
  <c r="AV152" i="1"/>
  <c r="AU152" i="1"/>
  <c r="AV151" i="1"/>
  <c r="AU151" i="1"/>
  <c r="AV150" i="1"/>
  <c r="AU150" i="1"/>
  <c r="AT150" i="1"/>
  <c r="AV149" i="1"/>
  <c r="AU149" i="1"/>
  <c r="AV148" i="1"/>
  <c r="AU148" i="1"/>
  <c r="AT148" i="1"/>
  <c r="AV147" i="1"/>
  <c r="AU147" i="1"/>
  <c r="AT147" i="1"/>
  <c r="AV146" i="1"/>
  <c r="AU146" i="1"/>
  <c r="AT146" i="1"/>
  <c r="AV145" i="1"/>
  <c r="AU145" i="1"/>
  <c r="AT145" i="1"/>
  <c r="AV144" i="1"/>
  <c r="AU144" i="1"/>
  <c r="AT144" i="1"/>
  <c r="AV143" i="1"/>
  <c r="AU143" i="1"/>
  <c r="AT143" i="1"/>
  <c r="AV142" i="1"/>
  <c r="AU142" i="1"/>
  <c r="AV141" i="1"/>
  <c r="AU141" i="1"/>
  <c r="AT141" i="1"/>
  <c r="AV140" i="1"/>
  <c r="AU140" i="1"/>
  <c r="AV139" i="1"/>
  <c r="AU139" i="1"/>
  <c r="AT139" i="1"/>
  <c r="AV138" i="1"/>
  <c r="AU138" i="1"/>
  <c r="AV137" i="1"/>
  <c r="AU137" i="1"/>
  <c r="AV136" i="1"/>
  <c r="AU136" i="1"/>
  <c r="AT136" i="1"/>
  <c r="AV135" i="1"/>
  <c r="AU135" i="1"/>
  <c r="AT135" i="1"/>
  <c r="AV134" i="1"/>
  <c r="AU134" i="1"/>
  <c r="AT134" i="1"/>
  <c r="AV133" i="1"/>
  <c r="AU133" i="1"/>
  <c r="AT133" i="1"/>
  <c r="AV132" i="1"/>
  <c r="AU132" i="1"/>
  <c r="AT132" i="1"/>
  <c r="AV131" i="1"/>
  <c r="AU131" i="1"/>
  <c r="AT131" i="1"/>
  <c r="AV130" i="1"/>
  <c r="AU130" i="1"/>
  <c r="AT130" i="1"/>
  <c r="AV129" i="1"/>
  <c r="AU129" i="1"/>
  <c r="AV128" i="1"/>
  <c r="AU128" i="1"/>
  <c r="AT128" i="1"/>
  <c r="AV127" i="1"/>
  <c r="AU127" i="1"/>
  <c r="AT127" i="1"/>
  <c r="AV126" i="1"/>
  <c r="AU126" i="1"/>
  <c r="AT126" i="1"/>
  <c r="AV125" i="1"/>
  <c r="AU125" i="1"/>
  <c r="AT125" i="1"/>
  <c r="AV124" i="1"/>
  <c r="AU124" i="1"/>
  <c r="AT124" i="1"/>
  <c r="AV123" i="1"/>
  <c r="AU123" i="1"/>
  <c r="AT123" i="1"/>
  <c r="AV122" i="1"/>
  <c r="AU122" i="1"/>
  <c r="AT122" i="1"/>
  <c r="AV121" i="1"/>
  <c r="AU121" i="1"/>
  <c r="AT121" i="1"/>
  <c r="AV120" i="1"/>
  <c r="AU120" i="1"/>
  <c r="AV119" i="1"/>
  <c r="AU119" i="1"/>
  <c r="AT119" i="1"/>
  <c r="AV118" i="1"/>
  <c r="AU118" i="1"/>
  <c r="AT118" i="1"/>
  <c r="AV117" i="1"/>
  <c r="AU117" i="1"/>
  <c r="AT117" i="1"/>
  <c r="AV116" i="1"/>
  <c r="AU116" i="1"/>
  <c r="AV115" i="1"/>
  <c r="AU115" i="1"/>
  <c r="AT115" i="1"/>
  <c r="AV114" i="1"/>
  <c r="AU114" i="1"/>
  <c r="AT114" i="1"/>
  <c r="AV113" i="1"/>
  <c r="AU113" i="1"/>
  <c r="AT113" i="1"/>
  <c r="AV112" i="1"/>
  <c r="AU112" i="1"/>
  <c r="AT112" i="1"/>
  <c r="AV111" i="1"/>
  <c r="AU111" i="1"/>
  <c r="AT111" i="1"/>
  <c r="AV110" i="1"/>
  <c r="AU110" i="1"/>
  <c r="AT110" i="1"/>
  <c r="AV109" i="1"/>
  <c r="AU109" i="1"/>
  <c r="AT109" i="1"/>
  <c r="AV108" i="1"/>
  <c r="AU108" i="1"/>
  <c r="AT108" i="1"/>
  <c r="AV107" i="1"/>
  <c r="AU107" i="1"/>
  <c r="AV106" i="1"/>
  <c r="AU106" i="1"/>
  <c r="AT106" i="1"/>
  <c r="AV105" i="1"/>
  <c r="AU105" i="1"/>
  <c r="AV104" i="1"/>
  <c r="AU104" i="1"/>
  <c r="AV103" i="1"/>
  <c r="AU103" i="1"/>
  <c r="AT103" i="1"/>
  <c r="AV102" i="1"/>
  <c r="AU102" i="1"/>
  <c r="AV101" i="1"/>
  <c r="AU101" i="1"/>
  <c r="AT101" i="1"/>
  <c r="AV100" i="1"/>
  <c r="AU100" i="1"/>
  <c r="AT100" i="1"/>
  <c r="AV99" i="1"/>
  <c r="AU99" i="1"/>
  <c r="AV98" i="1"/>
  <c r="AU98" i="1"/>
  <c r="AT98" i="1"/>
  <c r="AV97" i="1"/>
  <c r="AU97" i="1"/>
  <c r="AT97" i="1"/>
  <c r="AV96" i="1"/>
  <c r="AU96" i="1"/>
  <c r="AV95" i="1"/>
  <c r="AU95" i="1"/>
  <c r="AT95" i="1"/>
  <c r="AV94" i="1"/>
  <c r="AU94" i="1"/>
  <c r="AT94" i="1"/>
  <c r="AV93" i="1"/>
  <c r="AU93" i="1"/>
  <c r="AT93" i="1"/>
  <c r="AV92" i="1"/>
  <c r="AU92" i="1"/>
  <c r="AV91" i="1"/>
  <c r="AU91" i="1"/>
  <c r="AT91" i="1"/>
  <c r="AV90" i="1"/>
  <c r="AU90" i="1"/>
  <c r="AT90" i="1"/>
  <c r="AV89" i="1"/>
  <c r="AU89" i="1"/>
  <c r="AV88" i="1"/>
  <c r="AU88" i="1"/>
  <c r="AV87" i="1"/>
  <c r="AU87" i="1"/>
  <c r="AT87" i="1"/>
  <c r="AV86" i="1"/>
  <c r="AU86" i="1"/>
  <c r="AT86" i="1"/>
  <c r="AV85" i="1"/>
  <c r="AU85" i="1"/>
  <c r="AT85" i="1"/>
  <c r="AV84" i="1"/>
  <c r="AU84" i="1"/>
  <c r="AV83" i="1"/>
  <c r="AU83" i="1"/>
  <c r="AT83" i="1"/>
  <c r="AV82" i="1"/>
  <c r="AU82" i="1"/>
  <c r="AT82" i="1"/>
  <c r="AV81" i="1"/>
  <c r="AU81" i="1"/>
  <c r="AT81" i="1"/>
  <c r="AV80" i="1"/>
  <c r="AU80" i="1"/>
  <c r="AT80" i="1"/>
  <c r="AV79" i="1"/>
  <c r="AU79" i="1"/>
  <c r="AV78" i="1"/>
  <c r="AU78" i="1"/>
  <c r="AT78" i="1"/>
  <c r="AV77" i="1"/>
  <c r="AU77" i="1"/>
  <c r="AV76" i="1"/>
  <c r="AU76" i="1"/>
  <c r="AV75" i="1"/>
  <c r="AU75" i="1"/>
  <c r="AT75" i="1"/>
  <c r="AV74" i="1"/>
  <c r="AU74" i="1"/>
  <c r="AV73" i="1"/>
  <c r="AU73" i="1"/>
  <c r="AT73" i="1"/>
  <c r="AV72" i="1"/>
  <c r="AU72" i="1"/>
  <c r="AT72" i="1"/>
  <c r="AV71" i="1"/>
  <c r="AU71" i="1"/>
  <c r="AT71" i="1"/>
  <c r="AV70" i="1"/>
  <c r="AU70" i="1"/>
  <c r="AV69" i="1"/>
  <c r="AU69" i="1"/>
  <c r="AV68" i="1"/>
  <c r="AU68" i="1"/>
  <c r="AT68" i="1"/>
  <c r="AV67" i="1"/>
  <c r="AU67" i="1"/>
  <c r="AT67" i="1"/>
  <c r="AV66" i="1"/>
  <c r="AU66" i="1"/>
  <c r="AT66" i="1"/>
  <c r="AV65" i="1"/>
  <c r="AU65" i="1"/>
  <c r="AT65" i="1"/>
  <c r="AV64" i="1"/>
  <c r="AU64" i="1"/>
  <c r="AT64" i="1"/>
  <c r="AV63" i="1"/>
  <c r="AU63" i="1"/>
  <c r="AT63" i="1"/>
  <c r="AV62" i="1"/>
  <c r="AU62" i="1"/>
  <c r="AV61" i="1"/>
  <c r="AU61" i="1"/>
  <c r="AT61" i="1"/>
  <c r="AV60" i="1"/>
  <c r="AU60" i="1"/>
  <c r="AT60" i="1"/>
  <c r="AV59" i="1"/>
  <c r="AU59" i="1"/>
  <c r="AT59" i="1"/>
  <c r="AV58" i="1"/>
  <c r="AU58" i="1"/>
  <c r="AT58" i="1"/>
  <c r="AV57" i="1"/>
  <c r="AU57" i="1"/>
  <c r="AT57" i="1"/>
  <c r="AV56" i="1"/>
  <c r="AU56" i="1"/>
  <c r="AV55" i="1"/>
  <c r="AU55" i="1"/>
  <c r="AT55" i="1"/>
  <c r="AV54" i="1"/>
  <c r="AU54" i="1"/>
  <c r="AT54" i="1"/>
  <c r="AV53" i="1"/>
  <c r="AU53" i="1"/>
  <c r="AV52" i="1"/>
  <c r="AU52" i="1"/>
  <c r="AV51" i="1"/>
  <c r="AU51" i="1"/>
  <c r="AT51" i="1"/>
  <c r="AV50" i="1"/>
  <c r="AU50" i="1"/>
  <c r="AT50" i="1"/>
  <c r="AV49" i="1"/>
  <c r="AU49" i="1"/>
  <c r="AT49" i="1"/>
  <c r="AV48" i="1"/>
  <c r="AU48" i="1"/>
  <c r="AT48" i="1"/>
  <c r="AV47" i="1"/>
  <c r="AU47" i="1"/>
  <c r="AT47" i="1"/>
  <c r="AV46" i="1"/>
  <c r="AU46" i="1"/>
  <c r="AT46" i="1"/>
  <c r="AV45" i="1"/>
  <c r="AU45" i="1"/>
  <c r="AT45" i="1"/>
  <c r="AV44" i="1"/>
  <c r="AU44" i="1"/>
  <c r="AT44" i="1"/>
  <c r="AV43" i="1"/>
  <c r="AU43" i="1"/>
  <c r="AT43" i="1"/>
  <c r="AV42" i="1"/>
  <c r="AU42" i="1"/>
  <c r="AT42" i="1"/>
  <c r="AV41" i="1"/>
  <c r="AU41" i="1"/>
  <c r="AT41" i="1"/>
  <c r="AV40" i="1"/>
  <c r="AU40" i="1"/>
  <c r="AT40" i="1"/>
  <c r="AV39" i="1"/>
  <c r="AU39" i="1"/>
  <c r="AT39" i="1"/>
  <c r="AV38" i="1"/>
  <c r="AU38" i="1"/>
  <c r="AT38" i="1"/>
  <c r="AV37" i="1"/>
  <c r="AU37" i="1"/>
  <c r="AT37" i="1"/>
  <c r="AV36" i="1"/>
  <c r="AU36" i="1"/>
  <c r="AT36" i="1"/>
  <c r="AV35" i="1"/>
  <c r="AU35" i="1"/>
  <c r="AT35" i="1"/>
  <c r="AV34" i="1"/>
  <c r="AU34" i="1"/>
  <c r="AT34" i="1"/>
  <c r="AV33" i="1"/>
  <c r="AU33" i="1"/>
  <c r="AT33" i="1"/>
  <c r="AV32" i="1"/>
  <c r="AU32" i="1"/>
  <c r="AV31" i="1"/>
  <c r="AU31" i="1"/>
  <c r="AT31" i="1"/>
  <c r="AV30" i="1"/>
  <c r="AU30" i="1"/>
  <c r="AV29" i="1"/>
  <c r="AU29" i="1"/>
  <c r="AV28" i="1"/>
  <c r="AU28" i="1"/>
  <c r="AV27" i="1"/>
  <c r="AU27" i="1"/>
  <c r="AV26" i="1"/>
  <c r="AU26" i="1"/>
  <c r="AV25" i="1"/>
  <c r="AU25" i="1"/>
  <c r="AT25" i="1"/>
  <c r="AV24" i="1"/>
  <c r="AU24" i="1"/>
  <c r="AT24" i="1"/>
  <c r="AV23" i="1"/>
  <c r="AU23" i="1"/>
  <c r="AT23" i="1"/>
  <c r="AV22" i="1"/>
  <c r="AU22" i="1"/>
  <c r="AT22" i="1"/>
  <c r="AV21" i="1"/>
  <c r="AU21" i="1"/>
  <c r="AT21" i="1"/>
  <c r="AV20" i="1"/>
  <c r="AU20" i="1"/>
  <c r="AT20" i="1"/>
  <c r="AV19" i="1"/>
  <c r="AU19" i="1"/>
  <c r="AT19" i="1"/>
  <c r="AV18" i="1"/>
  <c r="AU18" i="1"/>
  <c r="AT18" i="1"/>
  <c r="AV17" i="1"/>
  <c r="AU17" i="1"/>
  <c r="AT17" i="1"/>
  <c r="AV16" i="1"/>
  <c r="AU16" i="1"/>
  <c r="AT16" i="1"/>
  <c r="AV15" i="1"/>
  <c r="AU15" i="1"/>
  <c r="AT15" i="1"/>
  <c r="AV14" i="1"/>
  <c r="AU14" i="1"/>
  <c r="AV13" i="1"/>
  <c r="AU13" i="1"/>
  <c r="AT13" i="1"/>
  <c r="AV12" i="1"/>
  <c r="AU12" i="1"/>
  <c r="AT12" i="1"/>
  <c r="AV11" i="1"/>
  <c r="AU11" i="1"/>
  <c r="AT11" i="1"/>
  <c r="AV10" i="1"/>
  <c r="AU10" i="1"/>
  <c r="AT10" i="1"/>
  <c r="AV9" i="1"/>
  <c r="AU9" i="1"/>
  <c r="AT9" i="1"/>
  <c r="AV8" i="1"/>
  <c r="AU8" i="1"/>
  <c r="AT8" i="1"/>
  <c r="AV7" i="1"/>
  <c r="AU7" i="1"/>
  <c r="AV6" i="1"/>
  <c r="AU6" i="1"/>
  <c r="AT6" i="1"/>
  <c r="AV5" i="1"/>
  <c r="AU5" i="1"/>
  <c r="AV4" i="1"/>
  <c r="AU4" i="1"/>
  <c r="AT4" i="1"/>
  <c r="AV3" i="1"/>
  <c r="AU3" i="1"/>
  <c r="AT3" i="1"/>
  <c r="AV2" i="1"/>
  <c r="AU2" i="1"/>
  <c r="AT2" i="1"/>
</calcChain>
</file>

<file path=xl/sharedStrings.xml><?xml version="1.0" encoding="utf-8"?>
<sst xmlns="http://schemas.openxmlformats.org/spreadsheetml/2006/main" count="58660" uniqueCount="21681">
  <si>
    <t>CUHSL</t>
  </si>
  <si>
    <t>SHELVES</t>
  </si>
  <si>
    <t>RT4 .S23</t>
  </si>
  <si>
    <t>0                      RT 0004000S  23</t>
  </si>
  <si>
    <t>Contemporary American leaders in nursing : an oral history / Gwendolyn Safier.</t>
  </si>
  <si>
    <t>No</t>
  </si>
  <si>
    <t>1</t>
  </si>
  <si>
    <t>0</t>
  </si>
  <si>
    <t>Safier, Gwendolyn.</t>
  </si>
  <si>
    <t>-- New York : McGraw-Hill, 1977.</t>
  </si>
  <si>
    <t>1977</t>
  </si>
  <si>
    <t>eng</t>
  </si>
  <si>
    <t>nyu</t>
  </si>
  <si>
    <t xml:space="preserve">RT </t>
  </si>
  <si>
    <t>2009-06-02</t>
  </si>
  <si>
    <t>1987-12-22</t>
  </si>
  <si>
    <t>Yes</t>
  </si>
  <si>
    <t>423667310:eng</t>
  </si>
  <si>
    <t>2508491</t>
  </si>
  <si>
    <t>991001039069702656</t>
  </si>
  <si>
    <t>2254978800002656</t>
  </si>
  <si>
    <t>BOOK</t>
  </si>
  <si>
    <t>9780070544123</t>
  </si>
  <si>
    <t>30001000241531</t>
  </si>
  <si>
    <t>893731618</t>
  </si>
  <si>
    <t>RT31 .J4 1977</t>
  </si>
  <si>
    <t>0                      RT 0031000J  4           1977</t>
  </si>
  <si>
    <t>History and trends of professional nursing / Grace L. Deloughery ; with a special unit on legal aspects by Eileen O'Neil.</t>
  </si>
  <si>
    <t>Deloughery, Grace L., 1933-2007.</t>
  </si>
  <si>
    <t>-- St. Louis : Mosby, 1977.</t>
  </si>
  <si>
    <t>-- 8th ed.</t>
  </si>
  <si>
    <t>mou</t>
  </si>
  <si>
    <t>2000-10-14</t>
  </si>
  <si>
    <t>1987-10-19</t>
  </si>
  <si>
    <t>5611671559:eng</t>
  </si>
  <si>
    <t>2798834</t>
  </si>
  <si>
    <t>991000741549702656</t>
  </si>
  <si>
    <t>2270925010002656</t>
  </si>
  <si>
    <t>9780801619748</t>
  </si>
  <si>
    <t>30001000043481</t>
  </si>
  <si>
    <t>893286920</t>
  </si>
  <si>
    <t>RT31 .R6</t>
  </si>
  <si>
    <t>0                      RT 0031000R  6</t>
  </si>
  <si>
    <t>White caps : the story of nursing / by Victor Robinson.</t>
  </si>
  <si>
    <t>Robinson, Victor, 1886-1947.</t>
  </si>
  <si>
    <t>Philadelphia, Lippincott [1946]</t>
  </si>
  <si>
    <t>1946</t>
  </si>
  <si>
    <t>___</t>
  </si>
  <si>
    <t>2001-08-31</t>
  </si>
  <si>
    <t>1988-01-08</t>
  </si>
  <si>
    <t>1993-03-15</t>
  </si>
  <si>
    <t>423427949:eng</t>
  </si>
  <si>
    <t>642335</t>
  </si>
  <si>
    <t>991001780979702656</t>
  </si>
  <si>
    <t>2262255480002656</t>
  </si>
  <si>
    <t>30001000240871</t>
  </si>
  <si>
    <t>893553078</t>
  </si>
  <si>
    <t>RT41 .H24 1978</t>
  </si>
  <si>
    <t>0                      RT 0041000H  24          1978</t>
  </si>
  <si>
    <t>Principles and practice of nursing / Virginia Henderson, Gladys Nite.</t>
  </si>
  <si>
    <t>Henderson, Virginia.</t>
  </si>
  <si>
    <t>New York : Macmillan, c1978.</t>
  </si>
  <si>
    <t>1978</t>
  </si>
  <si>
    <t>6th ed.</t>
  </si>
  <si>
    <t>2005-11-07</t>
  </si>
  <si>
    <t>3856521314:eng</t>
  </si>
  <si>
    <t>2225097</t>
  </si>
  <si>
    <t>991001144289702656</t>
  </si>
  <si>
    <t>2259225640002656</t>
  </si>
  <si>
    <t>9780023535802</t>
  </si>
  <si>
    <t>30001000291429</t>
  </si>
  <si>
    <t>893826488</t>
  </si>
  <si>
    <t>RT41 .L64</t>
  </si>
  <si>
    <t>0                      RT 0041000L  64</t>
  </si>
  <si>
    <t>Introduction to clinical nursing.</t>
  </si>
  <si>
    <t>Levine, Myra E.</t>
  </si>
  <si>
    <t>Philadelphia : F. A. Davis Co., [1969]</t>
  </si>
  <si>
    <t>1969</t>
  </si>
  <si>
    <t>pau</t>
  </si>
  <si>
    <t>1999-10-28</t>
  </si>
  <si>
    <t>1988-01-05</t>
  </si>
  <si>
    <t>1124363:eng</t>
  </si>
  <si>
    <t>979</t>
  </si>
  <si>
    <t>991000917979702656</t>
  </si>
  <si>
    <t>2272703680002656</t>
  </si>
  <si>
    <t>30001000180069</t>
  </si>
  <si>
    <t>893551937</t>
  </si>
  <si>
    <t>RT42 .A35</t>
  </si>
  <si>
    <t>0                      RT 0042000A  35</t>
  </si>
  <si>
    <t>Code for nurses with interpretive statements.</t>
  </si>
  <si>
    <t>American Nurses Association.</t>
  </si>
  <si>
    <t>Kansas City, Mo : ANA, 1976.</t>
  </si>
  <si>
    <t>1976</t>
  </si>
  <si>
    <t xml:space="preserve">xx </t>
  </si>
  <si>
    <t>ANA. G-56R</t>
  </si>
  <si>
    <t>1996-04-17</t>
  </si>
  <si>
    <t>1987-12-29</t>
  </si>
  <si>
    <t>3855360652:eng</t>
  </si>
  <si>
    <t>2588681</t>
  </si>
  <si>
    <t>991001132109702656</t>
  </si>
  <si>
    <t>2254853530002656</t>
  </si>
  <si>
    <t>30001000285413</t>
  </si>
  <si>
    <t>893161700</t>
  </si>
  <si>
    <t>RT48.6 .A35 2006</t>
  </si>
  <si>
    <t>0                      RT 0048600A  35          2006</t>
  </si>
  <si>
    <t>Nursing diagnosis handbook : a guide to planning care / [edited by] Betty J. Ackley, Gail B. Ladwig.</t>
  </si>
  <si>
    <t>St. Louis : Mosby, c2006.</t>
  </si>
  <si>
    <t>2006</t>
  </si>
  <si>
    <t>7th ed.</t>
  </si>
  <si>
    <t>2007-09-22</t>
  </si>
  <si>
    <t>2005-11-01</t>
  </si>
  <si>
    <t>194796659:eng</t>
  </si>
  <si>
    <t>61353823</t>
  </si>
  <si>
    <t>991001735889702656</t>
  </si>
  <si>
    <t>2258753180002656</t>
  </si>
  <si>
    <t>9780323036641</t>
  </si>
  <si>
    <t>30001004914091</t>
  </si>
  <si>
    <t>893558145</t>
  </si>
  <si>
    <t>RT63 .E97</t>
  </si>
  <si>
    <t>0                      RT 0063000E  97</t>
  </si>
  <si>
    <t>Expanding horizons for nurses / Bonnie Bullough, Vern Bullough, editors.</t>
  </si>
  <si>
    <t>-- New York : Springer, 1977.</t>
  </si>
  <si>
    <t>Issues in nursing</t>
  </si>
  <si>
    <t>2004-03-23</t>
  </si>
  <si>
    <t>1987-10-21</t>
  </si>
  <si>
    <t>423851655:eng</t>
  </si>
  <si>
    <t>2523435</t>
  </si>
  <si>
    <t>991000741759702656</t>
  </si>
  <si>
    <t>2270000900002656</t>
  </si>
  <si>
    <t>9780826120618</t>
  </si>
  <si>
    <t>30001000043549</t>
  </si>
  <si>
    <t>893731043</t>
  </si>
  <si>
    <t>RT63 .F477 1991</t>
  </si>
  <si>
    <t>0                      RT 0063000F  477         1991</t>
  </si>
  <si>
    <t>First words : selected addresses from the National League for Nursing 1894-1933 / Nettie Birnbach and Sandra Lewenson, [editors].</t>
  </si>
  <si>
    <t>New York : National League for Nursing Press, 1991.</t>
  </si>
  <si>
    <t>1991</t>
  </si>
  <si>
    <t>1994-03-03</t>
  </si>
  <si>
    <t>2008-02-05</t>
  </si>
  <si>
    <t>27284762:eng</t>
  </si>
  <si>
    <t>24881276</t>
  </si>
  <si>
    <t>991001688099702656</t>
  </si>
  <si>
    <t>2260319890002656</t>
  </si>
  <si>
    <t>9780887375262</t>
  </si>
  <si>
    <t>30001002317578</t>
  </si>
  <si>
    <t>893732176</t>
  </si>
  <si>
    <t>RT69 .F48</t>
  </si>
  <si>
    <t>0                      RT 0069000F  48</t>
  </si>
  <si>
    <t>A summary of integrated nursing theory / by Sandra B. Fielo.</t>
  </si>
  <si>
    <t>Fielo, Sandra B.</t>
  </si>
  <si>
    <t>New York : McGraw-Hill, c1975.</t>
  </si>
  <si>
    <t>1975</t>
  </si>
  <si>
    <t>1993-10-04</t>
  </si>
  <si>
    <t>1996-07-25</t>
  </si>
  <si>
    <t>1910238:eng</t>
  </si>
  <si>
    <t>947955</t>
  </si>
  <si>
    <t>991001787719702656</t>
  </si>
  <si>
    <t>2264774730002656</t>
  </si>
  <si>
    <t>9780070207158</t>
  </si>
  <si>
    <t>30001000291627</t>
  </si>
  <si>
    <t>893832600</t>
  </si>
  <si>
    <t>RT73 .G68</t>
  </si>
  <si>
    <t>0                      RT 0073000G  68</t>
  </si>
  <si>
    <t>Curriculum evaluation : theory and practice, with a case study from nursing education / Joan L. Green and James C. Stone ; foreword by Ralph W. Tyler.</t>
  </si>
  <si>
    <t>Green, Joan L.</t>
  </si>
  <si>
    <t>New York : Springer Pub. Co., c1977.</t>
  </si>
  <si>
    <t>Springer series on the teaching of nursing ; v. 1</t>
  </si>
  <si>
    <t>1992-01-14</t>
  </si>
  <si>
    <t>1987-12-28</t>
  </si>
  <si>
    <t>1993-02-04</t>
  </si>
  <si>
    <t>248341861:eng</t>
  </si>
  <si>
    <t>3002501</t>
  </si>
  <si>
    <t>991001780999702656</t>
  </si>
  <si>
    <t>2272202270002656</t>
  </si>
  <si>
    <t>9780826121103</t>
  </si>
  <si>
    <t>30001000241705</t>
  </si>
  <si>
    <t>893547327</t>
  </si>
  <si>
    <t>RT73 .W5</t>
  </si>
  <si>
    <t>0                      RT 0073000W  5</t>
  </si>
  <si>
    <t>Meeting the realities in clinical teaching.</t>
  </si>
  <si>
    <t>Wiedenbach, Ernestine.</t>
  </si>
  <si>
    <t>New York : Springer Pub. Co., [1969]</t>
  </si>
  <si>
    <t>2006-03-28</t>
  </si>
  <si>
    <t>1988-01-18</t>
  </si>
  <si>
    <t>1139946:eng</t>
  </si>
  <si>
    <t>17400</t>
  </si>
  <si>
    <t>991001045869702656</t>
  </si>
  <si>
    <t>2270893650002656</t>
  </si>
  <si>
    <t>30001000244378</t>
  </si>
  <si>
    <t>893831877</t>
  </si>
  <si>
    <t>RT79 .A83</t>
  </si>
  <si>
    <t>0                      RT 0079000A  83</t>
  </si>
  <si>
    <t>Hospitals, paternalism, and the role of the nurse / Jo Ann Ashley.</t>
  </si>
  <si>
    <t>Ashley, Jo Ann.</t>
  </si>
  <si>
    <t>-- New York : Teachers College Press, 1976.</t>
  </si>
  <si>
    <t>Nursing education monographs</t>
  </si>
  <si>
    <t>2007-02-08</t>
  </si>
  <si>
    <t>1987-12-30</t>
  </si>
  <si>
    <t>464933:eng</t>
  </si>
  <si>
    <t>2119421</t>
  </si>
  <si>
    <t>991001084189702656</t>
  </si>
  <si>
    <t>2268009090002656</t>
  </si>
  <si>
    <t>9780807724712</t>
  </si>
  <si>
    <t>30001000258493</t>
  </si>
  <si>
    <t>893121150</t>
  </si>
  <si>
    <t>RT81.5 .S82 1992</t>
  </si>
  <si>
    <t>0                      RT 0081500S  82          1992</t>
  </si>
  <si>
    <t>Library research guide to nursing : [illustrated search strategy and sources] / by Katina Strauch, Rebecca Linton, Claudia Cohen.</t>
  </si>
  <si>
    <t>Strauch, Katina P., 1946-</t>
  </si>
  <si>
    <t>Ann Arbor, Mich. : Pierian Press, 1992.</t>
  </si>
  <si>
    <t>1992</t>
  </si>
  <si>
    <t>2nd ed.</t>
  </si>
  <si>
    <t>miu</t>
  </si>
  <si>
    <t>Library research guides series</t>
  </si>
  <si>
    <t>1994-08-31</t>
  </si>
  <si>
    <t>1993-06-15</t>
  </si>
  <si>
    <t>1993-07-30</t>
  </si>
  <si>
    <t>2287244287:eng</t>
  </si>
  <si>
    <t>27214579</t>
  </si>
  <si>
    <t>991001802669702656</t>
  </si>
  <si>
    <t>2271556820002656</t>
  </si>
  <si>
    <t>30001002569780</t>
  </si>
  <si>
    <t>893364950</t>
  </si>
  <si>
    <t>RT85 .M83</t>
  </si>
  <si>
    <t>0                      RT 0085000M  83</t>
  </si>
  <si>
    <t>Moral problems in nursing : a philosophical investigation / James L. Muyskens.</t>
  </si>
  <si>
    <t>Muyskens, James L., 1942-</t>
  </si>
  <si>
    <t>Totowa, N.J. : Rowman and Littlefield, 1982.</t>
  </si>
  <si>
    <t>1982</t>
  </si>
  <si>
    <t>nju</t>
  </si>
  <si>
    <t>Philosophy and society</t>
  </si>
  <si>
    <t>2000-02-27</t>
  </si>
  <si>
    <t>508149:eng</t>
  </si>
  <si>
    <t>8168840</t>
  </si>
  <si>
    <t>991001787339702656</t>
  </si>
  <si>
    <t>2271832740002656</t>
  </si>
  <si>
    <t>9780847670680</t>
  </si>
  <si>
    <t>30001000285538</t>
  </si>
  <si>
    <t>893370057</t>
  </si>
  <si>
    <t>RT85.5 .N86</t>
  </si>
  <si>
    <t>0                      RT 0085500N  86</t>
  </si>
  <si>
    <t>The Nurse evaluator in education and service / edited by Agnes G. Rezler, Barbara J. Stevens.</t>
  </si>
  <si>
    <t>New York : McGraw-Hill, c1978.</t>
  </si>
  <si>
    <t>1994-03-11</t>
  </si>
  <si>
    <t>1993-01-13</t>
  </si>
  <si>
    <t>6709319:eng</t>
  </si>
  <si>
    <t>3003096</t>
  </si>
  <si>
    <t>991001787379702656</t>
  </si>
  <si>
    <t>2270941060002656</t>
  </si>
  <si>
    <t>9780070520608</t>
  </si>
  <si>
    <t>30001000285645</t>
  </si>
  <si>
    <t>893558581</t>
  </si>
  <si>
    <t>RT86 .B43 1977</t>
  </si>
  <si>
    <t>0                      RT 0086000B  43          1977</t>
  </si>
  <si>
    <t>Behavior modification and the nursing process / Rosemarian Berni, Wilbert E. Fordyce.</t>
  </si>
  <si>
    <t>Berni, Rosemarian, 1925-</t>
  </si>
  <si>
    <t>-- Saint Louis : Mosby, 1977.</t>
  </si>
  <si>
    <t>-- 2d ed.</t>
  </si>
  <si>
    <t>1990-11-07</t>
  </si>
  <si>
    <t>1516294:eng</t>
  </si>
  <si>
    <t>2695047</t>
  </si>
  <si>
    <t>991001131619702656</t>
  </si>
  <si>
    <t>2264565950002656</t>
  </si>
  <si>
    <t>9780801606564</t>
  </si>
  <si>
    <t>30001000285249</t>
  </si>
  <si>
    <t>893284430</t>
  </si>
  <si>
    <t>RT86 .K68</t>
  </si>
  <si>
    <t>0                      RT 0086000K  68</t>
  </si>
  <si>
    <t>Path to biculturalism / Marlene Kramer, Claudia Schmalenberg.</t>
  </si>
  <si>
    <t>Kramer, Marlene, 1931-</t>
  </si>
  <si>
    <t>-- Wakefield, Mass. : Contemporary Pub., 1977.</t>
  </si>
  <si>
    <t>mau</t>
  </si>
  <si>
    <t>1992-06-20</t>
  </si>
  <si>
    <t>6596208:eng</t>
  </si>
  <si>
    <t>2965313</t>
  </si>
  <si>
    <t>991001137009702656</t>
  </si>
  <si>
    <t>2270336370002656</t>
  </si>
  <si>
    <t>9780913654309</t>
  </si>
  <si>
    <t>30001000286510</t>
  </si>
  <si>
    <t>893121192</t>
  </si>
  <si>
    <t>RT86 .L35 1979</t>
  </si>
  <si>
    <t>0                      RT 0086000L  35          1979</t>
  </si>
  <si>
    <t>The impact of physical illness and related mental health concepts / Vickie A. Lambert, Clinton E. Lambert, Jr.</t>
  </si>
  <si>
    <t>Lambert, Vickie A.</t>
  </si>
  <si>
    <t>Englewood Cliffs, N.J. : Prentice-Hall, c1979.</t>
  </si>
  <si>
    <t>1979</t>
  </si>
  <si>
    <t>1994-11-28</t>
  </si>
  <si>
    <t>1998-09-29</t>
  </si>
  <si>
    <t>1990-11-13</t>
  </si>
  <si>
    <t>14588217:eng</t>
  </si>
  <si>
    <t>4135558</t>
  </si>
  <si>
    <t>991001761249702656</t>
  </si>
  <si>
    <t>2255007030002656</t>
  </si>
  <si>
    <t>9780134517322</t>
  </si>
  <si>
    <t>30001002063826</t>
  </si>
  <si>
    <t>893832575</t>
  </si>
  <si>
    <t>RT86 .W58</t>
  </si>
  <si>
    <t>0                      RT 0086000W  58</t>
  </si>
  <si>
    <t>Women in stress : a nursing perspective / edited by Diane K. Kjervik, Ida M. Martinson.</t>
  </si>
  <si>
    <t>New York : Appleton-Century-Crofts, c1979.</t>
  </si>
  <si>
    <t>2008-01-07</t>
  </si>
  <si>
    <t>1992-08-12</t>
  </si>
  <si>
    <t>355433797:eng</t>
  </si>
  <si>
    <t>4504583</t>
  </si>
  <si>
    <t>991001759589702656</t>
  </si>
  <si>
    <t>2264810210002656</t>
  </si>
  <si>
    <t>9780838598290</t>
  </si>
  <si>
    <t>30001000042442</t>
  </si>
  <si>
    <t>893279605</t>
  </si>
  <si>
    <t>RT86.7 .C67</t>
  </si>
  <si>
    <t>0                      RT 0086700C  67</t>
  </si>
  <si>
    <t>Cost-effectiveness of primary and team nursing / Gwen Marram ... [et al.].</t>
  </si>
  <si>
    <t>-- Wakefield, Mass. : Contemporary Pub., 1976.</t>
  </si>
  <si>
    <t>-- 1st ed.</t>
  </si>
  <si>
    <t>1988-11-13</t>
  </si>
  <si>
    <t>1988-09-30</t>
  </si>
  <si>
    <t>4688469:eng</t>
  </si>
  <si>
    <t>2368401</t>
  </si>
  <si>
    <t>991001084279702656</t>
  </si>
  <si>
    <t>2269985950002656</t>
  </si>
  <si>
    <t>9780913654286</t>
  </si>
  <si>
    <t>30001000258501</t>
  </si>
  <si>
    <t>893632699</t>
  </si>
  <si>
    <t>RT89 .C58</t>
  </si>
  <si>
    <t>0                      RT 0089000C  58</t>
  </si>
  <si>
    <t>Power and influence in health care : a new approach to leadership / Karen E. Claus, June T. Bailey.</t>
  </si>
  <si>
    <t>Claus, Karen E.</t>
  </si>
  <si>
    <t>St. Louis : Mosby, 1977.</t>
  </si>
  <si>
    <t>1997-01-21</t>
  </si>
  <si>
    <t>1987-10-22</t>
  </si>
  <si>
    <t>308884042:eng</t>
  </si>
  <si>
    <t>2984179</t>
  </si>
  <si>
    <t>991000736749702656</t>
  </si>
  <si>
    <t>2258445950002656</t>
  </si>
  <si>
    <t>9780801604171</t>
  </si>
  <si>
    <t>30001000041899</t>
  </si>
  <si>
    <t>893648012</t>
  </si>
  <si>
    <t>RT89 .T4</t>
  </si>
  <si>
    <t>0                      RT 0089000T  4</t>
  </si>
  <si>
    <t>The Techniques of nursing management : a reader consisting of nine articles especially selected by the Journal of nursing administration editorial staff.</t>
  </si>
  <si>
    <t>Wakefield, Mass. : Contemporary Pub., 1975.</t>
  </si>
  <si>
    <t>-- 1st ed. --</t>
  </si>
  <si>
    <t>1995-10-29</t>
  </si>
  <si>
    <t>2391372:eng</t>
  </si>
  <si>
    <t>1529154</t>
  </si>
  <si>
    <t>991001083449702656</t>
  </si>
  <si>
    <t>2257392920002656</t>
  </si>
  <si>
    <t>9780913654071</t>
  </si>
  <si>
    <t>30001000258097</t>
  </si>
  <si>
    <t>893637988</t>
  </si>
  <si>
    <t>IN SERIALS</t>
  </si>
  <si>
    <t>8IN SERIALS</t>
  </si>
  <si>
    <t>Computers in nursing / edited by Rita D. Zielstorff.</t>
  </si>
  <si>
    <t>Wakefield, Mass. : Nursing Resources, c1980.</t>
  </si>
  <si>
    <t>1980</t>
  </si>
  <si>
    <t>1st ed.</t>
  </si>
  <si>
    <t>Nursing dimensions administration series ; v. 1, no. 3</t>
  </si>
  <si>
    <t>1997-01-19</t>
  </si>
  <si>
    <t>1989-08-14</t>
  </si>
  <si>
    <t>54418898:eng</t>
  </si>
  <si>
    <t>7048638</t>
  </si>
  <si>
    <t>991001546509702656</t>
  </si>
  <si>
    <t>2256173260002656</t>
  </si>
  <si>
    <t>9780913654668</t>
  </si>
  <si>
    <t>92573-1001</t>
  </si>
  <si>
    <t>893558085</t>
  </si>
  <si>
    <t>Nursing research in the bicentennial year / edited by Marjorie V. Batey.</t>
  </si>
  <si>
    <t>Communicating Nursing Research Conference (9th : 1976 : Seattle, Wash.)</t>
  </si>
  <si>
    <t>Boulder, Colo. : Western Interstate Commission for Higher Education, 1977.</t>
  </si>
  <si>
    <t>cou</t>
  </si>
  <si>
    <t>Communicating nursing research ; v. 9</t>
  </si>
  <si>
    <t>1990-01-04</t>
  </si>
  <si>
    <t>1988-09-08</t>
  </si>
  <si>
    <t>14648173:eng</t>
  </si>
  <si>
    <t>4407112</t>
  </si>
  <si>
    <t>991000828989702656</t>
  </si>
  <si>
    <t>2256234120002656</t>
  </si>
  <si>
    <t>64956-1001</t>
  </si>
  <si>
    <t>893831457</t>
  </si>
  <si>
    <t>Influencing the future of nursing research through power and politics.</t>
  </si>
  <si>
    <t>Western Society for Research in Nursing (U.S.). Conference (18th : 1985 : Denver, Colo.)</t>
  </si>
  <si>
    <t>Boulder, Colo. : Western Interstate Commission for Higher Education, 1985.</t>
  </si>
  <si>
    <t>1985</t>
  </si>
  <si>
    <t>Communicating nursing research ; v. 18</t>
  </si>
  <si>
    <t>5576659842:eng</t>
  </si>
  <si>
    <t>20895589</t>
  </si>
  <si>
    <t>991001329409702656</t>
  </si>
  <si>
    <t>2262785720002656</t>
  </si>
  <si>
    <t>86763-1001</t>
  </si>
  <si>
    <t>893632948</t>
  </si>
  <si>
    <t>Humanizing nursing education : a confluent approach through group process / Virginia G. King, Norma A. Gerwig.</t>
  </si>
  <si>
    <t>King, Virginia G.</t>
  </si>
  <si>
    <t>Wakefield, Mass. : Nursing Resources, c1981.</t>
  </si>
  <si>
    <t>1981</t>
  </si>
  <si>
    <t>Nursing dimensions education series ; v. 1, no. 4, 1980</t>
  </si>
  <si>
    <t>558479:eng</t>
  </si>
  <si>
    <t>7773492</t>
  </si>
  <si>
    <t>991001546659702656</t>
  </si>
  <si>
    <t>2267950510002656</t>
  </si>
  <si>
    <t>9780913654699</t>
  </si>
  <si>
    <t>92579-1001</t>
  </si>
  <si>
    <t>893821333</t>
  </si>
  <si>
    <t>Optimizing environments for health : Nursing's unique perspective / edited by Marjorie V. Batey.</t>
  </si>
  <si>
    <t>Boulder, Colo.: Western Interstate Commission for Higher Education, September 1977.</t>
  </si>
  <si>
    <t>Communicating nursing research ; v. 10</t>
  </si>
  <si>
    <t>1994-08-30</t>
  </si>
  <si>
    <t>12352470:eng</t>
  </si>
  <si>
    <t>3727791</t>
  </si>
  <si>
    <t>991000829039702656</t>
  </si>
  <si>
    <t>2263498010002656</t>
  </si>
  <si>
    <t>64957-1001</t>
  </si>
  <si>
    <t>893560671</t>
  </si>
  <si>
    <t>Communicating nursing research : the research critique / Edited by Marjorie V. Batey.</t>
  </si>
  <si>
    <t>Boulder, Colo. : Western Interstate Commission for Higher Education, 1968.</t>
  </si>
  <si>
    <t>1968</t>
  </si>
  <si>
    <t>1988-09-07</t>
  </si>
  <si>
    <t>1485295:eng</t>
  </si>
  <si>
    <t>380002</t>
  </si>
  <si>
    <t>991000828729702656</t>
  </si>
  <si>
    <t>2260936760002656</t>
  </si>
  <si>
    <t>64951-1001</t>
  </si>
  <si>
    <t>893161240</t>
  </si>
  <si>
    <t>LOCATED IN SERIAL COLLECTION</t>
  </si>
  <si>
    <t>8LOCATED IN SERIAL COLLECTION</t>
  </si>
  <si>
    <t>A guide for effective clinical instruction / Lynda Juall Carpenito, T. Audean Duespohl.</t>
  </si>
  <si>
    <t>Carpenito, Lynda Juall.</t>
  </si>
  <si>
    <t>xxu</t>
  </si>
  <si>
    <t>Nursing dimensions education series ; v. 2, no. 3</t>
  </si>
  <si>
    <t>1992-04-03</t>
  </si>
  <si>
    <t>4138534:eng</t>
  </si>
  <si>
    <t>7924061</t>
  </si>
  <si>
    <t>991001546979702656</t>
  </si>
  <si>
    <t>2254866500002656</t>
  </si>
  <si>
    <t>9780913654781</t>
  </si>
  <si>
    <t>92588-1001</t>
  </si>
  <si>
    <t>893149327</t>
  </si>
  <si>
    <t>Nursing research priorities : choice or chance / edited by Marjorie V. Batey.</t>
  </si>
  <si>
    <t>WICHE Nursing Research Conference (8th : 1975 : Phoenix, Ariz.)</t>
  </si>
  <si>
    <t>Communicating nursing research ; v. 8</t>
  </si>
  <si>
    <t>1376884603:eng</t>
  </si>
  <si>
    <t>3098590</t>
  </si>
  <si>
    <t>991000828939702656</t>
  </si>
  <si>
    <t>2264774940002656</t>
  </si>
  <si>
    <t>64955-1001</t>
  </si>
  <si>
    <t>893743507</t>
  </si>
  <si>
    <t>Self-directed learning in nursing / edited by Signe S. Cooper.</t>
  </si>
  <si>
    <t>Wakefield, MA. : Nursing Resources, 1980.</t>
  </si>
  <si>
    <t>Nursing Dimensions Series: Focus Education, vol. 1, no. 2</t>
  </si>
  <si>
    <t>1991-12-08</t>
  </si>
  <si>
    <t>23327156:eng</t>
  </si>
  <si>
    <t>6593945</t>
  </si>
  <si>
    <t>991001546819702656</t>
  </si>
  <si>
    <t>2257728690002656</t>
  </si>
  <si>
    <t>9780913654644</t>
  </si>
  <si>
    <t>92584-1001</t>
  </si>
  <si>
    <t>893374721</t>
  </si>
  <si>
    <t>Collection Code</t>
  </si>
  <si>
    <t>Location Code</t>
  </si>
  <si>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</si>
  <si>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</si>
  <si>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</si>
  <si>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</si>
  <si>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</si>
  <si>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</si>
  <si>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</si>
  <si>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</si>
  <si>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</si>
  <si>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</si>
  <si>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</si>
  <si>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</si>
  <si>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</si>
  <si>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</si>
  <si>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</si>
  <si>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</si>
  <si>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</si>
  <si>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</si>
  <si>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</si>
  <si>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</si>
  <si>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</si>
  <si>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</si>
  <si>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</si>
  <si>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</si>
  <si>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</si>
  <si>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Nebraska Holdings - Same Edition</t>
  </si>
  <si>
    <t>All Comparator Library Holdings - Same Edition</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</si>
  <si>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</si>
  <si>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</si>
  <si>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</si>
  <si>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</si>
  <si>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</si>
  <si>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</si>
  <si>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</si>
  <si>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</si>
  <si>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</si>
  <si>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</si>
  <si>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</si>
  <si>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</si>
  <si>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</si>
  <si>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</si>
  <si>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</si>
  <si>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</si>
  <si>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</si>
  <si>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</si>
  <si>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</si>
  <si>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</si>
  <si>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</si>
  <si>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</si>
  <si>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</si>
  <si>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</si>
  <si>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</si>
  <si>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US Holdings</t>
  </si>
  <si>
    <t>Nebraska Holdings</t>
  </si>
  <si>
    <t>All Comparator Library Holdings</t>
  </si>
  <si>
    <t>Keep in Collection? (Yes/No)</t>
  </si>
  <si>
    <t>WY 2 F143 1981</t>
  </si>
  <si>
    <t>0                      WY 0002000F  143         1981</t>
  </si>
  <si>
    <t>Faculty research development grants : a follow-up report / Doris R. Schwartz.</t>
  </si>
  <si>
    <t>Schwartz, Doris R.</t>
  </si>
  <si>
    <t>New York : National League for Nursing, c1981.</t>
  </si>
  <si>
    <t>League exchange ; no. 126 [i.e. 125]</t>
  </si>
  <si>
    <t xml:space="preserve">WY </t>
  </si>
  <si>
    <t>1993-10-20</t>
  </si>
  <si>
    <t>1987-10-27</t>
  </si>
  <si>
    <t>43015149:eng</t>
  </si>
  <si>
    <t>7441612</t>
  </si>
  <si>
    <t>991001371589702656</t>
  </si>
  <si>
    <t>2260829640002656</t>
  </si>
  <si>
    <t>30001000461907</t>
  </si>
  <si>
    <t>893374481</t>
  </si>
  <si>
    <t>WY 5 N9741 1975</t>
  </si>
  <si>
    <t>0                      WY 0005000N  9741        1975</t>
  </si>
  <si>
    <t>Focus on the work environment / edited by the editorial staff.</t>
  </si>
  <si>
    <t>Wakefield, Mass. : Contemporary Pub., c1975.</t>
  </si>
  <si>
    <t>1989-10-12</t>
  </si>
  <si>
    <t>3359584:eng</t>
  </si>
  <si>
    <t>1992006</t>
  </si>
  <si>
    <t>991001038739702656</t>
  </si>
  <si>
    <t>2262124900002656</t>
  </si>
  <si>
    <t>9780913654132</t>
  </si>
  <si>
    <t>30001000241390</t>
  </si>
  <si>
    <t>893374220</t>
  </si>
  <si>
    <t>WY 7 R728m 1994</t>
  </si>
  <si>
    <t>0                      WY 0007000R  728m        1994</t>
  </si>
  <si>
    <t>Martha E. Rogers : her life and her work / [edited by] Violet M. Malinski, Elizabeth Ann Manhart Barrett ; with special contributions by John R. Phillips.</t>
  </si>
  <si>
    <t>Rogers, Martha E.</t>
  </si>
  <si>
    <t>Philadelphia : F.A. Davis, c1994.</t>
  </si>
  <si>
    <t>1994</t>
  </si>
  <si>
    <t>2005-09-06</t>
  </si>
  <si>
    <t>1995-02-20</t>
  </si>
  <si>
    <t>196556002:eng</t>
  </si>
  <si>
    <t>29912429</t>
  </si>
  <si>
    <t>991000688369702656</t>
  </si>
  <si>
    <t>2255555510002656</t>
  </si>
  <si>
    <t>9780803658073</t>
  </si>
  <si>
    <t>30001002699629</t>
  </si>
  <si>
    <t>893825384</t>
  </si>
  <si>
    <t>WY 9 B938i 1966</t>
  </si>
  <si>
    <t>0                      WY 0009000B  938i        1966</t>
  </si>
  <si>
    <t>Issues in nursing : readings selected from books and periodicals to form a basis for discussion of the problems in nursing today / Bonnie Bullough and Vern Bullough, editors.</t>
  </si>
  <si>
    <t>Bullough, Bonnie editor.</t>
  </si>
  <si>
    <t>New York : Springer Pub. Co., 1966.</t>
  </si>
  <si>
    <t>1966</t>
  </si>
  <si>
    <t>1999-10-07</t>
  </si>
  <si>
    <t>1662082:eng</t>
  </si>
  <si>
    <t>712012</t>
  </si>
  <si>
    <t>991001038849702656</t>
  </si>
  <si>
    <t>2256820270002656</t>
  </si>
  <si>
    <t>30001000241465</t>
  </si>
  <si>
    <t>893727195</t>
  </si>
  <si>
    <t>WY 9 N21t 1963</t>
  </si>
  <si>
    <t>0                      WY 0009000N  21t         1963</t>
  </si>
  <si>
    <t>Three score years and ten : 1893-1963 / [NLN Committee on Historical Source Materials in Nursing ; foreword by Martha E. Rogers]</t>
  </si>
  <si>
    <t>National League for Nursing. Committee on Historical Source Materials in Nursing.</t>
  </si>
  <si>
    <t>-- New York : National League for Nursing, 1963.</t>
  </si>
  <si>
    <t>1963</t>
  </si>
  <si>
    <t>|||</t>
  </si>
  <si>
    <t>1990-09-06</t>
  </si>
  <si>
    <t>1987-10-13</t>
  </si>
  <si>
    <t>2467765:eng</t>
  </si>
  <si>
    <t>1627495</t>
  </si>
  <si>
    <t>991001360889702656</t>
  </si>
  <si>
    <t>2268473880002656</t>
  </si>
  <si>
    <t>30001000460644</t>
  </si>
  <si>
    <t>893377221</t>
  </si>
  <si>
    <t>WY 9 N974 1980</t>
  </si>
  <si>
    <t>0                      WY 0009000N  974         1980</t>
  </si>
  <si>
    <t>Nursing, images and ideals : opening dialogue with the humanities / edited by Stuart F. Spicker, Sally Gadow.</t>
  </si>
  <si>
    <t>New York : Springer, c1980.</t>
  </si>
  <si>
    <t>2007-10-12</t>
  </si>
  <si>
    <t>894364247:eng</t>
  </si>
  <si>
    <t>5029605</t>
  </si>
  <si>
    <t>991001038879702656</t>
  </si>
  <si>
    <t>2271577080002656</t>
  </si>
  <si>
    <t>9780826127402</t>
  </si>
  <si>
    <t>30001000241473</t>
  </si>
  <si>
    <t>893168010</t>
  </si>
  <si>
    <t>WY 9 Y74 1995</t>
  </si>
  <si>
    <t>0                      WY 0009000Y  74          1995</t>
  </si>
  <si>
    <t>States of exile : correspondences between art, literature, and nursing / Jeanine Young-Mason.</t>
  </si>
  <si>
    <t>Young-Mason, Jeanine, 1938-</t>
  </si>
  <si>
    <t>New York : National League for Nursing Press, c1995.</t>
  </si>
  <si>
    <t>1995</t>
  </si>
  <si>
    <t>NLN pub. no. 14-2632</t>
  </si>
  <si>
    <t>2003-10-24</t>
  </si>
  <si>
    <t>2000-06-15</t>
  </si>
  <si>
    <t>36534647:eng</t>
  </si>
  <si>
    <t>32764404</t>
  </si>
  <si>
    <t>991000255809702656</t>
  </si>
  <si>
    <t>2260999680002656</t>
  </si>
  <si>
    <t>9780887376269</t>
  </si>
  <si>
    <t>30001003231398</t>
  </si>
  <si>
    <t>893728162</t>
  </si>
  <si>
    <t>WY 11 A141h 1960</t>
  </si>
  <si>
    <t>0                      WY 0011000A  141h        1960</t>
  </si>
  <si>
    <t>A history of the nursing profession in Great Britain / by Brian Abel-Smith.</t>
  </si>
  <si>
    <t>Abel-Smith, Brian.</t>
  </si>
  <si>
    <t>New York : Springer, 1960.</t>
  </si>
  <si>
    <t>1960</t>
  </si>
  <si>
    <t>3055845186:eng</t>
  </si>
  <si>
    <t>7603627</t>
  </si>
  <si>
    <t>991001039109702656</t>
  </si>
  <si>
    <t>2263199750002656</t>
  </si>
  <si>
    <t>30001000241549</t>
  </si>
  <si>
    <t>893637956</t>
  </si>
  <si>
    <t>WY 11 A165n 1979</t>
  </si>
  <si>
    <t>0                      WY 0011000A  165n        1979</t>
  </si>
  <si>
    <t>Nursing : a world view / Huda Abu-Saad.</t>
  </si>
  <si>
    <t>Abu-Saad, Huda, 1949-</t>
  </si>
  <si>
    <t>St. Louis : Mosby, c1979.</t>
  </si>
  <si>
    <t>3528269:eng</t>
  </si>
  <si>
    <t>4492952</t>
  </si>
  <si>
    <t>991001036829702656</t>
  </si>
  <si>
    <t>2263405200002656</t>
  </si>
  <si>
    <t>9780801600654</t>
  </si>
  <si>
    <t>30001000240939</t>
  </si>
  <si>
    <t>893460226</t>
  </si>
  <si>
    <t>WY 11 AA1 C289p 1991</t>
  </si>
  <si>
    <t>0                      WY 0011000AA 1                  C  289p        1991</t>
  </si>
  <si>
    <t>The path we tread : blacks in nursing, 1854-1990 / Mary Elizabeth Carnegie ; foreword by Josephine A. Dolan.</t>
  </si>
  <si>
    <t>Carnegie, Mary Elizabeth, 1916-2008.</t>
  </si>
  <si>
    <t>Philadelphia : Lippincott, c1991.</t>
  </si>
  <si>
    <t>NLN pub. no. 14-2438.</t>
  </si>
  <si>
    <t>3856935423:eng</t>
  </si>
  <si>
    <t>24941653</t>
  </si>
  <si>
    <t>991000232029702656</t>
  </si>
  <si>
    <t>2271300270002656</t>
  </si>
  <si>
    <t>9780887375347</t>
  </si>
  <si>
    <t>30001002318162</t>
  </si>
  <si>
    <t>893451905</t>
  </si>
  <si>
    <t>WY 11 AA1 K3r 1949</t>
  </si>
  <si>
    <t>0                      WY 0011000AA 1                  K  3r          1949</t>
  </si>
  <si>
    <t>The Red Cross nurse in action, 1882-1948.</t>
  </si>
  <si>
    <t>Kernodle, Portia.</t>
  </si>
  <si>
    <t>New York : Harper, 1949.</t>
  </si>
  <si>
    <t>1949</t>
  </si>
  <si>
    <t>1994-03-01</t>
  </si>
  <si>
    <t>2155957:eng</t>
  </si>
  <si>
    <t>1247541</t>
  </si>
  <si>
    <t>991001038959702656</t>
  </si>
  <si>
    <t>2263557870002656</t>
  </si>
  <si>
    <t>30001000241499</t>
  </si>
  <si>
    <t>893727196</t>
  </si>
  <si>
    <t>WY 11 AA1 O5 1976</t>
  </si>
  <si>
    <t>0                      WY 0011000AA 1                  O  5           1976</t>
  </si>
  <si>
    <t>One strong voice : the story of the American Nurses' Association / compiled by Lyndia Flanagan.</t>
  </si>
  <si>
    <t>-- Kansas City, Mo. : American Nurses' Association, 1976.</t>
  </si>
  <si>
    <t>-- American Nurses' Association</t>
  </si>
  <si>
    <t>2005-07-21</t>
  </si>
  <si>
    <t>46802673:eng</t>
  </si>
  <si>
    <t>2409813</t>
  </si>
  <si>
    <t>991001038989702656</t>
  </si>
  <si>
    <t>2269193970002656</t>
  </si>
  <si>
    <t>9780913504314</t>
  </si>
  <si>
    <t>30001000241515</t>
  </si>
  <si>
    <t>893637955</t>
  </si>
  <si>
    <t>WY 11AA1 R6a</t>
  </si>
  <si>
    <t>0                      WY 0011000AA 1                  R  6a</t>
  </si>
  <si>
    <t>American nursing : history and interpretation.</t>
  </si>
  <si>
    <t>Roberts, Mary M.</t>
  </si>
  <si>
    <t>New York : Macmillan, 1954.</t>
  </si>
  <si>
    <t>1954</t>
  </si>
  <si>
    <t>1988-04-24</t>
  </si>
  <si>
    <t>1813966:eng</t>
  </si>
  <si>
    <t>743081</t>
  </si>
  <si>
    <t>991000741719702656</t>
  </si>
  <si>
    <t>2267446470002656</t>
  </si>
  <si>
    <t>30001000043515</t>
  </si>
  <si>
    <t>893815323</t>
  </si>
  <si>
    <t>WY 11 B659n 1978</t>
  </si>
  <si>
    <t>0                      WY 0011000B  659n        1978</t>
  </si>
  <si>
    <t>Nursing in society : a historical perspective / Josephine A. Dolan.</t>
  </si>
  <si>
    <t>Dolan, Josephine A.</t>
  </si>
  <si>
    <t>Philadelphia : Saunders, c1978.</t>
  </si>
  <si>
    <t>14th ed.</t>
  </si>
  <si>
    <t>1994-06-11</t>
  </si>
  <si>
    <t>1988-01-13</t>
  </si>
  <si>
    <t>1685823:eng</t>
  </si>
  <si>
    <t>4005219</t>
  </si>
  <si>
    <t>991001035459702656</t>
  </si>
  <si>
    <t>2264864680002656</t>
  </si>
  <si>
    <t>9780721631332</t>
  </si>
  <si>
    <t>30001000240699</t>
  </si>
  <si>
    <t>893168009</t>
  </si>
  <si>
    <t>WY 11 B829w 1952</t>
  </si>
  <si>
    <t>0                      WY 0011000B  829w        1952</t>
  </si>
  <si>
    <t>Wide neighborhoods : a story of the Frontier Nursing Service.</t>
  </si>
  <si>
    <t>Breckinridge, Mary, 1881-1965.</t>
  </si>
  <si>
    <t>New York : Harper, 1952.</t>
  </si>
  <si>
    <t>1952</t>
  </si>
  <si>
    <t>1994-11-19</t>
  </si>
  <si>
    <t>473977:eng</t>
  </si>
  <si>
    <t>299354</t>
  </si>
  <si>
    <t>991001035119702656</t>
  </si>
  <si>
    <t>2264356270002656</t>
  </si>
  <si>
    <t>30001000240624</t>
  </si>
  <si>
    <t>893161632</t>
  </si>
  <si>
    <t>WY 11 B938e 1964</t>
  </si>
  <si>
    <t>0                      WY 0011000B  938e        1964</t>
  </si>
  <si>
    <t>The emergence of modern nursing / by Bonnie Bullough and Vern L. Bullough.</t>
  </si>
  <si>
    <t>Bullough, Bonnie.</t>
  </si>
  <si>
    <t>New York : Macmillan, 1964.</t>
  </si>
  <si>
    <t>1964</t>
  </si>
  <si>
    <t>1988-01-09</t>
  </si>
  <si>
    <t>540930:eng</t>
  </si>
  <si>
    <t>965283</t>
  </si>
  <si>
    <t>991001035239702656</t>
  </si>
  <si>
    <t>2258339830002656</t>
  </si>
  <si>
    <t>30001000240632</t>
  </si>
  <si>
    <t>893743611</t>
  </si>
  <si>
    <t>WY 11 F673e 1983</t>
  </si>
  <si>
    <t>0                      WY 0011000F  673e        1983</t>
  </si>
  <si>
    <t>The entry dilemma : the National League for Nursing and the higher education movement, 1952-1972, with an epilogue to 1983 / Shirley H. Fondiller.</t>
  </si>
  <si>
    <t>Fondiller, Shirley H.</t>
  </si>
  <si>
    <t>New York, N.Y. : National League for Nursing, c1983.</t>
  </si>
  <si>
    <t>1983</t>
  </si>
  <si>
    <t>NLN pub. no. 41-1896</t>
  </si>
  <si>
    <t>1987-11-12</t>
  </si>
  <si>
    <t>292539750:eng</t>
  </si>
  <si>
    <t>11291695</t>
  </si>
  <si>
    <t>991001390339702656</t>
  </si>
  <si>
    <t>2262180940002656</t>
  </si>
  <si>
    <t>30001000464901</t>
  </si>
  <si>
    <t>893552427</t>
  </si>
  <si>
    <t>WY 11 F828 1953</t>
  </si>
  <si>
    <t>0                      WY 0011000F  828         1953</t>
  </si>
  <si>
    <t>The historical development of nursing : emphasizing the cultural background of the race and the influence of philosophy and religion on the healing arts.</t>
  </si>
  <si>
    <t>Frank, Charles Marie, Sister.</t>
  </si>
  <si>
    <t>Philadelphia : Saunders, 1953.</t>
  </si>
  <si>
    <t>1953</t>
  </si>
  <si>
    <t>229638069:eng</t>
  </si>
  <si>
    <t>1355210</t>
  </si>
  <si>
    <t>991001035659702656</t>
  </si>
  <si>
    <t>2272381820002656</t>
  </si>
  <si>
    <t>30001000240715</t>
  </si>
  <si>
    <t>893467791</t>
  </si>
  <si>
    <t>WY 11 G653 1968</t>
  </si>
  <si>
    <t>0                      WY 0011000G  653         1968</t>
  </si>
  <si>
    <t>History of nursing / by Josephine A. Dolan.</t>
  </si>
  <si>
    <t>Philadelphia : Saunders, 1968.</t>
  </si>
  <si>
    <t>12th ed.</t>
  </si>
  <si>
    <t>1761440:eng</t>
  </si>
  <si>
    <t>795696</t>
  </si>
  <si>
    <t>991001035789702656</t>
  </si>
  <si>
    <t>2260105380002656</t>
  </si>
  <si>
    <t>30001000240749</t>
  </si>
  <si>
    <t>893740694</t>
  </si>
  <si>
    <t>WY 11 J32h 1946</t>
  </si>
  <si>
    <t>0                      WY 0011000J  32h         1946</t>
  </si>
  <si>
    <t>History of nursing notebook / by Elizabeth M. Jamieson and Mary Sewall.</t>
  </si>
  <si>
    <t>Jamieson, Elizabeth M. (Elizabeth Marion)</t>
  </si>
  <si>
    <t>Philadelphia : Lippincott, c1946.</t>
  </si>
  <si>
    <t>8th ed.</t>
  </si>
  <si>
    <t>8434332:eng</t>
  </si>
  <si>
    <t>15176554</t>
  </si>
  <si>
    <t>991001035869702656</t>
  </si>
  <si>
    <t>2260952060002656</t>
  </si>
  <si>
    <t>30001000240764</t>
  </si>
  <si>
    <t>893278647</t>
  </si>
  <si>
    <t>WY 11 J32t 1966</t>
  </si>
  <si>
    <t>0                      WY 0011000J  32t         1966</t>
  </si>
  <si>
    <t>Trends in nursing history : their social, international, and ethical relationships / by Elizabeth M. Jamieson ... [et al.].</t>
  </si>
  <si>
    <t>Philadelphia : Saunders, 1966.</t>
  </si>
  <si>
    <t>1989-12-05</t>
  </si>
  <si>
    <t>3856420868:eng</t>
  </si>
  <si>
    <t>625033</t>
  </si>
  <si>
    <t>991001035929702656</t>
  </si>
  <si>
    <t>2262466840002656</t>
  </si>
  <si>
    <t>30001000240772</t>
  </si>
  <si>
    <t>893363677</t>
  </si>
  <si>
    <t>WY 11 L671t 1996</t>
  </si>
  <si>
    <t>0                      WY 0011000L  671t        1996</t>
  </si>
  <si>
    <t>Taking charge : nursing, suffrage, and feminism in America, 1873-1920 / Sandra Beth Lewenson.</t>
  </si>
  <si>
    <t>Lewenson, Sandra.</t>
  </si>
  <si>
    <t>New York : NLN Press, c1996.</t>
  </si>
  <si>
    <t>1996</t>
  </si>
  <si>
    <t>NLN pub. no. 14-6843</t>
  </si>
  <si>
    <t>2007-05-15</t>
  </si>
  <si>
    <t>10075899794:eng</t>
  </si>
  <si>
    <t>34245000</t>
  </si>
  <si>
    <t>991000259799702656</t>
  </si>
  <si>
    <t>2264435180002656</t>
  </si>
  <si>
    <t>9780887376849</t>
  </si>
  <si>
    <t>30001003353184</t>
  </si>
  <si>
    <t>893628959</t>
  </si>
  <si>
    <t>WY 11 M861h 1941</t>
  </si>
  <si>
    <t>0                      WY 0011000M  861h        1941</t>
  </si>
  <si>
    <t>History of nursing.</t>
  </si>
  <si>
    <t>Morison, Luella J.</t>
  </si>
  <si>
    <t>Philadelphia : Davis, 1942, c1941.</t>
  </si>
  <si>
    <t>1942</t>
  </si>
  <si>
    <t>1994-02-18</t>
  </si>
  <si>
    <t>3080929:eng</t>
  </si>
  <si>
    <t>1846656</t>
  </si>
  <si>
    <t>991001036289702656</t>
  </si>
  <si>
    <t>2258338630002656</t>
  </si>
  <si>
    <t>30001000240806</t>
  </si>
  <si>
    <t>893278648</t>
  </si>
  <si>
    <t>WY 11 N988h</t>
  </si>
  <si>
    <t>0                      WY 0011000N  988h</t>
  </si>
  <si>
    <t>A history of nursing : the evolution of nursing systems from the earliest times to the foundation of the first English and American training schools for nurses / by M. Adelaide Nutting and Lavinia L. Dock.</t>
  </si>
  <si>
    <t>V. 2</t>
  </si>
  <si>
    <t>Nutting, M. Adelaide (Mary Adelaide), 1858-1948.</t>
  </si>
  <si>
    <t>New York ; London : G.P. Putnam's Sons, 1907-12.</t>
  </si>
  <si>
    <t>1907</t>
  </si>
  <si>
    <t>2007-08-13</t>
  </si>
  <si>
    <t>1989-03-16</t>
  </si>
  <si>
    <t>2845297229:eng</t>
  </si>
  <si>
    <t>1351332</t>
  </si>
  <si>
    <t>991001036439702656</t>
  </si>
  <si>
    <t>2266165190002656</t>
  </si>
  <si>
    <t>30001000240855</t>
  </si>
  <si>
    <t>893273621</t>
  </si>
  <si>
    <t>V. 3</t>
  </si>
  <si>
    <t>2004-12-13</t>
  </si>
  <si>
    <t>30001000240848</t>
  </si>
  <si>
    <t>893273620</t>
  </si>
  <si>
    <t>V. 4</t>
  </si>
  <si>
    <t>30001000240863</t>
  </si>
  <si>
    <t>893273619</t>
  </si>
  <si>
    <t>V. 1</t>
  </si>
  <si>
    <t>30001000240830</t>
  </si>
  <si>
    <t>893273622</t>
  </si>
  <si>
    <t>WY 11 S467h 1946</t>
  </si>
  <si>
    <t>0                      WY 0011000S  467h        1946</t>
  </si>
  <si>
    <t>A history of nursing / by Gladys Sellew and C. J. Nuesse.</t>
  </si>
  <si>
    <t>Sellew, Gladys, 1887-1977.</t>
  </si>
  <si>
    <t>St. Louis : Mosby, 1946.</t>
  </si>
  <si>
    <t>1990-04-04</t>
  </si>
  <si>
    <t>2216895:eng</t>
  </si>
  <si>
    <t>1349095</t>
  </si>
  <si>
    <t>991001036599702656</t>
  </si>
  <si>
    <t>2257289490002656</t>
  </si>
  <si>
    <t>30001000240889</t>
  </si>
  <si>
    <t>893552073</t>
  </si>
  <si>
    <t>WY 11 S521g 1933</t>
  </si>
  <si>
    <t>0                      WY 0011000S  521g        1933</t>
  </si>
  <si>
    <t>A general history of nursing / by Lucy Ridgely Seymer.</t>
  </si>
  <si>
    <t>Seymer, Lucy Ridgely.</t>
  </si>
  <si>
    <t>New York, NY : The Macmillan company, 1933.</t>
  </si>
  <si>
    <t>1933</t>
  </si>
  <si>
    <t>1994-04-13</t>
  </si>
  <si>
    <t>1284626:eng</t>
  </si>
  <si>
    <t>1880989</t>
  </si>
  <si>
    <t>991001036669702656</t>
  </si>
  <si>
    <t>2257414500002656</t>
  </si>
  <si>
    <t>30001000240897</t>
  </si>
  <si>
    <t>893632678</t>
  </si>
  <si>
    <t>WY 11.1 B857h 1989</t>
  </si>
  <si>
    <t>0                      WY 0011100B  857h        1989</t>
  </si>
  <si>
    <t>A history of diploma programs in nursing and the National League for Nursing 1952-1987 / Katherine Brim.</t>
  </si>
  <si>
    <t>Brim, Katherine.</t>
  </si>
  <si>
    <t>New York : National League for Nursing, c1989.</t>
  </si>
  <si>
    <t>1989</t>
  </si>
  <si>
    <t>NLN Pub. no. 16-2284.</t>
  </si>
  <si>
    <t>1990-03-27</t>
  </si>
  <si>
    <t>1989-12-27</t>
  </si>
  <si>
    <t>22256913:eng</t>
  </si>
  <si>
    <t>21163894</t>
  </si>
  <si>
    <t>991001382849702656</t>
  </si>
  <si>
    <t>2259759270002656</t>
  </si>
  <si>
    <t>9780887374463</t>
  </si>
  <si>
    <t>30001001799123</t>
  </si>
  <si>
    <t>893451122</t>
  </si>
  <si>
    <t>WY 11.1 B938h 1984</t>
  </si>
  <si>
    <t>0                      WY 0011100B  938h        1984</t>
  </si>
  <si>
    <t>History, trends, and politics of nursing / Vern L. Bullough, Bonnie Bullough.</t>
  </si>
  <si>
    <t>Bullough, Vern L.</t>
  </si>
  <si>
    <t>Norwalk, Conn. : Appleton-Century-Crofts, c1984.</t>
  </si>
  <si>
    <t>1984</t>
  </si>
  <si>
    <t>2002-07-11</t>
  </si>
  <si>
    <t>2898596:eng</t>
  </si>
  <si>
    <t>10208334</t>
  </si>
  <si>
    <t>991001037039702656</t>
  </si>
  <si>
    <t>2270677820002656</t>
  </si>
  <si>
    <t>9780838537756</t>
  </si>
  <si>
    <t>30001000240970</t>
  </si>
  <si>
    <t>893740695</t>
  </si>
  <si>
    <t>WY 11.1 C289p 1995</t>
  </si>
  <si>
    <t>0                      WY 0011100C  289p        1995</t>
  </si>
  <si>
    <t>The path we tread : blacks in nursing worldwide, 1854-1994 / Mary Elizabeth Carnegie ; foreword by Josephine A. Dolan.</t>
  </si>
  <si>
    <t>New York, N.Y. : National League of Nursing Press, c1995.</t>
  </si>
  <si>
    <t>3rd ed.</t>
  </si>
  <si>
    <t>NLN Pub. No. 14-2678</t>
  </si>
  <si>
    <t>2002-07-21</t>
  </si>
  <si>
    <t>31819658</t>
  </si>
  <si>
    <t>991000252529702656</t>
  </si>
  <si>
    <t>2259806540002656</t>
  </si>
  <si>
    <t>9780887376405</t>
  </si>
  <si>
    <t>30001003169028</t>
  </si>
  <si>
    <t>893365253</t>
  </si>
  <si>
    <t>WY 11.1 D659n 1983</t>
  </si>
  <si>
    <t>0                      WY 0011100D  659n        1983</t>
  </si>
  <si>
    <t>Nursing in society : a historical perspective / Josephine A. Dolan, Louise Fitzpatrick, Eleanor Herrmann.</t>
  </si>
  <si>
    <t>Philadelphia : Saunders, c1983.</t>
  </si>
  <si>
    <t>15th ed.</t>
  </si>
  <si>
    <t>8954506</t>
  </si>
  <si>
    <t>991001036999702656</t>
  </si>
  <si>
    <t>2265110770002656</t>
  </si>
  <si>
    <t>9780721631356</t>
  </si>
  <si>
    <t>30001000240962</t>
  </si>
  <si>
    <t>893369044</t>
  </si>
  <si>
    <t>WY 11.1 D674n 1985</t>
  </si>
  <si>
    <t>0                      WY 0011100D  674n        1985</t>
  </si>
  <si>
    <t>Nursing, the finest art : an illustrated history / M. Patricia Donahue ; illustrations edited and compiled by Patricia A. Russac.</t>
  </si>
  <si>
    <t>Donahue, M. Patricia.</t>
  </si>
  <si>
    <t>St. Louis : Mosby, c1985.</t>
  </si>
  <si>
    <t>2002-03-30</t>
  </si>
  <si>
    <t>1991-05-06</t>
  </si>
  <si>
    <t>793277868:eng</t>
  </si>
  <si>
    <t>11621540</t>
  </si>
  <si>
    <t>991001036869702656</t>
  </si>
  <si>
    <t>2260055530002656</t>
  </si>
  <si>
    <t>9780801614248</t>
  </si>
  <si>
    <t>30001000240947</t>
  </si>
  <si>
    <t>893121129</t>
  </si>
  <si>
    <t>WY 11.1 I31 1988</t>
  </si>
  <si>
    <t>0                      WY 0011100I  31          1988</t>
  </si>
  <si>
    <t>Images of nurses : perspectives from history, art, and literature / edited by Anne Hudson Jones.</t>
  </si>
  <si>
    <t>Philadelphia : University of Pennsylvania Press, c1988.</t>
  </si>
  <si>
    <t>1988</t>
  </si>
  <si>
    <t>1989-09-13</t>
  </si>
  <si>
    <t>890430342:eng</t>
  </si>
  <si>
    <t>16682241</t>
  </si>
  <si>
    <t>991001321619702656</t>
  </si>
  <si>
    <t>2271946810002656</t>
  </si>
  <si>
    <t>9780812212549</t>
  </si>
  <si>
    <t>30001001753708</t>
  </si>
  <si>
    <t>893278993</t>
  </si>
  <si>
    <t>WY 11.1 N974 1981</t>
  </si>
  <si>
    <t>0                      WY 0011100N  974         1981</t>
  </si>
  <si>
    <t>Nursing history--new perspectives, new possibilities / Ellen Condliffe Lagemann, editor.</t>
  </si>
  <si>
    <t>New York : Teachers College Press, c1983.</t>
  </si>
  <si>
    <t>1988-09-15</t>
  </si>
  <si>
    <t>870910932:eng</t>
  </si>
  <si>
    <t>8552297</t>
  </si>
  <si>
    <t>991001037289702656</t>
  </si>
  <si>
    <t>2254878890002656</t>
  </si>
  <si>
    <t>9780807727300</t>
  </si>
  <si>
    <t>30001000240996</t>
  </si>
  <si>
    <t>893643160</t>
  </si>
  <si>
    <t>WY 11.1 P134 1984</t>
  </si>
  <si>
    <t>0                      WY 0011100P  134         1984</t>
  </si>
  <si>
    <t>Pages from nursing history : a collection of original articles from the pages of Nursing outlook, the American journal of nursing, and Nursing research.</t>
  </si>
  <si>
    <t>New York, N.Y. : American Journal of Nursing Co, c1984.</t>
  </si>
  <si>
    <t>2008-02-25</t>
  </si>
  <si>
    <t>54691641:eng</t>
  </si>
  <si>
    <t>11640555</t>
  </si>
  <si>
    <t>991000741589702656</t>
  </si>
  <si>
    <t>2256680660002656</t>
  </si>
  <si>
    <t>30001000043473</t>
  </si>
  <si>
    <t>893272948</t>
  </si>
  <si>
    <t>WY13 E5632 2006</t>
  </si>
  <si>
    <t>0                      WY 0013000E  5632        2006</t>
  </si>
  <si>
    <t>Encyclopedia of nursing research / Joyce J. Fitzpatrick, editor-in-chief ; Meredith Wallace, associate editor.</t>
  </si>
  <si>
    <t>2</t>
  </si>
  <si>
    <t>New York : Springer Pub., c2006.</t>
  </si>
  <si>
    <t>2007-11-30</t>
  </si>
  <si>
    <t>2005-10-21</t>
  </si>
  <si>
    <t>1039070759:eng</t>
  </si>
  <si>
    <t>60705659</t>
  </si>
  <si>
    <t>991000445729702656</t>
  </si>
  <si>
    <t>2265472640002656</t>
  </si>
  <si>
    <t>9780826198129</t>
  </si>
  <si>
    <t>30001004914273</t>
  </si>
  <si>
    <t>893370562</t>
  </si>
  <si>
    <t>WY 13 M894 1990</t>
  </si>
  <si>
    <t>0                      WY 0013000M  894         1990</t>
  </si>
  <si>
    <t>Mosby's medical, nursing, and allied health dictionary.</t>
  </si>
  <si>
    <t>St. Louis : Mosby, c1990.</t>
  </si>
  <si>
    <t>1990</t>
  </si>
  <si>
    <t>3rd ed. / managing editor, Walter D. Glanze ; revision editor, Kenneth N. Anderson ; consulting editor and writer, Lois E. Anderson.</t>
  </si>
  <si>
    <t>2002-10-30</t>
  </si>
  <si>
    <t>1989-11-20</t>
  </si>
  <si>
    <t>375483287:eng</t>
  </si>
  <si>
    <t>20811002</t>
  </si>
  <si>
    <t>991001367759702656</t>
  </si>
  <si>
    <t>2261700950002656</t>
  </si>
  <si>
    <t>9780801632273</t>
  </si>
  <si>
    <t>30001001797358</t>
  </si>
  <si>
    <t>893460502</t>
  </si>
  <si>
    <t>WY 13 N974 1999</t>
  </si>
  <si>
    <t>0                      WY 0013000N  974         1999</t>
  </si>
  <si>
    <t>Nursing research digest / Joyce J. Fitzpatrick, editor.</t>
  </si>
  <si>
    <t>New York : Springer Pub. Co., c1999.</t>
  </si>
  <si>
    <t>1999</t>
  </si>
  <si>
    <t>2000-03-06</t>
  </si>
  <si>
    <t>2000-03-03</t>
  </si>
  <si>
    <t>3857437074:eng</t>
  </si>
  <si>
    <t>41156512</t>
  </si>
  <si>
    <t>991001441869702656</t>
  </si>
  <si>
    <t>2261568990002656</t>
  </si>
  <si>
    <t>9780826112927</t>
  </si>
  <si>
    <t>30001003882604</t>
  </si>
  <si>
    <t>893467979</t>
  </si>
  <si>
    <t>WY 13 P888d 1990</t>
  </si>
  <si>
    <t>0                      WY 0013000P  888d        1990</t>
  </si>
  <si>
    <t>A dictionary of nursing theory and research / Bethel Ann Powers, Thomas R. Knapp.</t>
  </si>
  <si>
    <t>Powers, Bethel Ann, 1943-</t>
  </si>
  <si>
    <t>Newbury Park, CA : Sage Publications, c1990.</t>
  </si>
  <si>
    <t>cau</t>
  </si>
  <si>
    <t>1993-12-20</t>
  </si>
  <si>
    <t>1993-12-10</t>
  </si>
  <si>
    <t>966712:eng</t>
  </si>
  <si>
    <t>20492149</t>
  </si>
  <si>
    <t>991000644959702656</t>
  </si>
  <si>
    <t>2270333060002656</t>
  </si>
  <si>
    <t>9780803934115</t>
  </si>
  <si>
    <t>30001002690271</t>
  </si>
  <si>
    <t>893642211</t>
  </si>
  <si>
    <t>WY 13 S673h 1999</t>
  </si>
  <si>
    <t>0                      WY 0013000S  673h        1999</t>
  </si>
  <si>
    <t>Historical encyclopedia of nursing / Mary Ellen Snodgrass.</t>
  </si>
  <si>
    <t>Snodgrass, Mary Ellen.</t>
  </si>
  <si>
    <t>Santa Barbara, Calif. : ABC-CLIO, c1999.</t>
  </si>
  <si>
    <t>2005-02-03</t>
  </si>
  <si>
    <t>44247408:eng</t>
  </si>
  <si>
    <t>42290243</t>
  </si>
  <si>
    <t>991000426329702656</t>
  </si>
  <si>
    <t>2259383720002656</t>
  </si>
  <si>
    <t>9781576070864</t>
  </si>
  <si>
    <t>30001004927291</t>
  </si>
  <si>
    <t>893359545</t>
  </si>
  <si>
    <t>WY15 N176 2003</t>
  </si>
  <si>
    <t>0                      WY 0015000N  176         2003</t>
  </si>
  <si>
    <t>NANDA nursing diagnoses : definitions &amp; classification, 2003-2004.</t>
  </si>
  <si>
    <t>Philadelphia : NANDA International, c2003.</t>
  </si>
  <si>
    <t>2003</t>
  </si>
  <si>
    <t>2004-04-04</t>
  </si>
  <si>
    <t>2004-04-02</t>
  </si>
  <si>
    <t>4883926553:eng</t>
  </si>
  <si>
    <t>52381723</t>
  </si>
  <si>
    <t>991000369559702656</t>
  </si>
  <si>
    <t>2256846740002656</t>
  </si>
  <si>
    <t>9780963704290</t>
  </si>
  <si>
    <t>30001004507051</t>
  </si>
  <si>
    <t>893644330</t>
  </si>
  <si>
    <t>WY15 N176 2005</t>
  </si>
  <si>
    <t>0                      WY 0015000N  176         2005</t>
  </si>
  <si>
    <t>NANDA nursing diagnoses : definitions &amp; classification, 2005-2006.</t>
  </si>
  <si>
    <t>Philadelphia : NANDA International, c2005.</t>
  </si>
  <si>
    <t>2005</t>
  </si>
  <si>
    <t>2006-10-08</t>
  </si>
  <si>
    <t>2005-11-18</t>
  </si>
  <si>
    <t>4918802406:eng</t>
  </si>
  <si>
    <t>58460878</t>
  </si>
  <si>
    <t>991001736059702656</t>
  </si>
  <si>
    <t>2269475690002656</t>
  </si>
  <si>
    <t>9780963704245</t>
  </si>
  <si>
    <t>30001004912723</t>
  </si>
  <si>
    <t>893727862</t>
  </si>
  <si>
    <t>WY 16 A211e 1980</t>
  </si>
  <si>
    <t>0                      WY 0016000A  211e        1980</t>
  </si>
  <si>
    <t>To be a nurse / Evelyn Adam.</t>
  </si>
  <si>
    <t>Adam, Evelyn.</t>
  </si>
  <si>
    <t>Toronto ; Philadelphia : Saunders, c1980.</t>
  </si>
  <si>
    <t>xxc</t>
  </si>
  <si>
    <t>1990-04-26</t>
  </si>
  <si>
    <t>24554540:eng</t>
  </si>
  <si>
    <t>6952715</t>
  </si>
  <si>
    <t>991001037319702656</t>
  </si>
  <si>
    <t>2271828140002656</t>
  </si>
  <si>
    <t>9780721610320</t>
  </si>
  <si>
    <t>30001000241002</t>
  </si>
  <si>
    <t>893377060</t>
  </si>
  <si>
    <t>WY 16 A456c 1981</t>
  </si>
  <si>
    <t>0                      WY 0016000A  456c        1981</t>
  </si>
  <si>
    <t>Careers in nursing / Stanley Alperin.</t>
  </si>
  <si>
    <t>Alperin, Stanley.</t>
  </si>
  <si>
    <t>Cambridge, Mass. : Ballinger Pub. Co., c1981.</t>
  </si>
  <si>
    <t>1991-05-20</t>
  </si>
  <si>
    <t>28558354:eng</t>
  </si>
  <si>
    <t>7553284</t>
  </si>
  <si>
    <t>991001037349702656</t>
  </si>
  <si>
    <t>2263629120002656</t>
  </si>
  <si>
    <t>9780884107316</t>
  </si>
  <si>
    <t>30001000241010</t>
  </si>
  <si>
    <t>893148821</t>
  </si>
  <si>
    <t>WY 16 A5103 1985</t>
  </si>
  <si>
    <t>0                      WY 0016000A  5103        1985</t>
  </si>
  <si>
    <t>Setting the agenda for the year 2000 : knowledge development in nursing : presidental address, papers, and forum summaries / Annual Meeting and Scientific Session, December 2-4, 1985, San Diego, California ; edited by Gladys E. Sorensen.</t>
  </si>
  <si>
    <t>American Academy of Nursing. Meeting (13th : 1985 : San Diego, Calif.)</t>
  </si>
  <si>
    <t>Kansa City, Mo. (2420 Pershing Rd., Kansas City 64108) : American Academy of Nursing, c1986.</t>
  </si>
  <si>
    <t>1986</t>
  </si>
  <si>
    <t>ANA pub ; no. G-170</t>
  </si>
  <si>
    <t>1993-01-28</t>
  </si>
  <si>
    <t>1987-12-10</t>
  </si>
  <si>
    <t>2453307452:eng</t>
  </si>
  <si>
    <t>13582751</t>
  </si>
  <si>
    <t>991001519469702656</t>
  </si>
  <si>
    <t>2258961740002656</t>
  </si>
  <si>
    <t>30001000602187</t>
  </si>
  <si>
    <t>893121586</t>
  </si>
  <si>
    <t>WY 16 A512pc 1978</t>
  </si>
  <si>
    <t>0                      WY 0016000A  512pc       1978</t>
  </si>
  <si>
    <t>Power, nursing's challenge for change : papers presented at the 51st convention, Honolulu, Hawaii, June 9-14, 1978.</t>
  </si>
  <si>
    <t>Kansas City, Mo. : American Nurses' Association, c1979.</t>
  </si>
  <si>
    <t>ANA publication code : G-135 5M 3/79</t>
  </si>
  <si>
    <t>1996-06-11</t>
  </si>
  <si>
    <t>15260210:eng</t>
  </si>
  <si>
    <t>5100284</t>
  </si>
  <si>
    <t>991001037579702656</t>
  </si>
  <si>
    <t>2258503840002656</t>
  </si>
  <si>
    <t>30001000241044</t>
  </si>
  <si>
    <t>893831873</t>
  </si>
  <si>
    <t>WY 16 A512s 1986</t>
  </si>
  <si>
    <t>0                      WY 0016000A  512s        1986</t>
  </si>
  <si>
    <t>Standards of rehabilitation nursing practice / American Nurses' Association and Association of Rehabilitation Nurses.</t>
  </si>
  <si>
    <t>Kansas City, Mo. (2420 Pershing Rd., Kansas City 64108) : American Nurses' Association, c1986.</t>
  </si>
  <si>
    <t>ANA pub ; no. MS-15</t>
  </si>
  <si>
    <t>1994-03-04</t>
  </si>
  <si>
    <t>3768560238:eng</t>
  </si>
  <si>
    <t>14412086</t>
  </si>
  <si>
    <t>991001519029702656</t>
  </si>
  <si>
    <t>2261868060002656</t>
  </si>
  <si>
    <t>30001000601940</t>
  </si>
  <si>
    <t>893369438</t>
  </si>
  <si>
    <t>WY 16 A652 1991</t>
  </si>
  <si>
    <t>0                      WY 0016000A  652         1991</t>
  </si>
  <si>
    <t>Approaches to nursing standards / edited by Patricia Schroeder.</t>
  </si>
  <si>
    <t>Gaithersburg, Md. : Aspen Publishers, c1991.</t>
  </si>
  <si>
    <t>mdu</t>
  </si>
  <si>
    <t>The Encyclopedia of nursing care quality ; v. 2.</t>
  </si>
  <si>
    <t>1996-11-04</t>
  </si>
  <si>
    <t>1993-03-26</t>
  </si>
  <si>
    <t>24507162:eng</t>
  </si>
  <si>
    <t>22983378</t>
  </si>
  <si>
    <t>991001472119702656</t>
  </si>
  <si>
    <t>2255918170002656</t>
  </si>
  <si>
    <t>9780834202146</t>
  </si>
  <si>
    <t>30001002563155</t>
  </si>
  <si>
    <t>893162039</t>
  </si>
  <si>
    <t>WY16 B614f 1999</t>
  </si>
  <si>
    <t>0                      WY 0016000B  614f        1999</t>
  </si>
  <si>
    <t>Freedom to practise : the development of patient-centred nursing / Alison Binnie and Angie Tichen ; edited by Judith Lathlean ; with a foreword by Marie Manthey.</t>
  </si>
  <si>
    <t>Binnie, Alison.</t>
  </si>
  <si>
    <t>Oxford ; Boston : Butterworth-Heinemann, 1999.</t>
  </si>
  <si>
    <t>2002-07-19</t>
  </si>
  <si>
    <t>2002-07-02</t>
  </si>
  <si>
    <t>26456452:eng</t>
  </si>
  <si>
    <t>41452682</t>
  </si>
  <si>
    <t>991000321119702656</t>
  </si>
  <si>
    <t>2265059370002656</t>
  </si>
  <si>
    <t>9780750640756</t>
  </si>
  <si>
    <t>30001004442655</t>
  </si>
  <si>
    <t>893264119</t>
  </si>
  <si>
    <t>WY 16 B878n 1948</t>
  </si>
  <si>
    <t>0                      WY 0016000B  878n        1948</t>
  </si>
  <si>
    <t>Nursing for the future : a report prepared for the National Nursing Council / Esther Lucile Brown.</t>
  </si>
  <si>
    <t>Brown, Esther Lucile, 1898-1990.</t>
  </si>
  <si>
    <t>-- New York : Russell Sage Foundation, 1948.</t>
  </si>
  <si>
    <t>1948</t>
  </si>
  <si>
    <t>1667315:eng</t>
  </si>
  <si>
    <t>1242576</t>
  </si>
  <si>
    <t>991000741459702656</t>
  </si>
  <si>
    <t>2261505090002656</t>
  </si>
  <si>
    <t>30001000043465</t>
  </si>
  <si>
    <t>893368397</t>
  </si>
  <si>
    <t>WY 16 C357c 1996</t>
  </si>
  <si>
    <t>0                      WY 0016000C  357c        1996</t>
  </si>
  <si>
    <t>Contemporary professional nursing / Joseph T. Catalano.</t>
  </si>
  <si>
    <t>Catalano, Joseph T.</t>
  </si>
  <si>
    <t>Philadelphia : F.A. Davis Co., c1996.</t>
  </si>
  <si>
    <t>1999-10-11</t>
  </si>
  <si>
    <t>1997-05-21</t>
  </si>
  <si>
    <t>38404094:eng</t>
  </si>
  <si>
    <t>33489225</t>
  </si>
  <si>
    <t>991001356059702656</t>
  </si>
  <si>
    <t>2266096910002656</t>
  </si>
  <si>
    <t>9780803600911</t>
  </si>
  <si>
    <t>30001003673854</t>
  </si>
  <si>
    <t>893121431</t>
  </si>
  <si>
    <t>WY 16 C357n 2000</t>
  </si>
  <si>
    <t>0                      WY 0016000C  357n        2000</t>
  </si>
  <si>
    <t>Nursing now : today's issues, tomorrow's trends / Joseph T. Catalano.</t>
  </si>
  <si>
    <t>Philadelphia : F.A. Davis Co., c2000.</t>
  </si>
  <si>
    <t>2000</t>
  </si>
  <si>
    <t>2002-11-15</t>
  </si>
  <si>
    <t>1999-11-23</t>
  </si>
  <si>
    <t>801842832:eng</t>
  </si>
  <si>
    <t>41945015</t>
  </si>
  <si>
    <t>991001410319702656</t>
  </si>
  <si>
    <t>2272082290002656</t>
  </si>
  <si>
    <t>9780803604964</t>
  </si>
  <si>
    <t>30001003831072</t>
  </si>
  <si>
    <t>893649165</t>
  </si>
  <si>
    <t>WY16 C357n 2006</t>
  </si>
  <si>
    <t>0                      WY 0016000C  357n        2006</t>
  </si>
  <si>
    <t>Philadelphia, PA : F.A. Davis Co., c2006.</t>
  </si>
  <si>
    <t>4th ed.</t>
  </si>
  <si>
    <t>2006-10-16</t>
  </si>
  <si>
    <t>2006-09-07</t>
  </si>
  <si>
    <t>61518280</t>
  </si>
  <si>
    <t>991000535389702656</t>
  </si>
  <si>
    <t>2263326000002656</t>
  </si>
  <si>
    <t>9780803614475</t>
  </si>
  <si>
    <t>30001005127693</t>
  </si>
  <si>
    <t>893463009</t>
  </si>
  <si>
    <t>WY 16 C736 1978</t>
  </si>
  <si>
    <t>0                      WY 0016000C  736         1978</t>
  </si>
  <si>
    <t>Competencies of the associate degree nurse on entry into practice / Division of Associate Degree Programs.</t>
  </si>
  <si>
    <t>New York : National League for Nursing, c1978.</t>
  </si>
  <si>
    <t>NLN pub. no. 23-1731</t>
  </si>
  <si>
    <t>1990-06-15</t>
  </si>
  <si>
    <t>1987-11-09</t>
  </si>
  <si>
    <t>13888638:eng</t>
  </si>
  <si>
    <t>4529169</t>
  </si>
  <si>
    <t>991001388409702656</t>
  </si>
  <si>
    <t>2266403220002656</t>
  </si>
  <si>
    <t>30001000464315</t>
  </si>
  <si>
    <t>893149132</t>
  </si>
  <si>
    <t>WY 16 C744 1991</t>
  </si>
  <si>
    <t>0                      WY 0016000C  744         1991</t>
  </si>
  <si>
    <t>Conceptual foundations of professional nursing practice / edited by Joan L. Creasia, Barbara Parker.</t>
  </si>
  <si>
    <t>St. Louis : Mosby-Year Book, c1991.</t>
  </si>
  <si>
    <t>1993-10-13</t>
  </si>
  <si>
    <t>364602200:eng</t>
  </si>
  <si>
    <t>22859837</t>
  </si>
  <si>
    <t>991001476479702656</t>
  </si>
  <si>
    <t>2259274380002656</t>
  </si>
  <si>
    <t>9780801661488</t>
  </si>
  <si>
    <t>30001002563452</t>
  </si>
  <si>
    <t>893561044</t>
  </si>
  <si>
    <t>WY 16 C932 1973</t>
  </si>
  <si>
    <t>0                      WY 0016000C  932         1973</t>
  </si>
  <si>
    <t>Crisis in nursing : changing roles : papers presented at the joint session, Crisis in Nursing, section B, NLN Biennial Convention, May 1973.</t>
  </si>
  <si>
    <t>New York : National League for Nursing, [1973].</t>
  </si>
  <si>
    <t>1973</t>
  </si>
  <si>
    <t>NLN pub. no. 20-1503</t>
  </si>
  <si>
    <t>1990-05-04</t>
  </si>
  <si>
    <t>1987-11-04</t>
  </si>
  <si>
    <t>1734817:eng</t>
  </si>
  <si>
    <t>829187</t>
  </si>
  <si>
    <t>991001384349702656</t>
  </si>
  <si>
    <t>2259181150002656</t>
  </si>
  <si>
    <t>30001000463416</t>
  </si>
  <si>
    <t>893364043</t>
  </si>
  <si>
    <t>WY 16 C968 1991</t>
  </si>
  <si>
    <t>0                      WY 0016000C  968         1991</t>
  </si>
  <si>
    <t>Culture care diversity and universality : a theory of nursing / Madeleine M. Leininger, editor.</t>
  </si>
  <si>
    <t>New York : National League for Nursing, c1991.</t>
  </si>
  <si>
    <t>NLN pub. no. 15-2402.</t>
  </si>
  <si>
    <t>891794548:eng</t>
  </si>
  <si>
    <t>24992989</t>
  </si>
  <si>
    <t>991000232099702656</t>
  </si>
  <si>
    <t>2255572190002656</t>
  </si>
  <si>
    <t>9780887375194</t>
  </si>
  <si>
    <t>30001002318154</t>
  </si>
  <si>
    <t>893365246</t>
  </si>
  <si>
    <t>WY 16 C976 1990</t>
  </si>
  <si>
    <t>0                      WY 0016000C  976         1990</t>
  </si>
  <si>
    <t>Current issues in nursing / edited by Joanne Comi McCloskey, Helen Kennedy Grace.</t>
  </si>
  <si>
    <t>1996-10-20</t>
  </si>
  <si>
    <t>1990-07-19</t>
  </si>
  <si>
    <t>356002300:eng</t>
  </si>
  <si>
    <t>20265308</t>
  </si>
  <si>
    <t>991001451939702656</t>
  </si>
  <si>
    <t>2264704660002656</t>
  </si>
  <si>
    <t>9780801655258</t>
  </si>
  <si>
    <t>30001001883380</t>
  </si>
  <si>
    <t>893374597</t>
  </si>
  <si>
    <t>WY 16 C976 1997</t>
  </si>
  <si>
    <t>0                      WY 0016000C  976         1997</t>
  </si>
  <si>
    <t>St. Louis : Mosby, c1997.</t>
  </si>
  <si>
    <t>1997</t>
  </si>
  <si>
    <t>5th ed.</t>
  </si>
  <si>
    <t>2006-03-21</t>
  </si>
  <si>
    <t>1997-04-14</t>
  </si>
  <si>
    <t>35450341</t>
  </si>
  <si>
    <t>991001551639702656</t>
  </si>
  <si>
    <t>2255050810002656</t>
  </si>
  <si>
    <t>9780815185949</t>
  </si>
  <si>
    <t>30001003443498</t>
  </si>
  <si>
    <t>893649324</t>
  </si>
  <si>
    <t>WY 16 C978n 1996</t>
  </si>
  <si>
    <t>0                      WY 0016000C  978n        1996</t>
  </si>
  <si>
    <t>Nursing into the 21st century / Leah Curtin.</t>
  </si>
  <si>
    <t>Curtin, Leah.</t>
  </si>
  <si>
    <t>Springhouse, Pa. : Springhouse Corp., c1996.</t>
  </si>
  <si>
    <t>2007-04-13</t>
  </si>
  <si>
    <t>1999-07-23</t>
  </si>
  <si>
    <t>36358824:eng</t>
  </si>
  <si>
    <t>32705500</t>
  </si>
  <si>
    <t>991000569809702656</t>
  </si>
  <si>
    <t>2271237700002656</t>
  </si>
  <si>
    <t>9780874348347</t>
  </si>
  <si>
    <t>30001004010577</t>
  </si>
  <si>
    <t>893467280</t>
  </si>
  <si>
    <t>WY 16 CU799U v.2 1980</t>
  </si>
  <si>
    <t>0                      WY 0016000CU 799U                                                    v.2 1980</t>
  </si>
  <si>
    <t>Current perspectives in nursing : social issues and trends : volume two / [edited by] Beverly C. Flynn, Michael H. Miller.</t>
  </si>
  <si>
    <t>St. Louis : Mosby, 1980.</t>
  </si>
  <si>
    <t>Current perspectives in nursing ; v. 2</t>
  </si>
  <si>
    <t>1995-04-03</t>
  </si>
  <si>
    <t>2864942391:eng</t>
  </si>
  <si>
    <t>6420538</t>
  </si>
  <si>
    <t>991001032639702656</t>
  </si>
  <si>
    <t>2267096330002656</t>
  </si>
  <si>
    <t>9780801634666</t>
  </si>
  <si>
    <t>30001000240145</t>
  </si>
  <si>
    <t>893731613</t>
  </si>
  <si>
    <t>WY 16 D514g 1992</t>
  </si>
  <si>
    <t>0                      WY 0016000D  514g        1992</t>
  </si>
  <si>
    <t>The grassroots lobbying handbook : empowering nurses through legislative and political action / Christine M. deVries, Majorie W. Vanderbilt.</t>
  </si>
  <si>
    <t>DeVries, Christine M.</t>
  </si>
  <si>
    <t>Washington, D.C. : American Nurses Publishing, c1992.</t>
  </si>
  <si>
    <t>dcu</t>
  </si>
  <si>
    <t>2003-11-07</t>
  </si>
  <si>
    <t>387149:eng</t>
  </si>
  <si>
    <t>27150471</t>
  </si>
  <si>
    <t>991000237669702656</t>
  </si>
  <si>
    <t>2267059210002656</t>
  </si>
  <si>
    <t>9781558100787</t>
  </si>
  <si>
    <t>30001002605386</t>
  </si>
  <si>
    <t>893644023</t>
  </si>
  <si>
    <t>WY 16 D655d 1987</t>
  </si>
  <si>
    <t>0                      WY 0016000D  655d        1987</t>
  </si>
  <si>
    <t>The discipline of nursing : an introduction / Margaret O'Bryan Doheny, Christina Benson Cook, Mary Constance Stopper.</t>
  </si>
  <si>
    <t>Doheny, Margaret O'Bryan, 1948-</t>
  </si>
  <si>
    <t>East Norwalk, Conn. : Appleton &amp; Lange, c1987.</t>
  </si>
  <si>
    <t>1987</t>
  </si>
  <si>
    <t>10553683:eng</t>
  </si>
  <si>
    <t>15489380</t>
  </si>
  <si>
    <t>991001534909702656</t>
  </si>
  <si>
    <t>2270788900002656</t>
  </si>
  <si>
    <t>9780838517154</t>
  </si>
  <si>
    <t>30001000622524</t>
  </si>
  <si>
    <t>893121613</t>
  </si>
  <si>
    <t>WY 16 D917h 2005</t>
  </si>
  <si>
    <t>0                      WY 0016000D  917h        2005</t>
  </si>
  <si>
    <t>How to survive and maybe even love your life as a nurse / Kelli S. Dunham and Staci J. Smith.</t>
  </si>
  <si>
    <t>Dunham, Kelli S.</t>
  </si>
  <si>
    <t>Philadelphia, PA : F.A. Davis, c2005.</t>
  </si>
  <si>
    <t>2007-01-28</t>
  </si>
  <si>
    <t>2006-12-12</t>
  </si>
  <si>
    <t>17490686:eng</t>
  </si>
  <si>
    <t>57068342</t>
  </si>
  <si>
    <t>991000575329702656</t>
  </si>
  <si>
    <t>2266806140002656</t>
  </si>
  <si>
    <t>9780803611580</t>
  </si>
  <si>
    <t>30001005197431</t>
  </si>
  <si>
    <t>893824667</t>
  </si>
  <si>
    <t>WY 16 E47n 1995</t>
  </si>
  <si>
    <t>0                      WY 0016000E  47n         1995</t>
  </si>
  <si>
    <t>Nursing in today's world : challenges, issues, and trends / Janice Rider Ellis, Celia Love Hartley.</t>
  </si>
  <si>
    <t>Ellis, Janice Rider.</t>
  </si>
  <si>
    <t>Philadelphia : Lippincott, c1995.</t>
  </si>
  <si>
    <t>1999-02-07</t>
  </si>
  <si>
    <t>1996-06-24</t>
  </si>
  <si>
    <t>766696:eng</t>
  </si>
  <si>
    <t>31045529</t>
  </si>
  <si>
    <t>991001507389702656</t>
  </si>
  <si>
    <t>2264235410002656</t>
  </si>
  <si>
    <t>9780397551774</t>
  </si>
  <si>
    <t>30001003264852</t>
  </si>
  <si>
    <t>893134654</t>
  </si>
  <si>
    <t>WY 16 E47n 1998</t>
  </si>
  <si>
    <t>0                      WY 0016000E  47n         1998</t>
  </si>
  <si>
    <t>Philadelphia : Lippincott Raven, c1998.</t>
  </si>
  <si>
    <t>1998</t>
  </si>
  <si>
    <t>2002-08-16</t>
  </si>
  <si>
    <t>1997-12-23</t>
  </si>
  <si>
    <t>36995371</t>
  </si>
  <si>
    <t>991001226259702656</t>
  </si>
  <si>
    <t>2262836350002656</t>
  </si>
  <si>
    <t>9780397554287</t>
  </si>
  <si>
    <t>30001003669316</t>
  </si>
  <si>
    <t>893727351</t>
  </si>
  <si>
    <t>WY16 E47n 2004</t>
  </si>
  <si>
    <t>0                      WY 0016000E  47n         2004</t>
  </si>
  <si>
    <t>Nursing in today's world : trends, issues &amp; management / Janice Rider Ellis, Celia Love Hartley ; illustrations by Tomm Scalera.</t>
  </si>
  <si>
    <t>Philadelphia : Lippincott Williams &amp; Wilkins, c2004.</t>
  </si>
  <si>
    <t>2004</t>
  </si>
  <si>
    <t>2005-11-17</t>
  </si>
  <si>
    <t>2004-09-13</t>
  </si>
  <si>
    <t>51811034</t>
  </si>
  <si>
    <t>991000387089702656</t>
  </si>
  <si>
    <t>2255058070002656</t>
  </si>
  <si>
    <t>9780781741088</t>
  </si>
  <si>
    <t>30001004506715</t>
  </si>
  <si>
    <t>893737283</t>
  </si>
  <si>
    <t>WY 16 E53 1978</t>
  </si>
  <si>
    <t>0                      WY 0016000E  53          1978</t>
  </si>
  <si>
    <t>The emergence of nursing as a political force.</t>
  </si>
  <si>
    <t>New York : National League for Nursing, c1979.</t>
  </si>
  <si>
    <t>NLN pub. no. 41-1760</t>
  </si>
  <si>
    <t>1990-06-25</t>
  </si>
  <si>
    <t>18045921:eng</t>
  </si>
  <si>
    <t>5445922</t>
  </si>
  <si>
    <t>991001517199702656</t>
  </si>
  <si>
    <t>2264333270002656</t>
  </si>
  <si>
    <t>30001000600140</t>
  </si>
  <si>
    <t>893834708</t>
  </si>
  <si>
    <t>WY 16 E61 1978</t>
  </si>
  <si>
    <t>0                      WY 0016000E  61          1978</t>
  </si>
  <si>
    <t>Entry into nursing practice : proceedings of the national conference, February 13-14, 1978, Kansas City, Missouri.</t>
  </si>
  <si>
    <t>-- Kansas City, Mo. : American Nurses' Association, c1978.</t>
  </si>
  <si>
    <t>1990-03-15</t>
  </si>
  <si>
    <t>15075357:eng</t>
  </si>
  <si>
    <t>4883265</t>
  </si>
  <si>
    <t>991001033179702656</t>
  </si>
  <si>
    <t>2264124440002656</t>
  </si>
  <si>
    <t>30001000240236</t>
  </si>
  <si>
    <t>893632676</t>
  </si>
  <si>
    <t>WY 16 E96 1994</t>
  </si>
  <si>
    <t>0                      WY 0016000E  96          1994</t>
  </si>
  <si>
    <t>Expanding the role of the nurse : the scope of professional practice / edited by Geoffrey Hunt, Paul Wainwright.</t>
  </si>
  <si>
    <t>Oxford ; Boston : Blackwell Scientific Publications, 1994.</t>
  </si>
  <si>
    <t>enk</t>
  </si>
  <si>
    <t>1996-02-06</t>
  </si>
  <si>
    <t>1994-09-12</t>
  </si>
  <si>
    <t>836728970:eng</t>
  </si>
  <si>
    <t>29565150</t>
  </si>
  <si>
    <t>991000677949702656</t>
  </si>
  <si>
    <t>2255626450002656</t>
  </si>
  <si>
    <t>9780632036042</t>
  </si>
  <si>
    <t>30001002696831</t>
  </si>
  <si>
    <t>893726484</t>
  </si>
  <si>
    <t>WY 16 F996 1974</t>
  </si>
  <si>
    <t>0                      WY 0016000F  996         1974</t>
  </si>
  <si>
    <t>The future is now : presentations at the conference of the Northeast Regional Assembly of Constituent Leagues for Nursing.</t>
  </si>
  <si>
    <t>New York : National League for Nursing, Division of Community Planning, c1974.</t>
  </si>
  <si>
    <t>1974</t>
  </si>
  <si>
    <t>NLN pub. no. 52-1553</t>
  </si>
  <si>
    <t>2008-01-08</t>
  </si>
  <si>
    <t>1987-11-18</t>
  </si>
  <si>
    <t>2112730:eng</t>
  </si>
  <si>
    <t>1218856</t>
  </si>
  <si>
    <t>991001516149702656</t>
  </si>
  <si>
    <t>2268339690002656</t>
  </si>
  <si>
    <t>30001000600025</t>
  </si>
  <si>
    <t>893652054</t>
  </si>
  <si>
    <t>WY 16 G197h 1982</t>
  </si>
  <si>
    <t>0                      WY 0016000G  197h        1982</t>
  </si>
  <si>
    <t>HELP with career ladders in nursing : applying the wide-track careers concept, a management guide / by Joan and Warren Ganong.</t>
  </si>
  <si>
    <t>Ganong, Joan M.</t>
  </si>
  <si>
    <t>Chapel Hill, North Carolina : W.L. Ganong Company, c1982.</t>
  </si>
  <si>
    <t>ncu</t>
  </si>
  <si>
    <t>HELP ; no. 6</t>
  </si>
  <si>
    <t>2002-08-30</t>
  </si>
  <si>
    <t>3235281:eng</t>
  </si>
  <si>
    <t>10629093</t>
  </si>
  <si>
    <t>991001033219702656</t>
  </si>
  <si>
    <t>2268697470002656</t>
  </si>
  <si>
    <t>9780933036314</t>
  </si>
  <si>
    <t>30001000240244</t>
  </si>
  <si>
    <t>893740691</t>
  </si>
  <si>
    <t>WY 16 G624p 1990</t>
  </si>
  <si>
    <t>0                      WY 0016000G  624p        1990</t>
  </si>
  <si>
    <t>Prescription for nurses : effective political action / Marilyn Goldwater, with Mary Jane Lloyd Zusy.</t>
  </si>
  <si>
    <t>Goldwater, Marilyn.</t>
  </si>
  <si>
    <t>1991-02-16</t>
  </si>
  <si>
    <t>427414365:eng</t>
  </si>
  <si>
    <t>20167573</t>
  </si>
  <si>
    <t>991000820789702656</t>
  </si>
  <si>
    <t>2258051510002656</t>
  </si>
  <si>
    <t>9780801628511</t>
  </si>
  <si>
    <t>30001002087502</t>
  </si>
  <si>
    <t>893731341</t>
  </si>
  <si>
    <t>WY 16 G868n 1989</t>
  </si>
  <si>
    <t>0                      WY 0016000G  868n        1989</t>
  </si>
  <si>
    <t>Nursing perspectives and issues / Gloria M. Grippando, Paula Mitchell.</t>
  </si>
  <si>
    <t>Grippando, Gloria M.</t>
  </si>
  <si>
    <t>Albany, N.Y. : Delmar Publishers, c1989.</t>
  </si>
  <si>
    <t>4th ed. / contributing author, Cynthia E. Northrop.</t>
  </si>
  <si>
    <t>1990-10-22</t>
  </si>
  <si>
    <t>1989-08-08</t>
  </si>
  <si>
    <t>6556198:eng</t>
  </si>
  <si>
    <t>18716020</t>
  </si>
  <si>
    <t>991001312679702656</t>
  </si>
  <si>
    <t>2263528200002656</t>
  </si>
  <si>
    <t>9780827334663</t>
  </si>
  <si>
    <t>30001001751454</t>
  </si>
  <si>
    <t>893284682</t>
  </si>
  <si>
    <t>WY 16 H219r 1992</t>
  </si>
  <si>
    <t>0                      WY 0016000H  219r        1992</t>
  </si>
  <si>
    <t>Realities of contemporary nursing / Persis Mary Hamilton.</t>
  </si>
  <si>
    <t>Hamilton, Persis Mary.</t>
  </si>
  <si>
    <t>[Redwood City, CA] : Addison-Wesley Nursing; c1992.</t>
  </si>
  <si>
    <t>1997-04-24</t>
  </si>
  <si>
    <t>25001877:eng</t>
  </si>
  <si>
    <t>24010894</t>
  </si>
  <si>
    <t>991001476389702656</t>
  </si>
  <si>
    <t>2264627020002656</t>
  </si>
  <si>
    <t>9780201066753</t>
  </si>
  <si>
    <t>30001002563411</t>
  </si>
  <si>
    <t>893121528</t>
  </si>
  <si>
    <t>WY 16 H496m 1994</t>
  </si>
  <si>
    <t>0                      WY 0016000H  496m        1994</t>
  </si>
  <si>
    <t>Managing your career in nursing / Frances C. Henderson, Barbara O. McGettigan.</t>
  </si>
  <si>
    <t>Henderson, Frances C.</t>
  </si>
  <si>
    <t>New York : National League for Nursing Press, c1994.</t>
  </si>
  <si>
    <t>NLN pub. no. 14-2640</t>
  </si>
  <si>
    <t>6873353:eng</t>
  </si>
  <si>
    <t>31423749</t>
  </si>
  <si>
    <t>991000251629702656</t>
  </si>
  <si>
    <t>2260370840002656</t>
  </si>
  <si>
    <t>9780887376290</t>
  </si>
  <si>
    <t>30001003083062</t>
  </si>
  <si>
    <t>893122418</t>
  </si>
  <si>
    <t>WY 16 H711n 1984</t>
  </si>
  <si>
    <t>0                      WY 0016000H  711n        1984</t>
  </si>
  <si>
    <t>New directions for the professional nurse : exploring your career options and discovering great escapes / Vicki Reynolds Hoffman : illustrations by Alice Hedlund and Vicki Reynolds Hoffman.</t>
  </si>
  <si>
    <t>Hoffman, Vicki Reynolds.</t>
  </si>
  <si>
    <t>New York : Arco, c1984.</t>
  </si>
  <si>
    <t>1993-08-06</t>
  </si>
  <si>
    <t>1020776922:eng</t>
  </si>
  <si>
    <t>9576542</t>
  </si>
  <si>
    <t>991001033449702656</t>
  </si>
  <si>
    <t>2269169170002656</t>
  </si>
  <si>
    <t>9780668052993</t>
  </si>
  <si>
    <t>30001000240285</t>
  </si>
  <si>
    <t>893731616</t>
  </si>
  <si>
    <t>WY 16 H885s 1974</t>
  </si>
  <si>
    <t>0                      WY 0016000H  885s        1974</t>
  </si>
  <si>
    <t>Source book - nursing personnel / Helen H. Hudson and Margaret D. McCarthy.</t>
  </si>
  <si>
    <t>Hudson, Helen H.</t>
  </si>
  <si>
    <t>Bethesda, Md. : U. S. Division of Nursing, 1974.</t>
  </si>
  <si>
    <t>DHEW publication ; no. (HRA) 75-43</t>
  </si>
  <si>
    <t>1991-09-13</t>
  </si>
  <si>
    <t>1991-09-12</t>
  </si>
  <si>
    <t>2873597:eng</t>
  </si>
  <si>
    <t>14422310</t>
  </si>
  <si>
    <t>991001014119702656</t>
  </si>
  <si>
    <t>2258347710002656</t>
  </si>
  <si>
    <t>30001002240374</t>
  </si>
  <si>
    <t>893826371</t>
  </si>
  <si>
    <t>WY 16 H893t 1958</t>
  </si>
  <si>
    <t>0                      WY 0016000H  893t        1958</t>
  </si>
  <si>
    <t>Twenty thousand nurses tell their story : a report on studies of nursing functions sponsored by the American Nurses' Association / Everett C. Hughes, Helen MacGill Hughes and Irwin Deutscher ; with a foreword by Agnes Ohlson.</t>
  </si>
  <si>
    <t>Hughes, Everett C. (Everett Cherrington), 1897-1983.</t>
  </si>
  <si>
    <t>Philadelphia, PA : Lippincott 1958.</t>
  </si>
  <si>
    <t>1958</t>
  </si>
  <si>
    <t>1995-07-19</t>
  </si>
  <si>
    <t>291885906:eng</t>
  </si>
  <si>
    <t>1263795</t>
  </si>
  <si>
    <t>991001033489702656</t>
  </si>
  <si>
    <t>2262408130002656</t>
  </si>
  <si>
    <t>30001000240293</t>
  </si>
  <si>
    <t>893820865</t>
  </si>
  <si>
    <t>WY 16 I34 1992</t>
  </si>
  <si>
    <t>0                      WY 0016000I  34          1992</t>
  </si>
  <si>
    <t>Improving quality : a guide to effective programs / edited by Claire G. Meisenheimer.</t>
  </si>
  <si>
    <t>Gaithersburg, Md. : Aspen Publishers, c1992.</t>
  </si>
  <si>
    <t>2001-12-02</t>
  </si>
  <si>
    <t>1993-05-27</t>
  </si>
  <si>
    <t>55516718:eng</t>
  </si>
  <si>
    <t>24629668</t>
  </si>
  <si>
    <t>991001479819702656</t>
  </si>
  <si>
    <t>2258371320002656</t>
  </si>
  <si>
    <t>9780834202344</t>
  </si>
  <si>
    <t>30001002566885</t>
  </si>
  <si>
    <t>893826787</t>
  </si>
  <si>
    <t>WY 16 I36 1982</t>
  </si>
  <si>
    <t>0                      WY 0016000I  36          1982</t>
  </si>
  <si>
    <t>Increasing our visibility, toward a stronger public image for nursing : papers presented at the Annual Meeting of the Council of Diploma Programs, National League for Nursing, on April 14-16, 1982.</t>
  </si>
  <si>
    <t>New York The League, 1982.</t>
  </si>
  <si>
    <t>NLN pub. no. 16-1914</t>
  </si>
  <si>
    <t>1996-02-05</t>
  </si>
  <si>
    <t>1987-11-02</t>
  </si>
  <si>
    <t>3149829:eng</t>
  </si>
  <si>
    <t>10419361</t>
  </si>
  <si>
    <t>991001378679702656</t>
  </si>
  <si>
    <t>2269608480002656</t>
  </si>
  <si>
    <t>30001000462483</t>
  </si>
  <si>
    <t>893358520</t>
  </si>
  <si>
    <t>WY 16 I595 1986</t>
  </si>
  <si>
    <t>0                      WY 0016000I  595         1986</t>
  </si>
  <si>
    <t>Integrating public policy into the curriculum / Sally B. Solomon and Susan C. Roe, editors.</t>
  </si>
  <si>
    <t>New York : National League for Nursing, c1986.</t>
  </si>
  <si>
    <t>NLN pub. no. 15-1995</t>
  </si>
  <si>
    <t>1990-07-17</t>
  </si>
  <si>
    <t>1987-10-29</t>
  </si>
  <si>
    <t>422964222:eng</t>
  </si>
  <si>
    <t>13085188</t>
  </si>
  <si>
    <t>991000803079702656</t>
  </si>
  <si>
    <t>2265028120002656</t>
  </si>
  <si>
    <t>9780887372223</t>
  </si>
  <si>
    <t>30001000743858</t>
  </si>
  <si>
    <t>893632174</t>
  </si>
  <si>
    <t>WY 16 I85 1998</t>
  </si>
  <si>
    <t>0                      WY 0016000I  85          1998</t>
  </si>
  <si>
    <t>Issues and trends in nursing / [edited by] Grace Deloughery.</t>
  </si>
  <si>
    <t>St. Louis : Mosby, c1998.</t>
  </si>
  <si>
    <t>2008-03-17</t>
  </si>
  <si>
    <t>1998-05-01</t>
  </si>
  <si>
    <t>141127822:eng</t>
  </si>
  <si>
    <t>40535054</t>
  </si>
  <si>
    <t>991000901179702656</t>
  </si>
  <si>
    <t>2260849520002656</t>
  </si>
  <si>
    <t>9780815126089</t>
  </si>
  <si>
    <t>30001004176360</t>
  </si>
  <si>
    <t>893637776</t>
  </si>
  <si>
    <t>WY 16 I855 1991</t>
  </si>
  <si>
    <t>0                      WY 0016000I  855         1991</t>
  </si>
  <si>
    <t>Issues and trends in nursing / edited by Grace L. Deloughery.</t>
  </si>
  <si>
    <t>2004-04-27</t>
  </si>
  <si>
    <t>1994-05-25</t>
  </si>
  <si>
    <t>22628781</t>
  </si>
  <si>
    <t>991001194889702656</t>
  </si>
  <si>
    <t>2269550920002656</t>
  </si>
  <si>
    <t>9780801629280</t>
  </si>
  <si>
    <t>30001002984237</t>
  </si>
  <si>
    <t>893161756</t>
  </si>
  <si>
    <t>WY 16 I86p</t>
  </si>
  <si>
    <t>0                      WY 0016000I  86p</t>
  </si>
  <si>
    <t>Issues in professional nursing practice / coeditors, Irma Lou Hirsch, Robert V. Piemonte.</t>
  </si>
  <si>
    <t>[Kansas City, Mo.] : American Nurses' Association, [c1984-</t>
  </si>
  <si>
    <t>1992-04-01</t>
  </si>
  <si>
    <t>1151266427:eng</t>
  </si>
  <si>
    <t>10916239</t>
  </si>
  <si>
    <t>991001033659702656</t>
  </si>
  <si>
    <t>2256907000002656</t>
  </si>
  <si>
    <t>30001000240319</t>
  </si>
  <si>
    <t>893736160</t>
  </si>
  <si>
    <t>WY 16 J55s 1983</t>
  </si>
  <si>
    <t>0                      WY 0016000J  55s         1983</t>
  </si>
  <si>
    <t>Standards, job descriptions, and performance evaluations for nursing practice / Dale Kayser Jernigan, Abigail Pepper Young.</t>
  </si>
  <si>
    <t>Jernigan, Dale Kayser.</t>
  </si>
  <si>
    <t>Norwalk, CT : Appleton-Century-Crofts, c1983.</t>
  </si>
  <si>
    <t>1988-03-23</t>
  </si>
  <si>
    <t>43711507:eng</t>
  </si>
  <si>
    <t>9197043</t>
  </si>
  <si>
    <t>991001033789702656</t>
  </si>
  <si>
    <t>2266880330002656</t>
  </si>
  <si>
    <t>9780838586730</t>
  </si>
  <si>
    <t>30001000240343</t>
  </si>
  <si>
    <t>893831867</t>
  </si>
  <si>
    <t>WY16 J64k 2003</t>
  </si>
  <si>
    <t>0                      WY 0016000J  64k         2003</t>
  </si>
  <si>
    <t>Kelly's Dimensions of professional nursing / Lucille A. Joel.</t>
  </si>
  <si>
    <t>Joel, Lucille A.</t>
  </si>
  <si>
    <t>New York : McGraw-Hill, Medical Pub. Division, c2003.</t>
  </si>
  <si>
    <t>9th ed.</t>
  </si>
  <si>
    <t>2003-06-30</t>
  </si>
  <si>
    <t>3859011215:eng</t>
  </si>
  <si>
    <t>51054159</t>
  </si>
  <si>
    <t>991001723379702656</t>
  </si>
  <si>
    <t>2264108340002656</t>
  </si>
  <si>
    <t>9780071406390</t>
  </si>
  <si>
    <t>30001004504975</t>
  </si>
  <si>
    <t>893274427</t>
  </si>
  <si>
    <t>WY 16 K14p 1982</t>
  </si>
  <si>
    <t>0                      WY 0016000K  14p         1982</t>
  </si>
  <si>
    <t>Politics of nursing / Beatrice J. Kalisch, Philip A. Kalisch.</t>
  </si>
  <si>
    <t>Kalisch, Beatrice J., 1943-</t>
  </si>
  <si>
    <t>Philadelphia : Lippincott, c1982.</t>
  </si>
  <si>
    <t>1995-07-14</t>
  </si>
  <si>
    <t>1989-09-02</t>
  </si>
  <si>
    <t>471022:eng</t>
  </si>
  <si>
    <t>7572193</t>
  </si>
  <si>
    <t>991001316089702656</t>
  </si>
  <si>
    <t>2255858890002656</t>
  </si>
  <si>
    <t>9780397542451</t>
  </si>
  <si>
    <t>30001001752858</t>
  </si>
  <si>
    <t>893649094</t>
  </si>
  <si>
    <t>WY 16 K292n 1987</t>
  </si>
  <si>
    <t>0                      WY 0016000K  292n        1987</t>
  </si>
  <si>
    <t>The nursing experience : trends, challenges, and transitions / Lucie Young Kelly ; consulting editor, Madeline Renee Turkeltaub.</t>
  </si>
  <si>
    <t>Kelly, Lucie Young.</t>
  </si>
  <si>
    <t>New York : Macmillan, c1987.</t>
  </si>
  <si>
    <t>1995-01-16</t>
  </si>
  <si>
    <t>794013560:eng</t>
  </si>
  <si>
    <t>14165858</t>
  </si>
  <si>
    <t>991000763529702656</t>
  </si>
  <si>
    <t>2271118670002656</t>
  </si>
  <si>
    <t>9780023635007</t>
  </si>
  <si>
    <t>30001000056616</t>
  </si>
  <si>
    <t>893267379</t>
  </si>
  <si>
    <t>WY 16 K292n 1996</t>
  </si>
  <si>
    <t>0                      WY 0016000K  292n        1996</t>
  </si>
  <si>
    <t>The nursing experience : trends, challenges, and transitions / Lucie Young Kelly, Lucille A. Joel.</t>
  </si>
  <si>
    <t>New York : McGraw-Hill, Health Professions Division, c1996.</t>
  </si>
  <si>
    <t>2002-06-03</t>
  </si>
  <si>
    <t>33008239</t>
  </si>
  <si>
    <t>991000832829702656</t>
  </si>
  <si>
    <t>2261437310002656</t>
  </si>
  <si>
    <t>9780071054836</t>
  </si>
  <si>
    <t>30001003440072</t>
  </si>
  <si>
    <t>893120557</t>
  </si>
  <si>
    <t>WY 16 K33d 1999</t>
  </si>
  <si>
    <t>0                      WY 0016000K  33d         1999</t>
  </si>
  <si>
    <t>Dimensions of professional nursing / Lucie Young Kelly, Lucille A. Joel.</t>
  </si>
  <si>
    <t>New York : McGraw-Hill, Health Professions Division, c1999.</t>
  </si>
  <si>
    <t>1999-06-23</t>
  </si>
  <si>
    <t>2427181:eng</t>
  </si>
  <si>
    <t>40331258</t>
  </si>
  <si>
    <t>991001561589702656</t>
  </si>
  <si>
    <t>2256360050002656</t>
  </si>
  <si>
    <t>9780070344402</t>
  </si>
  <si>
    <t>30001004075067</t>
  </si>
  <si>
    <t>893652080</t>
  </si>
  <si>
    <t>WY 16 K72r 1975</t>
  </si>
  <si>
    <t>0                      WY 0016000K  72r         1975</t>
  </si>
  <si>
    <t>RN's one and five years after graduation / Lucille Knopf.</t>
  </si>
  <si>
    <t>Knopf, Lucille.</t>
  </si>
  <si>
    <t>New York : Division of Research, National League for Nursing, c1975.</t>
  </si>
  <si>
    <t>NLN pub. no. 19-1535</t>
  </si>
  <si>
    <t>1990-09-05</t>
  </si>
  <si>
    <t>1987-11-03</t>
  </si>
  <si>
    <t>5556166:eng</t>
  </si>
  <si>
    <t>2536880</t>
  </si>
  <si>
    <t>991001381119702656</t>
  </si>
  <si>
    <t>2270727870002656</t>
  </si>
  <si>
    <t>30001000462749</t>
  </si>
  <si>
    <t>893121444</t>
  </si>
  <si>
    <t>WY 16 L472c 1998</t>
  </si>
  <si>
    <t>0                      WY 0016000L  472c        1998</t>
  </si>
  <si>
    <t>Conceptual bases of professional nursing / Susan Kun Leddy.</t>
  </si>
  <si>
    <t>Leddy, Susan.</t>
  </si>
  <si>
    <t>Philadelphia : Lippincott, c1998.</t>
  </si>
  <si>
    <t>1998-04-20</t>
  </si>
  <si>
    <t>1998-04-17</t>
  </si>
  <si>
    <t>538725:eng</t>
  </si>
  <si>
    <t>37879074</t>
  </si>
  <si>
    <t>991001429369702656</t>
  </si>
  <si>
    <t>2264441430002656</t>
  </si>
  <si>
    <t>30001003864420</t>
  </si>
  <si>
    <t>893816389</t>
  </si>
  <si>
    <t>WY 16 L987a 1996</t>
  </si>
  <si>
    <t>0                      WY 0016000L  987a        1996</t>
  </si>
  <si>
    <t>American nursing : from hospitals to health systems / Joan E. Lynaugh and Barbara L. Brush.</t>
  </si>
  <si>
    <t>Lynaugh, Joan E.</t>
  </si>
  <si>
    <t>Cambridge, Mass. : Blackwell Publishers, a copublication with the Milbank Memorial Fund, 1996.</t>
  </si>
  <si>
    <t>1998-09-22</t>
  </si>
  <si>
    <t>1998-01-16</t>
  </si>
  <si>
    <t>837023819:eng</t>
  </si>
  <si>
    <t>35694537</t>
  </si>
  <si>
    <t>991001227139702656</t>
  </si>
  <si>
    <t>2259362540002656</t>
  </si>
  <si>
    <t>9781577180463</t>
  </si>
  <si>
    <t>30001003669746</t>
  </si>
  <si>
    <t>893832025</t>
  </si>
  <si>
    <t>WY 16 M299t 1986</t>
  </si>
  <si>
    <t>0                      WY 0016000M  299t        1986</t>
  </si>
  <si>
    <t>Talking points / Pamela J. Maraldo, Sally Solomon.</t>
  </si>
  <si>
    <t>Maraldo, Pamela.</t>
  </si>
  <si>
    <t>New York : National League for Nursing, 1986.</t>
  </si>
  <si>
    <t>NLN pub. no. 41-1993</t>
  </si>
  <si>
    <t>1991-06-23</t>
  </si>
  <si>
    <t>12389526:eng</t>
  </si>
  <si>
    <t>16278572</t>
  </si>
  <si>
    <t>991001517299702656</t>
  </si>
  <si>
    <t>2256570930002656</t>
  </si>
  <si>
    <t>9780887372117</t>
  </si>
  <si>
    <t>30001000600165</t>
  </si>
  <si>
    <t>893832277</t>
  </si>
  <si>
    <t>WY 16 M478n 1990</t>
  </si>
  <si>
    <t>0                      WY 0016000M  478n        1990</t>
  </si>
  <si>
    <t>The nursing shortage and the 1990s : realities and remedies / Richard C. McKibbin.</t>
  </si>
  <si>
    <t>McKibbin, Richard C.</t>
  </si>
  <si>
    <t>Kansas City, Mo. : American Nurses Association, c1990.</t>
  </si>
  <si>
    <t>ANA pub ; no. G-179</t>
  </si>
  <si>
    <t>3769134201:eng</t>
  </si>
  <si>
    <t>22665345</t>
  </si>
  <si>
    <t>991000225869702656</t>
  </si>
  <si>
    <t>2257336400002656</t>
  </si>
  <si>
    <t>9781558100121</t>
  </si>
  <si>
    <t>30001002086108</t>
  </si>
  <si>
    <t>893456487</t>
  </si>
  <si>
    <t>WY16 M484 1990</t>
  </si>
  <si>
    <t>0                      WY 0016000M  484         1990</t>
  </si>
  <si>
    <t>Measurement of nursing outcomes / Carolyn F. Waltz, Ora L. Strickland, editors.</t>
  </si>
  <si>
    <t>New York : Springer Pub. Co., c1988-1990.</t>
  </si>
  <si>
    <t>1997-11-29</t>
  </si>
  <si>
    <t>2009-04-27</t>
  </si>
  <si>
    <t>1991-06-03</t>
  </si>
  <si>
    <t>102483648:eng</t>
  </si>
  <si>
    <t>18105510</t>
  </si>
  <si>
    <t>991000934399702656</t>
  </si>
  <si>
    <t>2259507720002656</t>
  </si>
  <si>
    <t>9780826152701</t>
  </si>
  <si>
    <t>30001002191759</t>
  </si>
  <si>
    <t>893278496</t>
  </si>
  <si>
    <t>2001-02-01</t>
  </si>
  <si>
    <t>1991-04-26</t>
  </si>
  <si>
    <t>30001002190389</t>
  </si>
  <si>
    <t>893267844</t>
  </si>
  <si>
    <t>WY 16 M484 1990 v.3-4</t>
  </si>
  <si>
    <t>0                      WY 0016000M  484         1990                                        v.3-4</t>
  </si>
  <si>
    <t>2001-01-19</t>
  </si>
  <si>
    <t>1989-05-22</t>
  </si>
  <si>
    <t>30001001678392</t>
  </si>
  <si>
    <t>893273511</t>
  </si>
  <si>
    <t>30001001678400</t>
  </si>
  <si>
    <t>893267845</t>
  </si>
  <si>
    <t>WY 16 N2764 1987</t>
  </si>
  <si>
    <t>0                      WY 0016000N  2764        1987</t>
  </si>
  <si>
    <t>National Commission on Nursing Implementation Project : models for the future of nursing.</t>
  </si>
  <si>
    <t>New York : National League for Nursing, c1988.</t>
  </si>
  <si>
    <t>NLN pub. no. 15-2251</t>
  </si>
  <si>
    <t>1994-07-25</t>
  </si>
  <si>
    <t>1989-01-18</t>
  </si>
  <si>
    <t>18436561:eng</t>
  </si>
  <si>
    <t>19010144</t>
  </si>
  <si>
    <t>991001114549702656</t>
  </si>
  <si>
    <t>2259269560002656</t>
  </si>
  <si>
    <t>9780887374272</t>
  </si>
  <si>
    <t>30001001612979</t>
  </si>
  <si>
    <t>893287239</t>
  </si>
  <si>
    <t>WY 16 N2776s 1967</t>
  </si>
  <si>
    <t>0                      WY 0016000N  2776s       1967</t>
  </si>
  <si>
    <t>The shifting scene - directions for practice : papers presented at the 23rd conference of the Council of Member Agencies of the Dept. of Baccalaureate and Higher Degree Programs and at meetings held jointly with Council of Member Agencies of the Dept. of Associate Degree Programs, New York, New York, May 5-7, 1967.</t>
  </si>
  <si>
    <t>National League for Nursing. Department of Baccalaureate and Higher Degree Programs.</t>
  </si>
  <si>
    <t>New York : National League for Nursing, 1967.</t>
  </si>
  <si>
    <t>1967</t>
  </si>
  <si>
    <t>NLN pub. no. 15-1289</t>
  </si>
  <si>
    <t>1990-04-06</t>
  </si>
  <si>
    <t>1987-10-20</t>
  </si>
  <si>
    <t>4020146901:eng</t>
  </si>
  <si>
    <t>14501232</t>
  </si>
  <si>
    <t>991001367329702656</t>
  </si>
  <si>
    <t>2260919730002656</t>
  </si>
  <si>
    <t>30001000461279</t>
  </si>
  <si>
    <t>893643532</t>
  </si>
  <si>
    <t>WY 16 N282p 1979</t>
  </si>
  <si>
    <t>0                      WY 0016000N  282p        1979</t>
  </si>
  <si>
    <t>Perspectives for nursing and goals of the National League for Nursing, 1979-1981 / [Perspectives Committee].</t>
  </si>
  <si>
    <t>National League for Nursing. Committee on Perspectives.</t>
  </si>
  <si>
    <t>[New York : National League for Nursing], c1979.</t>
  </si>
  <si>
    <t>NLN pub. no. 11-1782</t>
  </si>
  <si>
    <t>1990-04-20</t>
  </si>
  <si>
    <t>5395401775:eng</t>
  </si>
  <si>
    <t>5206333</t>
  </si>
  <si>
    <t>991001361179702656</t>
  </si>
  <si>
    <t>2266144490002656</t>
  </si>
  <si>
    <t>30001000460719</t>
  </si>
  <si>
    <t>893649139</t>
  </si>
  <si>
    <t>WY 16 N554i 1995</t>
  </si>
  <si>
    <t>0                      WY 0016000N  554i        1995</t>
  </si>
  <si>
    <t>A developing discipline : selected works of Margaret Newman / Margaret A. Newman.</t>
  </si>
  <si>
    <t>Newman, Margaret A.</t>
  </si>
  <si>
    <t>20662421:eng</t>
  </si>
  <si>
    <t>31412064</t>
  </si>
  <si>
    <t>991000251589702656</t>
  </si>
  <si>
    <t>2261968800002656</t>
  </si>
  <si>
    <t>9780887376382</t>
  </si>
  <si>
    <t>30001003168822</t>
  </si>
  <si>
    <t>893558743</t>
  </si>
  <si>
    <t>WY16 N972A 2001</t>
  </si>
  <si>
    <t>0                      WY 0016000N  972A        2001</t>
  </si>
  <si>
    <t>Advancing your career : concepts of professional nursing / Rose Kearney.</t>
  </si>
  <si>
    <t>Kearney-Nunnery, Rose.</t>
  </si>
  <si>
    <t>Philadelphia : F.A. Davis Co., c2001.</t>
  </si>
  <si>
    <t>2001</t>
  </si>
  <si>
    <t>2001-09-12</t>
  </si>
  <si>
    <t>2001-08-27</t>
  </si>
  <si>
    <t>794993882:eng</t>
  </si>
  <si>
    <t>46359662</t>
  </si>
  <si>
    <t>991001706369702656</t>
  </si>
  <si>
    <t>2261248840002656</t>
  </si>
  <si>
    <t>9780803608078</t>
  </si>
  <si>
    <t>30001004234961</t>
  </si>
  <si>
    <t>893268693</t>
  </si>
  <si>
    <t>WY 16 N974 1982</t>
  </si>
  <si>
    <t>0                      WY 0016000N  974         1982</t>
  </si>
  <si>
    <t>Nursing in the 1980s : crises, opportunities, challenges / edited by Linda H. Aiken ; Susan R. Gortner, associate editor.</t>
  </si>
  <si>
    <t>689365347:eng</t>
  </si>
  <si>
    <t>8034603</t>
  </si>
  <si>
    <t>991000741009702656</t>
  </si>
  <si>
    <t>2256688740002656</t>
  </si>
  <si>
    <t>9780397544066</t>
  </si>
  <si>
    <t>30001000043382</t>
  </si>
  <si>
    <t>893120100</t>
  </si>
  <si>
    <t>WY 16 N974 1993</t>
  </si>
  <si>
    <t>0                      WY 0016000N  974         1993</t>
  </si>
  <si>
    <t>Nursing : its hidden agendas / edited by Moya Jolley and Gosia Brykczyńska.</t>
  </si>
  <si>
    <t>London : Edward Arnold, c1993.</t>
  </si>
  <si>
    <t>1993</t>
  </si>
  <si>
    <t>1993-11-01</t>
  </si>
  <si>
    <t>1993-10-22</t>
  </si>
  <si>
    <t>115586233:eng</t>
  </si>
  <si>
    <t>31174069</t>
  </si>
  <si>
    <t>991001488259702656</t>
  </si>
  <si>
    <t>2263473270002656</t>
  </si>
  <si>
    <t>9780340557266</t>
  </si>
  <si>
    <t>30001002579847</t>
  </si>
  <si>
    <t>893558017</t>
  </si>
  <si>
    <t>WY 16 N97418 1990</t>
  </si>
  <si>
    <t>0                      WY 0016000N  97418       1990</t>
  </si>
  <si>
    <t>The Nursing profession : turning points / edited by Norma L. Chaska.</t>
  </si>
  <si>
    <t>2000-09-11</t>
  </si>
  <si>
    <t>22161662:eng</t>
  </si>
  <si>
    <t>20265677</t>
  </si>
  <si>
    <t>991000820989702656</t>
  </si>
  <si>
    <t>2265149970002656</t>
  </si>
  <si>
    <t>9780801660672</t>
  </si>
  <si>
    <t>30001002087528</t>
  </si>
  <si>
    <t>893743503</t>
  </si>
  <si>
    <t>WY 16 N9744 1983</t>
  </si>
  <si>
    <t>0                      WY 0016000N  9744        1983</t>
  </si>
  <si>
    <t>Nursing in transition / [edited by] T. Audean Duespohl.</t>
  </si>
  <si>
    <t>Rockville, Md. : Aspen Systems Corp., c1983.</t>
  </si>
  <si>
    <t>1993-07-13</t>
  </si>
  <si>
    <t>428884743:eng</t>
  </si>
  <si>
    <t>8709032</t>
  </si>
  <si>
    <t>991001034159702656</t>
  </si>
  <si>
    <t>2272560870002656</t>
  </si>
  <si>
    <t>9780894438370</t>
  </si>
  <si>
    <t>30001000240426</t>
  </si>
  <si>
    <t>893557526</t>
  </si>
  <si>
    <t>WY 16 N9746 1983</t>
  </si>
  <si>
    <t>0                      WY 0016000N  9746        1983</t>
  </si>
  <si>
    <t>Nursing issues and nursing strategies for the eighties / Bonnie Bullough, Vern Bullough, Mary Claire Soukup, editors.</t>
  </si>
  <si>
    <t>New York : Springer Pub. Co., c1983.</t>
  </si>
  <si>
    <t>1994-06-27</t>
  </si>
  <si>
    <t>1997-02-11</t>
  </si>
  <si>
    <t>427650218:eng</t>
  </si>
  <si>
    <t>9283376</t>
  </si>
  <si>
    <t>991000859459702656</t>
  </si>
  <si>
    <t>2258667980002656</t>
  </si>
  <si>
    <t>9780826144416</t>
  </si>
  <si>
    <t>30001003477488</t>
  </si>
  <si>
    <t>893460052</t>
  </si>
  <si>
    <t>WY 16 N975 1989</t>
  </si>
  <si>
    <t>0                      WY 0016000N  975         1989</t>
  </si>
  <si>
    <t>Nursing's vital signs : shaping the profession for the 1990's / [National Commission on Nursing Implementation Project]</t>
  </si>
  <si>
    <t>Battle Creek, MI : Published by the W.K. Kellogg Foundation, 1989.</t>
  </si>
  <si>
    <t>[1st ed.]</t>
  </si>
  <si>
    <t>55266456:eng</t>
  </si>
  <si>
    <t>20544271</t>
  </si>
  <si>
    <t>991001363589702656</t>
  </si>
  <si>
    <t>2272312430002656</t>
  </si>
  <si>
    <t>30001001797085</t>
  </si>
  <si>
    <t>893149123</t>
  </si>
  <si>
    <t>WY 16 N97874 1997</t>
  </si>
  <si>
    <t>0                      WY 0016000N  97874       1997</t>
  </si>
  <si>
    <t>Nursing today : transition and trends / [edited by] JoAnn Zerwekh, Jo Carol Claborn.</t>
  </si>
  <si>
    <t>Philadelphia : Saunders, c1997.</t>
  </si>
  <si>
    <t>2000-08-01</t>
  </si>
  <si>
    <t>1997-02-18</t>
  </si>
  <si>
    <t>796453364:eng</t>
  </si>
  <si>
    <t>34513976</t>
  </si>
  <si>
    <t>991000836819702656</t>
  </si>
  <si>
    <t>2255480810002656</t>
  </si>
  <si>
    <t>9780721668994</t>
  </si>
  <si>
    <t>30001003441989</t>
  </si>
  <si>
    <t>893637618</t>
  </si>
  <si>
    <t>WY 16 N97875 1985</t>
  </si>
  <si>
    <t>0                      WY 0016000N  97875       1985</t>
  </si>
  <si>
    <t>Nursing 2020 : a study of the future of hospital based nursing / Myrna Warnick, project director, Toni Sullivan, co-project director ; Deborah Smith, editor.</t>
  </si>
  <si>
    <t>NLN pub. no. 14-2217</t>
  </si>
  <si>
    <t>1994-07-08</t>
  </si>
  <si>
    <t>1988-07-08</t>
  </si>
  <si>
    <t>1020769676:eng</t>
  </si>
  <si>
    <t>19975425</t>
  </si>
  <si>
    <t>991001416599702656</t>
  </si>
  <si>
    <t>2254940040002656</t>
  </si>
  <si>
    <t>9780887373978</t>
  </si>
  <si>
    <t>30001001180878</t>
  </si>
  <si>
    <t>893134556</t>
  </si>
  <si>
    <t>WY 16 O74c 1979</t>
  </si>
  <si>
    <t>0                      WY 0016000O  74c         1979</t>
  </si>
  <si>
    <t>A coalition for health : bridge between individual accountability and public policy / Maria W. O'Rourke.</t>
  </si>
  <si>
    <t>O'Rourke, Maria W.</t>
  </si>
  <si>
    <t>NLN pub. no. 41-1779</t>
  </si>
  <si>
    <t>1990-07-03</t>
  </si>
  <si>
    <t>18643172:eng</t>
  </si>
  <si>
    <t>5619459</t>
  </si>
  <si>
    <t>991001389989702656</t>
  </si>
  <si>
    <t>2269975750002656</t>
  </si>
  <si>
    <t>30001000464810</t>
  </si>
  <si>
    <t>893731971</t>
  </si>
  <si>
    <t>WY 16 P419 1976</t>
  </si>
  <si>
    <t>0                      WY 0016000P  419         1976</t>
  </si>
  <si>
    <t>People, power, politics for health care.</t>
  </si>
  <si>
    <t>New York : National League for Nursing, c1976.</t>
  </si>
  <si>
    <t>NLN pub. no. 52-1647</t>
  </si>
  <si>
    <t>1990-07-02</t>
  </si>
  <si>
    <t>1781304792:eng</t>
  </si>
  <si>
    <t>2701240</t>
  </si>
  <si>
    <t>991001516399702656</t>
  </si>
  <si>
    <t>2254728390002656</t>
  </si>
  <si>
    <t>30001000600058</t>
  </si>
  <si>
    <t>893638404</t>
  </si>
  <si>
    <t>WY16 P467 1983</t>
  </si>
  <si>
    <t>0                      WY 0016000P  467         1983</t>
  </si>
  <si>
    <t>Perspectives in nursing--1983-1985 : based on presentations at the sixteenth NLN biennial convention / National League for Nursing.</t>
  </si>
  <si>
    <t>NLN pub. no. 41-1935</t>
  </si>
  <si>
    <t>1998-03-27</t>
  </si>
  <si>
    <t>1989-12-19</t>
  </si>
  <si>
    <t>3768474837:eng</t>
  </si>
  <si>
    <t>11496424</t>
  </si>
  <si>
    <t>991001414469702656</t>
  </si>
  <si>
    <t>2269583110002656</t>
  </si>
  <si>
    <t>9780887373466</t>
  </si>
  <si>
    <t>30001001847054</t>
  </si>
  <si>
    <t>893643557</t>
  </si>
  <si>
    <t>WY16 P467 1985-1987</t>
  </si>
  <si>
    <t>0                      WY 0016000P  467         1985                                        -1987</t>
  </si>
  <si>
    <t>Perspectives in nursing, 1985-1987 : based on presentations at the seventeenth NLN biennial convention.</t>
  </si>
  <si>
    <t>New York, N.Y. : National League for Nursing, c1985.</t>
  </si>
  <si>
    <t>NLN pub. no. 41-1985</t>
  </si>
  <si>
    <t>8907358317:eng</t>
  </si>
  <si>
    <t>16867339</t>
  </si>
  <si>
    <t>991001034279702656</t>
  </si>
  <si>
    <t>2264713620002656</t>
  </si>
  <si>
    <t>9780887371691</t>
  </si>
  <si>
    <t>30001000240442</t>
  </si>
  <si>
    <t>893637953</t>
  </si>
  <si>
    <t>WY16 P467 1987-1989</t>
  </si>
  <si>
    <t>0                      WY 0016000P  467         1987                                        -1989</t>
  </si>
  <si>
    <t>Perspectives in nursing, 1987-1989 : based on presentations at the Eighteenth NLN Biennial Convention.</t>
  </si>
  <si>
    <t>NLN Convention (18th : 1987 : San Antonio, Tex.)</t>
  </si>
  <si>
    <t>NLN pub. no. 41-2199</t>
  </si>
  <si>
    <t>1989-05-16</t>
  </si>
  <si>
    <t>3768589712:eng</t>
  </si>
  <si>
    <t>17372730</t>
  </si>
  <si>
    <t>991001539309702656</t>
  </si>
  <si>
    <t>2267051790002656</t>
  </si>
  <si>
    <t>9780887373848</t>
  </si>
  <si>
    <t>30001000624454</t>
  </si>
  <si>
    <t>893552617</t>
  </si>
  <si>
    <t>WY 16 P766 1993</t>
  </si>
  <si>
    <t>0                      WY 0016000P  766         1993</t>
  </si>
  <si>
    <t>Policy and politics for nurses : action and change in the workplace, government, organizations, and community / [edited by] Diane J. Mason, Susan W. Talbott, Judith K. Leavitt ; foreword by Patricia Schroeder ; introduction by Geraldine A. Ferraro ; afterword by Barbara Boxer.</t>
  </si>
  <si>
    <t>Philadelphia : W.B. Saunders, c1993.</t>
  </si>
  <si>
    <t>2005-04-26</t>
  </si>
  <si>
    <t>1998-01-19</t>
  </si>
  <si>
    <t>836730189:eng</t>
  </si>
  <si>
    <t>27810396</t>
  </si>
  <si>
    <t>991001564689702656</t>
  </si>
  <si>
    <t>2259381390002656</t>
  </si>
  <si>
    <t>9780721646688</t>
  </si>
  <si>
    <t>30001003740224</t>
  </si>
  <si>
    <t>893451334</t>
  </si>
  <si>
    <t>WY 16 P7662 1998</t>
  </si>
  <si>
    <t>0                      WY 0016000P  7662        1998</t>
  </si>
  <si>
    <t>Policy and politics in nursing and health care / [edited by] Diana J. Mason, Judith K. Leavitt.</t>
  </si>
  <si>
    <t>Philadelphia : W.B. Saunders, c1998.</t>
  </si>
  <si>
    <t>2009-03-02</t>
  </si>
  <si>
    <t>367917673:eng</t>
  </si>
  <si>
    <t>39051738</t>
  </si>
  <si>
    <t>991000870099702656</t>
  </si>
  <si>
    <t>2255275800002656</t>
  </si>
  <si>
    <t>9780721670386</t>
  </si>
  <si>
    <t>30001004445344</t>
  </si>
  <si>
    <t>893283977</t>
  </si>
  <si>
    <t>WY 16 P7685 1985</t>
  </si>
  <si>
    <t>0                      WY 0016000P  7685        1985</t>
  </si>
  <si>
    <t>Political action handbook for nurses : changing the workplace, government, organizations, and community / [edited by] Diana J. Mason, Susan W. Talbott ; with contributors ; foreword by Edward M. Kennedy ; introduction by Eunice R. Cole.</t>
  </si>
  <si>
    <t>Menlo Park, Calif. : Addison-Wesley, Health Sciences Division, c1985.</t>
  </si>
  <si>
    <t>894529958:eng</t>
  </si>
  <si>
    <t>12312296</t>
  </si>
  <si>
    <t>991001034439702656</t>
  </si>
  <si>
    <t>2271898480002656</t>
  </si>
  <si>
    <t>9780201163681</t>
  </si>
  <si>
    <t>30001000240475</t>
  </si>
  <si>
    <t>893552072</t>
  </si>
  <si>
    <t>WY 16 P769p 1978</t>
  </si>
  <si>
    <t>0                      WY 0016000P  769p        1978</t>
  </si>
  <si>
    <t>Political, social, and educational forces on nursing : impact of political forces.</t>
  </si>
  <si>
    <t>NLN pub. no. 15-1754</t>
  </si>
  <si>
    <t>1990-06-12</t>
  </si>
  <si>
    <t>54350345:eng</t>
  </si>
  <si>
    <t>5831344</t>
  </si>
  <si>
    <t>991001371079702656</t>
  </si>
  <si>
    <t>2263219260002656</t>
  </si>
  <si>
    <t>30001000461816</t>
  </si>
  <si>
    <t>893557909</t>
  </si>
  <si>
    <t>WY 16 P769s 1978</t>
  </si>
  <si>
    <t>0                      WY 0016000P  769s        1978</t>
  </si>
  <si>
    <t>Political, social, and educational forces on nursing : impact of social forces.</t>
  </si>
  <si>
    <t>NLN pub. no. 15-1774</t>
  </si>
  <si>
    <t>21000578:eng</t>
  </si>
  <si>
    <t>6040061</t>
  </si>
  <si>
    <t>991001371339702656</t>
  </si>
  <si>
    <t>2269883790002656</t>
  </si>
  <si>
    <t>30001000461865</t>
  </si>
  <si>
    <t>893279026</t>
  </si>
  <si>
    <t>WY 16 P855 1993</t>
  </si>
  <si>
    <t>0                      WY 0016000P  855         1993</t>
  </si>
  <si>
    <t>Positioned for power : obtaining government appointments for nurses / American Nurses Association.</t>
  </si>
  <si>
    <t>Washington, D.C. : American Nurses Publishing, c1993.</t>
  </si>
  <si>
    <t>ANA pub ; GR-7</t>
  </si>
  <si>
    <t>930726630:eng</t>
  </si>
  <si>
    <t>28536028</t>
  </si>
  <si>
    <t>991000243079702656</t>
  </si>
  <si>
    <t>2261956280002656</t>
  </si>
  <si>
    <t>30001002635615</t>
  </si>
  <si>
    <t>893628950</t>
  </si>
  <si>
    <t>WY 16 P8872 1995</t>
  </si>
  <si>
    <t>0                      WY 0016000P  8872        1995</t>
  </si>
  <si>
    <t>Power, politics, and public policy : a matter of caring / edited by Anne Boykin.</t>
  </si>
  <si>
    <t>NLN pub. no. 14-2684</t>
  </si>
  <si>
    <t>2007-04-16</t>
  </si>
  <si>
    <t>476719928:eng</t>
  </si>
  <si>
    <t>32619045</t>
  </si>
  <si>
    <t>991000255159702656</t>
  </si>
  <si>
    <t>2256150480002656</t>
  </si>
  <si>
    <t>9780887376443</t>
  </si>
  <si>
    <t>30001003117548</t>
  </si>
  <si>
    <t>893279861</t>
  </si>
  <si>
    <t>WY 16 P8875 1982</t>
  </si>
  <si>
    <t>0                      WY 0016000P  8875        1982</t>
  </si>
  <si>
    <t>Power, politics, and policy in nursing / Rita Reis Wieczorek, editor.</t>
  </si>
  <si>
    <t>New York : Springer Pub. Co., c1985.</t>
  </si>
  <si>
    <t xml:space="preserve">aa </t>
  </si>
  <si>
    <t>428651583:eng</t>
  </si>
  <si>
    <t>10948669</t>
  </si>
  <si>
    <t>991001034479702656</t>
  </si>
  <si>
    <t>2255806540002656</t>
  </si>
  <si>
    <t>9780826146304</t>
  </si>
  <si>
    <t>30001000240483</t>
  </si>
  <si>
    <t>893826398</t>
  </si>
  <si>
    <t>WY 16 P964 1996</t>
  </si>
  <si>
    <t>0                      WY 0016000P  964         1996</t>
  </si>
  <si>
    <t>Profiles of the newly licensed nurse : historical trends and future implications / Delroy Louden, Lynda Crawford, Sherlene Trotman, Division of Research, National League for Nursing.</t>
  </si>
  <si>
    <t>New York : National League for Nursing Press, c1996.</t>
  </si>
  <si>
    <t>289996715:eng</t>
  </si>
  <si>
    <t>35158156</t>
  </si>
  <si>
    <t>991000262709702656</t>
  </si>
  <si>
    <t>2263054480002656</t>
  </si>
  <si>
    <t>9780887376603</t>
  </si>
  <si>
    <t>30001003446178</t>
  </si>
  <si>
    <t>893274934</t>
  </si>
  <si>
    <t>WY16 P9644 2001</t>
  </si>
  <si>
    <t>0                      WY 0016000P  9644        2001</t>
  </si>
  <si>
    <t>Professional nursing : concepts &amp; challenges / Kay Kittrell Chitty.</t>
  </si>
  <si>
    <t>Philadelphia : W.B. Saunders, c2001.</t>
  </si>
  <si>
    <t>2004-02-03</t>
  </si>
  <si>
    <t>2002-06-28</t>
  </si>
  <si>
    <t>836777287:eng</t>
  </si>
  <si>
    <t>43483677</t>
  </si>
  <si>
    <t>991000319779702656</t>
  </si>
  <si>
    <t>2260218040002656</t>
  </si>
  <si>
    <t>9780721687117</t>
  </si>
  <si>
    <t>30001004240000</t>
  </si>
  <si>
    <t>893452015</t>
  </si>
  <si>
    <t>WY 16 P96442 2006</t>
  </si>
  <si>
    <t>0                      WY 0016000P  96442       2006</t>
  </si>
  <si>
    <t>Professional nursing practice : concepts and perspectives / Kathleen Koernig Blais ... [et al.].</t>
  </si>
  <si>
    <t>Upper Saddle River, N.J. : Pearson/Prentice Hall, c2006.</t>
  </si>
  <si>
    <t>2009-10-01</t>
  </si>
  <si>
    <t>2009-09-29</t>
  </si>
  <si>
    <t>796540701:eng</t>
  </si>
  <si>
    <t>57143279</t>
  </si>
  <si>
    <t>991001495479702656</t>
  </si>
  <si>
    <t>2272780820002656</t>
  </si>
  <si>
    <t>9780131188198</t>
  </si>
  <si>
    <t>30001004919835</t>
  </si>
  <si>
    <t>893633137</t>
  </si>
  <si>
    <t>WY 16 P969 1974</t>
  </si>
  <si>
    <t>0                      WY 0016000P  969         1974</t>
  </si>
  <si>
    <t>Providing a climate for the utilization of nursing personnel : papers presented at the joint program of the National League for Nursing and the American Hospital Association, November 1974, New York, N. Y.</t>
  </si>
  <si>
    <t>New York : Dept. of Hospital and Related Institutional Nursing Services, National League for Nursing, c1975.</t>
  </si>
  <si>
    <t>NLN pub. no. 20-1566</t>
  </si>
  <si>
    <t>796602660:eng</t>
  </si>
  <si>
    <t>1818859</t>
  </si>
  <si>
    <t>991001384699702656</t>
  </si>
  <si>
    <t>2268198860002656</t>
  </si>
  <si>
    <t>30001000463481</t>
  </si>
  <si>
    <t>893832129</t>
  </si>
  <si>
    <t>WY 16 Q1 1985</t>
  </si>
  <si>
    <t>0                      WY 0016000Q  1           1985</t>
  </si>
  <si>
    <t>Quality assurance : a complete guide to effective programs / edited by Claire Gavin Meisenheimer.</t>
  </si>
  <si>
    <t>Rockville, Md. : Aspen Systems Corp., c1985.</t>
  </si>
  <si>
    <t>1994-12-29</t>
  </si>
  <si>
    <t>4645212:eng</t>
  </si>
  <si>
    <t>11786179</t>
  </si>
  <si>
    <t>991000741079702656</t>
  </si>
  <si>
    <t>2269269710002656</t>
  </si>
  <si>
    <t>9780871890962</t>
  </si>
  <si>
    <t>30001000043374</t>
  </si>
  <si>
    <t>893133500</t>
  </si>
  <si>
    <t>WY 16 Q12 1974</t>
  </si>
  <si>
    <t>0                      WY 0016000Q  12          1974</t>
  </si>
  <si>
    <t>Quality assessment : programs and process : presentations from the March 1974 and March 1975 Forums for Nursing Service Administrators in the West / sponsored by the Western Regional Assembly of Constituent Leagues.</t>
  </si>
  <si>
    <t>New York : Division of Community Planning, National League for Nursing, c1975.</t>
  </si>
  <si>
    <t>NLN pub. no. 52-1598</t>
  </si>
  <si>
    <t>1990-08-03</t>
  </si>
  <si>
    <t>3901242725:eng</t>
  </si>
  <si>
    <t>2091760</t>
  </si>
  <si>
    <t>991001516239702656</t>
  </si>
  <si>
    <t>2269184660002656</t>
  </si>
  <si>
    <t>30001000600041</t>
  </si>
  <si>
    <t>893284873</t>
  </si>
  <si>
    <t>WY 16 R2873 1991</t>
  </si>
  <si>
    <t>0                      WY 0016000R  2873        1991</t>
  </si>
  <si>
    <t>Readings in transition : focus on professional nursing / [edited by] Rita Munley Gallagher.</t>
  </si>
  <si>
    <t>St. Louis : C.V. Mosby, c1991.</t>
  </si>
  <si>
    <t>1994-06-28</t>
  </si>
  <si>
    <t>1991-04-25</t>
  </si>
  <si>
    <t>836709255:eng</t>
  </si>
  <si>
    <t>21764344</t>
  </si>
  <si>
    <t>991000933849702656</t>
  </si>
  <si>
    <t>2263252280002656</t>
  </si>
  <si>
    <t>9780801619526</t>
  </si>
  <si>
    <t>30001002190330</t>
  </si>
  <si>
    <t>893637845</t>
  </si>
  <si>
    <t>WY 16 S422 1995</t>
  </si>
  <si>
    <t>0                      WY 0016000S  422         1995</t>
  </si>
  <si>
    <t>Scope and standards for nurse administrators / ANA Task Force on Standards for Organized Nursing Services (1994-1995)</t>
  </si>
  <si>
    <t>Washington, DC : American Nurses Publishing, c1995</t>
  </si>
  <si>
    <t>ANA pub ; no. NS-35</t>
  </si>
  <si>
    <t>998779:eng</t>
  </si>
  <si>
    <t>35144050</t>
  </si>
  <si>
    <t>991000260139702656</t>
  </si>
  <si>
    <t>2255188560002656</t>
  </si>
  <si>
    <t>30001003352533</t>
  </si>
  <si>
    <t>893461290</t>
  </si>
  <si>
    <t>WY 16 S464 1966</t>
  </si>
  <si>
    <t>0                      WY 0016000S  464         1966</t>
  </si>
  <si>
    <t>Selection and recruitment of nurses and nursing students : a review of research studies and practices / by Calvin W. Taylor ... [et al.].</t>
  </si>
  <si>
    <t>Salt Lake City : University of Utah Press, 1966.</t>
  </si>
  <si>
    <t>2nd printing, rev.</t>
  </si>
  <si>
    <t>1990-09-11</t>
  </si>
  <si>
    <t>1987-11-19</t>
  </si>
  <si>
    <t>29753493:eng</t>
  </si>
  <si>
    <t>7738085</t>
  </si>
  <si>
    <t>991001518379702656</t>
  </si>
  <si>
    <t>2257912960002656</t>
  </si>
  <si>
    <t>30001000600462</t>
  </si>
  <si>
    <t>893369437</t>
  </si>
  <si>
    <t>WY 16 S664s 1988</t>
  </si>
  <si>
    <t>0                      WY 0016000S  664s        1988</t>
  </si>
  <si>
    <t>Setting standards for professional nursing : the Marker Model / by Carolyn G. Smith-Marker.</t>
  </si>
  <si>
    <t>Smith-Marker, Carolyn G.</t>
  </si>
  <si>
    <t>Baltimore, Md. : Mosby, c1988.</t>
  </si>
  <si>
    <t>1989-07-11</t>
  </si>
  <si>
    <t>1989-06-30</t>
  </si>
  <si>
    <t>16859372:eng</t>
  </si>
  <si>
    <t>18081951</t>
  </si>
  <si>
    <t>991000500479702656</t>
  </si>
  <si>
    <t>2257827460002656</t>
  </si>
  <si>
    <t>9780801652615</t>
  </si>
  <si>
    <t>30001001679267</t>
  </si>
  <si>
    <t>893828047</t>
  </si>
  <si>
    <t>WY 16 S678 1982</t>
  </si>
  <si>
    <t>0                      WY 0016000S  678         1982</t>
  </si>
  <si>
    <t>Socialization, sexism, and stereotyping : women's issues in nursing / edited by Janet Muff.</t>
  </si>
  <si>
    <t>St. Louis : Mosby, c1982.</t>
  </si>
  <si>
    <t>894484812:eng</t>
  </si>
  <si>
    <t>7945963</t>
  </si>
  <si>
    <t>991001034619702656</t>
  </si>
  <si>
    <t>2271072830002656</t>
  </si>
  <si>
    <t>9780801635816</t>
  </si>
  <si>
    <t>30001000240525</t>
  </si>
  <si>
    <t>893358154</t>
  </si>
  <si>
    <t>WY 16 S785p 1979</t>
  </si>
  <si>
    <t>0                      WY 0016000S  785p        1979</t>
  </si>
  <si>
    <t>Politics, the nurse and the health care consumer / Marcia Stanhope.</t>
  </si>
  <si>
    <t>Stanhope, Marcia.</t>
  </si>
  <si>
    <t>NLN pub. no. 41-1778</t>
  </si>
  <si>
    <t>16279372:eng</t>
  </si>
  <si>
    <t>5165261</t>
  </si>
  <si>
    <t>991000852439702656</t>
  </si>
  <si>
    <t>2260647280002656</t>
  </si>
  <si>
    <t>30001000802100</t>
  </si>
  <si>
    <t>893283964</t>
  </si>
  <si>
    <t>WY 16 S786pa 1980</t>
  </si>
  <si>
    <t>0                      WY 0016000S  786pa       1980</t>
  </si>
  <si>
    <t>A political initiative / Marica Stanhope.</t>
  </si>
  <si>
    <t>New York : National League for Nursing, c1980.</t>
  </si>
  <si>
    <t>NLN pub. no. 41-1821</t>
  </si>
  <si>
    <t>22661713:eng</t>
  </si>
  <si>
    <t>6495055</t>
  </si>
  <si>
    <t>991001517249702656</t>
  </si>
  <si>
    <t>2268431020002656</t>
  </si>
  <si>
    <t>30001000600157</t>
  </si>
  <si>
    <t>893465601</t>
  </si>
  <si>
    <t>WY 16 S937o 1982</t>
  </si>
  <si>
    <t>0                      WY 0016000S  937o        1982</t>
  </si>
  <si>
    <t>On nursing : toward a new endowment / Margretta M. Styles.</t>
  </si>
  <si>
    <t>Styles, Margretta M.</t>
  </si>
  <si>
    <t>1989-06-22</t>
  </si>
  <si>
    <t>18619528:eng</t>
  </si>
  <si>
    <t>7944793</t>
  </si>
  <si>
    <t>991001034839702656</t>
  </si>
  <si>
    <t>2271721710002656</t>
  </si>
  <si>
    <t>9780801648748</t>
  </si>
  <si>
    <t>30001000240574</t>
  </si>
  <si>
    <t>893727192</t>
  </si>
  <si>
    <t>WY 16 S963 1994</t>
  </si>
  <si>
    <t>0                      WY 0016000S  963         1994</t>
  </si>
  <si>
    <t>Survey of certified nurse practitioners and clinical nurse specialists : December 1992 / prepared by Washington Consulting Group.</t>
  </si>
  <si>
    <t>Washington, D.C. : The Group, 1994.</t>
  </si>
  <si>
    <t>2001-03-30</t>
  </si>
  <si>
    <t>1994-06-09</t>
  </si>
  <si>
    <t>33510343:eng</t>
  </si>
  <si>
    <t>31380776</t>
  </si>
  <si>
    <t>991001193499702656</t>
  </si>
  <si>
    <t>2267096000002656</t>
  </si>
  <si>
    <t>30001002983858</t>
  </si>
  <si>
    <t>893134332</t>
  </si>
  <si>
    <t>WY 16 T239f 2001</t>
  </si>
  <si>
    <t>0                      WY 0016000T  239f        2001</t>
  </si>
  <si>
    <t>Fundamentals of nursing : the art &amp; science of nursing care / Carol Taylor, Carol Lillis, Priscilla LeMone.</t>
  </si>
  <si>
    <t>Taylor, Carol (Carol R.)</t>
  </si>
  <si>
    <t>Philadelphia : Lippincott, c2001.</t>
  </si>
  <si>
    <t>2009-05-26</t>
  </si>
  <si>
    <t>2002-10-18</t>
  </si>
  <si>
    <t>796301440:eng</t>
  </si>
  <si>
    <t>44545226</t>
  </si>
  <si>
    <t>991000331129702656</t>
  </si>
  <si>
    <t>2258628990002656</t>
  </si>
  <si>
    <t>9780781722735</t>
  </si>
  <si>
    <t>30001004498954</t>
  </si>
  <si>
    <t>893456572</t>
  </si>
  <si>
    <t>WY16 T239f 2005</t>
  </si>
  <si>
    <t>0                      WY 0016000T  239f        2005</t>
  </si>
  <si>
    <t>Fundamentals of nursing : the art and science of nursing care / Carol Taylor, Carol Lillis, Priscilla LeMone.</t>
  </si>
  <si>
    <t>Philadelphia, PA : Lippincott Williams &amp; Wilkins, c2005.</t>
  </si>
  <si>
    <t>2008-07-10</t>
  </si>
  <si>
    <t>2004-09-17</t>
  </si>
  <si>
    <t>54408079</t>
  </si>
  <si>
    <t>991001729909702656</t>
  </si>
  <si>
    <t>2258361120002656</t>
  </si>
  <si>
    <t>9780781744805</t>
  </si>
  <si>
    <t>30001004922979</t>
  </si>
  <si>
    <t>893826941</t>
  </si>
  <si>
    <t>WY 16 W331c 1987</t>
  </si>
  <si>
    <t>0                      WY 0016000W  331c        1987</t>
  </si>
  <si>
    <t>Competencies of the associate degree nurse : valid definers of entry-level nursing practice / Verle Waters and Sharlene Limon.</t>
  </si>
  <si>
    <t>Waters, Verle H.</t>
  </si>
  <si>
    <t>New York : National League for Nursing, c1987.</t>
  </si>
  <si>
    <t>NLN pub. no. 23-2172.</t>
  </si>
  <si>
    <t>1989-10-30</t>
  </si>
  <si>
    <t>312569355:eng</t>
  </si>
  <si>
    <t>15116789</t>
  </si>
  <si>
    <t>991001389339702656</t>
  </si>
  <si>
    <t>2262865510002656</t>
  </si>
  <si>
    <t>9780887373428</t>
  </si>
  <si>
    <t>30001000464570</t>
  </si>
  <si>
    <t>893364050</t>
  </si>
  <si>
    <t>WY 16 W6273 1993</t>
  </si>
  <si>
    <t>0                      WY 0016000W  6273        1993</t>
  </si>
  <si>
    <t>Who gets health care? : an arena for nursing action / Barbara Kos-Munson, editor.</t>
  </si>
  <si>
    <t>New York : Springer Pub. Co., c1993.</t>
  </si>
  <si>
    <t>1999-03-30</t>
  </si>
  <si>
    <t>1995-05-12</t>
  </si>
  <si>
    <t>793979035:eng</t>
  </si>
  <si>
    <t>26935139</t>
  </si>
  <si>
    <t>991001400399702656</t>
  </si>
  <si>
    <t>2262489290002656</t>
  </si>
  <si>
    <t>9780826182401</t>
  </si>
  <si>
    <t>30001003147792</t>
  </si>
  <si>
    <t>893364054</t>
  </si>
  <si>
    <t>WY16 W872 2003</t>
  </si>
  <si>
    <t>0                      WY 0016000W  872         2003</t>
  </si>
  <si>
    <t>Women in nursing in Islamic societies / edited by Nancy H. Bryant.</t>
  </si>
  <si>
    <t>Karachi ; New York : Oxford University Press, 2003.</t>
  </si>
  <si>
    <t xml:space="preserve">pk </t>
  </si>
  <si>
    <t>2007-05-08</t>
  </si>
  <si>
    <t>2007-01-29</t>
  </si>
  <si>
    <t>437905400:eng</t>
  </si>
  <si>
    <t>52901759</t>
  </si>
  <si>
    <t>991000588669702656</t>
  </si>
  <si>
    <t>2260794250002656</t>
  </si>
  <si>
    <t>9780195798883</t>
  </si>
  <si>
    <t>30001005175965</t>
  </si>
  <si>
    <t>893282770</t>
  </si>
  <si>
    <t>WY 16 Y82 1976</t>
  </si>
  <si>
    <t>0                      WY 0016000Y  82          1976</t>
  </si>
  <si>
    <t>Your career in nursing.</t>
  </si>
  <si>
    <t>NLN pub. no. 41-1562</t>
  </si>
  <si>
    <t>4510267:eng</t>
  </si>
  <si>
    <t>2307994</t>
  </si>
  <si>
    <t>991001389839702656</t>
  </si>
  <si>
    <t>2264521620002656</t>
  </si>
  <si>
    <t>30001000464760</t>
  </si>
  <si>
    <t>893649153</t>
  </si>
  <si>
    <t>WY 17 A227 1984</t>
  </si>
  <si>
    <t>0                      WY 0017000A  227         1984</t>
  </si>
  <si>
    <t>The Addison-Wesley photoatlas of nursing procedures / Pamela Swearingen, special projects editor, in association with Indiana University School of Nursing ... [et al.].</t>
  </si>
  <si>
    <t>Menlo Park, Calif. : Addison-Wesley, Nursing Division, c1984.</t>
  </si>
  <si>
    <t>3372110728:eng</t>
  </si>
  <si>
    <t>10711274</t>
  </si>
  <si>
    <t>991000740959702656</t>
  </si>
  <si>
    <t>2258925710002656</t>
  </si>
  <si>
    <t>9780201078688</t>
  </si>
  <si>
    <t>30001000043366</t>
  </si>
  <si>
    <t>893368396</t>
  </si>
  <si>
    <t>WY 17 R213L 1981</t>
  </si>
  <si>
    <t>0                      WY 0017000R  213L        1981</t>
  </si>
  <si>
    <t>Lifting, moving, and transferring patients : a manual / Marilyn Fresen Rantz, Donald Courtial.</t>
  </si>
  <si>
    <t>Rantz, Marilyn J.</t>
  </si>
  <si>
    <t>St. Louis : Mosby, 1981.</t>
  </si>
  <si>
    <t>2d ed.</t>
  </si>
  <si>
    <t>1997-06-27</t>
  </si>
  <si>
    <t>4160472771:eng</t>
  </si>
  <si>
    <t>6942089</t>
  </si>
  <si>
    <t>991001032329702656</t>
  </si>
  <si>
    <t>2257253080002656</t>
  </si>
  <si>
    <t>9780801640872</t>
  </si>
  <si>
    <t>30001000240103</t>
  </si>
  <si>
    <t>893148816</t>
  </si>
  <si>
    <t>WY 17 S974a 1996</t>
  </si>
  <si>
    <t>0                      WY 0017000S  974a        1996</t>
  </si>
  <si>
    <t>Photo atlas of nursing procedures / Pamela L. Swearingen, Cheri A. Howard ; in association with Indiana University School of Nursing [and the] Department of Nursing Services, Indiana University Medical Center and the Physical Therapy Program, Respiratory Therapy Department, Division of Allied Health Sciences, Indiana University School of Medicine, Indianapolis, Indiana.</t>
  </si>
  <si>
    <t>Swearingen, Pamela L.</t>
  </si>
  <si>
    <t>Menlo Park, Calif. : Addison-Wesley Nursing, c1996.</t>
  </si>
  <si>
    <t>2007-04-11</t>
  </si>
  <si>
    <t>1996-12-03</t>
  </si>
  <si>
    <t>24410680:eng</t>
  </si>
  <si>
    <t>33167849</t>
  </si>
  <si>
    <t>991000849769702656</t>
  </si>
  <si>
    <t>2258680250002656</t>
  </si>
  <si>
    <t>9780805387896</t>
  </si>
  <si>
    <t>30001003473289</t>
  </si>
  <si>
    <t>893815791</t>
  </si>
  <si>
    <t>WY 18 A169 1976</t>
  </si>
  <si>
    <t>0                      WY 0018000A  169         1976</t>
  </si>
  <si>
    <t>Accountability and the open curriculum in baccalaureate nursing education.</t>
  </si>
  <si>
    <t>NLN pub. no. 15-1628</t>
  </si>
  <si>
    <t>1991-06-15</t>
  </si>
  <si>
    <t>1987-10-26</t>
  </si>
  <si>
    <t>4758592:eng</t>
  </si>
  <si>
    <t>2400925</t>
  </si>
  <si>
    <t>991001370109702656</t>
  </si>
  <si>
    <t>2264639300002656</t>
  </si>
  <si>
    <t>30001000461667</t>
  </si>
  <si>
    <t>893821151</t>
  </si>
  <si>
    <t>WY 18 A172 1981</t>
  </si>
  <si>
    <t>0                      WY 0018000A  172         1981</t>
  </si>
  <si>
    <t>Accreditation and the future of quality nursing education : papers presented at the program meeting of the Council of Baccalaureate and Higher Degree Programs, November 1981, Norfolk, Virginia.</t>
  </si>
  <si>
    <t>[New York, N.Y.] : National League for Nursing, c1983.</t>
  </si>
  <si>
    <t>NLN pub. no. 15-1923</t>
  </si>
  <si>
    <t>1991-02-20</t>
  </si>
  <si>
    <t>1151057317:eng</t>
  </si>
  <si>
    <t>12910921</t>
  </si>
  <si>
    <t>991001373339702656</t>
  </si>
  <si>
    <t>2264308460002656</t>
  </si>
  <si>
    <t>30001000462004</t>
  </si>
  <si>
    <t>893149127</t>
  </si>
  <si>
    <t>WY 18 A191 1978</t>
  </si>
  <si>
    <t>0                      WY 0018000A  191         1978</t>
  </si>
  <si>
    <t>The AD graduate : excellence in practice- fantasy or reality?</t>
  </si>
  <si>
    <t>NLN pub. no. 23-1737</t>
  </si>
  <si>
    <t>5395319252:eng</t>
  </si>
  <si>
    <t>4468366</t>
  </si>
  <si>
    <t>991001388459702656</t>
  </si>
  <si>
    <t>2256980950002656</t>
  </si>
  <si>
    <t>30001000464323</t>
  </si>
  <si>
    <t>893643539</t>
  </si>
  <si>
    <t>WY 18 A227 1987</t>
  </si>
  <si>
    <t>0                      WY 0018000A  227         1987</t>
  </si>
  <si>
    <t>Addison-Wesley's nursing examination review / Sally L. Lagerquist, editor ; contributing authors, Joea E. Bierchen ... [et al.].</t>
  </si>
  <si>
    <t>Reading, Mass. : Addison-Wesley Pub. Co., c1987.</t>
  </si>
  <si>
    <t>375583455:eng</t>
  </si>
  <si>
    <t>15109088</t>
  </si>
  <si>
    <t>991001527849702656</t>
  </si>
  <si>
    <t>2254850640002656</t>
  </si>
  <si>
    <t>9780201142778</t>
  </si>
  <si>
    <t>30001000620387</t>
  </si>
  <si>
    <t>893268579</t>
  </si>
  <si>
    <t>WY 18 A5164 1989</t>
  </si>
  <si>
    <t>0                      WY 0018000A  5164        1989</t>
  </si>
  <si>
    <t>American nursing review for NCLEX-RN / Carol J. Bininger ... [et al.].</t>
  </si>
  <si>
    <t>Springhouse, Pa. : Springhouse Corp., c1989.</t>
  </si>
  <si>
    <t>1994-09-23</t>
  </si>
  <si>
    <t>1989-06-13</t>
  </si>
  <si>
    <t>55153364:eng</t>
  </si>
  <si>
    <t>18780785</t>
  </si>
  <si>
    <t>991001250289702656</t>
  </si>
  <si>
    <t>2262257260002656</t>
  </si>
  <si>
    <t>9780874341652</t>
  </si>
  <si>
    <t>30001001678731</t>
  </si>
  <si>
    <t>893149014</t>
  </si>
  <si>
    <t>WY 18 A773 1973</t>
  </si>
  <si>
    <t>0                      WY 0018000A  773         1973</t>
  </si>
  <si>
    <t>Arrangements between an institution of higher education and agencies which provide learning laboratories for nursing education.</t>
  </si>
  <si>
    <t>New York : National League for Nursing, c1973.</t>
  </si>
  <si>
    <t>2d rev. ed.</t>
  </si>
  <si>
    <t>NLN pub. no. 15-776</t>
  </si>
  <si>
    <t>1788953824:eng</t>
  </si>
  <si>
    <t>754066</t>
  </si>
  <si>
    <t>991001364739702656</t>
  </si>
  <si>
    <t>2270021570002656</t>
  </si>
  <si>
    <t>30001000461170</t>
  </si>
  <si>
    <t>893736522</t>
  </si>
  <si>
    <t>WY 18 A846 1991</t>
  </si>
  <si>
    <t>0                      WY 0018000A  846         1991</t>
  </si>
  <si>
    <t>Assessing educational outcomes : third National Conference on Measurement and Evaluation in Nursing / Margery Garbin, editor.</t>
  </si>
  <si>
    <t>National Conference on Measurement and Evaluation in Nursing (3rd : 1991 : Nashville, Tenn.)</t>
  </si>
  <si>
    <t>NLN pub. no. 15-2447.</t>
  </si>
  <si>
    <t>1781882048:eng</t>
  </si>
  <si>
    <t>26502837</t>
  </si>
  <si>
    <t>991000232349702656</t>
  </si>
  <si>
    <t>2260097320002656</t>
  </si>
  <si>
    <t>9780887375415</t>
  </si>
  <si>
    <t>30001002356865</t>
  </si>
  <si>
    <t>893354115</t>
  </si>
  <si>
    <t>WY 18 A849 1983</t>
  </si>
  <si>
    <t>0                      WY 0018000A  849         1983</t>
  </si>
  <si>
    <t>The Associate degree nurse, technical or professional?.</t>
  </si>
  <si>
    <t>New York : National League for Nursing, c1983.</t>
  </si>
  <si>
    <t>NLN pub. no. 23-1946</t>
  </si>
  <si>
    <t>55063554:eng</t>
  </si>
  <si>
    <t>17507119</t>
  </si>
  <si>
    <t>991001389279702656</t>
  </si>
  <si>
    <t>2261617020002656</t>
  </si>
  <si>
    <t>9780887373503</t>
  </si>
  <si>
    <t>30001000464547</t>
  </si>
  <si>
    <t>893377224</t>
  </si>
  <si>
    <t>WY 18 A849 1989-90</t>
  </si>
  <si>
    <t>0                      WY 0018000A  849         1989                                        -90</t>
  </si>
  <si>
    <t>Associate degree nursing programs accredited by the NLN, 1989-90.</t>
  </si>
  <si>
    <t>New York : National League for Nursing, c1990.</t>
  </si>
  <si>
    <t>NLN pub. no. 23-1544.</t>
  </si>
  <si>
    <t>8907830927:eng</t>
  </si>
  <si>
    <t>23725833</t>
  </si>
  <si>
    <t>991000936629702656</t>
  </si>
  <si>
    <t>2255498320002656</t>
  </si>
  <si>
    <t>30001002191122</t>
  </si>
  <si>
    <t>893455296</t>
  </si>
  <si>
    <t>WY 18 A876u 1983</t>
  </si>
  <si>
    <t>0                      WY 0018000A  876u        1983</t>
  </si>
  <si>
    <t>Understanding the nursing process / Leslie D. Atkinson, Mary Ellen Murray.</t>
  </si>
  <si>
    <t>Atkinson, Leslie D.</t>
  </si>
  <si>
    <t>New York : Macmillan, c1983.</t>
  </si>
  <si>
    <t>5567089:eng</t>
  </si>
  <si>
    <t>8785866</t>
  </si>
  <si>
    <t>991000945479702656</t>
  </si>
  <si>
    <t>2266322080002656</t>
  </si>
  <si>
    <t>9780023045806</t>
  </si>
  <si>
    <t>30001000189631</t>
  </si>
  <si>
    <t>893161551</t>
  </si>
  <si>
    <t>WY 18 AA1 D559 1989</t>
  </si>
  <si>
    <t>0                      WY 0018000AA 1                  D  559         1989</t>
  </si>
  <si>
    <t>The NLN criteria for appraisal of baccalaureate programs : a critical hermeneutic analysis / Nancy Diekelmann, David Allen, and Christine Tanner; responses by Hernan Vera and Ann Gothler.</t>
  </si>
  <si>
    <t>Diekelmann, Nancy L.</t>
  </si>
  <si>
    <t>New York : National League for Nursing, 1989.</t>
  </si>
  <si>
    <t>NLN pub. no. 15-2253</t>
  </si>
  <si>
    <t>1989-07-10</t>
  </si>
  <si>
    <t>432004827:eng</t>
  </si>
  <si>
    <t>22815537</t>
  </si>
  <si>
    <t>991001311659702656</t>
  </si>
  <si>
    <t>2268243080002656</t>
  </si>
  <si>
    <t>9780887374296</t>
  </si>
  <si>
    <t>30001001751009</t>
  </si>
  <si>
    <t>893727451</t>
  </si>
  <si>
    <t>WY 18 B109 1991-92</t>
  </si>
  <si>
    <t>0                      WY 0018000B  109         1991                                        -92</t>
  </si>
  <si>
    <t>Baccalaureate and master's degree programs in nursing accredited by the NLN, 1991-92.</t>
  </si>
  <si>
    <t>NLN pub. no. 15-1310.</t>
  </si>
  <si>
    <t>1997-04-21</t>
  </si>
  <si>
    <t>1991-10-31</t>
  </si>
  <si>
    <t>5610423082:eng</t>
  </si>
  <si>
    <t>24594154</t>
  </si>
  <si>
    <t>991000613529702656</t>
  </si>
  <si>
    <t>2269203390002656</t>
  </si>
  <si>
    <t>30001002015800</t>
  </si>
  <si>
    <t>893545107</t>
  </si>
  <si>
    <t>WY 18 B117 1980</t>
  </si>
  <si>
    <t>0                      WY 0018000B  117         1980</t>
  </si>
  <si>
    <t>Baccalaureate nursing education for registered nurses : issues and approaches.</t>
  </si>
  <si>
    <t>NLN pub. no. 15-1812</t>
  </si>
  <si>
    <t>29123905:eng</t>
  </si>
  <si>
    <t>7693851</t>
  </si>
  <si>
    <t>991001371519702656</t>
  </si>
  <si>
    <t>2269614430002656</t>
  </si>
  <si>
    <t>30001000461873</t>
  </si>
  <si>
    <t>893638270</t>
  </si>
  <si>
    <t>WY 18 B477 1977</t>
  </si>
  <si>
    <t>0                      WY 0018000B  477         1977</t>
  </si>
  <si>
    <t>Health care agencies and professionals : a changing relationship / Peter Bentley.</t>
  </si>
  <si>
    <t>Bentley, Peter.</t>
  </si>
  <si>
    <t>New York : National League for Nursing, 1977.</t>
  </si>
  <si>
    <t>NLN pub. no. 14-1669</t>
  </si>
  <si>
    <t>1987-10-14</t>
  </si>
  <si>
    <t>1788956297:eng</t>
  </si>
  <si>
    <t>3309143</t>
  </si>
  <si>
    <t>991001363779702656</t>
  </si>
  <si>
    <t>2260495820002656</t>
  </si>
  <si>
    <t>30001000461097</t>
  </si>
  <si>
    <t>893541301</t>
  </si>
  <si>
    <t>WY 18 B572c 1989</t>
  </si>
  <si>
    <t>0                      WY 0018000B  572c        1989</t>
  </si>
  <si>
    <t>Curriculum building in nursing : a process / Em Olivia Bevis.</t>
  </si>
  <si>
    <t>Bevis, Em Olivia.</t>
  </si>
  <si>
    <t>NLN pub. no. 15-2277</t>
  </si>
  <si>
    <t>1998-08-03</t>
  </si>
  <si>
    <t>1989-03-23</t>
  </si>
  <si>
    <t>1585870:eng</t>
  </si>
  <si>
    <t>19370589</t>
  </si>
  <si>
    <t>991001244899702656</t>
  </si>
  <si>
    <t>2255908510002656</t>
  </si>
  <si>
    <t>9780887374395</t>
  </si>
  <si>
    <t>30001001676826</t>
  </si>
  <si>
    <t>893731776</t>
  </si>
  <si>
    <t>WY 18 B597s 1982</t>
  </si>
  <si>
    <t>0                      WY 0018000B  597s        1982</t>
  </si>
  <si>
    <t>Staff development, a systems approach / Donald A. Bille.</t>
  </si>
  <si>
    <t>Bille, Donald A.</t>
  </si>
  <si>
    <t>Thorofare, N.J. : Slack, c1982.</t>
  </si>
  <si>
    <t>1996-03-16</t>
  </si>
  <si>
    <t>4145638:eng</t>
  </si>
  <si>
    <t>11444833</t>
  </si>
  <si>
    <t>991000945719702656</t>
  </si>
  <si>
    <t>2261780230002656</t>
  </si>
  <si>
    <t>9780913590850</t>
  </si>
  <si>
    <t>30001000189748</t>
  </si>
  <si>
    <t>893727108</t>
  </si>
  <si>
    <t>WY 18 B598t 1998</t>
  </si>
  <si>
    <t>0                      WY 0018000B  598t        1998</t>
  </si>
  <si>
    <t>Teaching in nursing : a guide for faculty / Diane M. Billings, Judith A. Halstead.</t>
  </si>
  <si>
    <t>Billings, Diane McGovern.</t>
  </si>
  <si>
    <t>Philadelphia : Saunders, c1998.</t>
  </si>
  <si>
    <t>2009-08-27</t>
  </si>
  <si>
    <t>1999-10-14</t>
  </si>
  <si>
    <t>364478096:eng</t>
  </si>
  <si>
    <t>38017009</t>
  </si>
  <si>
    <t>991000597369702656</t>
  </si>
  <si>
    <t>2266647400002656</t>
  </si>
  <si>
    <t>9780721630373</t>
  </si>
  <si>
    <t>30001004015634</t>
  </si>
  <si>
    <t>893167292</t>
  </si>
  <si>
    <t>WY 18 B878c 1977</t>
  </si>
  <si>
    <t>0                      WY 0018000B  878c        1977</t>
  </si>
  <si>
    <t>Community involvement in health-related programs / [by Elsa L. Brown].</t>
  </si>
  <si>
    <t>Brown, Elsa L. (Elsa Lusebrink), 1920-</t>
  </si>
  <si>
    <t>NLN pub. no. 23-1703</t>
  </si>
  <si>
    <t>1987-11-05</t>
  </si>
  <si>
    <t>12476224:eng</t>
  </si>
  <si>
    <t>3780063</t>
  </si>
  <si>
    <t>991001388199702656</t>
  </si>
  <si>
    <t>2257902970002656</t>
  </si>
  <si>
    <t>30001000464265</t>
  </si>
  <si>
    <t>893455735</t>
  </si>
  <si>
    <t>WY 18 B878h 1980</t>
  </si>
  <si>
    <t>0                      WY 0018000B  878h        1980</t>
  </si>
  <si>
    <t>Health maintenance / author and consultant, Marie Scott Brown.</t>
  </si>
  <si>
    <t>Brown, Marie Scott.</t>
  </si>
  <si>
    <t>New York : Wiley, c1980.</t>
  </si>
  <si>
    <t>Wiley nursing concept module</t>
  </si>
  <si>
    <t>1994-02-16</t>
  </si>
  <si>
    <t>20354848:eng</t>
  </si>
  <si>
    <t>5798653</t>
  </si>
  <si>
    <t>991000945849702656</t>
  </si>
  <si>
    <t>2267542250002656</t>
  </si>
  <si>
    <t>9780471037828</t>
  </si>
  <si>
    <t>30001000189755</t>
  </si>
  <si>
    <t>893278514</t>
  </si>
  <si>
    <t>WY 18 B967p 1974</t>
  </si>
  <si>
    <t>0                      WY 0018000B  967p        1974</t>
  </si>
  <si>
    <t>Perceived need for technical specialists in nursing care of hospitalized patients / Helen H. Burnside.</t>
  </si>
  <si>
    <t>Burnside, Helen H.</t>
  </si>
  <si>
    <t>New York : National League for Nursing, [1974]</t>
  </si>
  <si>
    <t>League exchange ; no. 102</t>
  </si>
  <si>
    <t>1990-08-20</t>
  </si>
  <si>
    <t>2061956:eng</t>
  </si>
  <si>
    <t>1091225</t>
  </si>
  <si>
    <t>991001387689702656</t>
  </si>
  <si>
    <t>2265990980002656</t>
  </si>
  <si>
    <t>30001000464133</t>
  </si>
  <si>
    <t>893546645</t>
  </si>
  <si>
    <t>WY 18 C289d 1974</t>
  </si>
  <si>
    <t>0                      WY 0018000C  289d        1974</t>
  </si>
  <si>
    <t>Disadvantaged students in R.N. programs : a comparative study of school-completion records of two groups of socioeconomically disadvantaged students in programs leading to registered nurse licensure / M. Elizabeth Carnegie.</t>
  </si>
  <si>
    <t>New York : National League for Nursing, c1974.</t>
  </si>
  <si>
    <t>National League for Nursing. League exchange ; no. 100</t>
  </si>
  <si>
    <t>1788950636:eng</t>
  </si>
  <si>
    <t>9882023</t>
  </si>
  <si>
    <t>991001363169702656</t>
  </si>
  <si>
    <t>2262954040002656</t>
  </si>
  <si>
    <t>30001000461006</t>
  </si>
  <si>
    <t>893638268</t>
  </si>
  <si>
    <t>WY 18 C294g 1985</t>
  </si>
  <si>
    <t>0                      WY 0018000C  294g        1985</t>
  </si>
  <si>
    <t>1993-10-07</t>
  </si>
  <si>
    <t>11290804</t>
  </si>
  <si>
    <t>991001039699702656</t>
  </si>
  <si>
    <t>2265071340002656</t>
  </si>
  <si>
    <t>9780894435737</t>
  </si>
  <si>
    <t>30001000241895</t>
  </si>
  <si>
    <t>893727197</t>
  </si>
  <si>
    <t>WY 18 C3365 1990</t>
  </si>
  <si>
    <t>0                      WY 0018000C  3365        1990</t>
  </si>
  <si>
    <t>Case studies in critical care nursing / edited by Barbara Clark Mims.</t>
  </si>
  <si>
    <t>Baltimore : Williams &amp; Wilkins, c1990.</t>
  </si>
  <si>
    <t>2003-06-23</t>
  </si>
  <si>
    <t>1994-08-05</t>
  </si>
  <si>
    <t>22103949:eng</t>
  </si>
  <si>
    <t>20262750</t>
  </si>
  <si>
    <t>991001119859702656</t>
  </si>
  <si>
    <t>2260966270002656</t>
  </si>
  <si>
    <t>9780683060515</t>
  </si>
  <si>
    <t>30001002950238</t>
  </si>
  <si>
    <t>893450888</t>
  </si>
  <si>
    <t>WY 18 C436 1978</t>
  </si>
  <si>
    <t>0                      WY 0018000C  436         1978</t>
  </si>
  <si>
    <t>The Challenge of clinical evaluation.</t>
  </si>
  <si>
    <t>NLN pub. no. 16-1763</t>
  </si>
  <si>
    <t>18852316:eng</t>
  </si>
  <si>
    <t>5674458</t>
  </si>
  <si>
    <t>991001376569702656</t>
  </si>
  <si>
    <t>2256390340002656</t>
  </si>
  <si>
    <t>30001000462343</t>
  </si>
  <si>
    <t>893736529</t>
  </si>
  <si>
    <t>WY 18 C437 1970</t>
  </si>
  <si>
    <t>0                      WY 0018000C  437         1970</t>
  </si>
  <si>
    <t>Challenge to nursing education ... clinical roles of the professional nurse : papers presented at the sixth conference of the Council of Baccalaureate and Higher Degree Programs, held at Kansas City, Missouri, March 11-13, 1970.</t>
  </si>
  <si>
    <t>New York : National League for Nursing, Dept. of Baccalaureate and Higher Degree Programs, 1970.</t>
  </si>
  <si>
    <t>1970</t>
  </si>
  <si>
    <t>NLN pub. no. 15-1404</t>
  </si>
  <si>
    <t>1990-04-24</t>
  </si>
  <si>
    <t>3902354973:eng</t>
  </si>
  <si>
    <t>205403</t>
  </si>
  <si>
    <t>991001367969702656</t>
  </si>
  <si>
    <t>2255145730002656</t>
  </si>
  <si>
    <t>30001000461394</t>
  </si>
  <si>
    <t>893821148</t>
  </si>
  <si>
    <t>WY 18 C437 1971</t>
  </si>
  <si>
    <t>0                      WY 0018000C  437         1971</t>
  </si>
  <si>
    <t>Challenge to nursing education ... professional nursing practice : papers presented at the eighth conference of the Council of Baccalaureate and Higher Degree Programs held at Kansas City, Missouri, November 10-12, 1971.</t>
  </si>
  <si>
    <t>New York : National League for Nursing, Dept. of Baccalaureate and Higher Degree Programs, 1972.</t>
  </si>
  <si>
    <t>1972</t>
  </si>
  <si>
    <t>NLN pub. no. 15-1456</t>
  </si>
  <si>
    <t>9826976662:eng</t>
  </si>
  <si>
    <t>4499118</t>
  </si>
  <si>
    <t>991001368169702656</t>
  </si>
  <si>
    <t>2263825000002656</t>
  </si>
  <si>
    <t>30001000461436</t>
  </si>
  <si>
    <t>893374480</t>
  </si>
  <si>
    <t>WY 18 C437p 1970</t>
  </si>
  <si>
    <t>0                      WY 0018000C  437p        1970</t>
  </si>
  <si>
    <t>Challenge to nursing education ... preparation of the professional nurse for future roles : papers presented at the seventh conference of the Council of Baccalaureate and Higher Degree Programs held at Miami Beach, Florida, November 11-13, 1970.</t>
  </si>
  <si>
    <t>New York : National League for Nursing, Dept. of Baccalaureate and Higher Degree Programs, 1971.</t>
  </si>
  <si>
    <t>1971</t>
  </si>
  <si>
    <t>NLN pub. no. 15-1420</t>
  </si>
  <si>
    <t>3857456104:eng</t>
  </si>
  <si>
    <t>209236</t>
  </si>
  <si>
    <t>991001368009702656</t>
  </si>
  <si>
    <t>2270722900002656</t>
  </si>
  <si>
    <t>30001000461402</t>
  </si>
  <si>
    <t>893268405</t>
  </si>
  <si>
    <t>WY 18 C454 1974</t>
  </si>
  <si>
    <t>0                      WY 0018000C  454         1974</t>
  </si>
  <si>
    <t>The changing role of the hospital and implications for nursing education.</t>
  </si>
  <si>
    <t>New York : National League for Nursing, Dept. of Diploma Programs, c1974.</t>
  </si>
  <si>
    <t>NLN pub. no. 16-1551</t>
  </si>
  <si>
    <t>1990-06-08</t>
  </si>
  <si>
    <t>8143074:eng</t>
  </si>
  <si>
    <t>3090884</t>
  </si>
  <si>
    <t>991001376239702656</t>
  </si>
  <si>
    <t>2262149020002656</t>
  </si>
  <si>
    <t>30001000462244</t>
  </si>
  <si>
    <t>893727517</t>
  </si>
  <si>
    <t>WY 18 C4556 1986</t>
  </si>
  <si>
    <t>0                      WY 0018000C  4556        1986</t>
  </si>
  <si>
    <t>Changing patterns in nursing education / Johanna Roode, editor.</t>
  </si>
  <si>
    <t>NLN pub. no. 14-2203</t>
  </si>
  <si>
    <t>1997-03-12</t>
  </si>
  <si>
    <t>22742436:eng</t>
  </si>
  <si>
    <t>20695010</t>
  </si>
  <si>
    <t>991001266509702656</t>
  </si>
  <si>
    <t>2264163550002656</t>
  </si>
  <si>
    <t>9780887373879</t>
  </si>
  <si>
    <t>30001000353039</t>
  </si>
  <si>
    <t>893121330</t>
  </si>
  <si>
    <t>WY 18 C458a 1979</t>
  </si>
  <si>
    <t>0                      WY 0018000C  458a        1979</t>
  </si>
  <si>
    <t>Associate degree nursing : problem or solution? / Rose M. Channing.</t>
  </si>
  <si>
    <t>Channing, Rose M.</t>
  </si>
  <si>
    <t>NLN pub. no. 23-1789</t>
  </si>
  <si>
    <t>1990-07-11</t>
  </si>
  <si>
    <t>21744961:eng</t>
  </si>
  <si>
    <t>6144794</t>
  </si>
  <si>
    <t>991001388639702656</t>
  </si>
  <si>
    <t>2268417740002656</t>
  </si>
  <si>
    <t>30001000464380</t>
  </si>
  <si>
    <t>893455737</t>
  </si>
  <si>
    <t>WY 18 C492 1976</t>
  </si>
  <si>
    <t>0                      WY 0018000C  492         1976</t>
  </si>
  <si>
    <t>Operation update : the search for rhyme and reason / Shirley Chater.</t>
  </si>
  <si>
    <t>Chater, Shirley.</t>
  </si>
  <si>
    <t>New York : Division of Nursing, National League for Nursing, c1976.</t>
  </si>
  <si>
    <t>NLN pub. no. 14-1608</t>
  </si>
  <si>
    <t>1990-04-30</t>
  </si>
  <si>
    <t>4135586:eng</t>
  </si>
  <si>
    <t>2983759</t>
  </si>
  <si>
    <t>991001363439702656</t>
  </si>
  <si>
    <t>2261062360002656</t>
  </si>
  <si>
    <t>30001000461063</t>
  </si>
  <si>
    <t>893374477</t>
  </si>
  <si>
    <t>WY 18 C543p 1992</t>
  </si>
  <si>
    <t>0                      WY 0018000C  543p        1992</t>
  </si>
  <si>
    <t>Perioperative nursing / Linda B. Chitwood, Diane Crisler Swain [coauthors] ; Barbara Kascsak Bailes [reviewer].</t>
  </si>
  <si>
    <t>Chitwood, Linda B.</t>
  </si>
  <si>
    <t>Springhouse, Pa. : Springhouse Corp., c1992.</t>
  </si>
  <si>
    <t>Springhouse notes</t>
  </si>
  <si>
    <t>1992-12-11</t>
  </si>
  <si>
    <t>1992-12-10</t>
  </si>
  <si>
    <t>3943597273:eng</t>
  </si>
  <si>
    <t>23355180</t>
  </si>
  <si>
    <t>991001351039702656</t>
  </si>
  <si>
    <t>2270888540002656</t>
  </si>
  <si>
    <t>9780874343687</t>
  </si>
  <si>
    <t>30001002459461</t>
  </si>
  <si>
    <t>893632979</t>
  </si>
  <si>
    <t>WY 18 C5923a 1978</t>
  </si>
  <si>
    <t>0                      WY 0018000C  5923a       1978</t>
  </si>
  <si>
    <t>Assertive skills for nurses / Carolyn Chambers Clark.</t>
  </si>
  <si>
    <t>Clark, Carolyn Chambers.</t>
  </si>
  <si>
    <t>Rockville, Md. : Aspen Systems Corp., c1978.</t>
  </si>
  <si>
    <t>1998-10-21</t>
  </si>
  <si>
    <t>4103526:eng</t>
  </si>
  <si>
    <t>11185521</t>
  </si>
  <si>
    <t>991001040129702656</t>
  </si>
  <si>
    <t>2261958820002656</t>
  </si>
  <si>
    <t>9780913654460</t>
  </si>
  <si>
    <t>30001000242026</t>
  </si>
  <si>
    <t>893134206</t>
  </si>
  <si>
    <t>WY 18 C592c 1978</t>
  </si>
  <si>
    <t>0                      WY 0018000C  592c        1978</t>
  </si>
  <si>
    <t>Classroom skills for nurse educators / Carolyn Chambers Clark.</t>
  </si>
  <si>
    <t>New York : Springer Pub. Co., c1978.</t>
  </si>
  <si>
    <t>Springer series on the teaching of nursing ; 4</t>
  </si>
  <si>
    <t>1994-01-18</t>
  </si>
  <si>
    <t>12227664:eng</t>
  </si>
  <si>
    <t>3771035</t>
  </si>
  <si>
    <t>991001039809702656</t>
  </si>
  <si>
    <t>2263284580002656</t>
  </si>
  <si>
    <t>9780826124319</t>
  </si>
  <si>
    <t>30001000241945</t>
  </si>
  <si>
    <t>893820875</t>
  </si>
  <si>
    <t>WY 18 C622i 1989</t>
  </si>
  <si>
    <t>0                      WY 0018000C  622i        1989</t>
  </si>
  <si>
    <t>Instruments for use in nursing education research / Gloria M. Clayton, Marion Broome.</t>
  </si>
  <si>
    <t>Clayton, Gloria M.</t>
  </si>
  <si>
    <t>New York, NY : National League for Nursing, c1989.</t>
  </si>
  <si>
    <t>NLN pub. no. 15-2248</t>
  </si>
  <si>
    <t>1994-10-01</t>
  </si>
  <si>
    <t>1989-09-15</t>
  </si>
  <si>
    <t>24613509:eng</t>
  </si>
  <si>
    <t>22544342</t>
  </si>
  <si>
    <t>991001321519702656</t>
  </si>
  <si>
    <t>2257056650002656</t>
  </si>
  <si>
    <t>9780887374241</t>
  </si>
  <si>
    <t>30001001753674</t>
  </si>
  <si>
    <t>893736461</t>
  </si>
  <si>
    <t>WY 18 C676e 1980</t>
  </si>
  <si>
    <t>0                      WY 0018000C  676e        1980</t>
  </si>
  <si>
    <t>Cognitive dissonance : an examination of CBHDP stated beliefs and their effect on education programs.</t>
  </si>
  <si>
    <t>NLN pub. no. 15-1851</t>
  </si>
  <si>
    <t>3902365365:eng</t>
  </si>
  <si>
    <t>7776724</t>
  </si>
  <si>
    <t>991001373089702656</t>
  </si>
  <si>
    <t>2272768230002656</t>
  </si>
  <si>
    <t>30001000461964</t>
  </si>
  <si>
    <t>893649144</t>
  </si>
  <si>
    <t>WY 18 C676i 1980</t>
  </si>
  <si>
    <t>0                      WY 0018000C  676i        1980</t>
  </si>
  <si>
    <t>Cognitive dissonance : interpreting and implementing faculty practice roles in nursing education.</t>
  </si>
  <si>
    <t>NLN pub. no. 15-1831</t>
  </si>
  <si>
    <t>29124117:eng</t>
  </si>
  <si>
    <t>7693874</t>
  </si>
  <si>
    <t>991001371559702656</t>
  </si>
  <si>
    <t>2269612090002656</t>
  </si>
  <si>
    <t>30001000461899</t>
  </si>
  <si>
    <t>893134497</t>
  </si>
  <si>
    <t>WY 18 C697 1987</t>
  </si>
  <si>
    <t>0                      WY 0018000C  697         1987</t>
  </si>
  <si>
    <t>Collaboration for articulation : RN to BSN / Mary Fry Rapson, editor.</t>
  </si>
  <si>
    <t>Pub. (National League for Nursing) ; no.41-2182.</t>
  </si>
  <si>
    <t>1993-04-09</t>
  </si>
  <si>
    <t>1988-01-12</t>
  </si>
  <si>
    <t>422980277:eng</t>
  </si>
  <si>
    <t>15788330</t>
  </si>
  <si>
    <t>991001536989702656</t>
  </si>
  <si>
    <t>2260876710002656</t>
  </si>
  <si>
    <t>9780887373657</t>
  </si>
  <si>
    <t>30001000623308</t>
  </si>
  <si>
    <t>893736693</t>
  </si>
  <si>
    <t>WY 18 C697n 1977</t>
  </si>
  <si>
    <t>0                      WY 0018000C  697n        1977</t>
  </si>
  <si>
    <t>Collaboration for quality health care : education of beginning practitioners of nursing and utilization of graduates.</t>
  </si>
  <si>
    <t>New York : National League for Nursing, c1977.</t>
  </si>
  <si>
    <t>NLN pub. no. 14-1654</t>
  </si>
  <si>
    <t>904544503:eng</t>
  </si>
  <si>
    <t>2738944</t>
  </si>
  <si>
    <t>991001363499702656</t>
  </si>
  <si>
    <t>2258816860002656</t>
  </si>
  <si>
    <t>30001000461048</t>
  </si>
  <si>
    <t>893287368</t>
  </si>
  <si>
    <t>WY 18 C7345 1978</t>
  </si>
  <si>
    <t>0                      WY 0018000C  7345        1978</t>
  </si>
  <si>
    <t>The Community college and continuing education for health care personnel.</t>
  </si>
  <si>
    <t>NLN pub. no. 23-1710</t>
  </si>
  <si>
    <t>13456926:eng</t>
  </si>
  <si>
    <t>3972961</t>
  </si>
  <si>
    <t>991001388299702656</t>
  </si>
  <si>
    <t>2265802150002656</t>
  </si>
  <si>
    <t>30001000464281</t>
  </si>
  <si>
    <t>893455736</t>
  </si>
  <si>
    <t>WY 18 C737 1979</t>
  </si>
  <si>
    <t>0                      WY 0018000C  737         1979</t>
  </si>
  <si>
    <t>Competency-based curriculum and instruction / Carol Jean (Willts) Peterson ... [et al.].</t>
  </si>
  <si>
    <t>League exchange ; no. 122</t>
  </si>
  <si>
    <t>15190037:eng</t>
  </si>
  <si>
    <t>5023534</t>
  </si>
  <si>
    <t>991001388599702656</t>
  </si>
  <si>
    <t>2269007550002656</t>
  </si>
  <si>
    <t>30001000464364</t>
  </si>
  <si>
    <t>893364047</t>
  </si>
  <si>
    <t>WY 18 C766 1974</t>
  </si>
  <si>
    <t>0                      WY 0018000C  766         1974</t>
  </si>
  <si>
    <t>Converting threats into challenges--adaptations in baccalaureate and graduate education in nursing : papers presented at the thirteenth conference of the Council of Baccalaureate and Higher Degree Programs, Atlanta, Georgia, November 1974.</t>
  </si>
  <si>
    <t>New York : Dept. of Baccalaureate and Higher Degree Programs, National League for Nursing, c1975.</t>
  </si>
  <si>
    <t>NLN pub. no. 15-1571</t>
  </si>
  <si>
    <t>2468733:eng</t>
  </si>
  <si>
    <t>1659939</t>
  </si>
  <si>
    <t>991001368899702656</t>
  </si>
  <si>
    <t>2256984240002656</t>
  </si>
  <si>
    <t>30001000461550</t>
  </si>
  <si>
    <t>893741075</t>
  </si>
  <si>
    <t>WY 18 C7966 1985</t>
  </si>
  <si>
    <t>0                      WY 0018000C  7966        1985</t>
  </si>
  <si>
    <t>Core curriculum for critical care nursing.</t>
  </si>
  <si>
    <t>Philadelphia : Saunders, c1985.</t>
  </si>
  <si>
    <t>3rd ed. / editors, JoAnn Grif Alspach, Susan Williams.</t>
  </si>
  <si>
    <t>1991-09-20</t>
  </si>
  <si>
    <t>9936582200:eng</t>
  </si>
  <si>
    <t>11315663</t>
  </si>
  <si>
    <t>991000923009702656</t>
  </si>
  <si>
    <t>2262202850002656</t>
  </si>
  <si>
    <t>9780721611419</t>
  </si>
  <si>
    <t>30001000850182</t>
  </si>
  <si>
    <t>893632502</t>
  </si>
  <si>
    <t>WY 18 C7966 1986 Suppl.</t>
  </si>
  <si>
    <t>0                      WY 0018000C  7966        1986                                        Suppl.</t>
  </si>
  <si>
    <t>Study guide to Core curriculum for critical care nursing / Maureen A. Harvey.</t>
  </si>
  <si>
    <t>Suppl.*</t>
  </si>
  <si>
    <t>Harvey, Maureen A.</t>
  </si>
  <si>
    <t>Philadelphia : Saunders, c1986.</t>
  </si>
  <si>
    <t>1992-01-24</t>
  </si>
  <si>
    <t>5861510:eng</t>
  </si>
  <si>
    <t>13185822</t>
  </si>
  <si>
    <t>991001040159702656</t>
  </si>
  <si>
    <t>2254721600002656</t>
  </si>
  <si>
    <t>9780721618562</t>
  </si>
  <si>
    <t>30001000242034</t>
  </si>
  <si>
    <t>893540973</t>
  </si>
  <si>
    <t>WY18 C79677 2001</t>
  </si>
  <si>
    <t>0                      WY 0018000C  79677       2001</t>
  </si>
  <si>
    <t>Core curriculum for occupational &amp; environmental health nursing / American Association of Occupational Health Nurses, Inc. ; edited by Mary K. Salazar.</t>
  </si>
  <si>
    <t>2002-05-10</t>
  </si>
  <si>
    <t>2001-12-04</t>
  </si>
  <si>
    <t>436415338:eng</t>
  </si>
  <si>
    <t>45750279</t>
  </si>
  <si>
    <t>991000294439702656</t>
  </si>
  <si>
    <t>2260265380002656</t>
  </si>
  <si>
    <t>9780721692074</t>
  </si>
  <si>
    <t>30001004560704</t>
  </si>
  <si>
    <t>893536989</t>
  </si>
  <si>
    <t>WY 18 C7968 1987</t>
  </si>
  <si>
    <t>0                      WY 0018000C  7968        1987</t>
  </si>
  <si>
    <t>Core curriculum for oncology nursing / editor, Constance R. Ziegfeld ; section editors, Joanne T. Cossman, Susan C. McMillan, Roberta A. Strohl.</t>
  </si>
  <si>
    <t>Philadelphia : Saunders, c1987.</t>
  </si>
  <si>
    <t>1991-09-03</t>
  </si>
  <si>
    <t>1988-02-17</t>
  </si>
  <si>
    <t>1881947622:eng</t>
  </si>
  <si>
    <t>15366701</t>
  </si>
  <si>
    <t>991001540169702656</t>
  </si>
  <si>
    <t>2266308270002656</t>
  </si>
  <si>
    <t>9780721620602</t>
  </si>
  <si>
    <t>30001000624835</t>
  </si>
  <si>
    <t>893134700</t>
  </si>
  <si>
    <t>WY 18 C836 1975</t>
  </si>
  <si>
    <t>0                      WY 0018000C  836         1975</t>
  </si>
  <si>
    <t>The Cost of nursing education : a preliminary report on methodological problems : panel discussion presented at an open forum at the 1975 NLN convention, New Orleans.</t>
  </si>
  <si>
    <t>New York : Division of Nursing, National League for Nursing, c1975.</t>
  </si>
  <si>
    <t>NLN pub. no. 14-1591</t>
  </si>
  <si>
    <t>7569469:eng</t>
  </si>
  <si>
    <t>3073448</t>
  </si>
  <si>
    <t>991001363299702656</t>
  </si>
  <si>
    <t>2267747930002656</t>
  </si>
  <si>
    <t>30001000461030</t>
  </si>
  <si>
    <t>893149122</t>
  </si>
  <si>
    <t>WY 18 C9345 1960</t>
  </si>
  <si>
    <t>0                      WY 0018000C  9345        1960</t>
  </si>
  <si>
    <t>Criteria for the evaluation of educational programs in nursing that lead to baccalaureate or masters degrees.</t>
  </si>
  <si>
    <t>New York : National League for Nursing, Dept. of Baccalaureate and Higher Degree Programs, 1960.</t>
  </si>
  <si>
    <t>NLN pub. no. 15-711</t>
  </si>
  <si>
    <t>26422369:eng</t>
  </si>
  <si>
    <t>7136824</t>
  </si>
  <si>
    <t>991001364029702656</t>
  </si>
  <si>
    <t>2260738410002656</t>
  </si>
  <si>
    <t>30001000461147</t>
  </si>
  <si>
    <t>893369330</t>
  </si>
  <si>
    <t>WY 18 C9347 1988</t>
  </si>
  <si>
    <t>0                      WY 0018000C  9347        1988</t>
  </si>
  <si>
    <t>Critically ill adults : nursing care planning guides / edited by Randy Marion Caine, Patricia McKay Bufalino.</t>
  </si>
  <si>
    <t>Baltimore : Williams &amp; Wilkins, c1988.</t>
  </si>
  <si>
    <t>Applying nursing diagnosis</t>
  </si>
  <si>
    <t>1991-12-14</t>
  </si>
  <si>
    <t>1989-09-29</t>
  </si>
  <si>
    <t>902184583:eng</t>
  </si>
  <si>
    <t>17508949</t>
  </si>
  <si>
    <t>991001354489702656</t>
  </si>
  <si>
    <t>2271015140002656</t>
  </si>
  <si>
    <t>9780683013511</t>
  </si>
  <si>
    <t>30001001795501</t>
  </si>
  <si>
    <t>893832113</t>
  </si>
  <si>
    <t>WY 18 C934n 1977</t>
  </si>
  <si>
    <t>0                      WY 0018000C  934n        1977</t>
  </si>
  <si>
    <t>Criteria for the appraisal of baccalaureate and higher degree programs in nursing, NLN Dept. of Baccalaureate and Higher Degree Programs.</t>
  </si>
  <si>
    <t>NLN pub. no. 15-1251</t>
  </si>
  <si>
    <t>1251419:eng</t>
  </si>
  <si>
    <t>3015664</t>
  </si>
  <si>
    <t>991001366769702656</t>
  </si>
  <si>
    <t>2266051300002656</t>
  </si>
  <si>
    <t>30001000461261</t>
  </si>
  <si>
    <t>893643530</t>
  </si>
  <si>
    <t>WY 18 C934n 1983</t>
  </si>
  <si>
    <t>0                      WY 0018000C  934n        1983</t>
  </si>
  <si>
    <t>Criteria for the evaluation of baccalaureate and higher degree programs in nursing.</t>
  </si>
  <si>
    <t>New York : Council of Baccalaureate and Higher Degree Programs, National League for Nursing, c1983.</t>
  </si>
  <si>
    <t>3855406058:eng</t>
  </si>
  <si>
    <t>15162849</t>
  </si>
  <si>
    <t>991001366729702656</t>
  </si>
  <si>
    <t>2263915340002656</t>
  </si>
  <si>
    <t>9780887370533</t>
  </si>
  <si>
    <t>30001000461238</t>
  </si>
  <si>
    <t>893552411</t>
  </si>
  <si>
    <t>WY 18 C934n 1989</t>
  </si>
  <si>
    <t>0                      WY 0018000C  934n        1989</t>
  </si>
  <si>
    <t>Criteria for the evaluation of baccalaureate and higher degree programs in nursing / Council of Baccalaureate and Higher Degree Programs, National League for Nursing.</t>
  </si>
  <si>
    <t>New York, : National League for Nursing, c1989.</t>
  </si>
  <si>
    <t>1989-04-14</t>
  </si>
  <si>
    <t>20895455</t>
  </si>
  <si>
    <t>991001245259702656</t>
  </si>
  <si>
    <t>2270864300002656</t>
  </si>
  <si>
    <t>9780887374654</t>
  </si>
  <si>
    <t>30001001676966</t>
  </si>
  <si>
    <t>893287314</t>
  </si>
  <si>
    <t>WY 18 C968 1976</t>
  </si>
  <si>
    <t>0                      WY 0018000C  968         1976</t>
  </si>
  <si>
    <t>Cultural dimensions in the baccalaureate nursing curriculum : Workshops on cultural dimensions in the baccalaureate nursing curriculum / NLN Council of Baccalaureate and Higher Degree Programs.</t>
  </si>
  <si>
    <t>-- New York : National League for Nursing, c1977.</t>
  </si>
  <si>
    <t>National League for Nursing publication ; no. 15-1662</t>
  </si>
  <si>
    <t>42406506:eng</t>
  </si>
  <si>
    <t>38239539</t>
  </si>
  <si>
    <t>991001370569702656</t>
  </si>
  <si>
    <t>2255812100002656</t>
  </si>
  <si>
    <t>30001000461717</t>
  </si>
  <si>
    <t>893727514</t>
  </si>
  <si>
    <t>WY 18 C975 1974</t>
  </si>
  <si>
    <t>0                      WY 0018000C  975         1974</t>
  </si>
  <si>
    <t>Curriculum evaluation.</t>
  </si>
  <si>
    <t>New York : Dept. of Baccalaureate and Higher Degree Programs, National League for Nursing, [1974]</t>
  </si>
  <si>
    <t>Faculty-curriculum development ; pt. 2</t>
  </si>
  <si>
    <t>2713427:eng</t>
  </si>
  <si>
    <t>1734167</t>
  </si>
  <si>
    <t>991001368649702656</t>
  </si>
  <si>
    <t>2255529140002656</t>
  </si>
  <si>
    <t>30001000461519</t>
  </si>
  <si>
    <t>893651997</t>
  </si>
  <si>
    <t>WY 18 C975r 1975</t>
  </si>
  <si>
    <t>0                      WY 0018000C  975r        1975</t>
  </si>
  <si>
    <t>Curriculum revision in baccalaureate nursing education.</t>
  </si>
  <si>
    <t>Faculty-curriculum development ; pt. 6</t>
  </si>
  <si>
    <t>1992-08-25</t>
  </si>
  <si>
    <t>2618017:eng</t>
  </si>
  <si>
    <t>2006235</t>
  </si>
  <si>
    <t>991001369039702656</t>
  </si>
  <si>
    <t>2262462790002656</t>
  </si>
  <si>
    <t>9780887372025</t>
  </si>
  <si>
    <t>30001000461584</t>
  </si>
  <si>
    <t>893638269</t>
  </si>
  <si>
    <t>WY 18 C976 1986</t>
  </si>
  <si>
    <t>0                      WY 0018000C  976         1986</t>
  </si>
  <si>
    <t>Curriculum revisited, an update of curriculum design / Elisabeth A. Pennington, editor.</t>
  </si>
  <si>
    <t>NLN pub. no. 15-2165</t>
  </si>
  <si>
    <t>10099045:eng</t>
  </si>
  <si>
    <t>15366592</t>
  </si>
  <si>
    <t>991001374879702656</t>
  </si>
  <si>
    <t>2260759340002656</t>
  </si>
  <si>
    <t>9780887373381</t>
  </si>
  <si>
    <t>30001000462079</t>
  </si>
  <si>
    <t>893816340</t>
  </si>
  <si>
    <t>WY 18 C9764 1978</t>
  </si>
  <si>
    <t>0                      WY 0018000C  9764        1978</t>
  </si>
  <si>
    <t>Curriculum development and its implementation through a conceptual framework.</t>
  </si>
  <si>
    <t>NLN pub. no. 23-1723</t>
  </si>
  <si>
    <t>1994-07-26</t>
  </si>
  <si>
    <t>13914001:eng</t>
  </si>
  <si>
    <t>4642188</t>
  </si>
  <si>
    <t>991001388369702656</t>
  </si>
  <si>
    <t>2258021200002656</t>
  </si>
  <si>
    <t>30001000464307</t>
  </si>
  <si>
    <t>893552426</t>
  </si>
  <si>
    <t>WY 18 C9765 1974</t>
  </si>
  <si>
    <t>0                      WY 0018000C  9765        1974</t>
  </si>
  <si>
    <t>Curriculum relevance in a changing health care system : papers presented at four 1974 workshops of the Department of Diploma Programs, held at Chicago, Denver, New York, and Washington, D. C.</t>
  </si>
  <si>
    <t>New York : National League for Nursing, Dept. of Diploma Programs, c1975.</t>
  </si>
  <si>
    <t>NLN pub. no. 16-1564</t>
  </si>
  <si>
    <t>2604886:eng</t>
  </si>
  <si>
    <t>1694484</t>
  </si>
  <si>
    <t>991001376199702656</t>
  </si>
  <si>
    <t>2265808970002656</t>
  </si>
  <si>
    <t>30001000462251</t>
  </si>
  <si>
    <t>893546639</t>
  </si>
  <si>
    <t>WY 18 C976n 1972</t>
  </si>
  <si>
    <t>0                      WY 0018000C  976n        1972</t>
  </si>
  <si>
    <t>Current issues in nursing education.</t>
  </si>
  <si>
    <t>New York : Dept. of Baccalaureate and Higher Degree Programs, National League of Nursing, 1973.</t>
  </si>
  <si>
    <t>NLN pub. no. 15-1475</t>
  </si>
  <si>
    <t>14681891:eng</t>
  </si>
  <si>
    <t>4467222</t>
  </si>
  <si>
    <t>991001368219702656</t>
  </si>
  <si>
    <t>2256030950002656</t>
  </si>
  <si>
    <t>30001000461444</t>
  </si>
  <si>
    <t>893743756</t>
  </si>
  <si>
    <t>WY 18 C976n 1973</t>
  </si>
  <si>
    <t>0                      WY 0018000C  976n        1973</t>
  </si>
  <si>
    <t>Current issues in nursing education : papers presented at the eleventh conference of the Council of Baccalaureate and Higher Degree Programs held at Kansas City, Missouri, November 14-16, 1973.</t>
  </si>
  <si>
    <t>New York : National League for Nursing, Dept. of Baccalaureate and Higher Degree Programs, c1974.</t>
  </si>
  <si>
    <t>NLN pub. no. 15-1513</t>
  </si>
  <si>
    <t>3856462917:eng</t>
  </si>
  <si>
    <t>927163</t>
  </si>
  <si>
    <t>991001368269702656</t>
  </si>
  <si>
    <t>2268287550002656</t>
  </si>
  <si>
    <t>30001000461451</t>
  </si>
  <si>
    <t>893832124</t>
  </si>
  <si>
    <t>WY 18 D184p 1975</t>
  </si>
  <si>
    <t>0                      WY 0018000D  184p        1975</t>
  </si>
  <si>
    <t>Project Hope and nursing at Navajo Community College / by M. Grace Daniel.</t>
  </si>
  <si>
    <t>Daniel, M. Grace.</t>
  </si>
  <si>
    <t>Washington : Project Hope, Dept. of Information Services, People-to-People Health Foundation, 1975</t>
  </si>
  <si>
    <t>1990-04-17</t>
  </si>
  <si>
    <t>2746727:eng</t>
  </si>
  <si>
    <t>1931268</t>
  </si>
  <si>
    <t>991001040199702656</t>
  </si>
  <si>
    <t>2268085250002656</t>
  </si>
  <si>
    <t>30001000242042</t>
  </si>
  <si>
    <t>893740698</t>
  </si>
  <si>
    <t>WY 18 D252a 1974</t>
  </si>
  <si>
    <t>0                      WY 0018000D  252a        1974</t>
  </si>
  <si>
    <t>The associate degree practitioner and nursing service needs / Grace E. Davidson, Marie Anita Brock.</t>
  </si>
  <si>
    <t>Davidson, Grace E.</t>
  </si>
  <si>
    <t>New York : Council of Hospital and Related Institutional Nursing Services, National League for Nursing, 1974.</t>
  </si>
  <si>
    <t>NLN pub. no. 20-1504</t>
  </si>
  <si>
    <t>1910195642:eng</t>
  </si>
  <si>
    <t>903667</t>
  </si>
  <si>
    <t>991001384419702656</t>
  </si>
  <si>
    <t>2263116840002656</t>
  </si>
  <si>
    <t>30001000463424</t>
  </si>
  <si>
    <t>893168154</t>
  </si>
  <si>
    <t>WY 18 D252c 1980</t>
  </si>
  <si>
    <t>0                      WY 0018000D  252c        1980</t>
  </si>
  <si>
    <t>The community college and associate degree nursing, 1952-1980 / [Leola Davidson, Lucille Knopf].</t>
  </si>
  <si>
    <t>Davidson, Leola.</t>
  </si>
  <si>
    <t>NLN pub. no. 23-1829</t>
  </si>
  <si>
    <t>2007-09-24</t>
  </si>
  <si>
    <t>29586062:eng</t>
  </si>
  <si>
    <t>7775571</t>
  </si>
  <si>
    <t>991001388889702656</t>
  </si>
  <si>
    <t>2270030710002656</t>
  </si>
  <si>
    <t>30001000464448</t>
  </si>
  <si>
    <t>893638283</t>
  </si>
  <si>
    <t>WY 18 D424 1978</t>
  </si>
  <si>
    <t>0                      WY 0018000D  424         1978</t>
  </si>
  <si>
    <t>Depth and scope : guides for curriculum in a technical nursing program : a study for the determination and application of unlimited depth and limited scope in a technical nursing program, Division of Nursing, Indiana University Northwest, Gary, Indiana / compiled and edited by Marjorie Sloan, project director and principal investigator, Donna Brown, project co-director, Esther Nicksic, project co-director.</t>
  </si>
  <si>
    <t>League exchange ; no. 117</t>
  </si>
  <si>
    <t>14685388:eng</t>
  </si>
  <si>
    <t>4468337</t>
  </si>
  <si>
    <t>991001388169702656</t>
  </si>
  <si>
    <t>2255647450002656</t>
  </si>
  <si>
    <t>30001000464257</t>
  </si>
  <si>
    <t>893633008</t>
  </si>
  <si>
    <t>WY 18 D449 1952</t>
  </si>
  <si>
    <t>0                      WY 0018000D  449         1952</t>
  </si>
  <si>
    <t>Descriptions of eight collegiate basic programs in nursing.</t>
  </si>
  <si>
    <t>New York : National League for Nursing Education, 1952.</t>
  </si>
  <si>
    <t>3029520359:eng</t>
  </si>
  <si>
    <t>6359303</t>
  </si>
  <si>
    <t>991001517769702656</t>
  </si>
  <si>
    <t>2255383730002656</t>
  </si>
  <si>
    <t>30001000600306</t>
  </si>
  <si>
    <t>893268571</t>
  </si>
  <si>
    <t>WY 18 D457 1979</t>
  </si>
  <si>
    <t>0                      WY 0018000D  457         1979</t>
  </si>
  <si>
    <t>Designing and building a curriculum.</t>
  </si>
  <si>
    <t>NLN pub. no. 16-1776</t>
  </si>
  <si>
    <t>1990-08-29</t>
  </si>
  <si>
    <t>18743735:eng</t>
  </si>
  <si>
    <t>5670891</t>
  </si>
  <si>
    <t>991001376919702656</t>
  </si>
  <si>
    <t>2271876830002656</t>
  </si>
  <si>
    <t>30001000462384</t>
  </si>
  <si>
    <t>893134505</t>
  </si>
  <si>
    <t>WY 18 D489 1967</t>
  </si>
  <si>
    <t>0                      WY 0018000D  489         1967</t>
  </si>
  <si>
    <t>Developing nursing programs in institutions of higher education : report of a conference held on October 5-6, 1967, in Louisville, Kentucky / sponsored by the Council of Associate Degree Programs and the Council of Baccalaureate and Higher Degree Programs of the National League for Nursing.</t>
  </si>
  <si>
    <t>New York : National League for Nursing, 1968.</t>
  </si>
  <si>
    <t>NLN pub. no. 15-1315</t>
  </si>
  <si>
    <t>1207593:eng</t>
  </si>
  <si>
    <t>38556</t>
  </si>
  <si>
    <t>991001367709702656</t>
  </si>
  <si>
    <t>2257782020002656</t>
  </si>
  <si>
    <t>30001000461345</t>
  </si>
  <si>
    <t>893546631</t>
  </si>
  <si>
    <t>WY 18 D489 1974</t>
  </si>
  <si>
    <t>0                      WY 0018000D  489         1974</t>
  </si>
  <si>
    <t>Developing nursing programs in institutions of higher education, 1974 : papers presented at the conference jointly sponsored by the Department of Associate Degree Programs and the Department of Baccalaureate and Higher Degree Programs, New York, New York, April 29-30, 1974.</t>
  </si>
  <si>
    <t>New York : National League For Nursing, [1974]</t>
  </si>
  <si>
    <t>NLN pub. no. 14-1533</t>
  </si>
  <si>
    <t>1990-04-27</t>
  </si>
  <si>
    <t>9521811:eng</t>
  </si>
  <si>
    <t>3241391</t>
  </si>
  <si>
    <t>991001363199702656</t>
  </si>
  <si>
    <t>2269811420002656</t>
  </si>
  <si>
    <t>30001000461022</t>
  </si>
  <si>
    <t>893643527</t>
  </si>
  <si>
    <t>WY 18 D547b 1973</t>
  </si>
  <si>
    <t>0                      WY 0018000D  547b        1973</t>
  </si>
  <si>
    <t>Bowel elimination : study guide and workbook / programmed by Doretta Dick.</t>
  </si>
  <si>
    <t>Dick, Doretta.</t>
  </si>
  <si>
    <t>A Lippincott learning system.</t>
  </si>
  <si>
    <t>1989-11-11</t>
  </si>
  <si>
    <t>906789602:eng</t>
  </si>
  <si>
    <t>4851396</t>
  </si>
  <si>
    <t>991001040239702656</t>
  </si>
  <si>
    <t>2272041780002656</t>
  </si>
  <si>
    <t>30001000242075</t>
  </si>
  <si>
    <t>893134207</t>
  </si>
  <si>
    <t>WY 18 D547bm 1973</t>
  </si>
  <si>
    <t>0                      WY 0018000D  547bm       1973</t>
  </si>
  <si>
    <t>Body mechanics : study guide and workbook / programmed by Doretta Dick.</t>
  </si>
  <si>
    <t>Philadelphia : Lippincott, c1973.</t>
  </si>
  <si>
    <t>A Lippincott learning system</t>
  </si>
  <si>
    <t>1996-04-15</t>
  </si>
  <si>
    <t>14967790:eng</t>
  </si>
  <si>
    <t>4851386</t>
  </si>
  <si>
    <t>991001041269702656</t>
  </si>
  <si>
    <t>2272041520002656</t>
  </si>
  <si>
    <t>30001000242430</t>
  </si>
  <si>
    <t>893826411</t>
  </si>
  <si>
    <t>WY 18 D596 1990-91</t>
  </si>
  <si>
    <t>0                      WY 0018000D  596         1990                                        -91</t>
  </si>
  <si>
    <t>Diploma programs in nursing accredited by the NLN, 1990-91.</t>
  </si>
  <si>
    <t>NLN pub. no. 16-1542.</t>
  </si>
  <si>
    <t>1991-03-20</t>
  </si>
  <si>
    <t>24999002:eng</t>
  </si>
  <si>
    <t>23812695</t>
  </si>
  <si>
    <t>991000822499702656</t>
  </si>
  <si>
    <t>2266954880002656</t>
  </si>
  <si>
    <t>30001002087775</t>
  </si>
  <si>
    <t>893557292</t>
  </si>
  <si>
    <t>WY 18 D614 1977</t>
  </si>
  <si>
    <t>0                      WY 0018000D  614         1977</t>
  </si>
  <si>
    <t>Distortions in body image in illness and disability / consultant, Marie Scott Brown.</t>
  </si>
  <si>
    <t>-- New York : Wiley, c1977.</t>
  </si>
  <si>
    <t>A Wiley medical publication</t>
  </si>
  <si>
    <t>2001-11-25</t>
  </si>
  <si>
    <t>355376022:eng</t>
  </si>
  <si>
    <t>2911222</t>
  </si>
  <si>
    <t>991001037839702656</t>
  </si>
  <si>
    <t>2266253680002656</t>
  </si>
  <si>
    <t>9780471021698</t>
  </si>
  <si>
    <t>30001000241135</t>
  </si>
  <si>
    <t>893268007</t>
  </si>
  <si>
    <t>WY 18 D636n 1982</t>
  </si>
  <si>
    <t>0                      WY 0018000D  636n        1982</t>
  </si>
  <si>
    <t>Nursing decisions : experiences in clinical problem solving / developed by the Docent Corporation, Pleasantville, New York.</t>
  </si>
  <si>
    <t>Docent Corporation.</t>
  </si>
  <si>
    <t>1991-06-19</t>
  </si>
  <si>
    <t>471027:eng</t>
  </si>
  <si>
    <t>7740463</t>
  </si>
  <si>
    <t>991001037929702656</t>
  </si>
  <si>
    <t>2264236880002656</t>
  </si>
  <si>
    <t>9780397542772</t>
  </si>
  <si>
    <t>30001000241150</t>
  </si>
  <si>
    <t>893363680</t>
  </si>
  <si>
    <t>30001000241168</t>
  </si>
  <si>
    <t>893358155</t>
  </si>
  <si>
    <t>1990-04-21</t>
  </si>
  <si>
    <t>30001000241176</t>
  </si>
  <si>
    <t>893374219</t>
  </si>
  <si>
    <t>WY 18 D637e 1989</t>
  </si>
  <si>
    <t>0                      WY 0018000D  637e        1989</t>
  </si>
  <si>
    <t>Doctoral education in nursing : history, process, and outcome / Sylvia E. Hart, editor.</t>
  </si>
  <si>
    <t>NLN pub. no. 15-2238</t>
  </si>
  <si>
    <t>1997-08-11</t>
  </si>
  <si>
    <t>1989-05-11</t>
  </si>
  <si>
    <t>423027122:eng</t>
  </si>
  <si>
    <t>19713774</t>
  </si>
  <si>
    <t>991001248589702656</t>
  </si>
  <si>
    <t>2259726670002656</t>
  </si>
  <si>
    <t>9780887374203</t>
  </si>
  <si>
    <t>30001001678228</t>
  </si>
  <si>
    <t>893727373</t>
  </si>
  <si>
    <t>WY 18 E2455 1980</t>
  </si>
  <si>
    <t>0                      WY 0018000E  2455        1980</t>
  </si>
  <si>
    <t>Education in genetics : nurses and social workers : proceedings of a workshop, January 1980, Arlington, Virginia / Irene Forsman, Kathleen Kirk Bishop, editors.</t>
  </si>
  <si>
    <t>Rockville, Md. : U.S. Health Services Administration, Bureau of Community Health Services, Office for Maternal and Child Health, 1981.</t>
  </si>
  <si>
    <t>DHHS publication ; no. (HSA) 81-5120A</t>
  </si>
  <si>
    <t>1989-11-06</t>
  </si>
  <si>
    <t>30093296:eng</t>
  </si>
  <si>
    <t>7960715</t>
  </si>
  <si>
    <t>991001038059702656</t>
  </si>
  <si>
    <t>2263311180002656</t>
  </si>
  <si>
    <t>30001000241192</t>
  </si>
  <si>
    <t>893268008</t>
  </si>
  <si>
    <t>WY 18 E25 1959</t>
  </si>
  <si>
    <t>0                      WY 0018000E  25          1959</t>
  </si>
  <si>
    <t>Education for nursing past, present, and future : papers presented at the anniversary celebration, Division of Nursing Education, Teachers College, Columbia University.</t>
  </si>
  <si>
    <t>New York : National League for Nursing, 1959.</t>
  </si>
  <si>
    <t>1959</t>
  </si>
  <si>
    <t>League exchange ; no.43</t>
  </si>
  <si>
    <t>2106265:eng</t>
  </si>
  <si>
    <t>1167558</t>
  </si>
  <si>
    <t>991001361949702656</t>
  </si>
  <si>
    <t>2266408130002656</t>
  </si>
  <si>
    <t>30001000460909</t>
  </si>
  <si>
    <t>893821145</t>
  </si>
  <si>
    <t>WY 18 E92 1977</t>
  </si>
  <si>
    <t>0                      WY 0018000E  92          1977</t>
  </si>
  <si>
    <t>Evaluation of teaching effectiveness.</t>
  </si>
  <si>
    <t>NLN pub. no. 15-1680</t>
  </si>
  <si>
    <t>1990-04-09</t>
  </si>
  <si>
    <t>54195912:eng</t>
  </si>
  <si>
    <t>3441428</t>
  </si>
  <si>
    <t>991001370669702656</t>
  </si>
  <si>
    <t>2269353890002656</t>
  </si>
  <si>
    <t>30001000461741</t>
  </si>
  <si>
    <t>893741076</t>
  </si>
  <si>
    <t>WY 18 E935 1999</t>
  </si>
  <si>
    <t>0                      WY 0018000E  935         1999</t>
  </si>
  <si>
    <t>Evidence-based teaching : current research in nursing education / Kathleen R. Stevens, editor ; Virginia R. Cassidy, associate editor.</t>
  </si>
  <si>
    <t>Sudbury, Mass. : Jones and Bartlett, c1999.</t>
  </si>
  <si>
    <t>2000-03-28</t>
  </si>
  <si>
    <t>2000-03-27</t>
  </si>
  <si>
    <t>865288020:eng</t>
  </si>
  <si>
    <t>40776684</t>
  </si>
  <si>
    <t>991001442889702656</t>
  </si>
  <si>
    <t>2259346490002656</t>
  </si>
  <si>
    <t>9780763709372</t>
  </si>
  <si>
    <t>30001003883412</t>
  </si>
  <si>
    <t>893633065</t>
  </si>
  <si>
    <t>WY 18 E93g 1985</t>
  </si>
  <si>
    <t>0                      WY 0018000E  93g         1985</t>
  </si>
  <si>
    <t>A clinical guide to pediatric nursing / Marilyn Lang Evans, Beverly Desmond Hansen.</t>
  </si>
  <si>
    <t>Evans, Marilyn Lang, 1939-</t>
  </si>
  <si>
    <t>Norwalk, Conn. : Appleton-Century-Crofts, c1985.</t>
  </si>
  <si>
    <t>ctu</t>
  </si>
  <si>
    <t>1990-03-13</t>
  </si>
  <si>
    <t>3855321254:eng</t>
  </si>
  <si>
    <t>11068895</t>
  </si>
  <si>
    <t>991001039269702656</t>
  </si>
  <si>
    <t>2261636190002656</t>
  </si>
  <si>
    <t>9780838511299</t>
  </si>
  <si>
    <t>30001000241622</t>
  </si>
  <si>
    <t>893736166</t>
  </si>
  <si>
    <t>WY 18 F142 1975</t>
  </si>
  <si>
    <t>0                      WY 0018000F  142         1975</t>
  </si>
  <si>
    <t>Factors influencing curriculum in graduate education in nursing.</t>
  </si>
  <si>
    <t>Curriculum in graduate education in nursing ; pt. 1</t>
  </si>
  <si>
    <t>5573253:eng</t>
  </si>
  <si>
    <t>2615824</t>
  </si>
  <si>
    <t>991001369209702656</t>
  </si>
  <si>
    <t>2264541810002656</t>
  </si>
  <si>
    <t>30001000461618</t>
  </si>
  <si>
    <t>893649142</t>
  </si>
  <si>
    <t>WY 18 F143 1986</t>
  </si>
  <si>
    <t>0                      WY 0018000F  143         1986</t>
  </si>
  <si>
    <t>Faculty-curriculum development : curriculum design by nursing faculty.</t>
  </si>
  <si>
    <t>NLN pub. no. 15-2164</t>
  </si>
  <si>
    <t>1992-07-23</t>
  </si>
  <si>
    <t>4159949570:eng</t>
  </si>
  <si>
    <t>14633352</t>
  </si>
  <si>
    <t>991001039299702656</t>
  </si>
  <si>
    <t>2265586800002656</t>
  </si>
  <si>
    <t>9780887373374</t>
  </si>
  <si>
    <t>30001000241630</t>
  </si>
  <si>
    <t>893273623</t>
  </si>
  <si>
    <t>WY 18 F595 1979</t>
  </si>
  <si>
    <t>0                      WY 0018000F  595         1979</t>
  </si>
  <si>
    <t>Instruments for use in nursing education research / [edited by] Mary Jane Ward and Mark E. Fetler.</t>
  </si>
  <si>
    <t>Boulder, Colo. : Western Interstate Commission for Higher Education, 1979.</t>
  </si>
  <si>
    <t>2009-01-22</t>
  </si>
  <si>
    <t>7424401:eng</t>
  </si>
  <si>
    <t>7716571</t>
  </si>
  <si>
    <t>991000740449702656</t>
  </si>
  <si>
    <t>2270585110002656</t>
  </si>
  <si>
    <t>30001000043291</t>
  </si>
  <si>
    <t>893120098</t>
  </si>
  <si>
    <t>WY 18 F832s 1975</t>
  </si>
  <si>
    <t>0                      WY 0018000F  832s        1975</t>
  </si>
  <si>
    <t>Selective and nonselective admissions criteria in junior college nursing programs / Doris R. Franklin.</t>
  </si>
  <si>
    <t>Franklin, Doris R.</t>
  </si>
  <si>
    <t>New York : National League for Nursing, c1975.</t>
  </si>
  <si>
    <t>League exchange ; no. 104</t>
  </si>
  <si>
    <t>423054264:eng</t>
  </si>
  <si>
    <t>1555881</t>
  </si>
  <si>
    <t>991001387779702656</t>
  </si>
  <si>
    <t>2267902160002656</t>
  </si>
  <si>
    <t>30001000464166</t>
  </si>
  <si>
    <t>893451125</t>
  </si>
  <si>
    <t>WY 18 F911f 1992</t>
  </si>
  <si>
    <t>0                      WY 0018000F  911f        1992</t>
  </si>
  <si>
    <t>Family nursing : theory and practice / Marilyn M. Friedman.</t>
  </si>
  <si>
    <t>Friedman, Marilyn M.</t>
  </si>
  <si>
    <t>Norwalk, Conn. : Appleton &amp; Lange, c1992.</t>
  </si>
  <si>
    <t>1998-01-12</t>
  </si>
  <si>
    <t>1992-04-23</t>
  </si>
  <si>
    <t>632485:eng</t>
  </si>
  <si>
    <t>24540126</t>
  </si>
  <si>
    <t>991001302519702656</t>
  </si>
  <si>
    <t>2260755820002656</t>
  </si>
  <si>
    <t>9780838525432</t>
  </si>
  <si>
    <t>30001002412403</t>
  </si>
  <si>
    <t>893821106</t>
  </si>
  <si>
    <t>WY 18 F931 1976</t>
  </si>
  <si>
    <t>0                      WY 0018000F  931         1976</t>
  </si>
  <si>
    <t>From student to worker : the process and product.</t>
  </si>
  <si>
    <t>NLN pub. no. 23-1657</t>
  </si>
  <si>
    <t>2002-03-06</t>
  </si>
  <si>
    <t>5825792:eng</t>
  </si>
  <si>
    <t>2707124</t>
  </si>
  <si>
    <t>991001387929702656</t>
  </si>
  <si>
    <t>2268523400002656</t>
  </si>
  <si>
    <t>30001000464190</t>
  </si>
  <si>
    <t>893358526</t>
  </si>
  <si>
    <t>WY 18 F962 1969</t>
  </si>
  <si>
    <t>0                      WY 0018000F  962         1969</t>
  </si>
  <si>
    <t>Quality care, community service, library service : papers presented at the program meeting of the Interagency Council on Library Tools for Nursing at the 1969 convention of the National League for Nursing.</t>
  </si>
  <si>
    <t>Fulcher, Jane M.</t>
  </si>
  <si>
    <t>New York : National League for Nursing, 1969.</t>
  </si>
  <si>
    <t>League exchange, no. 89</t>
  </si>
  <si>
    <t>1267063:eng</t>
  </si>
  <si>
    <t>82070</t>
  </si>
  <si>
    <t>991001362359702656</t>
  </si>
  <si>
    <t>2271950430002656</t>
  </si>
  <si>
    <t>30001000460958</t>
  </si>
  <si>
    <t>893736519</t>
  </si>
  <si>
    <t>WY 18 F996i 1989</t>
  </si>
  <si>
    <t>0                      WY 0018000F  996i        1989</t>
  </si>
  <si>
    <t>Innovative teaching strategies in nursing / Barbara Fuszard.</t>
  </si>
  <si>
    <t>Fuszard, Barbara.</t>
  </si>
  <si>
    <t>Rockville, Md. : Aspen Publishers, c1989.</t>
  </si>
  <si>
    <t>1997-06-23</t>
  </si>
  <si>
    <t>1991-11-04</t>
  </si>
  <si>
    <t>17890662:eng</t>
  </si>
  <si>
    <t>18290066</t>
  </si>
  <si>
    <t>991000948319702656</t>
  </si>
  <si>
    <t>2271108470002656</t>
  </si>
  <si>
    <t>9780834200081</t>
  </si>
  <si>
    <t>30001002194415</t>
  </si>
  <si>
    <t>893363571</t>
  </si>
  <si>
    <t>WY18 G112c 2007</t>
  </si>
  <si>
    <t>0                      WY 0018000G  112c        2007</t>
  </si>
  <si>
    <t>Clinical teaching strategies in nursing / Kathleen B. Gaberson, Marilyn H. Oermann, [editors].</t>
  </si>
  <si>
    <t>New York : Springer Pub., c2007.</t>
  </si>
  <si>
    <t>2007</t>
  </si>
  <si>
    <t>Springer series on the teaching of nursing</t>
  </si>
  <si>
    <t>4928180361:eng</t>
  </si>
  <si>
    <t>71273730</t>
  </si>
  <si>
    <t>991000611029702656</t>
  </si>
  <si>
    <t>2255899980002656</t>
  </si>
  <si>
    <t>9780826102485</t>
  </si>
  <si>
    <t>30001005221751</t>
  </si>
  <si>
    <t>893454485</t>
  </si>
  <si>
    <t>WY 18 G312s 1968</t>
  </si>
  <si>
    <t>0                      WY 0018000G  312s        1968</t>
  </si>
  <si>
    <t>A study of some effects of sensitivity training on the performance of students in associate degree programs of nursing education.</t>
  </si>
  <si>
    <t>Geitgey, Doris A. (Doris Arlene)</t>
  </si>
  <si>
    <t>New York : National League for Nursing, Dept. of Associate Degree Programs, 1968.</t>
  </si>
  <si>
    <t>League exchange ; no. 86</t>
  </si>
  <si>
    <t>1174359:eng</t>
  </si>
  <si>
    <t>29128</t>
  </si>
  <si>
    <t>991001387589702656</t>
  </si>
  <si>
    <t>2266304780002656</t>
  </si>
  <si>
    <t>30001000464109</t>
  </si>
  <si>
    <t>893834658</t>
  </si>
  <si>
    <t>WY 18 G326 1978</t>
  </si>
  <si>
    <t>0                      WY 0018000G  326         1978</t>
  </si>
  <si>
    <t>Generating effective teaching.</t>
  </si>
  <si>
    <t>NLN pub. no. 16-1749</t>
  </si>
  <si>
    <t>16526847:eng</t>
  </si>
  <si>
    <t>5125989</t>
  </si>
  <si>
    <t>991001376519702656</t>
  </si>
  <si>
    <t>2264497750002656</t>
  </si>
  <si>
    <t>30001000462335</t>
  </si>
  <si>
    <t>893633000</t>
  </si>
  <si>
    <t>WY 18 G365o 1962</t>
  </si>
  <si>
    <t>0                      WY 0018000G  365o        1962</t>
  </si>
  <si>
    <t>An observational method for evaluating the performance of nursing students in clinical situations / by Louise Rozario Gerchberg.</t>
  </si>
  <si>
    <t>Gerchberg, Louise Rozario.</t>
  </si>
  <si>
    <t>New York : National League for Nursing, 1962.</t>
  </si>
  <si>
    <t>1962</t>
  </si>
  <si>
    <t>League exchange</t>
  </si>
  <si>
    <t>9431563:eng</t>
  </si>
  <si>
    <t>3280770</t>
  </si>
  <si>
    <t>991001375279702656</t>
  </si>
  <si>
    <t>2258490950002656</t>
  </si>
  <si>
    <t>30001000462129</t>
  </si>
  <si>
    <t>893168152</t>
  </si>
  <si>
    <t>WY 18 G851w 1977</t>
  </si>
  <si>
    <t>0                      WY 0018000G  851w        1977</t>
  </si>
  <si>
    <t>Writing and using behavioral objectives in nursing education / Joanne K. Griffin.</t>
  </si>
  <si>
    <t>Griffin, Joanne King.</t>
  </si>
  <si>
    <t>NLN pub. no. 23-1670</t>
  </si>
  <si>
    <t>1990-07-23</t>
  </si>
  <si>
    <t>8858092:eng</t>
  </si>
  <si>
    <t>3189485</t>
  </si>
  <si>
    <t>991001388019702656</t>
  </si>
  <si>
    <t>2261485790002656</t>
  </si>
  <si>
    <t>30001000464216</t>
  </si>
  <si>
    <t>893467939</t>
  </si>
  <si>
    <t>WY 18 G946 1960</t>
  </si>
  <si>
    <t>0                      WY 0018000G  946         1960</t>
  </si>
  <si>
    <t>Guidelines for teaching nutrition and diet therapy in schools of nursing / prepared by a Joint Committee of the Maryland League for Nursing and the Maryland Dietetic Association ; Virginia C. Conley, chairman [and others]</t>
  </si>
  <si>
    <t>New York : National League for Nursing, Dept. of Diploma and Associate Degree Programs, 1960.</t>
  </si>
  <si>
    <t>League exchange ; no.48</t>
  </si>
  <si>
    <t>2084952:eng</t>
  </si>
  <si>
    <t>1202047</t>
  </si>
  <si>
    <t>991001375169702656</t>
  </si>
  <si>
    <t>2271411270002656</t>
  </si>
  <si>
    <t>30001000462111</t>
  </si>
  <si>
    <t>893834644</t>
  </si>
  <si>
    <t>WY 18 H434 1980</t>
  </si>
  <si>
    <t>0                      WY 0018000H  434         1980</t>
  </si>
  <si>
    <t>Health assessment, a modular approach / Peggy M. Mayfield .. [et al.].</t>
  </si>
  <si>
    <t>New York : McGraw-Hill, c1980.</t>
  </si>
  <si>
    <t>1991-06-09</t>
  </si>
  <si>
    <t>405916:eng</t>
  </si>
  <si>
    <t>5264484</t>
  </si>
  <si>
    <t>991001039369702656</t>
  </si>
  <si>
    <t>2254726130002656</t>
  </si>
  <si>
    <t>9780070410275</t>
  </si>
  <si>
    <t>30001000241689</t>
  </si>
  <si>
    <t>893557537</t>
  </si>
  <si>
    <t>WY 18 H434p 1980s</t>
  </si>
  <si>
    <t>0                      WY 0018000H  434p        1980s</t>
  </si>
  <si>
    <t>Post test answer booklet to accompany Health assessment : a modular approach / Peggy M. Mayfield ... [et al.].</t>
  </si>
  <si>
    <t>22827632:eng</t>
  </si>
  <si>
    <t>6514204</t>
  </si>
  <si>
    <t>991001039479702656</t>
  </si>
  <si>
    <t>2269903870002656</t>
  </si>
  <si>
    <t>9780070410282</t>
  </si>
  <si>
    <t>30001000241739</t>
  </si>
  <si>
    <t>893148824</t>
  </si>
  <si>
    <t>WY 18 H747 1960</t>
  </si>
  <si>
    <t>0                      WY 0018000H  747         1960</t>
  </si>
  <si>
    <t>Steps in curriculum planning : prepared for a work conference at Morgantown, West Virginia, June 22-July 3, 1959 / under the auspices of the Department of Nursing Education, West Virginia University.</t>
  </si>
  <si>
    <t>Holmquist, Emily.</t>
  </si>
  <si>
    <t>New York : National League for Nursing, Division of Nursing Education, 1960.</t>
  </si>
  <si>
    <t>League exchange, no. 47</t>
  </si>
  <si>
    <t>8319251:eng</t>
  </si>
  <si>
    <t>14612448</t>
  </si>
  <si>
    <t>991001360689702656</t>
  </si>
  <si>
    <t>2265852940002656</t>
  </si>
  <si>
    <t>30001000460602</t>
  </si>
  <si>
    <t>893552410</t>
  </si>
  <si>
    <t>WY18 H852p 2003</t>
  </si>
  <si>
    <t>0                      WY 0018000H  852p        2003</t>
  </si>
  <si>
    <t>The practitioner as assessor / Sue Howard, Anne Eaton ; foreword by Roswyn Hakesley Brown.</t>
  </si>
  <si>
    <t>Howard, Sue.</t>
  </si>
  <si>
    <t>Edinburgh ; New York : Baillière Tindall, 2003.</t>
  </si>
  <si>
    <t>stk</t>
  </si>
  <si>
    <t>2005-12-14</t>
  </si>
  <si>
    <t>2005-12-08</t>
  </si>
  <si>
    <t>5614618714:eng</t>
  </si>
  <si>
    <t>51258353</t>
  </si>
  <si>
    <t>991000453529702656</t>
  </si>
  <si>
    <t>2268345190002656</t>
  </si>
  <si>
    <t>9780702026607</t>
  </si>
  <si>
    <t>30001004913010</t>
  </si>
  <si>
    <t>893542346</t>
  </si>
  <si>
    <t>WY 18 H882c 1980</t>
  </si>
  <si>
    <t>0                      WY 0018000H  882c        1980</t>
  </si>
  <si>
    <t>Conditions of learning and instruction in nursing : modularized / Loucine M. Daderian Huckabay.</t>
  </si>
  <si>
    <t>Huckabay, Loucine M. Daderian, 1939-</t>
  </si>
  <si>
    <t>St. Louis : Mosby, c1980.</t>
  </si>
  <si>
    <t>1993-07-14</t>
  </si>
  <si>
    <t>279292841:eng</t>
  </si>
  <si>
    <t>5170969</t>
  </si>
  <si>
    <t>991000740199702656</t>
  </si>
  <si>
    <t>2259306770002656</t>
  </si>
  <si>
    <t>9780801623042</t>
  </si>
  <si>
    <t>30001000043267</t>
  </si>
  <si>
    <t>893450172</t>
  </si>
  <si>
    <t>WY 18 I53 1959</t>
  </si>
  <si>
    <t>0                      WY 0018000I  53          1959</t>
  </si>
  <si>
    <t>Student centered teaching in nursing / by Alice E. Ingmire and Bernice Hudson Hart.</t>
  </si>
  <si>
    <t>Ingmire, Alice E.</t>
  </si>
  <si>
    <t>League exchange, no.45</t>
  </si>
  <si>
    <t>2002-11-27</t>
  </si>
  <si>
    <t>1964674:eng</t>
  </si>
  <si>
    <t>1027674</t>
  </si>
  <si>
    <t>991001364359702656</t>
  </si>
  <si>
    <t>2255796910002656</t>
  </si>
  <si>
    <t>30001000461154</t>
  </si>
  <si>
    <t>893467926</t>
  </si>
  <si>
    <t>WY 18 I58 1979</t>
  </si>
  <si>
    <t>0                      WY 0018000I  58          1979</t>
  </si>
  <si>
    <t>Innovative approaches to baccalaureate programs in nursing.</t>
  </si>
  <si>
    <t>NLN pub. no. 15-1804</t>
  </si>
  <si>
    <t>21745186:eng</t>
  </si>
  <si>
    <t>6144806</t>
  </si>
  <si>
    <t>991001371289702656</t>
  </si>
  <si>
    <t>2255794950002656</t>
  </si>
  <si>
    <t>30001000461840</t>
  </si>
  <si>
    <t>893834653</t>
  </si>
  <si>
    <t>WY 18 I59 1955</t>
  </si>
  <si>
    <t>0                      WY 0018000I  59          1955</t>
  </si>
  <si>
    <t>In-service education department, University of Utopia Hospital, Manna, U.S.A.</t>
  </si>
  <si>
    <t>New York : National League for Nursing, 1956.</t>
  </si>
  <si>
    <t>1955</t>
  </si>
  <si>
    <t>League exchange ; no. 11</t>
  </si>
  <si>
    <t>51630158:eng</t>
  </si>
  <si>
    <t>14682277</t>
  </si>
  <si>
    <t>991001518109702656</t>
  </si>
  <si>
    <t>2263541140002656</t>
  </si>
  <si>
    <t>30001000600355</t>
  </si>
  <si>
    <t>893743889</t>
  </si>
  <si>
    <t>WY 18 J68i 1971</t>
  </si>
  <si>
    <t>0                      WY 0018000J  68i         1971</t>
  </si>
  <si>
    <t>Integrating diet therapy in a diploma nursing program : the method developed at Northwest Texas Hospital School of Nursing / by Marjorie Johnson.</t>
  </si>
  <si>
    <t>Johnson, Marjorie.</t>
  </si>
  <si>
    <t>New York : Dept. of Diploma Programs, National League for Nursing, 1971.</t>
  </si>
  <si>
    <t>League exchange ; no. 94</t>
  </si>
  <si>
    <t>934030837:eng</t>
  </si>
  <si>
    <t>657845</t>
  </si>
  <si>
    <t>991001376019702656</t>
  </si>
  <si>
    <t>2259901270002656</t>
  </si>
  <si>
    <t>30001000462202</t>
  </si>
  <si>
    <t>893455731</t>
  </si>
  <si>
    <t>WY 18 J74 1950</t>
  </si>
  <si>
    <t>0                      WY 0018000J  74          1950</t>
  </si>
  <si>
    <t>Joint Nursing Curriculum Conference : report of proceedngs of conference, Nov. 13, 14, 15, 1950 at Teachers College, Columbia Univesity, New York.</t>
  </si>
  <si>
    <t>New York : National League of Nursing Education, Dept. of Services to Schools of Nursing, 1951.</t>
  </si>
  <si>
    <t>1950</t>
  </si>
  <si>
    <t>National League of Nursing Education. Curriculum bulletin no. 2</t>
  </si>
  <si>
    <t>24451280:eng</t>
  </si>
  <si>
    <t>6794702</t>
  </si>
  <si>
    <t>991001518029702656</t>
  </si>
  <si>
    <t>2267594310002656</t>
  </si>
  <si>
    <t>30001000600322</t>
  </si>
  <si>
    <t>893541469</t>
  </si>
  <si>
    <t>WY 18 K32d 1976</t>
  </si>
  <si>
    <t>0                      WY 0018000K  32d         1976</t>
  </si>
  <si>
    <t>Determining the plus and minus outcomes of innovation in nursing education / Jerrold E. Kemp.</t>
  </si>
  <si>
    <t>Kemp, Jerrold E.</t>
  </si>
  <si>
    <t>NLN pub. no. 23-1682</t>
  </si>
  <si>
    <t>10707786:eng</t>
  </si>
  <si>
    <t>3442391</t>
  </si>
  <si>
    <t>991001388059702656</t>
  </si>
  <si>
    <t>2268864020002656</t>
  </si>
  <si>
    <t>30001000464224</t>
  </si>
  <si>
    <t>893374496</t>
  </si>
  <si>
    <t>WY 18 K508a 1984</t>
  </si>
  <si>
    <t>0                      WY 0018000K  508a        1984</t>
  </si>
  <si>
    <t>Affective education in nursing : a guide to teaching and assessment / Elizabeth C. King.</t>
  </si>
  <si>
    <t>King, Elizabeth C., 1941-</t>
  </si>
  <si>
    <t>Rockville, Md. : Aspen Systems Corp., c1984.</t>
  </si>
  <si>
    <t>1992-10-28</t>
  </si>
  <si>
    <t>43038113:eng</t>
  </si>
  <si>
    <t>9761742</t>
  </si>
  <si>
    <t>991001041209702656</t>
  </si>
  <si>
    <t>2271386920002656</t>
  </si>
  <si>
    <t>9780894438882</t>
  </si>
  <si>
    <t>30001000242422</t>
  </si>
  <si>
    <t>893161636</t>
  </si>
  <si>
    <t>WY 18 K515n 1982</t>
  </si>
  <si>
    <t>0                      WY 0018000K  515n        1982</t>
  </si>
  <si>
    <t>Nursing comprehensive examination review / R. Carole King &amp; George Horemis.</t>
  </si>
  <si>
    <t>King, R. Carole.</t>
  </si>
  <si>
    <t>New York : Arco, c1982.</t>
  </si>
  <si>
    <t>1988-06-08</t>
  </si>
  <si>
    <t>4131731716:eng</t>
  </si>
  <si>
    <t>7978812</t>
  </si>
  <si>
    <t>991000740139702656</t>
  </si>
  <si>
    <t>2271255420002656</t>
  </si>
  <si>
    <t>9780668053679</t>
  </si>
  <si>
    <t>30001000043259</t>
  </si>
  <si>
    <t>893286913</t>
  </si>
  <si>
    <t>WY 18 K51i 1986</t>
  </si>
  <si>
    <t>0                      WY 0018000K  51i         1986</t>
  </si>
  <si>
    <t>Illustrated manual of nursing techniques / Lynn Wieck, Eunice M. King, Marilyn Dyer.</t>
  </si>
  <si>
    <t>King, Eunice M.</t>
  </si>
  <si>
    <t>Philadelphia : Lippincott, c1986.</t>
  </si>
  <si>
    <t>2002-12-03</t>
  </si>
  <si>
    <t>1988-02-08</t>
  </si>
  <si>
    <t>3943278075:eng</t>
  </si>
  <si>
    <t>12837652</t>
  </si>
  <si>
    <t>991000843359702656</t>
  </si>
  <si>
    <t>2266451350002656</t>
  </si>
  <si>
    <t>9780397545216</t>
  </si>
  <si>
    <t>30001000785735</t>
  </si>
  <si>
    <t>893460037</t>
  </si>
  <si>
    <t>WY 18 K94c 1972</t>
  </si>
  <si>
    <t>0                      WY 0018000K  94c         1972</t>
  </si>
  <si>
    <t>Care of the skin : study guide and workbook / programmed by Elizabeth A. Krueger.</t>
  </si>
  <si>
    <t>Krueger, Elizabeth A.</t>
  </si>
  <si>
    <t>-- Philadelphia : Lippincott, c1972</t>
  </si>
  <si>
    <t>2288489732:eng</t>
  </si>
  <si>
    <t>4851315</t>
  </si>
  <si>
    <t>991001041429702656</t>
  </si>
  <si>
    <t>2272066230002656</t>
  </si>
  <si>
    <t>30001000242471</t>
  </si>
  <si>
    <t>893546337</t>
  </si>
  <si>
    <t>WY 18 K94v 1973</t>
  </si>
  <si>
    <t>0                      WY 0018000K  94v         1973</t>
  </si>
  <si>
    <t>Vital signs : study guide and workbook / programmed by Elizabeth A. Krueger.</t>
  </si>
  <si>
    <t>-- Philadelphia : Lippincott, c1973.</t>
  </si>
  <si>
    <t>1994-02-05</t>
  </si>
  <si>
    <t>14967999:eng</t>
  </si>
  <si>
    <t>4851452</t>
  </si>
  <si>
    <t>991001041309702656</t>
  </si>
  <si>
    <t>2272074840002656</t>
  </si>
  <si>
    <t>30001000242463</t>
  </si>
  <si>
    <t>893736169</t>
  </si>
  <si>
    <t>WY 18 K96c 1978</t>
  </si>
  <si>
    <t>0                      WY 0018000K  96c         1978</t>
  </si>
  <si>
    <t>Clinical workbook in medical-surgical nursing / Rosemary Bouchard Kurtz, Nancy Frost Miller.</t>
  </si>
  <si>
    <t>Bouchard-Kurtz, Rosemary, 1919-</t>
  </si>
  <si>
    <t>1991-10-26</t>
  </si>
  <si>
    <t>1780653221:eng</t>
  </si>
  <si>
    <t>4023849</t>
  </si>
  <si>
    <t>991001041469702656</t>
  </si>
  <si>
    <t>2267104730002656</t>
  </si>
  <si>
    <t>9780721655802</t>
  </si>
  <si>
    <t>30001000242497</t>
  </si>
  <si>
    <t>893816059</t>
  </si>
  <si>
    <t>WY 18 L274i 1978</t>
  </si>
  <si>
    <t>0                      WY 0018000L  274i        1978</t>
  </si>
  <si>
    <t>Identification of learning styles / Crystal M. Lange.</t>
  </si>
  <si>
    <t>Lange, Crystal M., 1927-</t>
  </si>
  <si>
    <t>New York, N.Y. : National League for Nursing, c1979.</t>
  </si>
  <si>
    <t>NLN pub. no. 23-1793</t>
  </si>
  <si>
    <t>17715142:eng</t>
  </si>
  <si>
    <t>5430385</t>
  </si>
  <si>
    <t>991001388799702656</t>
  </si>
  <si>
    <t>2262398810002656</t>
  </si>
  <si>
    <t>30001000464422</t>
  </si>
  <si>
    <t>893727528</t>
  </si>
  <si>
    <t>WY 18 L563o 1975</t>
  </si>
  <si>
    <t>0                      WY 0018000L  563o        1975</t>
  </si>
  <si>
    <t>Open learning and career mobility in nursing / edited by Carrie B. Lenburg.</t>
  </si>
  <si>
    <t>Lenburg, Carrie B.</t>
  </si>
  <si>
    <t>Saint Louis, MO : Mosby, 1975.</t>
  </si>
  <si>
    <t>1994-10-12</t>
  </si>
  <si>
    <t>1988-01-20</t>
  </si>
  <si>
    <t>2052015:eng</t>
  </si>
  <si>
    <t>1085692</t>
  </si>
  <si>
    <t>991001041599702656</t>
  </si>
  <si>
    <t>2269479590002656</t>
  </si>
  <si>
    <t>9780801629389</t>
  </si>
  <si>
    <t>30001000242521</t>
  </si>
  <si>
    <t>893273625</t>
  </si>
  <si>
    <t>WY 18 L857 1991</t>
  </si>
  <si>
    <t>0                      WY 0018000L  857         1991</t>
  </si>
  <si>
    <t>The Long-term care nursing assistant training manual / [edited] by Mary Ann Anderson, Karen W. Beaver, and Ruth E. Wheeler ; with invited contributors.</t>
  </si>
  <si>
    <t>Baltimore : Health Professions Press, c1991.</t>
  </si>
  <si>
    <t>2001-06-22</t>
  </si>
  <si>
    <t>1992-04-02</t>
  </si>
  <si>
    <t>375328570:eng</t>
  </si>
  <si>
    <t>22207757</t>
  </si>
  <si>
    <t>991001299919702656</t>
  </si>
  <si>
    <t>2256436950002656</t>
  </si>
  <si>
    <t>9781878812001</t>
  </si>
  <si>
    <t>30001002411439</t>
  </si>
  <si>
    <t>893552339</t>
  </si>
  <si>
    <t>WY18 L982e 1985</t>
  </si>
  <si>
    <t>0                      WY 0018000L  982e        1985</t>
  </si>
  <si>
    <t>Evaluation in nursing : principles and practice / Lawrence Litwack, Linda Linc, Dolores Bower.</t>
  </si>
  <si>
    <t>Litwack, Lawrence.</t>
  </si>
  <si>
    <t>New York : National League for Nursing, c1985.</t>
  </si>
  <si>
    <t>NLN pub. no. 15-1976</t>
  </si>
  <si>
    <t>1992-06-16</t>
  </si>
  <si>
    <t>308984000:eng</t>
  </si>
  <si>
    <t>12228423</t>
  </si>
  <si>
    <t>991001041639702656</t>
  </si>
  <si>
    <t>2262960920002656</t>
  </si>
  <si>
    <t>9780887371561</t>
  </si>
  <si>
    <t>30001000242539</t>
  </si>
  <si>
    <t>893552090</t>
  </si>
  <si>
    <t>WY 18 M168p 1977</t>
  </si>
  <si>
    <t>0                      WY 0018000M  168p        1977</t>
  </si>
  <si>
    <t>The preparation of the nurse specialist / Dorothy McMullan.</t>
  </si>
  <si>
    <t>McMullan, Dorothy.</t>
  </si>
  <si>
    <t>NLN pub. no. 14-1678</t>
  </si>
  <si>
    <t>9993894:eng</t>
  </si>
  <si>
    <t>3338603</t>
  </si>
  <si>
    <t>991001363819702656</t>
  </si>
  <si>
    <t>2265636610002656</t>
  </si>
  <si>
    <t>30001000461105</t>
  </si>
  <si>
    <t>893274051</t>
  </si>
  <si>
    <t>WY 18 M294 1987</t>
  </si>
  <si>
    <t>0                      WY 0018000M  294         1987</t>
  </si>
  <si>
    <t>Manual of community and home health nursing / [edited by] Ruth F. Stewart.</t>
  </si>
  <si>
    <t>Boston : Little, Brown, c1987.</t>
  </si>
  <si>
    <t>Little, Brown spiral manual. Nursing</t>
  </si>
  <si>
    <t>1990-09-20</t>
  </si>
  <si>
    <t>1990-07-25</t>
  </si>
  <si>
    <t>10767856:eng</t>
  </si>
  <si>
    <t>15697734</t>
  </si>
  <si>
    <t>991001449679702656</t>
  </si>
  <si>
    <t>2264215640002656</t>
  </si>
  <si>
    <t>9780316814355</t>
  </si>
  <si>
    <t>30001001882481</t>
  </si>
  <si>
    <t>893162016</t>
  </si>
  <si>
    <t>WY 18 M4245sb 1990</t>
  </si>
  <si>
    <t>0                      WY 0018000M  4245sb      1990</t>
  </si>
  <si>
    <t>Saunders review for NCLEX-RN / by Esther Matassarin-Jacobs.</t>
  </si>
  <si>
    <t>Matassarin-Jacobs, Esther.</t>
  </si>
  <si>
    <t>Philadelphia : Saunders, c1990.</t>
  </si>
  <si>
    <t>1996-08-06</t>
  </si>
  <si>
    <t>1990-02-06</t>
  </si>
  <si>
    <t>17815140:eng</t>
  </si>
  <si>
    <t>18985000</t>
  </si>
  <si>
    <t>991001446619702656</t>
  </si>
  <si>
    <t>2261592980002656</t>
  </si>
  <si>
    <t>9780721624044</t>
  </si>
  <si>
    <t>30001001880659</t>
  </si>
  <si>
    <t>893834679</t>
  </si>
  <si>
    <t>WY 18 M482c 1983</t>
  </si>
  <si>
    <t>0                      WY 0018000M  482c        1983</t>
  </si>
  <si>
    <t>Critical care nursing : review &amp; self-test / Billie C. Meador.</t>
  </si>
  <si>
    <t>Meador, Billie C.</t>
  </si>
  <si>
    <t>Oradell, N.J. : Medical Economics Books, c1983.</t>
  </si>
  <si>
    <t>1988-05-26</t>
  </si>
  <si>
    <t>43190245:eng</t>
  </si>
  <si>
    <t>8785854</t>
  </si>
  <si>
    <t>991001041929702656</t>
  </si>
  <si>
    <t>2267836990002656</t>
  </si>
  <si>
    <t>9780874893007</t>
  </si>
  <si>
    <t>30001000242646</t>
  </si>
  <si>
    <t>893465140</t>
  </si>
  <si>
    <t>WY 18 M483 1979</t>
  </si>
  <si>
    <t>0                      WY 0018000M  483         1979</t>
  </si>
  <si>
    <t>Measurement and evaluation in nursing education : papers presented at a conference at the St. Luke's College of Nursing, Tokyo, Japan, January 12-14, 1979.</t>
  </si>
  <si>
    <t>NLN pub. no. 17-1807</t>
  </si>
  <si>
    <t>4794562871:eng</t>
  </si>
  <si>
    <t>6420475</t>
  </si>
  <si>
    <t>991001379769702656</t>
  </si>
  <si>
    <t>2267491990002656</t>
  </si>
  <si>
    <t>30001000462558</t>
  </si>
  <si>
    <t>893638275</t>
  </si>
  <si>
    <t>WY 18 M758e 1971</t>
  </si>
  <si>
    <t>0                      WY 0018000M  758e        1971</t>
  </si>
  <si>
    <t>The education of nursing technicians / Mildred L. Montag ; Foreword by R. Louise McManus.</t>
  </si>
  <si>
    <t>Montag, Mildred Louise, 1908-</t>
  </si>
  <si>
    <t>New York, NY : Wiley, 1971, 1951.</t>
  </si>
  <si>
    <t>Wiley paperback nursing series</t>
  </si>
  <si>
    <t>1310482:eng</t>
  </si>
  <si>
    <t>217267</t>
  </si>
  <si>
    <t>991001041999702656</t>
  </si>
  <si>
    <t>2259457450002656</t>
  </si>
  <si>
    <t>9780471613404</t>
  </si>
  <si>
    <t>30001000242661</t>
  </si>
  <si>
    <t>893455408</t>
  </si>
  <si>
    <t>WY18 M758ec 1972</t>
  </si>
  <si>
    <t>0                      WY 0018000M  758ec       1972</t>
  </si>
  <si>
    <t>Evaluation of graduates of associate degree nursing programs / Mildred L. Montag.</t>
  </si>
  <si>
    <t>New York, NY : Published for the Dept. of Nursing Education by Teachers College Press, Teachers College, Columbia University 1972.</t>
  </si>
  <si>
    <t>1994-10-19</t>
  </si>
  <si>
    <t>1712899:eng</t>
  </si>
  <si>
    <t>578137</t>
  </si>
  <si>
    <t>991001042079702656</t>
  </si>
  <si>
    <t>2258621080002656</t>
  </si>
  <si>
    <t>30001000242679</t>
  </si>
  <si>
    <t>893540975</t>
  </si>
  <si>
    <t>WY 18 N105w 1979</t>
  </si>
  <si>
    <t>0                      WY 0018000N  105w        1979</t>
  </si>
  <si>
    <t>Working paper of the NLN Task Force on Competencies of Graduates of Nursing Programs.</t>
  </si>
  <si>
    <t>NLN Task Force on Competencies of Graduates of Nursing Programs.</t>
  </si>
  <si>
    <t>NLN pub. no. 14-1787.</t>
  </si>
  <si>
    <t>2002-07-17</t>
  </si>
  <si>
    <t>3859715989:eng</t>
  </si>
  <si>
    <t>5676052</t>
  </si>
  <si>
    <t>991000176849702656</t>
  </si>
  <si>
    <t>2259951100002656</t>
  </si>
  <si>
    <t>30001000461113</t>
  </si>
  <si>
    <t>893466140</t>
  </si>
  <si>
    <t>WY18 N25721e 2000</t>
  </si>
  <si>
    <t>0                      WY 0018000N  25721e      2000</t>
  </si>
  <si>
    <t>Educational competencies for graduates of associate degree nursing programs / Council of Associate Degree Nursing, Competencies Task Force, National League for Nursing ; with support from the National Organization of Associate Degree Nursing ; edited and revised by G. Coxwell and H. Gillerman.</t>
  </si>
  <si>
    <t>National League for Nursing. Council of Associate Degree Nursing. Competencies Task Force.</t>
  </si>
  <si>
    <t>Sudbury, Mass. : Jones and Bartlett, c2000.</t>
  </si>
  <si>
    <t>2006-10-30</t>
  </si>
  <si>
    <t>2003-07-16</t>
  </si>
  <si>
    <t>14066994:eng</t>
  </si>
  <si>
    <t>45015534</t>
  </si>
  <si>
    <t>991000353339702656</t>
  </si>
  <si>
    <t>2263371670002656</t>
  </si>
  <si>
    <t>9780763714048</t>
  </si>
  <si>
    <t>30001003783984</t>
  </si>
  <si>
    <t>893136757</t>
  </si>
  <si>
    <t>WY 18 N2737 1985</t>
  </si>
  <si>
    <t>0                      WY 0018000N  2737        1985</t>
  </si>
  <si>
    <t>Patterns in specialization : challenge to the curriculum.</t>
  </si>
  <si>
    <t>National Conference on Nursing Education (2nd : 1985 : San Diego, Calif.)</t>
  </si>
  <si>
    <t>New York, NY : National League for Nursing, c1986.</t>
  </si>
  <si>
    <t>NLN pub. no. 15-2154</t>
  </si>
  <si>
    <t>1151079397:eng</t>
  </si>
  <si>
    <t>13843033</t>
  </si>
  <si>
    <t>991001383409702656</t>
  </si>
  <si>
    <t>2256663350002656</t>
  </si>
  <si>
    <t>9780887372599</t>
  </si>
  <si>
    <t>30001000463192</t>
  </si>
  <si>
    <t>893552423</t>
  </si>
  <si>
    <t>WY 18 N2737 1986</t>
  </si>
  <si>
    <t>0                      WY 0018000N  2737        1986</t>
  </si>
  <si>
    <t>Patterns in nursing : strategic planning for nursing education.</t>
  </si>
  <si>
    <t>National Conference on Nursing Education (3rd : 1986 : New Orleans, La.)</t>
  </si>
  <si>
    <t>New York, NY : National League for Nursing, c1987.</t>
  </si>
  <si>
    <t>NLN pub. no. 15-2179</t>
  </si>
  <si>
    <t>1991-04-01</t>
  </si>
  <si>
    <t>11764707:eng</t>
  </si>
  <si>
    <t>15799359</t>
  </si>
  <si>
    <t>991001201989702656</t>
  </si>
  <si>
    <t>2264590230002656</t>
  </si>
  <si>
    <t>9780887373602</t>
  </si>
  <si>
    <t>30001000317174</t>
  </si>
  <si>
    <t>893643305</t>
  </si>
  <si>
    <t>WY 18 N273p 1969</t>
  </si>
  <si>
    <t>0                      WY 0018000N  273p        1969</t>
  </si>
  <si>
    <t>Proceedings book.</t>
  </si>
  <si>
    <t>National Conference on Continuing Education for Nurses (1st : 1969 : Williamsburg, Va.)</t>
  </si>
  <si>
    <t>[Williamsburg, Va. : s.n., 1969?]</t>
  </si>
  <si>
    <t>8944030:eng</t>
  </si>
  <si>
    <t>3144880</t>
  </si>
  <si>
    <t>991001043549702656</t>
  </si>
  <si>
    <t>2256368920002656</t>
  </si>
  <si>
    <t>30001000243198</t>
  </si>
  <si>
    <t>893736171</t>
  </si>
  <si>
    <t>WY 18 N27523 1976</t>
  </si>
  <si>
    <t>0                      WY 0018000N  27523       1976</t>
  </si>
  <si>
    <t>Current issues affecting nursing as a part of higher education : papers presented at the fifteenth conference of the Council of Baccalaureate and Higher Degree Programs, Houston, Texas, March 1976.</t>
  </si>
  <si>
    <t>National League for Nursing. Council of Baccalaureate and Higher Degree Programs.</t>
  </si>
  <si>
    <t>NLN pub. no. 15-1639</t>
  </si>
  <si>
    <t>57531467:eng</t>
  </si>
  <si>
    <t>2642728</t>
  </si>
  <si>
    <t>991001370419702656</t>
  </si>
  <si>
    <t>2255815080002656</t>
  </si>
  <si>
    <t>30001000461683</t>
  </si>
  <si>
    <t>893268410</t>
  </si>
  <si>
    <t>WY 18 N27523q 1975</t>
  </si>
  <si>
    <t>0                      WY 0018000N  27523q      1975</t>
  </si>
  <si>
    <t>Quality assurance : models for nursing education : papers presented at the fourteenth conference of the Council of Baccalaureate and Higher Degree Programs, Washington, D.C., November 1975.</t>
  </si>
  <si>
    <t>New York : Dept. of Baccalaureate and Higher Degree Programs, National League for Nursing, c1976.</t>
  </si>
  <si>
    <t>NLN pub. no. 15-1611</t>
  </si>
  <si>
    <t>6802973:eng</t>
  </si>
  <si>
    <t>2930639</t>
  </si>
  <si>
    <t>991001369739702656</t>
  </si>
  <si>
    <t>2265562360002656</t>
  </si>
  <si>
    <t>30001000461634</t>
  </si>
  <si>
    <t>893834652</t>
  </si>
  <si>
    <t>WY 18 N2753ca 1976 pt.2</t>
  </si>
  <si>
    <t>0                      WY 0018000N  2753ca      1976                                        pt.2</t>
  </si>
  <si>
    <t>Curriculum in graduate education in nursing.</t>
  </si>
  <si>
    <t>pt.2*</t>
  </si>
  <si>
    <t>New York : The League, c1976.</t>
  </si>
  <si>
    <t>Pub. no. 15-1632 (pt.2)</t>
  </si>
  <si>
    <t>2003-02-11</t>
  </si>
  <si>
    <t>1992-08-31</t>
  </si>
  <si>
    <t>3891343947:eng</t>
  </si>
  <si>
    <t>2615821</t>
  </si>
  <si>
    <t>991001342729702656</t>
  </si>
  <si>
    <t>2263358810002656</t>
  </si>
  <si>
    <t>30001002456376</t>
  </si>
  <si>
    <t>893736508</t>
  </si>
  <si>
    <t>WY 18 N275p 1976</t>
  </si>
  <si>
    <t>0                      WY 0018000N  275p        1976</t>
  </si>
  <si>
    <t>Policies and procedures of accreditation for programs in nursing education : associate degree programs, baccalaureate and higher degree programs, diploma programs, practical nursing programs.</t>
  </si>
  <si>
    <t>2d.</t>
  </si>
  <si>
    <t>NLN pub. no. 14-1473</t>
  </si>
  <si>
    <t>1475777:eng</t>
  </si>
  <si>
    <t>14382593</t>
  </si>
  <si>
    <t>991001363009702656</t>
  </si>
  <si>
    <t>2268471270002656</t>
  </si>
  <si>
    <t>30001000460990</t>
  </si>
  <si>
    <t>893816334</t>
  </si>
  <si>
    <t>WY 18.N277 p 1984</t>
  </si>
  <si>
    <t>0                      WY 0018000N  277                                                     p 1984</t>
  </si>
  <si>
    <t>Patterns in education : the unfolding of nursing.</t>
  </si>
  <si>
    <t>National Conference on Nursing Education (1st : 1984 : Philadelphia, Pa.)</t>
  </si>
  <si>
    <t>New York, NY : National League for Nursing, c1985.</t>
  </si>
  <si>
    <t>1151043080:eng</t>
  </si>
  <si>
    <t>12667134</t>
  </si>
  <si>
    <t>991001043639702656</t>
  </si>
  <si>
    <t>2262721480002656</t>
  </si>
  <si>
    <t>9780887371400</t>
  </si>
  <si>
    <t>30001000243214</t>
  </si>
  <si>
    <t>893643165</t>
  </si>
  <si>
    <t>WY 18 N2772c 1987</t>
  </si>
  <si>
    <t>0                      WY 0018000N  2772c       1987</t>
  </si>
  <si>
    <t>Characteristics of baccalaureate education in nursing / Division of Baccalaureate and Higher Degree Programs.</t>
  </si>
  <si>
    <t>National League for Nursing. Division of Baccalaureate and Higher Degree Programs.</t>
  </si>
  <si>
    <t>NLN pub. no. 15-1758</t>
  </si>
  <si>
    <t>17792330:eng</t>
  </si>
  <si>
    <t>18629024</t>
  </si>
  <si>
    <t>991000761549702656</t>
  </si>
  <si>
    <t>2265298420002656</t>
  </si>
  <si>
    <t>9780887373732</t>
  </si>
  <si>
    <t>30001000056301</t>
  </si>
  <si>
    <t>893148236</t>
  </si>
  <si>
    <t>WY 18 N2774r 1989</t>
  </si>
  <si>
    <t>0                      WY 0018000N  2774r       1989</t>
  </si>
  <si>
    <t>Role and competencies of graduates of diploma programs in nursing / Council of Diploma Programs.</t>
  </si>
  <si>
    <t>National League for Nursing. Council of Diploma Programs.</t>
  </si>
  <si>
    <t>New York : NLN, c1989.</t>
  </si>
  <si>
    <t>NLN Pub. no. 16-1735.</t>
  </si>
  <si>
    <t>24234516:eng</t>
  </si>
  <si>
    <t>22815210</t>
  </si>
  <si>
    <t>991000221749702656</t>
  </si>
  <si>
    <t>2266366740002656</t>
  </si>
  <si>
    <t>9780887374746</t>
  </si>
  <si>
    <t>30001001881368</t>
  </si>
  <si>
    <t>893732592</t>
  </si>
  <si>
    <t>WY 18 N277c 1986</t>
  </si>
  <si>
    <t>0                      WY 0018000N  277c        1986</t>
  </si>
  <si>
    <t>Criteria for the evaluation of practical nursing programs / Council of Practical Nursing Programs, National League for Nursing.</t>
  </si>
  <si>
    <t>National League for Nursing. Council of Practical Nursing Programs.</t>
  </si>
  <si>
    <t>New York : Council of Practical Nursing Programs, National League for Nursing, c1986.</t>
  </si>
  <si>
    <t>NLN pub. no. 38-1178</t>
  </si>
  <si>
    <t>1990-03-30</t>
  </si>
  <si>
    <t>3855463184:eng</t>
  </si>
  <si>
    <t>14268024</t>
  </si>
  <si>
    <t>991001389569702656</t>
  </si>
  <si>
    <t>2255279720002656</t>
  </si>
  <si>
    <t>9780887373367</t>
  </si>
  <si>
    <t>30001000464653</t>
  </si>
  <si>
    <t>893741085</t>
  </si>
  <si>
    <t>WY 18 N277c 1987</t>
  </si>
  <si>
    <t>0                      WY 0018000N  277c        1987</t>
  </si>
  <si>
    <t>Curriculum revolution, mandate for change.</t>
  </si>
  <si>
    <t>National Conference on Nursing Education (4th : 1987)</t>
  </si>
  <si>
    <t>New York, NY : National League for Nursing, c1988.</t>
  </si>
  <si>
    <t>National League for Nursing: "Pub. no. 15-2224."</t>
  </si>
  <si>
    <t>1995-05-27</t>
  </si>
  <si>
    <t>1988-10-19</t>
  </si>
  <si>
    <t>21671494:eng</t>
  </si>
  <si>
    <t>19982298</t>
  </si>
  <si>
    <t>991001426339702656</t>
  </si>
  <si>
    <t>2267867950002656</t>
  </si>
  <si>
    <t>9780887374043</t>
  </si>
  <si>
    <t>30001001184573</t>
  </si>
  <si>
    <t>893274141</t>
  </si>
  <si>
    <t>WY 18 N277c 1988</t>
  </si>
  <si>
    <t>0                      WY 0018000N  277c        1988</t>
  </si>
  <si>
    <t>Curriculum revolution-- reconceptualizing nursing education.</t>
  </si>
  <si>
    <t>National Conference on Nursing Education (5th : 1988)</t>
  </si>
  <si>
    <t>NLN pub. no. 15-2280</t>
  </si>
  <si>
    <t>3901337413:eng</t>
  </si>
  <si>
    <t>20691602</t>
  </si>
  <si>
    <t>991001311629702656</t>
  </si>
  <si>
    <t>2262492500002656</t>
  </si>
  <si>
    <t>9780887374425</t>
  </si>
  <si>
    <t>30001001750993</t>
  </si>
  <si>
    <t>893121397</t>
  </si>
  <si>
    <t>WY 18 N277n 1978</t>
  </si>
  <si>
    <t>0                      WY 0018000N  277n        1978</t>
  </si>
  <si>
    <t>NLN nursing data book : statistical information on nursing education and newly licensed nurses / Division of Research.</t>
  </si>
  <si>
    <t>National League for Nursing. Division of Research.</t>
  </si>
  <si>
    <t>NLN pub. no. 19-1751</t>
  </si>
  <si>
    <t>131807856:eng</t>
  </si>
  <si>
    <t>5051578</t>
  </si>
  <si>
    <t>991001381259702656</t>
  </si>
  <si>
    <t>2263904420002656</t>
  </si>
  <si>
    <t>30001000462822</t>
  </si>
  <si>
    <t>893727522</t>
  </si>
  <si>
    <t>WY 18 N277n 1979</t>
  </si>
  <si>
    <t>0                      WY 0018000N  277n        1979</t>
  </si>
  <si>
    <t>NLN nursing data book 1979 : statistical information on nursing education and newly licensed nurses / Division of Research.</t>
  </si>
  <si>
    <t>New York : National League for Nursing, 1980.</t>
  </si>
  <si>
    <t>[2nd ed.]</t>
  </si>
  <si>
    <t>NLN pub. no. 19-1797</t>
  </si>
  <si>
    <t>3147328176:eng</t>
  </si>
  <si>
    <t>7112397</t>
  </si>
  <si>
    <t>991001381749702656</t>
  </si>
  <si>
    <t>2260788650002656</t>
  </si>
  <si>
    <t>30001000462939</t>
  </si>
  <si>
    <t>893638277</t>
  </si>
  <si>
    <t>WY 18 N489n 1982</t>
  </si>
  <si>
    <t>0                      WY 0018000N  489n        1982</t>
  </si>
  <si>
    <t>The Neuman systems model : application to nursing education and practice / Betty Neuman.</t>
  </si>
  <si>
    <t>Neuman, Betty M.</t>
  </si>
  <si>
    <t>Norwalk, Conn. : Appleton-Century-Crofts, c1982.</t>
  </si>
  <si>
    <t>1998-10-27</t>
  </si>
  <si>
    <t>342049492:eng</t>
  </si>
  <si>
    <t>8170097</t>
  </si>
  <si>
    <t>991000740079702656</t>
  </si>
  <si>
    <t>2256675020002656</t>
  </si>
  <si>
    <t>9780838566886</t>
  </si>
  <si>
    <t>30001000043200</t>
  </si>
  <si>
    <t>893278053</t>
  </si>
  <si>
    <t>WY 18 N532n 1976</t>
  </si>
  <si>
    <t>0                      WY 0018000N  532n        1976</t>
  </si>
  <si>
    <t>The New York Regents external degrees in nursing : historical developments and program study guides for the associate degree.</t>
  </si>
  <si>
    <t>University of the State of New York. Regents External Degree Program.</t>
  </si>
  <si>
    <t>Albany, N.Y. : University of the State of New York, Regents External Degrees, 1976</t>
  </si>
  <si>
    <t>1991-02-01</t>
  </si>
  <si>
    <t>12556905:eng</t>
  </si>
  <si>
    <t>3857451</t>
  </si>
  <si>
    <t>991000817069702656</t>
  </si>
  <si>
    <t>2262509980002656</t>
  </si>
  <si>
    <t>30001002086611</t>
  </si>
  <si>
    <t>893815673</t>
  </si>
  <si>
    <t>WY 18 N842 1977</t>
  </si>
  <si>
    <t>0                      WY 0018000N  842         1977</t>
  </si>
  <si>
    <t>Normal development of body image / author and consultant, Marie Scott Brown.</t>
  </si>
  <si>
    <t>6492797:eng</t>
  </si>
  <si>
    <t>2837276</t>
  </si>
  <si>
    <t>991001040289702656</t>
  </si>
  <si>
    <t>2262151010002656</t>
  </si>
  <si>
    <t>9780471021704</t>
  </si>
  <si>
    <t>30001000242083</t>
  </si>
  <si>
    <t>893278650</t>
  </si>
  <si>
    <t>WY 18 N919g 1978</t>
  </si>
  <si>
    <t>0                      WY 0018000N  919g        1978</t>
  </si>
  <si>
    <t>Guidelines for implementation of open curriculum practices in nursing education / prepared by Lucille Notter, assisted by Marguerite C. Robey and Mark H. Weinstein ; in cooperation with the Open Curriculum Project Guidelines Committee.</t>
  </si>
  <si>
    <t>Notter, Lucille E. (Lucille Elizabeth), 1907-1993.</t>
  </si>
  <si>
    <t>NLN pub. no. 19-1701</t>
  </si>
  <si>
    <t>11807313:eng</t>
  </si>
  <si>
    <t>3632726</t>
  </si>
  <si>
    <t>991001381169702656</t>
  </si>
  <si>
    <t>2256869580002656</t>
  </si>
  <si>
    <t>30001000462772</t>
  </si>
  <si>
    <t>893727521</t>
  </si>
  <si>
    <t>WY 18 N964p 1975</t>
  </si>
  <si>
    <t>0                      WY 0018000N  964p        1975</t>
  </si>
  <si>
    <t>Pediatric nurse practitioner preparation in a graduate program / Katherine B. Nuckolls, Judith Deborah Ferholt, Roberta S. O'Grady.</t>
  </si>
  <si>
    <t>Nuckolls, Katherine Buckley, 1916-</t>
  </si>
  <si>
    <t>League exchange, no. 105</t>
  </si>
  <si>
    <t>1788955834:eng</t>
  </si>
  <si>
    <t>1315779</t>
  </si>
  <si>
    <t>991001368939702656</t>
  </si>
  <si>
    <t>2267646130002656</t>
  </si>
  <si>
    <t>30001000461576</t>
  </si>
  <si>
    <t>893161918</t>
  </si>
  <si>
    <t>WY 18 N974 1996</t>
  </si>
  <si>
    <t>0                      WY 0018000N  974         1996</t>
  </si>
  <si>
    <t>Nursing datasource 1996. Volume III. Focus on practical/vocational nursing / NLN Center of Research.</t>
  </si>
  <si>
    <t>New York : National League for Nursing, c1996.</t>
  </si>
  <si>
    <t>NLN pub. no.19-6959</t>
  </si>
  <si>
    <t>41288461:eng</t>
  </si>
  <si>
    <t>36827489</t>
  </si>
  <si>
    <t>991000265979702656</t>
  </si>
  <si>
    <t>2271080200002656</t>
  </si>
  <si>
    <t>9780887376955</t>
  </si>
  <si>
    <t>30001003592583</t>
  </si>
  <si>
    <t>893466169</t>
  </si>
  <si>
    <t>WY 18 N974 1997</t>
  </si>
  <si>
    <t>0                      WY 0018000N  974         1997</t>
  </si>
  <si>
    <t>Nursing data review 1997.</t>
  </si>
  <si>
    <t>New York : Center for Research in Nursing Education and Community Health, National League for Nursing Press, c1997.</t>
  </si>
  <si>
    <t>NLN pub. no. 19-7327</t>
  </si>
  <si>
    <t>1997-10-06</t>
  </si>
  <si>
    <t>44147552:eng</t>
  </si>
  <si>
    <t>37823259</t>
  </si>
  <si>
    <t>991000267589702656</t>
  </si>
  <si>
    <t>2270631230002656</t>
  </si>
  <si>
    <t>9780887377327</t>
  </si>
  <si>
    <t>30001003603083</t>
  </si>
  <si>
    <t>893644033</t>
  </si>
  <si>
    <t>WY 18 N9741 1996 v.1</t>
  </si>
  <si>
    <t>0                      WY 0018000N  9741        1996                                        v.1</t>
  </si>
  <si>
    <t>Nursing datasource 1996.</t>
  </si>
  <si>
    <t>V.1</t>
  </si>
  <si>
    <t>New York : National League for Nursing, Center for Research in Nursing Education and Community Health, c1996.</t>
  </si>
  <si>
    <t>NLN pub. no. 19-6932</t>
  </si>
  <si>
    <t>3373557705:eng</t>
  </si>
  <si>
    <t>35845439</t>
  </si>
  <si>
    <t>991000263899702656</t>
  </si>
  <si>
    <t>2265494830002656</t>
  </si>
  <si>
    <t>9780887376931</t>
  </si>
  <si>
    <t>30001003733286</t>
  </si>
  <si>
    <t>893547559</t>
  </si>
  <si>
    <t>WY 18 N9745 1988</t>
  </si>
  <si>
    <t>0                      WY 0018000N  9745        1988</t>
  </si>
  <si>
    <t>Nursing data review, 1988.</t>
  </si>
  <si>
    <t>New York : Division of Public Policy and Research, National League for Nursing, c1989.</t>
  </si>
  <si>
    <t>NLN pub. no. 19-2290</t>
  </si>
  <si>
    <t>1993-05-18</t>
  </si>
  <si>
    <t>1989-05-31</t>
  </si>
  <si>
    <t>4794555163:eng</t>
  </si>
  <si>
    <t>19715395</t>
  </si>
  <si>
    <t>991001248869702656</t>
  </si>
  <si>
    <t>2260663690002656</t>
  </si>
  <si>
    <t>9780887374524</t>
  </si>
  <si>
    <t>30001001678368</t>
  </si>
  <si>
    <t>893834614</t>
  </si>
  <si>
    <t>WY 18 N9745 1991</t>
  </si>
  <si>
    <t>0                      WY 0018000N  9745        1991</t>
  </si>
  <si>
    <t>Nursing datasource 1991. Volume II. focus on practical/vocational nursing / NLN Division of Research.</t>
  </si>
  <si>
    <t>NLN pub. no. 19-2421.</t>
  </si>
  <si>
    <t>2003-03-26</t>
  </si>
  <si>
    <t>3377223836:eng</t>
  </si>
  <si>
    <t>24570784</t>
  </si>
  <si>
    <t>991000230829702656</t>
  </si>
  <si>
    <t>2257387230002656</t>
  </si>
  <si>
    <t>9780887375323</t>
  </si>
  <si>
    <t>30001002276378</t>
  </si>
  <si>
    <t>893456488</t>
  </si>
  <si>
    <t>WY 18 N9745 1992 v.1</t>
  </si>
  <si>
    <t>0                      WY 0018000N  9745        1992                                        v.1</t>
  </si>
  <si>
    <t>Nursing datasource 1992 / NLN Division of Research.</t>
  </si>
  <si>
    <t>New York : National League for Nursing. Division of Research, c1992.</t>
  </si>
  <si>
    <t>NLN pub. no. 19-2480.</t>
  </si>
  <si>
    <t>1992-09-09</t>
  </si>
  <si>
    <t>1780514563:eng</t>
  </si>
  <si>
    <t>27448396</t>
  </si>
  <si>
    <t>991001406169702656</t>
  </si>
  <si>
    <t>2264551510002656</t>
  </si>
  <si>
    <t>9780887375576</t>
  </si>
  <si>
    <t>30001002484493</t>
  </si>
  <si>
    <t>893460534</t>
  </si>
  <si>
    <t>WY 18 N9747 1962</t>
  </si>
  <si>
    <t>0                      WY 0018000N  9747        1962</t>
  </si>
  <si>
    <t>Nursing education in community colleges : proceedings of the Conference on Nursing Education in Community Colleges held on November 1, 1962, at Newton Junior College, Newtonville, Mass.</t>
  </si>
  <si>
    <t>New York : National League for Nursing, Dept. of Diploma and Associate Degree Programs, 1964.</t>
  </si>
  <si>
    <t>League exchange ; no. 68</t>
  </si>
  <si>
    <t>4020916263:eng</t>
  </si>
  <si>
    <t>1002385</t>
  </si>
  <si>
    <t>991001375629702656</t>
  </si>
  <si>
    <t>2257202120002656</t>
  </si>
  <si>
    <t>30001000462137</t>
  </si>
  <si>
    <t>893358519</t>
  </si>
  <si>
    <t>WY 18 N974n 1965</t>
  </si>
  <si>
    <t>0                      WY 0018000N  974n        1965</t>
  </si>
  <si>
    <t>Nursing education, creative, continuing, experimental : papers presented at the twentieth conference of the Council of Member Agencies of the Department of Baccalaureate and Higher Degree Programs held at Philadelphia, Pennsylvania, November 10-12, 1965.</t>
  </si>
  <si>
    <t>New York : National League for Nursing, Dept. of Baccalaureate and Higher Degree Programs, 1966.</t>
  </si>
  <si>
    <t>NLN pub. no. 15-1214</t>
  </si>
  <si>
    <t>7889583:eng</t>
  </si>
  <si>
    <t>3160731</t>
  </si>
  <si>
    <t>991001365099702656</t>
  </si>
  <si>
    <t>2266703750002656</t>
  </si>
  <si>
    <t>30001000461204</t>
  </si>
  <si>
    <t>893369332</t>
  </si>
  <si>
    <t>WY 18 O12 1955</t>
  </si>
  <si>
    <t>0                      WY 0018000O  12          1955</t>
  </si>
  <si>
    <t>Objectives of educational programs in nursing.</t>
  </si>
  <si>
    <t>New York : National League for Nursing, 1955.</t>
  </si>
  <si>
    <t>24275991:eng</t>
  </si>
  <si>
    <t>6878983</t>
  </si>
  <si>
    <t>991001518209702656</t>
  </si>
  <si>
    <t>2268978750002656</t>
  </si>
  <si>
    <t>30001000600371</t>
  </si>
  <si>
    <t>893460666</t>
  </si>
  <si>
    <t>WY 18 O29e 1998</t>
  </si>
  <si>
    <t>0                      WY 0018000O  29e         1998</t>
  </si>
  <si>
    <t>Evaluation and testing in nursing education / Marilyn H. Oermann, Kathleen B. Gaberson.</t>
  </si>
  <si>
    <t>Oermann, Marilyn H.</t>
  </si>
  <si>
    <t>New York, NY : Springer, c1998.</t>
  </si>
  <si>
    <t>1999-11-05</t>
  </si>
  <si>
    <t>629213:eng</t>
  </si>
  <si>
    <t>37844450</t>
  </si>
  <si>
    <t>991001574269702656</t>
  </si>
  <si>
    <t>2264252470002656</t>
  </si>
  <si>
    <t>9780826199508</t>
  </si>
  <si>
    <t>30001004015857</t>
  </si>
  <si>
    <t>893558109</t>
  </si>
  <si>
    <t>WY 18 O605 1973p</t>
  </si>
  <si>
    <t>0                      WY 0018000O  605         1973p</t>
  </si>
  <si>
    <t>Proceedings, Open Curriculum Conference I : November 27-28, 1973 St. Louis, Missouri / edited by Lucille Notter, assisted by Marguerite Robey.</t>
  </si>
  <si>
    <t>Open Curriculum Conference in Nursing (1st : 1973 : Saint Louis, Mo.)</t>
  </si>
  <si>
    <t>New York : National League for Nursing, Division of Research, c1974.</t>
  </si>
  <si>
    <t>NLN pub. no. 19-1534</t>
  </si>
  <si>
    <t>10252901543:eng</t>
  </si>
  <si>
    <t>1144206</t>
  </si>
  <si>
    <t>991001380629702656</t>
  </si>
  <si>
    <t>2261536500002656</t>
  </si>
  <si>
    <t>30001000462665</t>
  </si>
  <si>
    <t>893364041</t>
  </si>
  <si>
    <t>WY 18 O605 1974p</t>
  </si>
  <si>
    <t>0                      WY 0018000O  605         1974p</t>
  </si>
  <si>
    <t>Proceedings, Open Curriculum Conference II : May 6-7, 1974, New York, New York / edited by Lucille Notter, assisted by Marguerite Robey.</t>
  </si>
  <si>
    <t>Open Curriculum Conference (2nd : 1974 : New York, N.Y.)</t>
  </si>
  <si>
    <t>New York : National League for Nursing, Division of Research, c1975.</t>
  </si>
  <si>
    <t>NLN pub. no. 19-1559</t>
  </si>
  <si>
    <t>2863423068:eng</t>
  </si>
  <si>
    <t>30662467</t>
  </si>
  <si>
    <t>991001380789702656</t>
  </si>
  <si>
    <t>2255900420002656</t>
  </si>
  <si>
    <t>30001000462699</t>
  </si>
  <si>
    <t>893821157</t>
  </si>
  <si>
    <t>WY 18 O605 1974pa</t>
  </si>
  <si>
    <t>0                      WY 0018000O  605         1974pa</t>
  </si>
  <si>
    <t>Proceedings, Open Curriculum Conference III : November 7-8, 1974, New York, New York / edited by Lucille Notter, assisted by Marguerite Robey.</t>
  </si>
  <si>
    <t>Open Curriculum Conference (3rd : 1974 : New York, N.Y.)</t>
  </si>
  <si>
    <t>NLN pub. no. 19-1586</t>
  </si>
  <si>
    <t>9658035777:eng</t>
  </si>
  <si>
    <t>14419437</t>
  </si>
  <si>
    <t>991001380889702656</t>
  </si>
  <si>
    <t>2266818560002656</t>
  </si>
  <si>
    <t>30001000462715</t>
  </si>
  <si>
    <t>893552418</t>
  </si>
  <si>
    <t>WY 18 O605 1975p</t>
  </si>
  <si>
    <t>0                      WY 0018000O  605         1975p</t>
  </si>
  <si>
    <t>Proceedings, Open Curriculum Conference IV : September 22-23, 1975, New York, New York / edited by Lucille Notter, assisted by Marguerite Robey.</t>
  </si>
  <si>
    <t>Open Curriculum Conference (4th : 1975 : New York, N.Y.)</t>
  </si>
  <si>
    <t>New York : National League for Nursing, Division of Research, c1976.</t>
  </si>
  <si>
    <t>NLN pub. no. 19-1627</t>
  </si>
  <si>
    <t>2481084</t>
  </si>
  <si>
    <t>991001380959702656</t>
  </si>
  <si>
    <t>2265594930002656</t>
  </si>
  <si>
    <t>30001000462723</t>
  </si>
  <si>
    <t>893274061</t>
  </si>
  <si>
    <t>WY 18 O99a 1974</t>
  </si>
  <si>
    <t>0                      WY 0018000O  99a         1974</t>
  </si>
  <si>
    <t>Accreditation of baccalaureate and masters degree programs in nursing : a comprehensive review.</t>
  </si>
  <si>
    <t>Ozimek, Dorothy.</t>
  </si>
  <si>
    <t>New York : National League for Nursing, 1974.</t>
  </si>
  <si>
    <t>NLN pub. no. 15-1519</t>
  </si>
  <si>
    <t>1978722:eng</t>
  </si>
  <si>
    <t>1031880</t>
  </si>
  <si>
    <t>991000799219702656</t>
  </si>
  <si>
    <t>2265372250002656</t>
  </si>
  <si>
    <t>30001000741035</t>
  </si>
  <si>
    <t>893825753</t>
  </si>
  <si>
    <t>WY 18 O99b 1974</t>
  </si>
  <si>
    <t>0                      WY 0018000O  99b         1974</t>
  </si>
  <si>
    <t>The baccalaureate graduate in nursing : what does society expect?</t>
  </si>
  <si>
    <t>NLN pub. no. 15-1520</t>
  </si>
  <si>
    <t>1978717:eng</t>
  </si>
  <si>
    <t>1031879</t>
  </si>
  <si>
    <t>991001368399702656</t>
  </si>
  <si>
    <t>2265378520002656</t>
  </si>
  <si>
    <t>30001000461469</t>
  </si>
  <si>
    <t>893168150</t>
  </si>
  <si>
    <t>WY 18 O99c 1977</t>
  </si>
  <si>
    <t>0                      WY 0018000O  99c         1977</t>
  </si>
  <si>
    <t>Considerations for the effective utilization of nursing faculty in baccalaureate and higher degree programs / Dorothy Ozimek, Helen Yura.</t>
  </si>
  <si>
    <t>NLN pub. no. 15-1655</t>
  </si>
  <si>
    <t>5972160:eng</t>
  </si>
  <si>
    <t>2772401</t>
  </si>
  <si>
    <t>991001370469702656</t>
  </si>
  <si>
    <t>2267213260002656</t>
  </si>
  <si>
    <t>30001000461691</t>
  </si>
  <si>
    <t>893455726</t>
  </si>
  <si>
    <t>WY 18 O99f 1975</t>
  </si>
  <si>
    <t>0                      WY 0018000O  99f         1975</t>
  </si>
  <si>
    <t>The future of nursing education / Dorothy Ozimek, director, Department of Baccalaureate and Higher Degree Programs.</t>
  </si>
  <si>
    <t>NLN pub. no. 15-1581</t>
  </si>
  <si>
    <t>2577612:eng</t>
  </si>
  <si>
    <t>1811304</t>
  </si>
  <si>
    <t>991001369179702656</t>
  </si>
  <si>
    <t>2258805810002656</t>
  </si>
  <si>
    <t>30001000461600</t>
  </si>
  <si>
    <t>893161919</t>
  </si>
  <si>
    <t>WY 18 O99i 1974</t>
  </si>
  <si>
    <t>0                      WY 0018000O  99i         1974</t>
  </si>
  <si>
    <t>Initiating a baccalaureate degree program in nursing : asking the essential questions / Dorothy Ozimek.</t>
  </si>
  <si>
    <t>NLN pub. no. 15-1536</t>
  </si>
  <si>
    <t>423172630:eng</t>
  </si>
  <si>
    <t>1196029</t>
  </si>
  <si>
    <t>991001368699702656</t>
  </si>
  <si>
    <t>2259744390002656</t>
  </si>
  <si>
    <t>30001000461527</t>
  </si>
  <si>
    <t>893731947</t>
  </si>
  <si>
    <t>WY 18 O99n 1976</t>
  </si>
  <si>
    <t>0                      WY 0018000O  99n         1976</t>
  </si>
  <si>
    <t>The nurse practitioner : the current situation and implications for curriculum change / Dorothy Ozimek.</t>
  </si>
  <si>
    <t>New York : National League for Nursing, Dept. of Baccalaureate and Higher Degree Programs, c1976.</t>
  </si>
  <si>
    <t>NLN pub. no. 15-1607</t>
  </si>
  <si>
    <t>1994-02-24</t>
  </si>
  <si>
    <t>4179211:eng</t>
  </si>
  <si>
    <t>2983758</t>
  </si>
  <si>
    <t>991001369259702656</t>
  </si>
  <si>
    <t>2266691530002656</t>
  </si>
  <si>
    <t>30001000461626</t>
  </si>
  <si>
    <t>893731949</t>
  </si>
  <si>
    <t>WY 18 O99s 1977</t>
  </si>
  <si>
    <t>0                      WY 0018000O  99s         1977</t>
  </si>
  <si>
    <t>Students have responsibilities as well as rights / Dorothy Ozimek, Helen Yura.</t>
  </si>
  <si>
    <t>NLN pub. no. 15-1666</t>
  </si>
  <si>
    <t>9393577:eng</t>
  </si>
  <si>
    <t>3309141</t>
  </si>
  <si>
    <t>991001370589702656</t>
  </si>
  <si>
    <t>2260496000002656</t>
  </si>
  <si>
    <t>30001000461725</t>
  </si>
  <si>
    <t>893816337</t>
  </si>
  <si>
    <t>WY 18 P274 1980</t>
  </si>
  <si>
    <t>0                      WY 0018000P  274         1980</t>
  </si>
  <si>
    <t>Partners in educational preparation for nursing practice.</t>
  </si>
  <si>
    <t>New York, N.Y. : National League for Nursing, c1982.</t>
  </si>
  <si>
    <t>NLN pub. no. 14-1884</t>
  </si>
  <si>
    <t>426866121:eng</t>
  </si>
  <si>
    <t>8764393</t>
  </si>
  <si>
    <t>991001389149702656</t>
  </si>
  <si>
    <t>2265491520002656</t>
  </si>
  <si>
    <t>30001000464513</t>
  </si>
  <si>
    <t>893731969</t>
  </si>
  <si>
    <t>WY 18 P317g 1986</t>
  </si>
  <si>
    <t>0                      WY 0018000P  317g        1986</t>
  </si>
  <si>
    <t>A guide to JCAH nursing services standards.</t>
  </si>
  <si>
    <t>Patterson, Carole H.</t>
  </si>
  <si>
    <t>Chicago, Ill. : Joint Commission on Accreditation of Hospitals, c1986.</t>
  </si>
  <si>
    <t>1989-03-31</t>
  </si>
  <si>
    <t>1989-02-23</t>
  </si>
  <si>
    <t>1909011394:eng</t>
  </si>
  <si>
    <t>14282722</t>
  </si>
  <si>
    <t>991001239179702656</t>
  </si>
  <si>
    <t>2271107500002656</t>
  </si>
  <si>
    <t>9780866881067</t>
  </si>
  <si>
    <t>30001001675224</t>
  </si>
  <si>
    <t>893541150</t>
  </si>
  <si>
    <t>WY 18 P753w 1997</t>
  </si>
  <si>
    <t>0                      WY 0018000P  753w        1997</t>
  </si>
  <si>
    <t>Writing-to-learn : curricular strategies for nursing and other disciplines / Gail P. Poirrier.</t>
  </si>
  <si>
    <t>Poirrier, Gail P.</t>
  </si>
  <si>
    <t>New York : NLN Press, c1997.</t>
  </si>
  <si>
    <t>NLN pub. no. 14-7238</t>
  </si>
  <si>
    <t>2010-04-11</t>
  </si>
  <si>
    <t>323066136:eng</t>
  </si>
  <si>
    <t>35829046</t>
  </si>
  <si>
    <t>991000263779702656</t>
  </si>
  <si>
    <t>2257341630002656</t>
  </si>
  <si>
    <t>9780887377235</t>
  </si>
  <si>
    <t>30001003520212</t>
  </si>
  <si>
    <t>893365256</t>
  </si>
  <si>
    <t>WY 18 P925 1958</t>
  </si>
  <si>
    <t>0                      WY 0018000P  925         1958</t>
  </si>
  <si>
    <t>Preliminary steps in establishing an associate degree program in nursing in the junior college : developed at a Workshop on Associate Degree Programs in Nursing, sponsored by the Extension Division, University of California, Berkeley, California, June 23-July 11, 1958.</t>
  </si>
  <si>
    <t>New York : National League for Nursing, 1958.</t>
  </si>
  <si>
    <t>League exchange ; no. 31</t>
  </si>
  <si>
    <t>5608694696:eng</t>
  </si>
  <si>
    <t>1007704</t>
  </si>
  <si>
    <t>991001374949702656</t>
  </si>
  <si>
    <t>2262477930002656</t>
  </si>
  <si>
    <t>30001000462103</t>
  </si>
  <si>
    <t>893134502</t>
  </si>
  <si>
    <t>WY 18 P929 1976</t>
  </si>
  <si>
    <t>0                      WY 0018000P  929         1976</t>
  </si>
  <si>
    <t>Preparing the associate degree graduate.</t>
  </si>
  <si>
    <t>NLN pub. no. 23-1661</t>
  </si>
  <si>
    <t>9223736:eng</t>
  </si>
  <si>
    <t>3273187</t>
  </si>
  <si>
    <t>991001387979702656</t>
  </si>
  <si>
    <t>2260865880002656</t>
  </si>
  <si>
    <t>30001000464208</t>
  </si>
  <si>
    <t>893826696</t>
  </si>
  <si>
    <t>WY 18 P9632 1977</t>
  </si>
  <si>
    <t>0                      WY 0018000P  9632        1977</t>
  </si>
  <si>
    <t>Productivity.</t>
  </si>
  <si>
    <t>NLN pub. no. 23-1688</t>
  </si>
  <si>
    <t>54201695:eng</t>
  </si>
  <si>
    <t>3441956</t>
  </si>
  <si>
    <t>991001388099702656</t>
  </si>
  <si>
    <t>2264941740002656</t>
  </si>
  <si>
    <t>30001000464232</t>
  </si>
  <si>
    <t>893552425</t>
  </si>
  <si>
    <t>WY 18 P9635 1928</t>
  </si>
  <si>
    <t>0                      WY 0018000P  9635        1928</t>
  </si>
  <si>
    <t>Proceedings of conference on nursing schools connected with colleges and universities : under the auspices of the Department of Nursing Education of Teachers College and the Committee on University Relations of the National League of Nursing Education held at Teachers College, Columbia University, New York City, January 21 to January 25, 1928.</t>
  </si>
  <si>
    <t>New York, NY : National League of Nursing Education, 1928.</t>
  </si>
  <si>
    <t>1928</t>
  </si>
  <si>
    <t>14974781:eng</t>
  </si>
  <si>
    <t>4757104</t>
  </si>
  <si>
    <t>991001518079702656</t>
  </si>
  <si>
    <t>2260661670002656</t>
  </si>
  <si>
    <t>30001000600348</t>
  </si>
  <si>
    <t>893558057</t>
  </si>
  <si>
    <t>WY 18 P974 1959</t>
  </si>
  <si>
    <t>0                      WY 0018000P  974         1959</t>
  </si>
  <si>
    <t>Psychiatric nursing concepts and basic nursing education : proceedings of the conference at Boulder, Colorado, June 15-18, 1959.</t>
  </si>
  <si>
    <t>New York : National League for Nursing, 1960.</t>
  </si>
  <si>
    <t>NLN pub. no. 33-773</t>
  </si>
  <si>
    <t>9653261:eng</t>
  </si>
  <si>
    <t>3248999</t>
  </si>
  <si>
    <t>991001518299702656</t>
  </si>
  <si>
    <t>2269246100002656</t>
  </si>
  <si>
    <t>30001000600421</t>
  </si>
  <si>
    <t>893134675</t>
  </si>
  <si>
    <t>WY 18 R429 1966</t>
  </si>
  <si>
    <t>0                      WY 0018000R  429         1966</t>
  </si>
  <si>
    <t>Resources for teaching : people, ideas, materials, and values : report of a conference for Nursing instructors / conducted by the Nursing Advisory Service of NLN-NTA, with the assistance of the Department of Baccalaureate and Higher Degree Programs of NLN ... Louisville, Kentucky, October 14-15, 1966 ; conference chairman, Audrey M. McCluskey ; resource person, Dorothy Ozimek.</t>
  </si>
  <si>
    <t>NLN pub. no. 45-1256</t>
  </si>
  <si>
    <t>5859398:eng</t>
  </si>
  <si>
    <t>4833476</t>
  </si>
  <si>
    <t>991001390529702656</t>
  </si>
  <si>
    <t>2266802550002656</t>
  </si>
  <si>
    <t>30001000464984</t>
  </si>
  <si>
    <t>893816347</t>
  </si>
  <si>
    <t>WY 18 R429 1967</t>
  </si>
  <si>
    <t>0                      WY 0018000R  429         1967</t>
  </si>
  <si>
    <t>Resources for teaching : programmed instruction, community problems, nursing rounds : report of a conference for Nursing Instructors / conducted by the Nursing Advisory Service of the National League for Nursing-National Tuberculosis and Respiratory Disease Association ... Louisville, Kentucky, on October 16-17, 1967 ; conference chairman, Frances P. Koonz ; resource person, Elizabeth M. Fenlason.</t>
  </si>
  <si>
    <t>NLN pub. no. 45-1330</t>
  </si>
  <si>
    <t>1209135:eng</t>
  </si>
  <si>
    <t>39998</t>
  </si>
  <si>
    <t>991001390589702656</t>
  </si>
  <si>
    <t>2262990560002656</t>
  </si>
  <si>
    <t>30001000464992</t>
  </si>
  <si>
    <t>893149133</t>
  </si>
  <si>
    <t>WY 18 R434 1974</t>
  </si>
  <si>
    <t>0                      WY 0018000R  434         1974</t>
  </si>
  <si>
    <t>Response to changing needs : papers presented at the twelfth conference of the Council of Baccalaureate and Higher Degree Programs, March 20-22, 1974, Denver, Colorado.</t>
  </si>
  <si>
    <t>New York : Dept. of Baccalaureate and Higher Degree Programs, National League for Nursing, c1974.</t>
  </si>
  <si>
    <t>NLN pub. no. 15-1528</t>
  </si>
  <si>
    <t>2112389:eng</t>
  </si>
  <si>
    <t>1218713</t>
  </si>
  <si>
    <t>991001368489702656</t>
  </si>
  <si>
    <t>2265390360002656</t>
  </si>
  <si>
    <t>30001000461493</t>
  </si>
  <si>
    <t>893364035</t>
  </si>
  <si>
    <t>WY 18 R434 1979</t>
  </si>
  <si>
    <t>0                      WY 0018000R  434         1979</t>
  </si>
  <si>
    <t>Resolutions approved by the NLN membership, May 4, 1979 at the 14th biennial convention, Atlanta, Georgia.</t>
  </si>
  <si>
    <t>New York : National League for Nursing, 1979.</t>
  </si>
  <si>
    <t>NLN pub. no. 11-1784</t>
  </si>
  <si>
    <t>3770498150:eng</t>
  </si>
  <si>
    <t>5676053</t>
  </si>
  <si>
    <t>991001361219702656</t>
  </si>
  <si>
    <t>2269987680002656</t>
  </si>
  <si>
    <t>30001000460727</t>
  </si>
  <si>
    <t>893451109</t>
  </si>
  <si>
    <t>WY 18 R434 1981</t>
  </si>
  <si>
    <t>0                      WY 0018000R  434         1981</t>
  </si>
  <si>
    <t>Resolutions approved by the NLN membership, May 7, 1981 at the 15th biennial convention, Las Vegas, Nevada.</t>
  </si>
  <si>
    <t>3771141068:eng</t>
  </si>
  <si>
    <t>7638118</t>
  </si>
  <si>
    <t>991001361369702656</t>
  </si>
  <si>
    <t>2263934350002656</t>
  </si>
  <si>
    <t>30001000460784</t>
  </si>
  <si>
    <t>893541295</t>
  </si>
  <si>
    <t>WY 18 R454 1983</t>
  </si>
  <si>
    <t>0                      WY 0018000R  454         1983</t>
  </si>
  <si>
    <t>Review of research in nursing education / William L. Holzemer.</t>
  </si>
  <si>
    <t>Thorofare, N.J. : Slack, c1983.</t>
  </si>
  <si>
    <t>1992-07-27</t>
  </si>
  <si>
    <t>2863535167:eng</t>
  </si>
  <si>
    <t>9918296</t>
  </si>
  <si>
    <t>991001040759702656</t>
  </si>
  <si>
    <t>2268692390002656</t>
  </si>
  <si>
    <t>9780943432052</t>
  </si>
  <si>
    <t>30001000242232</t>
  </si>
  <si>
    <t>893465139</t>
  </si>
  <si>
    <t>WY 18 R454 1986 v.1</t>
  </si>
  <si>
    <t>0                      WY 0018000R  454         1986                                        v.1</t>
  </si>
  <si>
    <t>Review of research in nursing education, volume I / William L. Holzemer, editor.</t>
  </si>
  <si>
    <t>New York : National League For Nursing, c1986.</t>
  </si>
  <si>
    <t>NLN pub. no. 15-2170.</t>
  </si>
  <si>
    <t>1991-03-25</t>
  </si>
  <si>
    <t>3943551952:eng</t>
  </si>
  <si>
    <t>19676559</t>
  </si>
  <si>
    <t>991001374919702656</t>
  </si>
  <si>
    <t>2265289100002656</t>
  </si>
  <si>
    <t>9780887373404</t>
  </si>
  <si>
    <t>30001000462087</t>
  </si>
  <si>
    <t>893369337</t>
  </si>
  <si>
    <t>WY 18 R454 1989 v.2</t>
  </si>
  <si>
    <t>0                      WY 0018000R  454         1989                                        v.2</t>
  </si>
  <si>
    <t>Review of research in nursing education, volume II / William L. Holzemer, editor.</t>
  </si>
  <si>
    <t>V.2</t>
  </si>
  <si>
    <t>New York : National League For Nursing, c1989.</t>
  </si>
  <si>
    <t>NLN pub. no. 15-2219.</t>
  </si>
  <si>
    <t>1989-03-08</t>
  </si>
  <si>
    <t>4820584793:eng</t>
  </si>
  <si>
    <t>19676721</t>
  </si>
  <si>
    <t>991001242089702656</t>
  </si>
  <si>
    <t>2265368130002656</t>
  </si>
  <si>
    <t>9780887373992</t>
  </si>
  <si>
    <t>30001001675877</t>
  </si>
  <si>
    <t>893552268</t>
  </si>
  <si>
    <t>WY 18 R454 1990</t>
  </si>
  <si>
    <t>0                      WY 0018000R  454         1990</t>
  </si>
  <si>
    <t>Review of research in nursing education, volume III / Gloria M. Clayton, Pamela A. Baj, editors.</t>
  </si>
  <si>
    <t>New York : National League For Nursing, c1990.</t>
  </si>
  <si>
    <t>NLN pub. no. 15-2339.</t>
  </si>
  <si>
    <t>1991-11-08</t>
  </si>
  <si>
    <t>1990-01-31</t>
  </si>
  <si>
    <t>3372578089:eng</t>
  </si>
  <si>
    <t>20987831</t>
  </si>
  <si>
    <t>991001446419702656</t>
  </si>
  <si>
    <t>2266344290002656</t>
  </si>
  <si>
    <t>9780887374869</t>
  </si>
  <si>
    <t>30001001880592</t>
  </si>
  <si>
    <t>893546725</t>
  </si>
  <si>
    <t>WY 18 R454 1996 v.VII</t>
  </si>
  <si>
    <t>0                      WY 0018000R  454         1996                                        v.VII</t>
  </si>
  <si>
    <t>Review of research in nursing education, volume VII / Kathleen R. Stevens, editor.</t>
  </si>
  <si>
    <t>V. 7</t>
  </si>
  <si>
    <t>NLN pub. no. 19-6711</t>
  </si>
  <si>
    <t>1781860980:eng</t>
  </si>
  <si>
    <t>34056198</t>
  </si>
  <si>
    <t>991000259529702656</t>
  </si>
  <si>
    <t>2260602240002656</t>
  </si>
  <si>
    <t>9780887376719</t>
  </si>
  <si>
    <t>30001003385715</t>
  </si>
  <si>
    <t>893644030</t>
  </si>
  <si>
    <t>WY 18 R728e 1961</t>
  </si>
  <si>
    <t>0                      WY 0018000R  728e        1961</t>
  </si>
  <si>
    <t>Educational revolution in nursing.</t>
  </si>
  <si>
    <t>New York, NY : Macmillan, 1961.</t>
  </si>
  <si>
    <t>1961</t>
  </si>
  <si>
    <t>1623389:eng</t>
  </si>
  <si>
    <t>3677255</t>
  </si>
  <si>
    <t>991001040889702656</t>
  </si>
  <si>
    <t>2262763550002656</t>
  </si>
  <si>
    <t>30001000242299</t>
  </si>
  <si>
    <t>893369045</t>
  </si>
  <si>
    <t>WY 18 R745 1959</t>
  </si>
  <si>
    <t>0                      WY 0018000R  745         1959</t>
  </si>
  <si>
    <t>Roles and relationships in nursing education : viewpoints expressed at the 1959 regional conferences of representatives of nursing service and nursing education.</t>
  </si>
  <si>
    <t>New York : National League for Nursing, Inc., 1959.</t>
  </si>
  <si>
    <t>NLN pub. no. 14-759</t>
  </si>
  <si>
    <t>2128974:eng</t>
  </si>
  <si>
    <t>1633856</t>
  </si>
  <si>
    <t>991001361999702656</t>
  </si>
  <si>
    <t>2255003740002656</t>
  </si>
  <si>
    <t>30001000460917</t>
  </si>
  <si>
    <t>893451111</t>
  </si>
  <si>
    <t>WY 18 R813n 1987</t>
  </si>
  <si>
    <t>0                      WY 0018000R  813n        1987</t>
  </si>
  <si>
    <t>Nursing student census with policy implications, 1987 / by Peri Rosenfeld.</t>
  </si>
  <si>
    <t>Rosenfeld, Peri.</t>
  </si>
  <si>
    <t>New York : Division of Public Policy and Research, National League for Nursing, c1988.</t>
  </si>
  <si>
    <t>NLN pub. no. 19-2202</t>
  </si>
  <si>
    <t>2003-05-14</t>
  </si>
  <si>
    <t>1988-02-05</t>
  </si>
  <si>
    <t>15488189:eng</t>
  </si>
  <si>
    <t>17406426</t>
  </si>
  <si>
    <t>991001539379702656</t>
  </si>
  <si>
    <t>2267828490002656</t>
  </si>
  <si>
    <t>9780887373886</t>
  </si>
  <si>
    <t>30001000624496</t>
  </si>
  <si>
    <t>893727741</t>
  </si>
  <si>
    <t>Nursing student census with policy implications, 1986 / by Peri Rosenfeld.</t>
  </si>
  <si>
    <t>New York : Division of Public Policy and Research, National League for Nursing, c1987.</t>
  </si>
  <si>
    <t>NLN pub. no. 19-2175</t>
  </si>
  <si>
    <t>4794524187:eng</t>
  </si>
  <si>
    <t>15338739</t>
  </si>
  <si>
    <t>991000205969702656</t>
  </si>
  <si>
    <t>2257253290002656</t>
  </si>
  <si>
    <t>9780887373565</t>
  </si>
  <si>
    <t>30001002276386</t>
  </si>
  <si>
    <t>893279837</t>
  </si>
  <si>
    <t>WY 18 R854c 1978</t>
  </si>
  <si>
    <t>0                      WY 0018000R  854c        1978</t>
  </si>
  <si>
    <t>College teaching, putting the pieces together / John E. Roueche ; with an introd. by Richard E. Wilson.</t>
  </si>
  <si>
    <t>Roueche, John E.</t>
  </si>
  <si>
    <t>NLN pub. no. 23-1792</t>
  </si>
  <si>
    <t>17813974:eng</t>
  </si>
  <si>
    <t>5434799</t>
  </si>
  <si>
    <t>991001388729702656</t>
  </si>
  <si>
    <t>2260356290002656</t>
  </si>
  <si>
    <t>30001000464414</t>
  </si>
  <si>
    <t>893832133</t>
  </si>
  <si>
    <t>WY 18 R943 1979</t>
  </si>
  <si>
    <t>0                      WY 0018000R  943         1979</t>
  </si>
  <si>
    <t>Rural energency nursing instructors manual / developed by Anthony J. Carnazzo.</t>
  </si>
  <si>
    <t>[Omaha, Ne. : Creighton University,] 1979.</t>
  </si>
  <si>
    <t>nbu</t>
  </si>
  <si>
    <t>1994-06-21</t>
  </si>
  <si>
    <t>20475398:eng</t>
  </si>
  <si>
    <t>6050934</t>
  </si>
  <si>
    <t>991000740019702656</t>
  </si>
  <si>
    <t>2267082960002656</t>
  </si>
  <si>
    <t>30001000043168</t>
  </si>
  <si>
    <t>893831137</t>
  </si>
  <si>
    <t>WY18 S237C 1980</t>
  </si>
  <si>
    <t>0                      WY 0018000S  237C        1980</t>
  </si>
  <si>
    <t>Conceptual frameworks used in baccalaureate and master's degree curricula / Dolores Santora.</t>
  </si>
  <si>
    <t>Santora, Dolores.</t>
  </si>
  <si>
    <t>NLN pub. no. 15-1828</t>
  </si>
  <si>
    <t>2002-09-05</t>
  </si>
  <si>
    <t>29767015:eng</t>
  </si>
  <si>
    <t>7738854</t>
  </si>
  <si>
    <t>991001371479702656</t>
  </si>
  <si>
    <t>2257821040002656</t>
  </si>
  <si>
    <t>30001000461881</t>
  </si>
  <si>
    <t>893546636</t>
  </si>
  <si>
    <t>WY 18 S281n 1985</t>
  </si>
  <si>
    <t>0                      WY 0018000S  281n        1985</t>
  </si>
  <si>
    <t>Nursing curriculum : development, structure, function / Freda S. Scales.</t>
  </si>
  <si>
    <t>Scales, Freda S.</t>
  </si>
  <si>
    <t>Norwalk, Conn. : Appleton-Century-Crofts, n1985.</t>
  </si>
  <si>
    <t>1988-03-24</t>
  </si>
  <si>
    <t>428634374:eng</t>
  </si>
  <si>
    <t>10914175</t>
  </si>
  <si>
    <t>991001002759702656</t>
  </si>
  <si>
    <t>2256413060002656</t>
  </si>
  <si>
    <t>9780838570210</t>
  </si>
  <si>
    <t>30001000900144</t>
  </si>
  <si>
    <t>893460205</t>
  </si>
  <si>
    <t>WY 18 S326c 1990</t>
  </si>
  <si>
    <t>0                      WY 0018000S  326c        1990</t>
  </si>
  <si>
    <t>Community health nursing care plans : a guide for home health care professionals / Susan L. Scherman.</t>
  </si>
  <si>
    <t>Scherman, Susan L.</t>
  </si>
  <si>
    <t>Albany, N.Y. : Delmar Publishers, c1990.</t>
  </si>
  <si>
    <t>1995-10-12</t>
  </si>
  <si>
    <t>1990-10-23</t>
  </si>
  <si>
    <t>836674199:eng</t>
  </si>
  <si>
    <t>20823663</t>
  </si>
  <si>
    <t>991000771759702656</t>
  </si>
  <si>
    <t>2269421250002656</t>
  </si>
  <si>
    <t>9780827343573</t>
  </si>
  <si>
    <t>30001002062273</t>
  </si>
  <si>
    <t>893459807</t>
  </si>
  <si>
    <t>WY 18 S412c 1976</t>
  </si>
  <si>
    <t>0                      WY 0018000S  412c        1976</t>
  </si>
  <si>
    <t>Creative teaching in clinical nursing / Jean E. Schweer, Kristine M. Gebbie.</t>
  </si>
  <si>
    <t>Schweer, Jean E.</t>
  </si>
  <si>
    <t>Saint Louis, MO : Mosby, 1976.</t>
  </si>
  <si>
    <t>1992-11-01</t>
  </si>
  <si>
    <t>1385804:eng</t>
  </si>
  <si>
    <t>1733520</t>
  </si>
  <si>
    <t>991001042799702656</t>
  </si>
  <si>
    <t>2256835050002656</t>
  </si>
  <si>
    <t>9780801643774</t>
  </si>
  <si>
    <t>30001000242851</t>
  </si>
  <si>
    <t>893268011</t>
  </si>
  <si>
    <t>WY 18 S451p 1981</t>
  </si>
  <si>
    <t>0                      WY 0018000S  451p        1981</t>
  </si>
  <si>
    <t>The physical assessment : a programed unit of study for nurses / Marie M. Seedor ; photos. by Kathi Ann Lipcius ; ill. by Sharon M. Lipcius.</t>
  </si>
  <si>
    <t>Seedor, Marie M.</t>
  </si>
  <si>
    <t>New York : Teachers College, Columbia University, c1981.</t>
  </si>
  <si>
    <t>2002-05-30</t>
  </si>
  <si>
    <t>465064:eng</t>
  </si>
  <si>
    <t>7206432</t>
  </si>
  <si>
    <t>991001041079702656</t>
  </si>
  <si>
    <t>2266040860002656</t>
  </si>
  <si>
    <t>9780807726426</t>
  </si>
  <si>
    <t>30001000242398</t>
  </si>
  <si>
    <t>893736168</t>
  </si>
  <si>
    <t>WY 18 S452 1967</t>
  </si>
  <si>
    <t>0                      WY 0018000S  452         1967</t>
  </si>
  <si>
    <t>Seeking plus factors in nursing : report of two meetings sponsored by the NLN interdivisional councils and Nursing Advisory Service of NLN-National Tuberculosis Association at the National League for Nursing convention, May, 1967.</t>
  </si>
  <si>
    <t>New York : National League for Nursing, c1967.</t>
  </si>
  <si>
    <t>NLN convention papers ; no. 1</t>
  </si>
  <si>
    <t>8700564:eng</t>
  </si>
  <si>
    <t>14475399</t>
  </si>
  <si>
    <t>991001360979702656</t>
  </si>
  <si>
    <t>2268383050002656</t>
  </si>
  <si>
    <t>30001000460669</t>
  </si>
  <si>
    <t>893560990</t>
  </si>
  <si>
    <t>WY 18 S555 1966</t>
  </si>
  <si>
    <t>0                      WY 0018000S  555         1966</t>
  </si>
  <si>
    <t>The Shifting scene, building for strength : papers presented at the Twenty-first Conference of the Council of Member Agencies of the Department of Baccalaureate and Higher Degree Programs, held at Milwaukee, Wisconsin, March 23-25, 1966.</t>
  </si>
  <si>
    <t>New York, N.Y. : National League for Nursing, 1967.</t>
  </si>
  <si>
    <t>NLN pub. no. 15-1252</t>
  </si>
  <si>
    <t>1292698:eng</t>
  </si>
  <si>
    <t>212866</t>
  </si>
  <si>
    <t>991001366849702656</t>
  </si>
  <si>
    <t>2262630350002656</t>
  </si>
  <si>
    <t>30001000461246</t>
  </si>
  <si>
    <t>893134493</t>
  </si>
  <si>
    <t>WY 18 S771e 1988</t>
  </si>
  <si>
    <t>0                      WY 0018000S  771e        1988</t>
  </si>
  <si>
    <t>Essentials of perioperative nursing : a self-learning guide / Cynthia Spry ; contributors, Carolyn F. Bartlett, Nova Jean Grande, Carolyn Volpicello.</t>
  </si>
  <si>
    <t>Spry, Cynthia.</t>
  </si>
  <si>
    <t>Rockville, Md. : Aspen Publishers, c1988.</t>
  </si>
  <si>
    <t>1992-08-13</t>
  </si>
  <si>
    <t>1988-04-28</t>
  </si>
  <si>
    <t>758418:eng</t>
  </si>
  <si>
    <t>16464959</t>
  </si>
  <si>
    <t>991001187639702656</t>
  </si>
  <si>
    <t>2269256030002656</t>
  </si>
  <si>
    <t>9780871898791</t>
  </si>
  <si>
    <t>30001000978488</t>
  </si>
  <si>
    <t>893740854</t>
  </si>
  <si>
    <t>WY 18 S814e 1978</t>
  </si>
  <si>
    <t>0                      WY 0018000S  814e        1978</t>
  </si>
  <si>
    <t>Educational evaluation in nursing / Shirley Steele ; with contributions by David K. Akanbi, Helen Ptak.</t>
  </si>
  <si>
    <t>Steele, Shirley.</t>
  </si>
  <si>
    <t>[Thorofare, N.J.] : C.B. Slack, c1978.</t>
  </si>
  <si>
    <t>1993-01-29</t>
  </si>
  <si>
    <t>14537538:eng</t>
  </si>
  <si>
    <t>4269531</t>
  </si>
  <si>
    <t>991000923139702656</t>
  </si>
  <si>
    <t>2271851380002656</t>
  </si>
  <si>
    <t>9780913590546</t>
  </si>
  <si>
    <t>30001000850208</t>
  </si>
  <si>
    <t>893826232</t>
  </si>
  <si>
    <t>WY 18 S898 1997</t>
  </si>
  <si>
    <t>0                      WY 0018000S  898         1997</t>
  </si>
  <si>
    <t>Strategies for recruitment, retention and graduation of minority nurses in colleges of nursing / Hattie Bessent, editor ; American Nurses Foundation.</t>
  </si>
  <si>
    <t>Washington, D.C. : American Nurses Publishing, c1997.</t>
  </si>
  <si>
    <t>ANA pub.no. D-100 1M</t>
  </si>
  <si>
    <t>1997-12-01</t>
  </si>
  <si>
    <t>998734:eng</t>
  </si>
  <si>
    <t>38005355</t>
  </si>
  <si>
    <t>991001562279702656</t>
  </si>
  <si>
    <t>2264546090002656</t>
  </si>
  <si>
    <t>9781558101371</t>
  </si>
  <si>
    <t>30001003604867</t>
  </si>
  <si>
    <t>893736713</t>
  </si>
  <si>
    <t>WY 18 S995 1984</t>
  </si>
  <si>
    <t>0                      WY 0018000S  995         1984</t>
  </si>
  <si>
    <t>Systematic evaluation of programs in nursing.</t>
  </si>
  <si>
    <t>NLN pub. no. 16-1972</t>
  </si>
  <si>
    <t>5258908:eng</t>
  </si>
  <si>
    <t>12548666</t>
  </si>
  <si>
    <t>991001383009702656</t>
  </si>
  <si>
    <t>2260775560002656</t>
  </si>
  <si>
    <t>9780887371370</t>
  </si>
  <si>
    <t>30001000463143</t>
  </si>
  <si>
    <t>893743761</t>
  </si>
  <si>
    <t>WY 18 T242 1975</t>
  </si>
  <si>
    <t>0                      WY 0018000T  242         1975</t>
  </si>
  <si>
    <t>Teaching-learning strategies in baccalaureate nursing education.</t>
  </si>
  <si>
    <t>NLN pub. no. 15-1622</t>
  </si>
  <si>
    <t>4727096:eng</t>
  </si>
  <si>
    <t>2371292</t>
  </si>
  <si>
    <t>991001370009702656</t>
  </si>
  <si>
    <t>2255034390002656</t>
  </si>
  <si>
    <t>30001000461642</t>
  </si>
  <si>
    <t>893364036</t>
  </si>
  <si>
    <t>WY18 T2516 2006</t>
  </si>
  <si>
    <t>0                      WY 0018000T  2516        2006</t>
  </si>
  <si>
    <t>Teaching evidence-based practice in nursing : a guide for academic and clinical settings / Rona F. Levin and Harriet R. Feldman, editors.</t>
  </si>
  <si>
    <t>New York : Springer Pub. Co., c2006.</t>
  </si>
  <si>
    <t>2007-12-17</t>
  </si>
  <si>
    <t>865593142:eng</t>
  </si>
  <si>
    <t>61240558</t>
  </si>
  <si>
    <t>991000575359702656</t>
  </si>
  <si>
    <t>2262055040002656</t>
  </si>
  <si>
    <t>9780826131553</t>
  </si>
  <si>
    <t>30001005192770</t>
  </si>
  <si>
    <t>893636311</t>
  </si>
  <si>
    <t>WY 18 T2518 1997</t>
  </si>
  <si>
    <t>0                      WY 0018000T  2518        1997</t>
  </si>
  <si>
    <t>Teaching in the community : preparing nurses for the 21st century / edited by M. Elaine Tagliareni and Barbara B. Marckx.</t>
  </si>
  <si>
    <t>New York : National League for Nursing Press, c1997.</t>
  </si>
  <si>
    <t>NLN pub. no. 14-7262</t>
  </si>
  <si>
    <t>1997-06-09</t>
  </si>
  <si>
    <t>436481830:eng</t>
  </si>
  <si>
    <t>36501409</t>
  </si>
  <si>
    <t>991001066669702656</t>
  </si>
  <si>
    <t>2267992450002656</t>
  </si>
  <si>
    <t>9780887377266</t>
  </si>
  <si>
    <t>30001003592591</t>
  </si>
  <si>
    <t>893455428</t>
  </si>
  <si>
    <t>WY 18 T253 1975</t>
  </si>
  <si>
    <t>0                      WY 0018000T  253         1975</t>
  </si>
  <si>
    <t>Teaching and evaluating synthesis in an associate degree nursing program : a developmental experience / Carol Willts Peterson [et al.]</t>
  </si>
  <si>
    <t>League exchange ; no. 107</t>
  </si>
  <si>
    <t>1994-09-19</t>
  </si>
  <si>
    <t>2973597:eng</t>
  </si>
  <si>
    <t>1882086</t>
  </si>
  <si>
    <t>991001387819702656</t>
  </si>
  <si>
    <t>2257548070002656</t>
  </si>
  <si>
    <t>30001000464174</t>
  </si>
  <si>
    <t>893451126</t>
  </si>
  <si>
    <t>WY 18 T2535 1965</t>
  </si>
  <si>
    <t>0                      WY 0018000T  2535        1965</t>
  </si>
  <si>
    <t>Teaching effectiveness : report of the 1965 regional workshops / of the Council of Member Agencies of the Department of Diploma Programs, National League for Nursing.</t>
  </si>
  <si>
    <t>New York : National League for Nursing, Dept. of Diploma Programs, 1966.</t>
  </si>
  <si>
    <t>1965</t>
  </si>
  <si>
    <t>NLN pub. no. 16-1211</t>
  </si>
  <si>
    <t>8907180865:eng</t>
  </si>
  <si>
    <t>14882805</t>
  </si>
  <si>
    <t>991001375699702656</t>
  </si>
  <si>
    <t>2271052210002656</t>
  </si>
  <si>
    <t>30001000462145</t>
  </si>
  <si>
    <t>893374484</t>
  </si>
  <si>
    <t>WY 18 T693t 1974</t>
  </si>
  <si>
    <t>0                      WY 0018000T  693t        1974</t>
  </si>
  <si>
    <t>Today's conceptual framework : its relationship to the curriculum development process / Gertrude Torres, Helen Yura.</t>
  </si>
  <si>
    <t>Torres, Gertrude.</t>
  </si>
  <si>
    <t>NLN pub. no. 15-1529</t>
  </si>
  <si>
    <t>2043086:eng</t>
  </si>
  <si>
    <t>1080329</t>
  </si>
  <si>
    <t>991001368559702656</t>
  </si>
  <si>
    <t>2268833180002656</t>
  </si>
  <si>
    <t>30001000461501</t>
  </si>
  <si>
    <t>893743757</t>
  </si>
  <si>
    <t>WY18 U535 2000</t>
  </si>
  <si>
    <t>0                      WY 0018000U  535         2000</t>
  </si>
  <si>
    <t>Understanding cultural diversity : culture, curriculum, and community in nursing / [edited by] Mary Lebreck Kelley, Virginia Macken Fitzsimons.</t>
  </si>
  <si>
    <t>2007-09-09</t>
  </si>
  <si>
    <t>2004-06-04</t>
  </si>
  <si>
    <t>903583021:eng</t>
  </si>
  <si>
    <t>41266196</t>
  </si>
  <si>
    <t>991000372129702656</t>
  </si>
  <si>
    <t>2262659410002656</t>
  </si>
  <si>
    <t>9780763711061</t>
  </si>
  <si>
    <t>30001004508992</t>
  </si>
  <si>
    <t>893811444</t>
  </si>
  <si>
    <t>WY 18 U58 1974</t>
  </si>
  <si>
    <t>0                      WY 0018000U  58          1974</t>
  </si>
  <si>
    <t>Unifying the curriculum, the integrated approach.</t>
  </si>
  <si>
    <t>Faculty-curriculum development ; pt. 4</t>
  </si>
  <si>
    <t>2618034:eng</t>
  </si>
  <si>
    <t>2006236</t>
  </si>
  <si>
    <t>991001368439702656</t>
  </si>
  <si>
    <t>2262462310002656</t>
  </si>
  <si>
    <t>30001000461485</t>
  </si>
  <si>
    <t>893364034</t>
  </si>
  <si>
    <t>WY 18 U91 1978</t>
  </si>
  <si>
    <t>0                      WY 0018000U  91          1978</t>
  </si>
  <si>
    <t>Utilization of the clinical laboratory in baccalaureate nursing programs.</t>
  </si>
  <si>
    <t>NLN pub. no. 15-1726</t>
  </si>
  <si>
    <t>14846243:eng</t>
  </si>
  <si>
    <t>4570471</t>
  </si>
  <si>
    <t>991001370829702656</t>
  </si>
  <si>
    <t>2268286850002656</t>
  </si>
  <si>
    <t>30001000461766</t>
  </si>
  <si>
    <t>893467930</t>
  </si>
  <si>
    <t>WY 18 V262h 1975a</t>
  </si>
  <si>
    <t>0                      WY 0018000V  262h        1975a</t>
  </si>
  <si>
    <t>Reading EKGs correctly / by Margaret Van Meter and Peter G. Lavine.</t>
  </si>
  <si>
    <t>Van Meter, Margaret.</t>
  </si>
  <si>
    <t>Jenkintown, Pa. : Intermed Communications, c1975.</t>
  </si>
  <si>
    <t>Nursing77 skillbook series</t>
  </si>
  <si>
    <t>2005-08-01</t>
  </si>
  <si>
    <t>3118364:eng</t>
  </si>
  <si>
    <t>3205387</t>
  </si>
  <si>
    <t>991001043379702656</t>
  </si>
  <si>
    <t>2269251400002656</t>
  </si>
  <si>
    <t>9780916730024</t>
  </si>
  <si>
    <t>30001000243131</t>
  </si>
  <si>
    <t>893465142</t>
  </si>
  <si>
    <t>WY 18 W225a 1968</t>
  </si>
  <si>
    <t>0                      WY 0018000W  225a        1968</t>
  </si>
  <si>
    <t>An approach to the teaching of psychiatric nursing in diploma and associate degree programs : a method for content integration and course development in the curriculum / Joan E. Walsh and Cecelia Monat Taylor.</t>
  </si>
  <si>
    <t>Walsh, Joan E.</t>
  </si>
  <si>
    <t>New York : National League for Nursing, Division of Research and Development, 1968.</t>
  </si>
  <si>
    <t>NLN pub. no. 19-1336</t>
  </si>
  <si>
    <t>1319347:eng</t>
  </si>
  <si>
    <t>219719</t>
  </si>
  <si>
    <t>991001380579702656</t>
  </si>
  <si>
    <t>2265204940002656</t>
  </si>
  <si>
    <t>30001000462632</t>
  </si>
  <si>
    <t>893633002</t>
  </si>
  <si>
    <t>WY 18 W226w 1975</t>
  </si>
  <si>
    <t>0                      WY 0018000W  226w        1975</t>
  </si>
  <si>
    <t>Why nursing education programs should be accredited / Margaret E. Walsh.</t>
  </si>
  <si>
    <t>Walsh, Margaret E.</t>
  </si>
  <si>
    <t>New York : National League for Nursing, Division of Nursing, [c1975]</t>
  </si>
  <si>
    <t>NLN pub. no. 14-1597</t>
  </si>
  <si>
    <t>2724194:eng</t>
  </si>
  <si>
    <t>1926872</t>
  </si>
  <si>
    <t>991001363389702656</t>
  </si>
  <si>
    <t>2255876760002656</t>
  </si>
  <si>
    <t>30001000461055</t>
  </si>
  <si>
    <t>893358507</t>
  </si>
  <si>
    <t>WY 18 W583 1961</t>
  </si>
  <si>
    <t>0                      WY 0018000W  583         1961</t>
  </si>
  <si>
    <t>Abilities needed by teachers of nursing in community colleges / Dorothy T. White.</t>
  </si>
  <si>
    <t>White, Dorothy T.</t>
  </si>
  <si>
    <t>New York : National League for Nursing, Division of Nursing Education, 1961.</t>
  </si>
  <si>
    <t>League exchange, no. 56</t>
  </si>
  <si>
    <t>3148173:eng</t>
  </si>
  <si>
    <t>1885453</t>
  </si>
  <si>
    <t>991001362069702656</t>
  </si>
  <si>
    <t>2257061630002656</t>
  </si>
  <si>
    <t>30001000460925</t>
  </si>
  <si>
    <t>893649140</t>
  </si>
  <si>
    <t>WY 18 W854s 1978</t>
  </si>
  <si>
    <t>0                      WY 0018000W  854s        1978</t>
  </si>
  <si>
    <t>Simulations/games : a teaching strategy for nursing education / Margret S. Wolf, Mary E. Duffy.</t>
  </si>
  <si>
    <t>Wolf, Margret S.</t>
  </si>
  <si>
    <t>NLN pub. no. 23-1756</t>
  </si>
  <si>
    <t>18047799:eng</t>
  </si>
  <si>
    <t>5446016</t>
  </si>
  <si>
    <t>991001388489702656</t>
  </si>
  <si>
    <t>2257549660002656</t>
  </si>
  <si>
    <t>30001000464331</t>
  </si>
  <si>
    <t>893643540</t>
  </si>
  <si>
    <t>WY 18 Y95o 1975</t>
  </si>
  <si>
    <t>0                      WY 0018000Y  95o         1975</t>
  </si>
  <si>
    <t>One decade of accreditation statistics, 1964-1974 / Helen Yura.</t>
  </si>
  <si>
    <t>Petro-Yura, Helen, 1929-</t>
  </si>
  <si>
    <t>2724046:eng</t>
  </si>
  <si>
    <t>2729015</t>
  </si>
  <si>
    <t>991001369139702656</t>
  </si>
  <si>
    <t>2267372780002656</t>
  </si>
  <si>
    <t>30001000461592</t>
  </si>
  <si>
    <t>893274055</t>
  </si>
  <si>
    <t>WY 18 Z73o 1958</t>
  </si>
  <si>
    <t>0                      WY 0018000Z  73o         1958</t>
  </si>
  <si>
    <t>Orientation of graduates of associate degree programs to hospital nursing service.</t>
  </si>
  <si>
    <t>Zimmerman, Esther D.</t>
  </si>
  <si>
    <t>League exchange ; no.41</t>
  </si>
  <si>
    <t>2084927:eng</t>
  </si>
  <si>
    <t>1202034</t>
  </si>
  <si>
    <t>991001383619702656</t>
  </si>
  <si>
    <t>2271412360002656</t>
  </si>
  <si>
    <t>30001000463234</t>
  </si>
  <si>
    <t>893467936</t>
  </si>
  <si>
    <t>WY18.2 B598L 2002</t>
  </si>
  <si>
    <t>0                      WY 0018200B  598L        2002</t>
  </si>
  <si>
    <t>Lippincott's review for NCLEX-RN.</t>
  </si>
  <si>
    <t>Philadelphia : Lippincott, c2002.</t>
  </si>
  <si>
    <t>2002</t>
  </si>
  <si>
    <t>7th ed. / Diane M. Billings.</t>
  </si>
  <si>
    <t>2008-09-14</t>
  </si>
  <si>
    <t>2002-04-16</t>
  </si>
  <si>
    <t>5614121391:eng</t>
  </si>
  <si>
    <t>46970619</t>
  </si>
  <si>
    <t>991000307899702656</t>
  </si>
  <si>
    <t>2257034230002656</t>
  </si>
  <si>
    <t>9780781730693</t>
  </si>
  <si>
    <t>30001004237279</t>
  </si>
  <si>
    <t>893633748</t>
  </si>
  <si>
    <t>WY 18.2 C7965 2004</t>
  </si>
  <si>
    <t>0                      WY 0018200C  7965        2004</t>
  </si>
  <si>
    <t>Core curriculum for maternal-newborn nursing / [edited by] Susan Mattson, Judy E. Smith.</t>
  </si>
  <si>
    <t>St. Louis : Saunders, c2004.</t>
  </si>
  <si>
    <t>2004-09-30</t>
  </si>
  <si>
    <t>2004-09-29</t>
  </si>
  <si>
    <t>502129510:eng</t>
  </si>
  <si>
    <t>54853036</t>
  </si>
  <si>
    <t>991000388799702656</t>
  </si>
  <si>
    <t>2269404990002656</t>
  </si>
  <si>
    <t>9780721603223</t>
  </si>
  <si>
    <t>30001004923613</t>
  </si>
  <si>
    <t>893644355</t>
  </si>
  <si>
    <t>WY18.2 C7968 1999</t>
  </si>
  <si>
    <t>0                      WY 0018200C  7968        1999</t>
  </si>
  <si>
    <t>Core curriculum for neonatal intensive care nursing / edited by Jane Deacon, Patricia O'Neill. ; AWHONN (Association of Women's Health, Obstetric, and Neonatal Nurses), AACN (American Association of Critical-Care Nurses), NANN (National Association of Neonatal Nurses).</t>
  </si>
  <si>
    <t>Philadelphia : Saunders, c1999.</t>
  </si>
  <si>
    <t>2007-09-12</t>
  </si>
  <si>
    <t>2001-01-12</t>
  </si>
  <si>
    <t>3943681318:eng</t>
  </si>
  <si>
    <t>41076378</t>
  </si>
  <si>
    <t>991000283859702656</t>
  </si>
  <si>
    <t>2262448870002656</t>
  </si>
  <si>
    <t>9780721674896</t>
  </si>
  <si>
    <t>30001004231801</t>
  </si>
  <si>
    <t>893108231</t>
  </si>
  <si>
    <t>30001004238269</t>
  </si>
  <si>
    <t>893122501</t>
  </si>
  <si>
    <t>WY 18.2 C7975 1998</t>
  </si>
  <si>
    <t>0                      WY 0018200C  7975        1998</t>
  </si>
  <si>
    <t>Core review for critical care nursing / edited by JoAnn Grif Alspach.</t>
  </si>
  <si>
    <t>1999-11-02</t>
  </si>
  <si>
    <t>54690155:eng</t>
  </si>
  <si>
    <t>38386695</t>
  </si>
  <si>
    <t>991000598029702656</t>
  </si>
  <si>
    <t>2260032490002656</t>
  </si>
  <si>
    <t>9780721652320</t>
  </si>
  <si>
    <t>30001004015790</t>
  </si>
  <si>
    <t>893550689</t>
  </si>
  <si>
    <t>WY 18.2 F583w 1997</t>
  </si>
  <si>
    <t>0                      WY 0018200F  583w        1997</t>
  </si>
  <si>
    <t>What you need to know about today's workplace : an independent study continuing education module / [text author Lyndia Flanagan]</t>
  </si>
  <si>
    <t>Flanagan, Lyndia.</t>
  </si>
  <si>
    <t>Washington, DC : American Nurses Publishing, c1997.</t>
  </si>
  <si>
    <t>ANA pub. no. COE-1 2M</t>
  </si>
  <si>
    <t>1997-09-10</t>
  </si>
  <si>
    <t>1779760567:eng</t>
  </si>
  <si>
    <t>37246929</t>
  </si>
  <si>
    <t>991001132869702656</t>
  </si>
  <si>
    <t>2266790110002656</t>
  </si>
  <si>
    <t>30001003625656</t>
  </si>
  <si>
    <t>893826475</t>
  </si>
  <si>
    <t>WY 18.2 F911f 1998</t>
  </si>
  <si>
    <t>0                      WY 0018200F  911f        1998</t>
  </si>
  <si>
    <t>Family nursing : theory, research &amp; practice / Marilyn M. Friedman.</t>
  </si>
  <si>
    <t>Stamford, Conn. : Appleton &amp; Lange, c1998.</t>
  </si>
  <si>
    <t>2000-07-20</t>
  </si>
  <si>
    <t>1997-11-25</t>
  </si>
  <si>
    <t>36308123</t>
  </si>
  <si>
    <t>991001277499702656</t>
  </si>
  <si>
    <t>2271264470002656</t>
  </si>
  <si>
    <t>9780838525258</t>
  </si>
  <si>
    <t>30001003700087</t>
  </si>
  <si>
    <t>893826610</t>
  </si>
  <si>
    <t>WY 18.2 F911f 2003</t>
  </si>
  <si>
    <t>0                      WY 0018200F  911f        2003</t>
  </si>
  <si>
    <t>Family nursing : research, theory &amp; practice / Marilyn M. Friedman, Vicky R. Bowden, Elaine G. Jones.</t>
  </si>
  <si>
    <t>Upper Saddle River, N.J. : Prentice Hall, c2003.</t>
  </si>
  <si>
    <t>2003-06-26</t>
  </si>
  <si>
    <t>49322510</t>
  </si>
  <si>
    <t>991001721629702656</t>
  </si>
  <si>
    <t>2259243830002656</t>
  </si>
  <si>
    <t>9780130608246</t>
  </si>
  <si>
    <t>30001004501625</t>
  </si>
  <si>
    <t>893358933</t>
  </si>
  <si>
    <t>WY18.2 N5765 2001</t>
  </si>
  <si>
    <t>0                      WY 0018200N  5765        2001</t>
  </si>
  <si>
    <t>NGNA core curriculum for gerontological nursing / Ann Schmidt Luggen, Sue E. Meiner.</t>
  </si>
  <si>
    <t>Luggen, Ann Schmidt.</t>
  </si>
  <si>
    <t>St. Louis : Mosby, c2001.</t>
  </si>
  <si>
    <t>2002-12-10</t>
  </si>
  <si>
    <t>39457531:eng</t>
  </si>
  <si>
    <t>44779689</t>
  </si>
  <si>
    <t>991000319739702656</t>
  </si>
  <si>
    <t>2260726320002656</t>
  </si>
  <si>
    <t>9780323010986</t>
  </si>
  <si>
    <t>30001004239986</t>
  </si>
  <si>
    <t>893269350</t>
  </si>
  <si>
    <t>WY 18.2 N9753 2000</t>
  </si>
  <si>
    <t>0                      WY 0018200N  9753        2000</t>
  </si>
  <si>
    <t>Nursing diagnosis : application to clinical practice / [edited by] Lynda Juall Carpenito.</t>
  </si>
  <si>
    <t>Philadelphia : Lippincott, c2000.</t>
  </si>
  <si>
    <t>2010-06-02</t>
  </si>
  <si>
    <t>2000-04-13</t>
  </si>
  <si>
    <t>1077208984:eng</t>
  </si>
  <si>
    <t>41606498</t>
  </si>
  <si>
    <t>991001443149702656</t>
  </si>
  <si>
    <t>2255684970002656</t>
  </si>
  <si>
    <t>9780781719704</t>
  </si>
  <si>
    <t>30001003883842</t>
  </si>
  <si>
    <t>893451210</t>
  </si>
  <si>
    <t>WY18.2 N9753 2002</t>
  </si>
  <si>
    <t>0                      WY 0018200N  9753        2002</t>
  </si>
  <si>
    <t>2004-08-30</t>
  </si>
  <si>
    <t>2002-01-11</t>
  </si>
  <si>
    <t>46970637</t>
  </si>
  <si>
    <t>991000302329702656</t>
  </si>
  <si>
    <t>2257038200002656</t>
  </si>
  <si>
    <t>9780781733199</t>
  </si>
  <si>
    <t>30001004236347</t>
  </si>
  <si>
    <t>893122727</t>
  </si>
  <si>
    <t>WY18.2 P3714 2000</t>
  </si>
  <si>
    <t>0                      WY 0018200P  3714        2000</t>
  </si>
  <si>
    <t>Pediatric nursing / [edited by] Mary E. Muscari.</t>
  </si>
  <si>
    <t>Lippincott's review series</t>
  </si>
  <si>
    <t>2010-03-20</t>
  </si>
  <si>
    <t>2002-06-27</t>
  </si>
  <si>
    <t>1057210:eng</t>
  </si>
  <si>
    <t>43905924</t>
  </si>
  <si>
    <t>991001705769702656</t>
  </si>
  <si>
    <t>2266959260002656</t>
  </si>
  <si>
    <t>9780781721875</t>
  </si>
  <si>
    <t>30001004239655</t>
  </si>
  <si>
    <t>893649351</t>
  </si>
  <si>
    <t>WY 18.2 R337f 2005</t>
  </si>
  <si>
    <t>0                      WY 0018200R  337f        2005</t>
  </si>
  <si>
    <t>Leadershp and management / contributors, Anita W. Finkelman... [et al.] ; editor, Leslie Schaaf Treas.</t>
  </si>
  <si>
    <t>Overland Park, KS : Assessment Technologies, c2005</t>
  </si>
  <si>
    <t>ksu</t>
  </si>
  <si>
    <t>Content mastery series</t>
  </si>
  <si>
    <t>2009-06-24</t>
  </si>
  <si>
    <t>2009-06-17</t>
  </si>
  <si>
    <t>8911751991:eng</t>
  </si>
  <si>
    <t>74281919</t>
  </si>
  <si>
    <t>991001470379702656</t>
  </si>
  <si>
    <t>2261294340002656</t>
  </si>
  <si>
    <t>9781933107226</t>
  </si>
  <si>
    <t>30001004917532</t>
  </si>
  <si>
    <t>893455834</t>
  </si>
  <si>
    <t>WY 18.2 R454 2000</t>
  </si>
  <si>
    <t>0                      WY 0018200R  454         2000</t>
  </si>
  <si>
    <t>Review guide for LPN/LVN pre-entrance exam / edited by Mary McDonald.</t>
  </si>
  <si>
    <t>Sudbury, Mass. : Jones and Bartlett Publishers, c2000.</t>
  </si>
  <si>
    <t>NLN Pub. No. 1061-X</t>
  </si>
  <si>
    <t>2009-02-10</t>
  </si>
  <si>
    <t>2002-03-04</t>
  </si>
  <si>
    <t>3858179843:eng</t>
  </si>
  <si>
    <t>42365926</t>
  </si>
  <si>
    <t>991000306499702656</t>
  </si>
  <si>
    <t>2269558560002656</t>
  </si>
  <si>
    <t>9780763710613</t>
  </si>
  <si>
    <t>30001003778638</t>
  </si>
  <si>
    <t>893728239</t>
  </si>
  <si>
    <t>WY 18.2 R659c 1998</t>
  </si>
  <si>
    <t>0                      WY 0018200R  659c        1998</t>
  </si>
  <si>
    <t>Clinical decision making for nurse practitioners : a case study approach / Denise L. Robinson.</t>
  </si>
  <si>
    <t>Robinson, Denise L.</t>
  </si>
  <si>
    <t>2009-11-19</t>
  </si>
  <si>
    <t>1999-01-19</t>
  </si>
  <si>
    <t>2288246190:eng</t>
  </si>
  <si>
    <t>36923331</t>
  </si>
  <si>
    <t>991001530859702656</t>
  </si>
  <si>
    <t>2271833370002656</t>
  </si>
  <si>
    <t>9780397554591</t>
  </si>
  <si>
    <t>30001003961432</t>
  </si>
  <si>
    <t>893826840</t>
  </si>
  <si>
    <t>WY 18.2 S257 2002</t>
  </si>
  <si>
    <t>0                      WY 0018200S  257         2002</t>
  </si>
  <si>
    <t>Saunders comprehensive review for NCLEX-RN / [edited by] Linda Anne Silvestri.</t>
  </si>
  <si>
    <t>Philadelphia : W.B. Saunders, c2002.</t>
  </si>
  <si>
    <t>2010-01-08</t>
  </si>
  <si>
    <t>3768860051:eng</t>
  </si>
  <si>
    <t>47997965</t>
  </si>
  <si>
    <t>991001555209702656</t>
  </si>
  <si>
    <t>2271610660002656</t>
  </si>
  <si>
    <t>9780721692357</t>
  </si>
  <si>
    <t>30001005366648</t>
  </si>
  <si>
    <t>893652078</t>
  </si>
  <si>
    <t>WY 18.2 S587sa 1999</t>
  </si>
  <si>
    <t>0                      WY 0018200S  587sa       1999</t>
  </si>
  <si>
    <t>Saunders Q&amp;A review for NCLEX-RN / Linda Anne Silvestri.</t>
  </si>
  <si>
    <t>Silvestri, Linda Anne.</t>
  </si>
  <si>
    <t>2003-04-23</t>
  </si>
  <si>
    <t>1999-10-21</t>
  </si>
  <si>
    <t>3863845101:eng</t>
  </si>
  <si>
    <t>38562311</t>
  </si>
  <si>
    <t>991001764159702656</t>
  </si>
  <si>
    <t>2265760260002656</t>
  </si>
  <si>
    <t>9780721677934</t>
  </si>
  <si>
    <t>30001004080190</t>
  </si>
  <si>
    <t>893832581</t>
  </si>
  <si>
    <t>WY18.2 S587sa 2002</t>
  </si>
  <si>
    <t>0                      WY 0018200S  587sa       2002</t>
  </si>
  <si>
    <t>Saunders Q &amp; A review for NCLEX-RN / Linda Anne Silvestri.</t>
  </si>
  <si>
    <t>2008-12-11</t>
  </si>
  <si>
    <t>48503649</t>
  </si>
  <si>
    <t>991000307859702656</t>
  </si>
  <si>
    <t>2270318650002656</t>
  </si>
  <si>
    <t>9780721692388</t>
  </si>
  <si>
    <t>30001004237261</t>
  </si>
  <si>
    <t>893537007</t>
  </si>
  <si>
    <t>WY 18.2 S659sa 2001</t>
  </si>
  <si>
    <t>0                      WY 0018200S  659sa       2001</t>
  </si>
  <si>
    <t>Sandra Smith's review for NCLEX-PN / Sandra F. Smith.</t>
  </si>
  <si>
    <t>Smith, Sandra Fucci.</t>
  </si>
  <si>
    <t>Upper Saddle River, N.J. : Prentice Hall, c2001.</t>
  </si>
  <si>
    <t>2007-01-03</t>
  </si>
  <si>
    <t>13001148:eng</t>
  </si>
  <si>
    <t>61747619</t>
  </si>
  <si>
    <t>991000331179702656</t>
  </si>
  <si>
    <t>2262116910002656</t>
  </si>
  <si>
    <t>9780130286734</t>
  </si>
  <si>
    <t>30001004498897</t>
  </si>
  <si>
    <t>893375474</t>
  </si>
  <si>
    <t>WY 18.2 S771e 1997</t>
  </si>
  <si>
    <t>0                      WY 0018200S  771e        1997</t>
  </si>
  <si>
    <t>Essentials of perioperative nursing / Cynthia Spry.</t>
  </si>
  <si>
    <t>Gaithersburg, Md. : Aspen Publishers, c1997.</t>
  </si>
  <si>
    <t>1999-04-13</t>
  </si>
  <si>
    <t>34724473</t>
  </si>
  <si>
    <t>991001573039702656</t>
  </si>
  <si>
    <t>2258320150002656</t>
  </si>
  <si>
    <t>9780834205819</t>
  </si>
  <si>
    <t>30001004071249</t>
  </si>
  <si>
    <t>893168277</t>
  </si>
  <si>
    <t>WY18.2 S916m 2001</t>
  </si>
  <si>
    <t>0                      WY 0018200S  916m        2001</t>
  </si>
  <si>
    <t>Maternal-newborn nursing / Barbara R. Stright.</t>
  </si>
  <si>
    <t>Stright, Barbara R.</t>
  </si>
  <si>
    <t>Philadelphia : Lippincott Williams &amp; Wilkins, c2001.</t>
  </si>
  <si>
    <t>2009-02-24</t>
  </si>
  <si>
    <t>2002-06-18</t>
  </si>
  <si>
    <t>1074051:eng</t>
  </si>
  <si>
    <t>43791009</t>
  </si>
  <si>
    <t>991000316629702656</t>
  </si>
  <si>
    <t>2263334550002656</t>
  </si>
  <si>
    <t>9780781722384</t>
  </si>
  <si>
    <t>30001004239200</t>
  </si>
  <si>
    <t>893109400</t>
  </si>
  <si>
    <t>WY 18.2 U67c 1994</t>
  </si>
  <si>
    <t>0                      WY 0018200U  67c         1994</t>
  </si>
  <si>
    <t>Clinical guidelines in family practice / Constance R. Uphold, Mary Virginia Graham.</t>
  </si>
  <si>
    <t>Uphold, Constance R.</t>
  </si>
  <si>
    <t>Gainesville, Fla. : Barmarrae Books, c1994.</t>
  </si>
  <si>
    <t>flu</t>
  </si>
  <si>
    <t>1999-11-29</t>
  </si>
  <si>
    <t>1995-07-21</t>
  </si>
  <si>
    <t>9098693:eng</t>
  </si>
  <si>
    <t>30693456</t>
  </si>
  <si>
    <t>991001403069702656</t>
  </si>
  <si>
    <t>2268834010002656</t>
  </si>
  <si>
    <t>30001003148998</t>
  </si>
  <si>
    <t>893557932</t>
  </si>
  <si>
    <t>WY18.2 W776c 2001</t>
  </si>
  <si>
    <t>0                      WY 0018200W  776c        2001</t>
  </si>
  <si>
    <t>Critical thinking in medical-surgical settings : a case study approach / Maryl L. Winningham and Barbara A. Preusser.</t>
  </si>
  <si>
    <t>Winningham, Maryl Lynne, 1947-2001.</t>
  </si>
  <si>
    <t>2005-03-19</t>
  </si>
  <si>
    <t>2001-12-12</t>
  </si>
  <si>
    <t>436405742:eng</t>
  </si>
  <si>
    <t>43187266</t>
  </si>
  <si>
    <t>991001710369702656</t>
  </si>
  <si>
    <t>2271800030002656</t>
  </si>
  <si>
    <t>9780323011549</t>
  </si>
  <si>
    <t>30001004560258</t>
  </si>
  <si>
    <t>893649372</t>
  </si>
  <si>
    <t>WY 18.3 C245d 1978</t>
  </si>
  <si>
    <t>0                      WY 0018300C  245d        1978</t>
  </si>
  <si>
    <t>The development of a system for evaluation / Anna T. Capobianco.</t>
  </si>
  <si>
    <t>Capobianco, Anna T.</t>
  </si>
  <si>
    <t>NLN pub. no. 23-1775</t>
  </si>
  <si>
    <t>15209071:eng</t>
  </si>
  <si>
    <t>5076848</t>
  </si>
  <si>
    <t>991001388669702656</t>
  </si>
  <si>
    <t>2264196880002656</t>
  </si>
  <si>
    <t>30001000464372</t>
  </si>
  <si>
    <t>893364048</t>
  </si>
  <si>
    <t>WY 18.3 C486 1978</t>
  </si>
  <si>
    <t>0                      WY 0018300C  486         1978</t>
  </si>
  <si>
    <t>Charting a course for future action for diploma programs in nursing : papers presented at the 1978 annual meeting of the Council of Diploma Programs, held in New York during 1978.</t>
  </si>
  <si>
    <t>NLN pub. no. 16-1741</t>
  </si>
  <si>
    <t>1990-08-28</t>
  </si>
  <si>
    <t>25423571:eng</t>
  </si>
  <si>
    <t>14386447</t>
  </si>
  <si>
    <t>991001376469702656</t>
  </si>
  <si>
    <t>2265047490002656</t>
  </si>
  <si>
    <t>30001000462327</t>
  </si>
  <si>
    <t>893134504</t>
  </si>
  <si>
    <t>WY 18.3 C755 1978</t>
  </si>
  <si>
    <t>0                      WY 0018300C  755         1978</t>
  </si>
  <si>
    <t>Considerations in clinical evaluation : instructors, students, legal issues, data.</t>
  </si>
  <si>
    <t>NLN pub. no. 16-1764</t>
  </si>
  <si>
    <t>14985972:eng</t>
  </si>
  <si>
    <t>4760500</t>
  </si>
  <si>
    <t>991001376739702656</t>
  </si>
  <si>
    <t>2266054010002656</t>
  </si>
  <si>
    <t>30001000462350</t>
  </si>
  <si>
    <t>893274058</t>
  </si>
  <si>
    <t>WY 18.3 D489 1979</t>
  </si>
  <si>
    <t>0                      WY 0018300D  489         1979</t>
  </si>
  <si>
    <t>Developing tests to evaluate student achievement in baccalaureate nursing programs.</t>
  </si>
  <si>
    <t>NLN pub. no. 15-1761</t>
  </si>
  <si>
    <t>4152968145:eng</t>
  </si>
  <si>
    <t>5676102</t>
  </si>
  <si>
    <t>991001371239702656</t>
  </si>
  <si>
    <t>2271802660002656</t>
  </si>
  <si>
    <t>30001000461832</t>
  </si>
  <si>
    <t>893832126</t>
  </si>
  <si>
    <t>WY 18.3 D4895 1977</t>
  </si>
  <si>
    <t>0                      WY 0018300D  4895        1977</t>
  </si>
  <si>
    <t>Development of competencies in associate degree nursing : a nursing service perspective.</t>
  </si>
  <si>
    <t>NLN pub. no. 23-1713</t>
  </si>
  <si>
    <t>1990-08-13</t>
  </si>
  <si>
    <t>4516774004:eng</t>
  </si>
  <si>
    <t>3776906</t>
  </si>
  <si>
    <t>991001388329702656</t>
  </si>
  <si>
    <t>2268462830002656</t>
  </si>
  <si>
    <t>30001000464299</t>
  </si>
  <si>
    <t>893638282</t>
  </si>
  <si>
    <t>WY 18.3 F232e 1978</t>
  </si>
  <si>
    <t>0                      WY 0018300F  232e        1978</t>
  </si>
  <si>
    <t>An evaluative study of an open curriculum/career ladder nursing program / Venner Marie Farley.</t>
  </si>
  <si>
    <t>Farley, Venner Marie.</t>
  </si>
  <si>
    <t>League exchange ; no. 118</t>
  </si>
  <si>
    <t>9855092:eng</t>
  </si>
  <si>
    <t>4048784</t>
  </si>
  <si>
    <t>991001381209702656</t>
  </si>
  <si>
    <t>2258786100002656</t>
  </si>
  <si>
    <t>30001000462798</t>
  </si>
  <si>
    <t>893274062</t>
  </si>
  <si>
    <t>WY 18.3 F917e 1978</t>
  </si>
  <si>
    <t>0                      WY 0018300F  917e        1978</t>
  </si>
  <si>
    <t>Evaluating student achievement : principles, trends, and problems / David A. Frisbie.</t>
  </si>
  <si>
    <t>Frisbie, David A.</t>
  </si>
  <si>
    <t>NLN pub. no. 23-1766</t>
  </si>
  <si>
    <t>1813001224:eng</t>
  </si>
  <si>
    <t>5989640</t>
  </si>
  <si>
    <t>991001388569702656</t>
  </si>
  <si>
    <t>2268412320002656</t>
  </si>
  <si>
    <t>30001000464356</t>
  </si>
  <si>
    <t>893268424</t>
  </si>
  <si>
    <t>WY 18.3 N271p 1979</t>
  </si>
  <si>
    <t>0                      WY 0018300N  271p        1979</t>
  </si>
  <si>
    <t>Third Edition.</t>
  </si>
  <si>
    <t>NLN pub. no. 14-1437</t>
  </si>
  <si>
    <t>1993-11-29</t>
  </si>
  <si>
    <t>4790073</t>
  </si>
  <si>
    <t>991001362899702656</t>
  </si>
  <si>
    <t>2255620890002656</t>
  </si>
  <si>
    <t>30001000460982</t>
  </si>
  <si>
    <t>893826683</t>
  </si>
  <si>
    <t>WY 18.3 P9636 1978</t>
  </si>
  <si>
    <t>0                      WY 0018300P  9636        1978</t>
  </si>
  <si>
    <t>Program evaluation.</t>
  </si>
  <si>
    <t>NLN pub. no. 15-1738</t>
  </si>
  <si>
    <t>54261059:eng</t>
  </si>
  <si>
    <t>4468344</t>
  </si>
  <si>
    <t>991001370999702656</t>
  </si>
  <si>
    <t>2255649070002656</t>
  </si>
  <si>
    <t>30001000461790</t>
  </si>
  <si>
    <t>893649143</t>
  </si>
  <si>
    <t>WY 18.3 T794 1977</t>
  </si>
  <si>
    <t>0                      WY 0018300T  794         1977</t>
  </si>
  <si>
    <t>Trends, issues, and implications in student selection.</t>
  </si>
  <si>
    <t>NLN pub. no. 23-1704</t>
  </si>
  <si>
    <t>14993110:eng</t>
  </si>
  <si>
    <t>4858635</t>
  </si>
  <si>
    <t>991001388239702656</t>
  </si>
  <si>
    <t>2266586670002656</t>
  </si>
  <si>
    <t>30001000464273</t>
  </si>
  <si>
    <t>893633009</t>
  </si>
  <si>
    <t>WY 18.5 A462e 1982</t>
  </si>
  <si>
    <t>0                      WY 0018500A  462e        1982</t>
  </si>
  <si>
    <t>The education process in critical care nursing / JoAnn "Grif" Alspach.</t>
  </si>
  <si>
    <t>Alspach, JoAnn.</t>
  </si>
  <si>
    <t>451157:eng</t>
  </si>
  <si>
    <t>8170295</t>
  </si>
  <si>
    <t>991001046009702656</t>
  </si>
  <si>
    <t>2268441180002656</t>
  </si>
  <si>
    <t>9780801601415</t>
  </si>
  <si>
    <t>30001000244402</t>
  </si>
  <si>
    <t>893273627</t>
  </si>
  <si>
    <t>WY 18.5 A935g 1981</t>
  </si>
  <si>
    <t>0                      WY 0018500A  935g        1981</t>
  </si>
  <si>
    <t>Guidelines for the development of continuing education offerings for nurses / Eileen Kay Austin.</t>
  </si>
  <si>
    <t>Austin, Eileen Kay, 1947-</t>
  </si>
  <si>
    <t>New York : Appleton-Century-Crofts, c1981.</t>
  </si>
  <si>
    <t>2000-09-19</t>
  </si>
  <si>
    <t>25160164:eng</t>
  </si>
  <si>
    <t>6943129</t>
  </si>
  <si>
    <t>991001045989702656</t>
  </si>
  <si>
    <t>2269242900002656</t>
  </si>
  <si>
    <t>9780838535240</t>
  </si>
  <si>
    <t>30001000244410</t>
  </si>
  <si>
    <t>893363700</t>
  </si>
  <si>
    <t>WY 18.5 C641 1998</t>
  </si>
  <si>
    <t>0                      WY 0018500C  641         1998</t>
  </si>
  <si>
    <t>Clinical &amp; nursing staff development : current competence, future focus / [edited by] Karen J. Kelly-Thomas.</t>
  </si>
  <si>
    <t>3858019535:eng</t>
  </si>
  <si>
    <t>38239358</t>
  </si>
  <si>
    <t>991001571719702656</t>
  </si>
  <si>
    <t>2255313200002656</t>
  </si>
  <si>
    <t>9780397554164</t>
  </si>
  <si>
    <t>30001004080331</t>
  </si>
  <si>
    <t>893274303</t>
  </si>
  <si>
    <t>WY 18.5 C778p 1983</t>
  </si>
  <si>
    <t>0                      WY 0018500C  778p        1983</t>
  </si>
  <si>
    <t>The practice of continuing education in nursing / Signe Skott Cooper.</t>
  </si>
  <si>
    <t>Cooper, Signe Skott.</t>
  </si>
  <si>
    <t>20501709:eng</t>
  </si>
  <si>
    <t>8708887</t>
  </si>
  <si>
    <t>991001046049702656</t>
  </si>
  <si>
    <t>2272444540002656</t>
  </si>
  <si>
    <t>9780894436642</t>
  </si>
  <si>
    <t>30001000244436</t>
  </si>
  <si>
    <t>893648850</t>
  </si>
  <si>
    <t>WY 18.5 D281d 1985</t>
  </si>
  <si>
    <t>0                      WY 0018500D  281d        1985</t>
  </si>
  <si>
    <t>Developing professional effectiveness in nursing / Donna Deane, Janis Campbell.</t>
  </si>
  <si>
    <t>Deane, Donna.</t>
  </si>
  <si>
    <t>Reston, Va. : Reston Pub. Co., c1985.</t>
  </si>
  <si>
    <t>4247345:eng</t>
  </si>
  <si>
    <t>11497325</t>
  </si>
  <si>
    <t>991001046119702656</t>
  </si>
  <si>
    <t>2267822750002656</t>
  </si>
  <si>
    <t>9780835913492</t>
  </si>
  <si>
    <t>30001000244444</t>
  </si>
  <si>
    <t>893363701</t>
  </si>
  <si>
    <t>WY 18.5 D4888 1981</t>
  </si>
  <si>
    <t>0                      WY 0018500D  4888        1981</t>
  </si>
  <si>
    <t>Developing a curriculum for the nursing service administrator role.</t>
  </si>
  <si>
    <t>New York : National League for Nursing, c1982.</t>
  </si>
  <si>
    <t>NLN pub. no. 15-1902</t>
  </si>
  <si>
    <t>426960567:eng</t>
  </si>
  <si>
    <t>9193915</t>
  </si>
  <si>
    <t>991001373169702656</t>
  </si>
  <si>
    <t>2267937460002656</t>
  </si>
  <si>
    <t>30001000461980</t>
  </si>
  <si>
    <t>893358516</t>
  </si>
  <si>
    <t>WY 18.5 D489 1978</t>
  </si>
  <si>
    <t>0                      WY 0018500D  489         1978</t>
  </si>
  <si>
    <t>Developing a master's program in nursing.</t>
  </si>
  <si>
    <t>NLN pub. no. 15-1747</t>
  </si>
  <si>
    <t>2242526540:eng</t>
  </si>
  <si>
    <t>5051582</t>
  </si>
  <si>
    <t>991001371039702656</t>
  </si>
  <si>
    <t>2263907690002656</t>
  </si>
  <si>
    <t>30001000461808</t>
  </si>
  <si>
    <t>893832125</t>
  </si>
  <si>
    <t>WY 18.5 D4895 1980</t>
  </si>
  <si>
    <t>0                      WY 0018500D  4895        1980</t>
  </si>
  <si>
    <t>Developing the functional role in master's education in nursing.</t>
  </si>
  <si>
    <t>New York, N.Y. : National League for Nursing, c1980.</t>
  </si>
  <si>
    <t>NLN pub. no. 15-1840</t>
  </si>
  <si>
    <t>1989-11-27</t>
  </si>
  <si>
    <t>29599700:eng</t>
  </si>
  <si>
    <t>7776436</t>
  </si>
  <si>
    <t>991001371749702656</t>
  </si>
  <si>
    <t>2272748440002656</t>
  </si>
  <si>
    <t>30001000461915</t>
  </si>
  <si>
    <t>893727515</t>
  </si>
  <si>
    <t>WY 18.5 I34 1977</t>
  </si>
  <si>
    <t>0                      WY 0018500I  34          1977</t>
  </si>
  <si>
    <t>Implementation of continuing education in nursing.</t>
  </si>
  <si>
    <t>NLN pub. no. 52-1718</t>
  </si>
  <si>
    <t>54261046:eng</t>
  </si>
  <si>
    <t>4468330</t>
  </si>
  <si>
    <t>991001516979702656</t>
  </si>
  <si>
    <t>2255647710002656</t>
  </si>
  <si>
    <t>30001000600082</t>
  </si>
  <si>
    <t>893816489</t>
  </si>
  <si>
    <t>WY 18.5 I86 1987</t>
  </si>
  <si>
    <t>0                      WY 0018500I  86          1987</t>
  </si>
  <si>
    <t>Issues in graduate nursing education / Sylvia E. Hart, editor.</t>
  </si>
  <si>
    <t>NLN pub. no. 18-2196</t>
  </si>
  <si>
    <t>1999-07-29</t>
  </si>
  <si>
    <t>1987-12-17</t>
  </si>
  <si>
    <t>180907315:eng</t>
  </si>
  <si>
    <t>17205600</t>
  </si>
  <si>
    <t>991001536199702656</t>
  </si>
  <si>
    <t>2261437560002656</t>
  </si>
  <si>
    <t>9780887373817</t>
  </si>
  <si>
    <t>30001000623050</t>
  </si>
  <si>
    <t>893121614</t>
  </si>
  <si>
    <t>WY 18.5 M2945a 1986</t>
  </si>
  <si>
    <t>0                      WY 0018500M  2945a       1986</t>
  </si>
  <si>
    <t>Manual for accreditation as an approver of continuing education in nursing / American Nurses' Association, Board on Accreditation.</t>
  </si>
  <si>
    <t>[s.l.] : The Board, 1986.</t>
  </si>
  <si>
    <t>1989-02-24</t>
  </si>
  <si>
    <t>1989-02-03</t>
  </si>
  <si>
    <t>25519240:eng</t>
  </si>
  <si>
    <t>21155778</t>
  </si>
  <si>
    <t>991001116629702656</t>
  </si>
  <si>
    <t>2266106900002656</t>
  </si>
  <si>
    <t>30001001613449</t>
  </si>
  <si>
    <t>893651882</t>
  </si>
  <si>
    <t>WY 18.5 M2945p 1986</t>
  </si>
  <si>
    <t>0                      WY 0018500M  2945p       1986</t>
  </si>
  <si>
    <t>Manual for accreditation as a provider of continuing education in nursing / American Nurses' Association, Board on Accreditation.</t>
  </si>
  <si>
    <t>1991-11-18</t>
  </si>
  <si>
    <t>3856230199:eng</t>
  </si>
  <si>
    <t>20760789</t>
  </si>
  <si>
    <t>991001116649702656</t>
  </si>
  <si>
    <t>2260333980002656</t>
  </si>
  <si>
    <t>30001001613464</t>
  </si>
  <si>
    <t>893273714</t>
  </si>
  <si>
    <t>WY 18.5 M423c 1964</t>
  </si>
  <si>
    <t>0                      WY 0018500M  423c        1964</t>
  </si>
  <si>
    <t>Masters education in nursing : report of a study conducted in spring, 1963 / by Jean Campbell.</t>
  </si>
  <si>
    <t>New York : National League for Nursing, 1964.</t>
  </si>
  <si>
    <t>NLN pub. no. 15-1157</t>
  </si>
  <si>
    <t>8926930:eng</t>
  </si>
  <si>
    <t>14535008</t>
  </si>
  <si>
    <t>991001365039702656</t>
  </si>
  <si>
    <t>2262240910002656</t>
  </si>
  <si>
    <t>30001000461212</t>
  </si>
  <si>
    <t>893268404</t>
  </si>
  <si>
    <t>WY 18.5 N277c 1987</t>
  </si>
  <si>
    <t>0                      WY 0018500N  277c        1987</t>
  </si>
  <si>
    <t>Characteristics of Master's education in nursing / Council of Baccalaureate and Higher Degree Programs, National League for Nursing.</t>
  </si>
  <si>
    <t>New York : Council of Baccalaureate and Higher Degree Programs, National League for Nursing, c1987.</t>
  </si>
  <si>
    <t>NLN pub. no. 15-1759</t>
  </si>
  <si>
    <t>1987-10-12</t>
  </si>
  <si>
    <t>3855728830:eng</t>
  </si>
  <si>
    <t>16857733</t>
  </si>
  <si>
    <t>991001529729702656</t>
  </si>
  <si>
    <t>2259480240002656</t>
  </si>
  <si>
    <t>9780887373916</t>
  </si>
  <si>
    <t>30001000621120</t>
  </si>
  <si>
    <t>893633169</t>
  </si>
  <si>
    <t>WY 18.5 N277g 1988-89</t>
  </si>
  <si>
    <t>0                      WY 0018500N  277g        1988                                        -89</t>
  </si>
  <si>
    <t>Graduate education in nursing-- route to opportunities in contemporary nursing, 1988-89.</t>
  </si>
  <si>
    <t>New York : National League for Nursing, Dept. of Baccalaureate and Higher Programs, c1988.</t>
  </si>
  <si>
    <t>NLM Pub. No. 15-2221</t>
  </si>
  <si>
    <t>2002-11-21</t>
  </si>
  <si>
    <t>18471127:eng</t>
  </si>
  <si>
    <t>18765898</t>
  </si>
  <si>
    <t>991001104189702656</t>
  </si>
  <si>
    <t>2254956990002656</t>
  </si>
  <si>
    <t>9780887374012</t>
  </si>
  <si>
    <t>30001001880931</t>
  </si>
  <si>
    <t>893161681</t>
  </si>
  <si>
    <t>1988-11-21</t>
  </si>
  <si>
    <t>30001001610387</t>
  </si>
  <si>
    <t>893161682</t>
  </si>
  <si>
    <t>WY 18.5 N9735 1992</t>
  </si>
  <si>
    <t>0                      WY 0018500N  9735        1992</t>
  </si>
  <si>
    <t>Nursing staff development : current competence, future focus / Karen J. Kelly.</t>
  </si>
  <si>
    <t>Kelly-Thomas, Karen J.</t>
  </si>
  <si>
    <t>Philadelphia : Lippincott, c1992.</t>
  </si>
  <si>
    <t>1992-06-12</t>
  </si>
  <si>
    <t>427535599:eng</t>
  </si>
  <si>
    <t>25283262</t>
  </si>
  <si>
    <t>991001307679702656</t>
  </si>
  <si>
    <t>2272470540002656</t>
  </si>
  <si>
    <t>9780397548101</t>
  </si>
  <si>
    <t>30001002414441</t>
  </si>
  <si>
    <t>893467900</t>
  </si>
  <si>
    <t>WY 18.5 P978c 1981</t>
  </si>
  <si>
    <t>0                      WY 0018500P  978c        1981</t>
  </si>
  <si>
    <t>Continuing education for nurses : a complete guide to effective programs / Belinda E. Puetz, Faye L. Peters.</t>
  </si>
  <si>
    <t>Puetz, Belinda E.</t>
  </si>
  <si>
    <t>Rockville, Md. : Aspen Systems Corp., c1981.</t>
  </si>
  <si>
    <t>42840721:eng</t>
  </si>
  <si>
    <t>7329304</t>
  </si>
  <si>
    <t>991001042289702656</t>
  </si>
  <si>
    <t>2271459010002656</t>
  </si>
  <si>
    <t>9780894433733</t>
  </si>
  <si>
    <t>30001000242745</t>
  </si>
  <si>
    <t>893358160</t>
  </si>
  <si>
    <t>WY 18.5 R425 1952</t>
  </si>
  <si>
    <t>0                      WY 0018500R  425         1952</t>
  </si>
  <si>
    <t>Report of Work Conference on Graduate Nurse Education : a conference of schools offering programs leading to a degree for graduate nurses, held under the auspices of the Division of Nursing Education, National League for Nursing, September 8-11, 1952 at the University of Chicago, Chicago, Illinois.</t>
  </si>
  <si>
    <t>New York : National League for Nursing, Division of Nursing Education, 1952.</t>
  </si>
  <si>
    <t>1151029717:eng</t>
  </si>
  <si>
    <t>1070424</t>
  </si>
  <si>
    <t>991001518339702656</t>
  </si>
  <si>
    <t>2255780300002656</t>
  </si>
  <si>
    <t>30001000600447</t>
  </si>
  <si>
    <t>893643661</t>
  </si>
  <si>
    <t>WY 18.5 R744 1997</t>
  </si>
  <si>
    <t>0                      WY 0018500R  744         1997</t>
  </si>
  <si>
    <t>The role of the preceptor : a guide for nurse educators and clinicians / Jean Pieri Flynn, editor.</t>
  </si>
  <si>
    <t>New York : Springer Pub. Co., c1997.</t>
  </si>
  <si>
    <t>2008-07-13</t>
  </si>
  <si>
    <t>1074660693:eng</t>
  </si>
  <si>
    <t>35521652</t>
  </si>
  <si>
    <t>991001573089702656</t>
  </si>
  <si>
    <t>2256758460002656</t>
  </si>
  <si>
    <t>9780826194602</t>
  </si>
  <si>
    <t>30001004071173</t>
  </si>
  <si>
    <t>893743906</t>
  </si>
  <si>
    <t>WY 18.5 S422 2000</t>
  </si>
  <si>
    <t>0                      WY 0018500S  422         2000</t>
  </si>
  <si>
    <t>Scope and standards of practice for nursing professional development.</t>
  </si>
  <si>
    <t>Washington, D.C. : American Nurses Association, c2000.</t>
  </si>
  <si>
    <t>ANA pub ; no. NPD-20</t>
  </si>
  <si>
    <t>2004-07-28</t>
  </si>
  <si>
    <t>2001-12-16</t>
  </si>
  <si>
    <t>3856798393:eng</t>
  </si>
  <si>
    <t>44128558</t>
  </si>
  <si>
    <t>991000295799702656</t>
  </si>
  <si>
    <t>2264497960002656</t>
  </si>
  <si>
    <t>30001004470334</t>
  </si>
  <si>
    <t>893365271</t>
  </si>
  <si>
    <t>WY 18.8 I61 1975</t>
  </si>
  <si>
    <t>0                      WY 0018800I  61          1975</t>
  </si>
  <si>
    <t>Integrating primary care concepts into undergraduate and graduate curricula / edited by Adele Nelson, project director.</t>
  </si>
  <si>
    <t>Denver, Colo. : University of Colorado School of Nursing, 1975.</t>
  </si>
  <si>
    <t>2002-07-18</t>
  </si>
  <si>
    <t>29619321:eng</t>
  </si>
  <si>
    <t>7777933</t>
  </si>
  <si>
    <t>991000182759702656</t>
  </si>
  <si>
    <t>2271420870002656</t>
  </si>
  <si>
    <t>30001000242737</t>
  </si>
  <si>
    <t>893811247</t>
  </si>
  <si>
    <t>WY 19 C518m 1987</t>
  </si>
  <si>
    <t>0                      WY 0019000C  518m        1987</t>
  </si>
  <si>
    <t>Mosby's tour guide to nursing school : a student's road survival kit / Melodie Chenevert.</t>
  </si>
  <si>
    <t>Chenevert, Melodie, 1941-</t>
  </si>
  <si>
    <t>St. Louis : Mosby, c1987.</t>
  </si>
  <si>
    <t>1989-08-30</t>
  </si>
  <si>
    <t>6420787:eng</t>
  </si>
  <si>
    <t>15428863</t>
  </si>
  <si>
    <t>991001265019702656</t>
  </si>
  <si>
    <t>2260096440002656</t>
  </si>
  <si>
    <t>9780801613180</t>
  </si>
  <si>
    <t>30001000352478</t>
  </si>
  <si>
    <t>893358402</t>
  </si>
  <si>
    <t>WY 19 D855c 1986</t>
  </si>
  <si>
    <t>0                      WY 0019000D  855c        1986</t>
  </si>
  <si>
    <t>Characteristics of a top-ranked school survey : an evaluation instrument for schools of nursing / Mary E. Duffy.</t>
  </si>
  <si>
    <t>Duffy, Mary Elizabeth, 1942-</t>
  </si>
  <si>
    <t>NLN pub. no. 41-1984</t>
  </si>
  <si>
    <t>1990-02-21</t>
  </si>
  <si>
    <t>1018370024:eng</t>
  </si>
  <si>
    <t>13262555</t>
  </si>
  <si>
    <t>991001390379702656</t>
  </si>
  <si>
    <t>2256094660002656</t>
  </si>
  <si>
    <t>9780887371752</t>
  </si>
  <si>
    <t>30001000464943</t>
  </si>
  <si>
    <t>893741086</t>
  </si>
  <si>
    <t>WY 19 F143 1946</t>
  </si>
  <si>
    <t>0                      WY 0019000F  143         1946</t>
  </si>
  <si>
    <t>Faculty positions in schools of nursing and how to prepare for them / prepared by Committee on Revision of the Faculty Pamphlet.</t>
  </si>
  <si>
    <t>New York : National League for Nursing, 1946.</t>
  </si>
  <si>
    <t>1151019040:eng</t>
  </si>
  <si>
    <t>1053016</t>
  </si>
  <si>
    <t>991001517939702656</t>
  </si>
  <si>
    <t>2270736620002656</t>
  </si>
  <si>
    <t>30001000600314</t>
  </si>
  <si>
    <t>893736675</t>
  </si>
  <si>
    <t>WY 19 G472c 1949</t>
  </si>
  <si>
    <t>0                      WY 0019000G  472c        1949</t>
  </si>
  <si>
    <t>A candle in her hand : a story of the nursing schools of Bellevue Hospital Dorothy Giles.</t>
  </si>
  <si>
    <t>Giles, Dorothy.</t>
  </si>
  <si>
    <t>-- New York : Putnam, c1949.</t>
  </si>
  <si>
    <t>2006-10-11</t>
  </si>
  <si>
    <t>2294149:eng</t>
  </si>
  <si>
    <t>1451801</t>
  </si>
  <si>
    <t>991001042419702656</t>
  </si>
  <si>
    <t>2261033990002656</t>
  </si>
  <si>
    <t>30001000242778</t>
  </si>
  <si>
    <t>893731620</t>
  </si>
  <si>
    <t>WY 19 M135r 1962</t>
  </si>
  <si>
    <t>0                      WY 0019000M  135r        1962</t>
  </si>
  <si>
    <t>Report of a study of accreditation procedures : a survey of materials related to selected baccalaureate basic nursing programs reviewed for NLN accreditation between 1957 and 1960.</t>
  </si>
  <si>
    <t>MacDonald, Gwendoline.</t>
  </si>
  <si>
    <t>NLN pub. no. 15-1029</t>
  </si>
  <si>
    <t>196177864:eng</t>
  </si>
  <si>
    <t>1141809</t>
  </si>
  <si>
    <t>991001364949702656</t>
  </si>
  <si>
    <t>2265028090002656</t>
  </si>
  <si>
    <t>30001000461188</t>
  </si>
  <si>
    <t>893832120</t>
  </si>
  <si>
    <t>WY 19 N688n 1960</t>
  </si>
  <si>
    <t>0                      WY 0019000N  688n        1960</t>
  </si>
  <si>
    <t>The Nightingale Training School, St. Thomas' Hospital, 1860-1960., St. Thomas' Hospital, 1860-1960.</t>
  </si>
  <si>
    <t>Nightingale Training School (London, England).</t>
  </si>
  <si>
    <t>2973768880:eng</t>
  </si>
  <si>
    <t>14614267</t>
  </si>
  <si>
    <t>991001042449702656</t>
  </si>
  <si>
    <t>2266794660002656</t>
  </si>
  <si>
    <t>30001000242786</t>
  </si>
  <si>
    <t>893552091</t>
  </si>
  <si>
    <t>WY 19 P895 1988-89</t>
  </si>
  <si>
    <t>0                      WY 0019000P  895         1988                                        -89</t>
  </si>
  <si>
    <t>Practical nursing career, 1988-89 : information about NLN-accredited schools of practical nursing / Council of Practical Nursing Programs, Division of Research, National League for Nursing.</t>
  </si>
  <si>
    <t>2002-09-30</t>
  </si>
  <si>
    <t>18466825:eng</t>
  </si>
  <si>
    <t>18765749</t>
  </si>
  <si>
    <t>991001446369702656</t>
  </si>
  <si>
    <t>2254759770002656</t>
  </si>
  <si>
    <t>9780887374081</t>
  </si>
  <si>
    <t>30001001610643</t>
  </si>
  <si>
    <t>893741140</t>
  </si>
  <si>
    <t>WY 19 P895 1989-90</t>
  </si>
  <si>
    <t>0                      WY 0019000P  895         1989                                        -90</t>
  </si>
  <si>
    <t>Practical nursing career, 1989-90 : information about NLN-accredited schools of practical nursing / Council of practical nursing programs, Division of Research, National League for Nursing.</t>
  </si>
  <si>
    <t>NLM pub. no. 38-1328.</t>
  </si>
  <si>
    <t>23565655:eng</t>
  </si>
  <si>
    <t>21244851</t>
  </si>
  <si>
    <t>991000221359702656</t>
  </si>
  <si>
    <t>2261876400002656</t>
  </si>
  <si>
    <t>30001001880584</t>
  </si>
  <si>
    <t>893354109</t>
  </si>
  <si>
    <t>WY 19 S797 1985</t>
  </si>
  <si>
    <t>0                      WY 0019000S  797         1985</t>
  </si>
  <si>
    <t>State approved schools of nursing - R.N., 1985 : meeting minimum requirements set by law and board rules in the various jurisdictions.</t>
  </si>
  <si>
    <t>New York : Division of Public Policy and Research, National League for Nursing, 1985.</t>
  </si>
  <si>
    <t>43rd ed.</t>
  </si>
  <si>
    <t>NLN pub. no. 19-1986</t>
  </si>
  <si>
    <t>1993-12-22</t>
  </si>
  <si>
    <t>5601491:eng</t>
  </si>
  <si>
    <t>12729106</t>
  </si>
  <si>
    <t>991001383219702656</t>
  </si>
  <si>
    <t>2262660100002656</t>
  </si>
  <si>
    <t>9780887371783</t>
  </si>
  <si>
    <t>30001000463168</t>
  </si>
  <si>
    <t>893557917</t>
  </si>
  <si>
    <t>WY 19 S989 1983s</t>
  </si>
  <si>
    <t>0                      WY 0019000S  989         1983s</t>
  </si>
  <si>
    <t>Structure to outcome : making it work : papers presented at the First Annual Symposium on Nursing Faculty Practice / sponsored by the American Academy of Nursing ; editor, Kathryn E. Barnard.</t>
  </si>
  <si>
    <t>Symposium on Nursing Faculty Practice (1st : 1983 : Orlando, Fla.)</t>
  </si>
  <si>
    <t>Kansas City, Mo. : American Academy of Nursing, c1983.</t>
  </si>
  <si>
    <t>ANA. G-158</t>
  </si>
  <si>
    <t>1997-11-06</t>
  </si>
  <si>
    <t>3488675:eng</t>
  </si>
  <si>
    <t>10098080</t>
  </si>
  <si>
    <t>991001042509702656</t>
  </si>
  <si>
    <t>2264994220002656</t>
  </si>
  <si>
    <t>30001000242794</t>
  </si>
  <si>
    <t>893278652</t>
  </si>
  <si>
    <t>WY 19 W519n 1950</t>
  </si>
  <si>
    <t>0                      WY 0019000W  519n        1950</t>
  </si>
  <si>
    <t>Nursing schools at the mid-century / a report prepared under the auspices of the Subcommittee on School Data Analysis for the National Committee for the Improvement of Nursing Services, by Margaret West and Christy Hawkins.</t>
  </si>
  <si>
    <t>West, Margaret Despard.</t>
  </si>
  <si>
    <t>New York : National Committee for the Improvement of Nursing Services, 1950.</t>
  </si>
  <si>
    <t>1991-12-06</t>
  </si>
  <si>
    <t>1987-11-10</t>
  </si>
  <si>
    <t>3901130132:eng</t>
  </si>
  <si>
    <t>2004923</t>
  </si>
  <si>
    <t>991000739879702656</t>
  </si>
  <si>
    <t>2258336930002656</t>
  </si>
  <si>
    <t>30001000043119</t>
  </si>
  <si>
    <t>893556952</t>
  </si>
  <si>
    <t>WY 19.4 B116 1966</t>
  </si>
  <si>
    <t>0                      WY 0019400B  116         1966</t>
  </si>
  <si>
    <t>Baccalaureate education for the registered nurse student : proceedings of a Department of Baccalaureate and Higher Degree Programs conference held in St. Louis, Missouri, January 20-21, 1966.</t>
  </si>
  <si>
    <t>NLN pub. no. 15-1236</t>
  </si>
  <si>
    <t>14616118:eng</t>
  </si>
  <si>
    <t>4296272</t>
  </si>
  <si>
    <t>991001365269702656</t>
  </si>
  <si>
    <t>2272421390002656</t>
  </si>
  <si>
    <t>30001000461220</t>
  </si>
  <si>
    <t>893161916</t>
  </si>
  <si>
    <t>WY 20 A172 1975</t>
  </si>
  <si>
    <t>0                      WY 0020000A  172         1975</t>
  </si>
  <si>
    <t>Accountability, accepting the challenge.</t>
  </si>
  <si>
    <t>NLN pub. no. 16-1621</t>
  </si>
  <si>
    <t>4870819:eng</t>
  </si>
  <si>
    <t>2454890</t>
  </si>
  <si>
    <t>991001376319702656</t>
  </si>
  <si>
    <t>2270348230002656</t>
  </si>
  <si>
    <t>30001000462285</t>
  </si>
  <si>
    <t>893465443</t>
  </si>
  <si>
    <t>WY 20 A1721 1977</t>
  </si>
  <si>
    <t>0                      WY 0020000A  1721        1977</t>
  </si>
  <si>
    <t>Accountability : the obligation of the educational institution to the consumer.</t>
  </si>
  <si>
    <t>NLN pub. no. 23-1690</t>
  </si>
  <si>
    <t>132087196:eng</t>
  </si>
  <si>
    <t>3441808</t>
  </si>
  <si>
    <t>991001388139702656</t>
  </si>
  <si>
    <t>2268485700002656</t>
  </si>
  <si>
    <t>30001000464240</t>
  </si>
  <si>
    <t>893649150</t>
  </si>
  <si>
    <t>WY 20 C912e 1978</t>
  </si>
  <si>
    <t>0                      WY 0020000C  912e        1978</t>
  </si>
  <si>
    <t>Effects of external funding on instructional components of baccalaureate and higher degree nursing programs / Nancy S. Creason.</t>
  </si>
  <si>
    <t>Creason, Nancy S.</t>
  </si>
  <si>
    <t>League exchange ; no. 119</t>
  </si>
  <si>
    <t>3858384481:eng</t>
  </si>
  <si>
    <t>4443496</t>
  </si>
  <si>
    <t>991001370879702656</t>
  </si>
  <si>
    <t>2268978910002656</t>
  </si>
  <si>
    <t>30001000461774</t>
  </si>
  <si>
    <t>893284732</t>
  </si>
  <si>
    <t>WY 20 D294 1977</t>
  </si>
  <si>
    <t>0                      WY 0020000D  294         1977</t>
  </si>
  <si>
    <t>Decision making within the academic environment.</t>
  </si>
  <si>
    <t>NLN pub. no. 15-1719</t>
  </si>
  <si>
    <t>14685471:eng</t>
  </si>
  <si>
    <t>4468359</t>
  </si>
  <si>
    <t>991001370799702656</t>
  </si>
  <si>
    <t>2268622790002656</t>
  </si>
  <si>
    <t>30001000461758</t>
  </si>
  <si>
    <t>893741077</t>
  </si>
  <si>
    <t>WY 20 F491 1974</t>
  </si>
  <si>
    <t>0                      WY 0020000F  491         1974</t>
  </si>
  <si>
    <t>Financial management for schools of nursing : papers presented at the 1973-74 regional workshops sponsored by the Council of Diploma Programs held in Cincinnati, Chicago and New York.</t>
  </si>
  <si>
    <t>New York : Dept. of Diploma Programs, National League for Nursing, 1974.</t>
  </si>
  <si>
    <t>NLN pub. no. 16-1549</t>
  </si>
  <si>
    <t>8104565:eng</t>
  </si>
  <si>
    <t>3120126</t>
  </si>
  <si>
    <t>991001376169702656</t>
  </si>
  <si>
    <t>2263976980002656</t>
  </si>
  <si>
    <t>30001000462236</t>
  </si>
  <si>
    <t>893274057</t>
  </si>
  <si>
    <t>WY 20 F559f 2000</t>
  </si>
  <si>
    <t>0                      WY 0020000F  559f        2000</t>
  </si>
  <si>
    <t>Fundraising skills for health care executives / Joyce J. Fitzpatrick, Sandra S. Deller.</t>
  </si>
  <si>
    <t>Fitzpatrick, Joyce J., 1944-</t>
  </si>
  <si>
    <t>New York : Springer Pub., c2000.</t>
  </si>
  <si>
    <t>2003-10-28</t>
  </si>
  <si>
    <t>2003-10-17</t>
  </si>
  <si>
    <t>966457:eng</t>
  </si>
  <si>
    <t>44634317</t>
  </si>
  <si>
    <t>991000359079702656</t>
  </si>
  <si>
    <t>2257292030002656</t>
  </si>
  <si>
    <t>9780826113672</t>
  </si>
  <si>
    <t>30001004218139</t>
  </si>
  <si>
    <t>893461413</t>
  </si>
  <si>
    <t>WY 20 H112p 1978</t>
  </si>
  <si>
    <t>0                      WY 0020000H  112p        1978</t>
  </si>
  <si>
    <t>Political crisis in associate degree nursing education : implications for the college administrator / Patricia T. Haase.</t>
  </si>
  <si>
    <t>Haase, Patricia T.</t>
  </si>
  <si>
    <t>NLN pub. no. 23-1733</t>
  </si>
  <si>
    <t>15267864:eng</t>
  </si>
  <si>
    <t>5102837</t>
  </si>
  <si>
    <t>991001388519702656</t>
  </si>
  <si>
    <t>2269356830002656</t>
  </si>
  <si>
    <t>30001000464349</t>
  </si>
  <si>
    <t>893268423</t>
  </si>
  <si>
    <t>WY 20 L822i 1977</t>
  </si>
  <si>
    <t>0                      WY 0020000L  822i        1977</t>
  </si>
  <si>
    <t>Initiating a master's degree program in nursing : asking the essential questions / Mary P. Lodge.</t>
  </si>
  <si>
    <t>Lodge, Mary P.</t>
  </si>
  <si>
    <t>NLN pub. no. 15-1672</t>
  </si>
  <si>
    <t>9155269:eng</t>
  </si>
  <si>
    <t>3198384</t>
  </si>
  <si>
    <t>991001370639702656</t>
  </si>
  <si>
    <t>2264142780002656</t>
  </si>
  <si>
    <t>30001000461733</t>
  </si>
  <si>
    <t>893816338</t>
  </si>
  <si>
    <t>WY 20 P467 1974</t>
  </si>
  <si>
    <t>0                      WY 0020000P  467         1974</t>
  </si>
  <si>
    <t>Personnel management for schools of nursing : need and process : papers presented at three 1974 workshops of the Department of Diploma Programs held in Omaha, NE, Memphis, TN, and Boston, MA.</t>
  </si>
  <si>
    <t>New York : Dept. of Diploma Programs, National League for Nursing, c1975.</t>
  </si>
  <si>
    <t>NLN pub. no. 16-1575</t>
  </si>
  <si>
    <t>8870555:eng</t>
  </si>
  <si>
    <t>14380735</t>
  </si>
  <si>
    <t>991001376279702656</t>
  </si>
  <si>
    <t>2265187910002656</t>
  </si>
  <si>
    <t>30001000462269</t>
  </si>
  <si>
    <t>893541312</t>
  </si>
  <si>
    <t>WY 20 R745 1977</t>
  </si>
  <si>
    <t>0                      WY 0020000R  745         1977</t>
  </si>
  <si>
    <t>Roles, rights, and responsibilities : the educational administrator's 3 Rs.</t>
  </si>
  <si>
    <t>NLN pub. no. 16-1712</t>
  </si>
  <si>
    <t>14757357:eng</t>
  </si>
  <si>
    <t>4491319</t>
  </si>
  <si>
    <t>991001376429702656</t>
  </si>
  <si>
    <t>2264140530002656</t>
  </si>
  <si>
    <t>30001000462301</t>
  </si>
  <si>
    <t>893632999</t>
  </si>
  <si>
    <t>WY 20 S898 1975</t>
  </si>
  <si>
    <t>0                      WY 0020000S  898         1975</t>
  </si>
  <si>
    <t>Strategies in administration and teaching in associate degree nursing education.</t>
  </si>
  <si>
    <t>NLN pub. no. 23-1630</t>
  </si>
  <si>
    <t>6642881:eng</t>
  </si>
  <si>
    <t>2968328</t>
  </si>
  <si>
    <t>991001387869702656</t>
  </si>
  <si>
    <t>2269057390002656</t>
  </si>
  <si>
    <t>30001000464182</t>
  </si>
  <si>
    <t>893467938</t>
  </si>
  <si>
    <t>WY 20 S914 1976</t>
  </si>
  <si>
    <t>0                      WY 0020000S  914         1976</t>
  </si>
  <si>
    <t>Stress : making it work for you.</t>
  </si>
  <si>
    <t>NLN pub. no. 16-1674</t>
  </si>
  <si>
    <t>1995-11-22</t>
  </si>
  <si>
    <t>46802526:eng</t>
  </si>
  <si>
    <t>28754728</t>
  </si>
  <si>
    <t>991001376379702656</t>
  </si>
  <si>
    <t>2256815200002656</t>
  </si>
  <si>
    <t>30001000462293</t>
  </si>
  <si>
    <t>893121440</t>
  </si>
  <si>
    <t>WY 20.4 M966r 1994</t>
  </si>
  <si>
    <t>0                      WY 0020400M  966r        1994</t>
  </si>
  <si>
    <t>Revisioning phenomenology : nursing and health science research / Patricia L. Munhall.</t>
  </si>
  <si>
    <t>Munhall, Patricia L.</t>
  </si>
  <si>
    <t>NLM pub. no. 41-2545.</t>
  </si>
  <si>
    <t>2007-02-16</t>
  </si>
  <si>
    <t>902260224:eng</t>
  </si>
  <si>
    <t>29844031</t>
  </si>
  <si>
    <t>991000246789702656</t>
  </si>
  <si>
    <t>2268330470002656</t>
  </si>
  <si>
    <t>9780887375972</t>
  </si>
  <si>
    <t>30001002966036</t>
  </si>
  <si>
    <t>893732603</t>
  </si>
  <si>
    <t>WY 20.5 A135b 1965</t>
  </si>
  <si>
    <t>0                      WY 0020500A  135b        1965</t>
  </si>
  <si>
    <t>Better patient care through nursing research / [by] Faye G. Abdellah, Eugene Levine.</t>
  </si>
  <si>
    <t>Abdellah, Faye G.</t>
  </si>
  <si>
    <t>-- New York : Macmillan, 1965.</t>
  </si>
  <si>
    <t>1993-08-31</t>
  </si>
  <si>
    <t>1796921:eng</t>
  </si>
  <si>
    <t>739446</t>
  </si>
  <si>
    <t>991001042679702656</t>
  </si>
  <si>
    <t>2256238430002656</t>
  </si>
  <si>
    <t>30001000242828</t>
  </si>
  <si>
    <t>893455409</t>
  </si>
  <si>
    <t>WY 20.5 A135p 1994</t>
  </si>
  <si>
    <t>0                      WY 0020500A  135p        1994</t>
  </si>
  <si>
    <t>Preparing nursing research for the 21st century : evolution, methodologies, challenges / Faye G. Abdellah, Eugene Levine.</t>
  </si>
  <si>
    <t>New York : Springer Pub., c1994.</t>
  </si>
  <si>
    <t>2008-09-16</t>
  </si>
  <si>
    <t>968092:eng</t>
  </si>
  <si>
    <t>29911903</t>
  </si>
  <si>
    <t>991000677469702656</t>
  </si>
  <si>
    <t>2269813890002656</t>
  </si>
  <si>
    <t>9780826184405</t>
  </si>
  <si>
    <t>30001002696740</t>
  </si>
  <si>
    <t>893825376</t>
  </si>
  <si>
    <t>WY 20.5 A182r 1981</t>
  </si>
  <si>
    <t>0                      WY 0020500A  182r        1981</t>
  </si>
  <si>
    <t>Research methods for nurses / Winona B. Ackerman, Paul R. Lohnes.</t>
  </si>
  <si>
    <t>Ackerman, Winona B.</t>
  </si>
  <si>
    <t>New York : McGraw-Hill, c1981.</t>
  </si>
  <si>
    <t>1992-01-23</t>
  </si>
  <si>
    <t>404613:eng</t>
  </si>
  <si>
    <t>6420884</t>
  </si>
  <si>
    <t>991001042759702656</t>
  </si>
  <si>
    <t>2267363370002656</t>
  </si>
  <si>
    <t>9780070001824</t>
  </si>
  <si>
    <t>30001000242844</t>
  </si>
  <si>
    <t>893743612</t>
  </si>
  <si>
    <t>WY 20.5 A244 1998</t>
  </si>
  <si>
    <t>0                      WY 0020500A  244         1998</t>
  </si>
  <si>
    <t>Advanced design in nursing research / [edited by] Pamela J. Brink, Marilynn J. Wood.</t>
  </si>
  <si>
    <t>Thousand Oaks, Calif. : Sage Publications, c1998.</t>
  </si>
  <si>
    <t>2008-08-27</t>
  </si>
  <si>
    <t>1999-04-15</t>
  </si>
  <si>
    <t>355445496:eng</t>
  </si>
  <si>
    <t>37594182</t>
  </si>
  <si>
    <t>991001549939702656</t>
  </si>
  <si>
    <t>2264239850002656</t>
  </si>
  <si>
    <t>9780803958005</t>
  </si>
  <si>
    <t>30001004071637</t>
  </si>
  <si>
    <t>893834724</t>
  </si>
  <si>
    <t>WY 20.5 A512i 1973</t>
  </si>
  <si>
    <t>0                      WY 0020500A  512i        1973</t>
  </si>
  <si>
    <t>Issues in research: social, professional, and methodological; selected papers from the American Nurses' Association Council of Nurse Researchers Program Meeting, August 22-24, 1973.</t>
  </si>
  <si>
    <t>American Nurses' Association Council of Nurse Researchers Program Meeting (1973 : Denver, Colo.)</t>
  </si>
  <si>
    <t>[Kansas City, Mo., American Nurses' Assn., c1974]</t>
  </si>
  <si>
    <t>ANA pub ; no. D-44</t>
  </si>
  <si>
    <t>1987-12-02</t>
  </si>
  <si>
    <t>2454541:eng</t>
  </si>
  <si>
    <t>5262628</t>
  </si>
  <si>
    <t>991001520739702656</t>
  </si>
  <si>
    <t>2256971210002656</t>
  </si>
  <si>
    <t>30001000602575</t>
  </si>
  <si>
    <t>893451294</t>
  </si>
  <si>
    <t>WY 20.5 A512r 1981</t>
  </si>
  <si>
    <t>0                      WY 0020500A  512r        1981</t>
  </si>
  <si>
    <t>Research priorities for the 1980s : generating a scientific basis for nursing practice.</t>
  </si>
  <si>
    <t>Kansas City, Mo. (2420 Pershing Road, Kansas City, Mo. 64108) : American Nurses' Association, Commission on Nursing Research, c1981.</t>
  </si>
  <si>
    <t>ANA pub ; no. D-68</t>
  </si>
  <si>
    <t>31151901:eng</t>
  </si>
  <si>
    <t>8134214</t>
  </si>
  <si>
    <t>991001519739702656</t>
  </si>
  <si>
    <t>2264700350002656</t>
  </si>
  <si>
    <t>30001000602229</t>
  </si>
  <si>
    <t>893561060</t>
  </si>
  <si>
    <t>WY 20.5 B658 1996</t>
  </si>
  <si>
    <t>0                      WY 0020500B  658         1996</t>
  </si>
  <si>
    <t>Blueprint for use of nursing models / Patricia Hinton Walker, Betty Neuman, editors.</t>
  </si>
  <si>
    <t>NLN pub. no. 14-2696.</t>
  </si>
  <si>
    <t>474177326:eng</t>
  </si>
  <si>
    <t>34699519</t>
  </si>
  <si>
    <t>991000261259702656</t>
  </si>
  <si>
    <t>2261990290002656</t>
  </si>
  <si>
    <t>9780887376566</t>
  </si>
  <si>
    <t>30001003446152</t>
  </si>
  <si>
    <t>893359384</t>
  </si>
  <si>
    <t>WY 20.5 B858b 1994</t>
  </si>
  <si>
    <t>0                      WY 0020500B  858b        1994</t>
  </si>
  <si>
    <t>Basic steps in planning nursing research : from question to proposal / Pamela J. Brink, Marilynn J. Wood.</t>
  </si>
  <si>
    <t>Brink, Pamela J.</t>
  </si>
  <si>
    <t>Boston : Jones and Bartlett Publishers, c1994.</t>
  </si>
  <si>
    <t>The Jones and Bartlett series in nursing</t>
  </si>
  <si>
    <t>2001-04-10</t>
  </si>
  <si>
    <t>1995-02-15</t>
  </si>
  <si>
    <t>9575071:eng</t>
  </si>
  <si>
    <t>29310473</t>
  </si>
  <si>
    <t>991000688809702656</t>
  </si>
  <si>
    <t>2257533280002656</t>
  </si>
  <si>
    <t>9780867206777</t>
  </si>
  <si>
    <t>30001002699728</t>
  </si>
  <si>
    <t>893467515</t>
  </si>
  <si>
    <t>WY 20.5 B967p 1997</t>
  </si>
  <si>
    <t>0                      WY 0020500B  967p        1997</t>
  </si>
  <si>
    <t>The practice of nursing research : conduct, critique &amp; utilization / Nancy Burns, Susan K. Grove.</t>
  </si>
  <si>
    <t>Burns, Nancy (Nancy Ann)</t>
  </si>
  <si>
    <t>2000-09-26</t>
  </si>
  <si>
    <t>429445:eng</t>
  </si>
  <si>
    <t>34824049</t>
  </si>
  <si>
    <t>991000839589702656</t>
  </si>
  <si>
    <t>2262119140002656</t>
  </si>
  <si>
    <t>9780721630540</t>
  </si>
  <si>
    <t>30001003443720</t>
  </si>
  <si>
    <t>893831533</t>
  </si>
  <si>
    <t>WY20.5 B967u 2003</t>
  </si>
  <si>
    <t>0                      WY 0020500B  967u        2003</t>
  </si>
  <si>
    <t>Understanding nursing research / Nancy Burns, Susan K. Grove.</t>
  </si>
  <si>
    <t>Philadelphia, Pa. : Saunders, c2003.</t>
  </si>
  <si>
    <t>2005-02-11</t>
  </si>
  <si>
    <t>2003-06-24</t>
  </si>
  <si>
    <t>197492987:eng</t>
  </si>
  <si>
    <t>50984422</t>
  </si>
  <si>
    <t>991000351539702656</t>
  </si>
  <si>
    <t>2268888080002656</t>
  </si>
  <si>
    <t>9780721600116</t>
  </si>
  <si>
    <t>30001004504819</t>
  </si>
  <si>
    <t>893732803</t>
  </si>
  <si>
    <t>WY 20.5 B978n 1985</t>
  </si>
  <si>
    <t>0                      WY 0020500B  978n        1985</t>
  </si>
  <si>
    <t>Nursing research / Carol T. Bush.</t>
  </si>
  <si>
    <t>Bush, Carol T.</t>
  </si>
  <si>
    <t>1997-04-07</t>
  </si>
  <si>
    <t>3845986:eng</t>
  </si>
  <si>
    <t>11114088</t>
  </si>
  <si>
    <t>991001045009702656</t>
  </si>
  <si>
    <t>2261608310002656</t>
  </si>
  <si>
    <t>9780835950466</t>
  </si>
  <si>
    <t>30001000243982</t>
  </si>
  <si>
    <t>893560842</t>
  </si>
  <si>
    <t>WY 20.5 C353p 1987</t>
  </si>
  <si>
    <t>0                      WY 0020500C  353p        1987</t>
  </si>
  <si>
    <t>Primer of nursing research / Mary Reardon Castles.</t>
  </si>
  <si>
    <t>Castles, Mary Reardon.</t>
  </si>
  <si>
    <t>1991-02-26</t>
  </si>
  <si>
    <t>9863505:eng</t>
  </si>
  <si>
    <t>15654844</t>
  </si>
  <si>
    <t>991001045039702656</t>
  </si>
  <si>
    <t>2261881750002656</t>
  </si>
  <si>
    <t>9780721617138</t>
  </si>
  <si>
    <t>30001000244014</t>
  </si>
  <si>
    <t>893560843</t>
  </si>
  <si>
    <t>WY 20.5 C641 1986</t>
  </si>
  <si>
    <t>0                      WY 0020500C  641         1986</t>
  </si>
  <si>
    <t>Clinical nursing research : a guide to undertaking and using research in nursing practice / edited by Anna Marie Lieske ; [contributors, Jean E. Bartels ... et al.].</t>
  </si>
  <si>
    <t>Rockville, Md. : Aspen Systems Corp., c1986.</t>
  </si>
  <si>
    <t>1998-11-30</t>
  </si>
  <si>
    <t>1990-08-07</t>
  </si>
  <si>
    <t>54757358:eng</t>
  </si>
  <si>
    <t>12695696</t>
  </si>
  <si>
    <t>991001451859702656</t>
  </si>
  <si>
    <t>2264942070002656</t>
  </si>
  <si>
    <t>9780871892515</t>
  </si>
  <si>
    <t>30001001883323</t>
  </si>
  <si>
    <t>893832205</t>
  </si>
  <si>
    <t>WY 20.5 C737 1997</t>
  </si>
  <si>
    <t>0                      WY 0020500C  737         1997</t>
  </si>
  <si>
    <t>Completing a qualitative project : details and dialogue / edited by Janice M. Morse.</t>
  </si>
  <si>
    <t>Thousand Oaks, Calif. : Sage Publications, c1997.</t>
  </si>
  <si>
    <t>2006-09-14</t>
  </si>
  <si>
    <t>1998-02-25</t>
  </si>
  <si>
    <t>837070306:eng</t>
  </si>
  <si>
    <t>36372357</t>
  </si>
  <si>
    <t>991001296309702656</t>
  </si>
  <si>
    <t>2263082530002656</t>
  </si>
  <si>
    <t>9780761906001</t>
  </si>
  <si>
    <t>30001003744119</t>
  </si>
  <si>
    <t>893834632</t>
  </si>
  <si>
    <t>WY 20.5 D389r 1986</t>
  </si>
  <si>
    <t>0                      WY 0020500D  389r        1986</t>
  </si>
  <si>
    <t>The research process in nursing / Patricia Ann Dempsey, Arthur D. Dempsey.</t>
  </si>
  <si>
    <t>Dempsey, Patricia Ann.</t>
  </si>
  <si>
    <t>Boston : Jones and Bartlett, c1986.</t>
  </si>
  <si>
    <t>2868714:eng</t>
  </si>
  <si>
    <t>12665541</t>
  </si>
  <si>
    <t>991000739819702656</t>
  </si>
  <si>
    <t>2271947050002656</t>
  </si>
  <si>
    <t>9780867203509</t>
  </si>
  <si>
    <t>30001000043085</t>
  </si>
  <si>
    <t>893545728</t>
  </si>
  <si>
    <t>WY 20.5 D389r 1992</t>
  </si>
  <si>
    <t>0                      WY 0020500D  389r        1992</t>
  </si>
  <si>
    <t>Nursing research with basic statistical applications / Patricia Ann Dempsey, Arthur D. Dempsey.</t>
  </si>
  <si>
    <t>Boston : Jones and Bartlett, c1992.</t>
  </si>
  <si>
    <t>1998-11-10</t>
  </si>
  <si>
    <t>26918170:eng</t>
  </si>
  <si>
    <t>24871596</t>
  </si>
  <si>
    <t>991001303059702656</t>
  </si>
  <si>
    <t>2263652020002656</t>
  </si>
  <si>
    <t>9780867204490</t>
  </si>
  <si>
    <t>30001002412593</t>
  </si>
  <si>
    <t>893278967</t>
  </si>
  <si>
    <t>WY 20.5 D563r 1979</t>
  </si>
  <si>
    <t>0                      WY 0020500D  563r        1979</t>
  </si>
  <si>
    <t>Research in nursing practice / Donna Diers.</t>
  </si>
  <si>
    <t>Diers, Donna.</t>
  </si>
  <si>
    <t>Philadelphia : Lippincott, c1979.</t>
  </si>
  <si>
    <t>1990-01-16</t>
  </si>
  <si>
    <t>14909369:eng</t>
  </si>
  <si>
    <t>4638285</t>
  </si>
  <si>
    <t>991001045089702656</t>
  </si>
  <si>
    <t>2256040130002656</t>
  </si>
  <si>
    <t>9780397542215</t>
  </si>
  <si>
    <t>30001000244022</t>
  </si>
  <si>
    <t>893377068</t>
  </si>
  <si>
    <t>WY 20.5 E842 1995</t>
  </si>
  <si>
    <t>0                      WY 0020500E  842         1995</t>
  </si>
  <si>
    <t>Ethical guidelines in the conduct, dissemination, and implementation of nursing research / Mary Cipriano Silva.</t>
  </si>
  <si>
    <t>Silva, Mary Cipriano.</t>
  </si>
  <si>
    <t>Washington, DC : American Nurses Publ., c1995.</t>
  </si>
  <si>
    <t>998709:eng</t>
  </si>
  <si>
    <t>32807803</t>
  </si>
  <si>
    <t>991000255919702656</t>
  </si>
  <si>
    <t>2271071100002656</t>
  </si>
  <si>
    <t>9781558101098</t>
  </si>
  <si>
    <t>30001003231349</t>
  </si>
  <si>
    <t>893456494</t>
  </si>
  <si>
    <t>WY 20.5 F162r 1999</t>
  </si>
  <si>
    <t>0                      WY 0020500F  162r        1999</t>
  </si>
  <si>
    <t>Reading, understanding, and applying nursing research : a text and workbook / James A. Fain.</t>
  </si>
  <si>
    <t>Fain, James A., 1953-</t>
  </si>
  <si>
    <t>Philadelphia : F.A. Davis, c1999.</t>
  </si>
  <si>
    <t>408485:eng</t>
  </si>
  <si>
    <t>38121175</t>
  </si>
  <si>
    <t>991001530809702656</t>
  </si>
  <si>
    <t>2264864130002656</t>
  </si>
  <si>
    <t>9780803602274</t>
  </si>
  <si>
    <t>30001003961440</t>
  </si>
  <si>
    <t>893541483</t>
  </si>
  <si>
    <t>WY 20.5 F455n 1985</t>
  </si>
  <si>
    <t>0                      WY 0020500F  455n        1985</t>
  </si>
  <si>
    <t>Nursing research : the application of qualitative approaches / Peggy Anne Field &amp; Janice M. Morse.</t>
  </si>
  <si>
    <t>Field, Peggy-Anne.</t>
  </si>
  <si>
    <t>2000-02-07</t>
  </si>
  <si>
    <t>4909824:eng</t>
  </si>
  <si>
    <t>12162593</t>
  </si>
  <si>
    <t>991001045169702656</t>
  </si>
  <si>
    <t>2258404550002656</t>
  </si>
  <si>
    <t>9780871892379</t>
  </si>
  <si>
    <t>30001000244030</t>
  </si>
  <si>
    <t>893358178</t>
  </si>
  <si>
    <t>WY 20.5 I59 1988</t>
  </si>
  <si>
    <t>0                      WY 0020500I  59          1988</t>
  </si>
  <si>
    <t>Instruments for clinical nursing research / editor, Marilyn Frank-Stromborg.</t>
  </si>
  <si>
    <t>Norwalk, Conn. : Appleton &amp; Lange, c1988.</t>
  </si>
  <si>
    <t>2000-11-07</t>
  </si>
  <si>
    <t>1988-07-19</t>
  </si>
  <si>
    <t>1082551031:eng</t>
  </si>
  <si>
    <t>17618508</t>
  </si>
  <si>
    <t>991001418729702656</t>
  </si>
  <si>
    <t>2260518520002656</t>
  </si>
  <si>
    <t>9780838542965</t>
  </si>
  <si>
    <t>30001001181587</t>
  </si>
  <si>
    <t>893149190</t>
  </si>
  <si>
    <t>WY 20.5 I59 1997</t>
  </si>
  <si>
    <t>0                      WY 0020500I  59          1997</t>
  </si>
  <si>
    <t>Instruments for clinical health-care research / editors, Marilyn Frank-Stromborg, Sharon Olsen ; with foreword by Nola J. Pender.</t>
  </si>
  <si>
    <t>Boston : Jones and Bartlett Publishers, c1997.</t>
  </si>
  <si>
    <t>Jones and Bartlett series in oncology</t>
  </si>
  <si>
    <t>2005-04-19</t>
  </si>
  <si>
    <t>1997-05-12</t>
  </si>
  <si>
    <t>416526510:eng</t>
  </si>
  <si>
    <t>36511846</t>
  </si>
  <si>
    <t>991001060309702656</t>
  </si>
  <si>
    <t>2267206550002656</t>
  </si>
  <si>
    <t>9780763703165</t>
  </si>
  <si>
    <t>30001003589605</t>
  </si>
  <si>
    <t>893826419</t>
  </si>
  <si>
    <t>WY 20.5 I61 1987n</t>
  </si>
  <si>
    <t>0                      WY 0020500I  61          1987n</t>
  </si>
  <si>
    <t>Nursing advances in health : models, methods, and applications : 1987 International Nursing Research Conference abstracts.</t>
  </si>
  <si>
    <t>International Nursing Research Conference (1987 : Arlington, Va.)</t>
  </si>
  <si>
    <t>Kansas City, Mo. : American Nurses' Association, c1987.</t>
  </si>
  <si>
    <t>D-91 1.5M</t>
  </si>
  <si>
    <t>1989-02-09</t>
  </si>
  <si>
    <t>11914985:eng</t>
  </si>
  <si>
    <t>17604790</t>
  </si>
  <si>
    <t>991001179559702656</t>
  </si>
  <si>
    <t>2255232370002656</t>
  </si>
  <si>
    <t>30001000976698</t>
  </si>
  <si>
    <t>893740844</t>
  </si>
  <si>
    <t>WY20.5 I619 2004</t>
  </si>
  <si>
    <t>0                      WY 0020500I  619         2004</t>
  </si>
  <si>
    <t>Internet for nursing research : a guide to strategies, skills, and resources / Joyce J. Fitzpatrick, Kristen S. Montgomery, editors.</t>
  </si>
  <si>
    <t>New York, NY : Springer Pub., c2004.</t>
  </si>
  <si>
    <t>2005-02-01</t>
  </si>
  <si>
    <t>2005-01-14</t>
  </si>
  <si>
    <t>800708526:eng</t>
  </si>
  <si>
    <t>55990253</t>
  </si>
  <si>
    <t>991001731979702656</t>
  </si>
  <si>
    <t>2255514410002656</t>
  </si>
  <si>
    <t>9780826145451</t>
  </si>
  <si>
    <t>30001004926442</t>
  </si>
  <si>
    <t>893732248</t>
  </si>
  <si>
    <t>WY 20.5 I86 1979</t>
  </si>
  <si>
    <t>0                      WY 0020500I  86          1979</t>
  </si>
  <si>
    <t>Issues in nursing research / Florence S. Downs, Juanita W. Fleming ; [contributors, Virginia S. Cleland et al.].</t>
  </si>
  <si>
    <t>14777620:eng</t>
  </si>
  <si>
    <t>4497198</t>
  </si>
  <si>
    <t>991001045269702656</t>
  </si>
  <si>
    <t>2266967100002656</t>
  </si>
  <si>
    <t>9780838544365</t>
  </si>
  <si>
    <t>30001000244063</t>
  </si>
  <si>
    <t>893743614</t>
  </si>
  <si>
    <t>WY 20.5 K67q 1998</t>
  </si>
  <si>
    <t>0                      WY 0020500K  67q         1998</t>
  </si>
  <si>
    <t>Quantitative nursing research / Thomas R. Knapp.</t>
  </si>
  <si>
    <t>Knapp, Thomas R., 1930-</t>
  </si>
  <si>
    <t>590904:eng</t>
  </si>
  <si>
    <t>37947196</t>
  </si>
  <si>
    <t>991001441159702656</t>
  </si>
  <si>
    <t>2268336550002656</t>
  </si>
  <si>
    <t>9780761913627</t>
  </si>
  <si>
    <t>30001003882158</t>
  </si>
  <si>
    <t>893274179</t>
  </si>
  <si>
    <t>WY 20.5 M425c 1991</t>
  </si>
  <si>
    <t>0                      WY 0020500M  425c        1991</t>
  </si>
  <si>
    <t>Conducting and using nursing research in the clinical setting / Magdalena A. Mateo, Karin T. Kirchhoff.</t>
  </si>
  <si>
    <t>Mateo, Magdalena A.</t>
  </si>
  <si>
    <t>Baltimore : Williams &amp; Wilkins, c1991.</t>
  </si>
  <si>
    <t>2000-10-11</t>
  </si>
  <si>
    <t>1991-03-02</t>
  </si>
  <si>
    <t>3856384512:eng</t>
  </si>
  <si>
    <t>21482261</t>
  </si>
  <si>
    <t>991000823729702656</t>
  </si>
  <si>
    <t>2257329890002656</t>
  </si>
  <si>
    <t>9780683056235</t>
  </si>
  <si>
    <t>30001002088195</t>
  </si>
  <si>
    <t>893825921</t>
  </si>
  <si>
    <t>WY 20.5 M478a 1990</t>
  </si>
  <si>
    <t>0                      WY 0020500M  478a        1990</t>
  </si>
  <si>
    <t>Advanced nursing and health care research : quantification approaches / Frank E. McLaughlin, Leonard A. Marascuilo.</t>
  </si>
  <si>
    <t>McLaughlin, Frank E.</t>
  </si>
  <si>
    <t>1990-08-16</t>
  </si>
  <si>
    <t>836787042:eng</t>
  </si>
  <si>
    <t>20894537</t>
  </si>
  <si>
    <t>991001453279702656</t>
  </si>
  <si>
    <t>2267254010002656</t>
  </si>
  <si>
    <t>9780721630984</t>
  </si>
  <si>
    <t>30001001883984</t>
  </si>
  <si>
    <t>893374600</t>
  </si>
  <si>
    <t>WY 20.5 M966q 2000</t>
  </si>
  <si>
    <t>0                      WY 0020500M  966q        2000</t>
  </si>
  <si>
    <t>Qualitative research proposals and reports : a guide / Patricia L. Munhall.</t>
  </si>
  <si>
    <t>NLN Pub. No. 14-1713</t>
  </si>
  <si>
    <t>2010-04-09</t>
  </si>
  <si>
    <t>2002-05-29</t>
  </si>
  <si>
    <t>31964647:eng</t>
  </si>
  <si>
    <t>43599088</t>
  </si>
  <si>
    <t>991000295839702656</t>
  </si>
  <si>
    <t>2266594670002656</t>
  </si>
  <si>
    <t>9780763711719</t>
  </si>
  <si>
    <t>30001003783976</t>
  </si>
  <si>
    <t>893163205</t>
  </si>
  <si>
    <t>WY 20.5 N676f 1998</t>
  </si>
  <si>
    <t>0                      WY 0020500N  676f        1998</t>
  </si>
  <si>
    <t>Foundations of nursing research / Rose Marie Nieswiadomy.</t>
  </si>
  <si>
    <t>Nieswiadomy, Rose Marie.</t>
  </si>
  <si>
    <t>1999-04-20</t>
  </si>
  <si>
    <t>632486:eng</t>
  </si>
  <si>
    <t>37553768</t>
  </si>
  <si>
    <t>991001572949702656</t>
  </si>
  <si>
    <t>2258832580002656</t>
  </si>
  <si>
    <t>9780838526965</t>
  </si>
  <si>
    <t>30001004071256</t>
  </si>
  <si>
    <t>893374748</t>
  </si>
  <si>
    <t>WY20.5 N676f 2002</t>
  </si>
  <si>
    <t>0                      WY 0020500N  676f        2002</t>
  </si>
  <si>
    <t>Upper Saddle River, N.J. : Prentice Hall, c2002.</t>
  </si>
  <si>
    <t>2005-04-27</t>
  </si>
  <si>
    <t>47013919</t>
  </si>
  <si>
    <t>991001711199702656</t>
  </si>
  <si>
    <t>2255258180002656</t>
  </si>
  <si>
    <t>9780130339911</t>
  </si>
  <si>
    <t>30001004236321</t>
  </si>
  <si>
    <t>893558134</t>
  </si>
  <si>
    <t>WY 20.5 N9734 1997</t>
  </si>
  <si>
    <t>0                      WY 0020500N  9734        1997</t>
  </si>
  <si>
    <t>Nursing outcomes classification (NOC) : Iowa outcomes project / editors, Marion Johnson, Meridean Maas.</t>
  </si>
  <si>
    <t>1998-09-10</t>
  </si>
  <si>
    <t>1998-07-29</t>
  </si>
  <si>
    <t>10677896797:eng</t>
  </si>
  <si>
    <t>36051975</t>
  </si>
  <si>
    <t>991001568769702656</t>
  </si>
  <si>
    <t>2263824560002656</t>
  </si>
  <si>
    <t>9780815145462</t>
  </si>
  <si>
    <t>30001004091015</t>
  </si>
  <si>
    <t>893268652</t>
  </si>
  <si>
    <t>WY 20.5 N974 1993</t>
  </si>
  <si>
    <t>0                      WY 0020500N  974         1993</t>
  </si>
  <si>
    <t>The Nursing of families : theory, research, education, practice / Suzanne L. Feetham ... [et al.].</t>
  </si>
  <si>
    <t>Newbury Park, Calif. : Sage Publications, c1992.</t>
  </si>
  <si>
    <t>1992-11-19</t>
  </si>
  <si>
    <t>1992-10-20</t>
  </si>
  <si>
    <t>890599913:eng</t>
  </si>
  <si>
    <t>26401133</t>
  </si>
  <si>
    <t>991001343439702656</t>
  </si>
  <si>
    <t>2265258020002656</t>
  </si>
  <si>
    <t>9780803942806</t>
  </si>
  <si>
    <t>30001002456400</t>
  </si>
  <si>
    <t>893149105</t>
  </si>
  <si>
    <t>WY 20.5 N9746 1986</t>
  </si>
  <si>
    <t>0                      WY 0020500N  9746        1986</t>
  </si>
  <si>
    <t>Nursing research methodology : issues and implementation / edited by Peggy L. Chinn.</t>
  </si>
  <si>
    <t>Rockville, Md. : Aspen Publishers, c1986.</t>
  </si>
  <si>
    <t>2000-03-20</t>
  </si>
  <si>
    <t>7360943:eng</t>
  </si>
  <si>
    <t>13525738</t>
  </si>
  <si>
    <t>991001045399702656</t>
  </si>
  <si>
    <t>2262051160002656</t>
  </si>
  <si>
    <t>9780871893734</t>
  </si>
  <si>
    <t>30001000244139</t>
  </si>
  <si>
    <t>893820880</t>
  </si>
  <si>
    <t>WY 20.5 P561c 1986</t>
  </si>
  <si>
    <t>0                      WY 0020500P  561c        1986</t>
  </si>
  <si>
    <t>A clinician's guide to the critique and utilization of nursing research / Linda R. Fraelich Phillips ; with the contributions of Carolyn Murdaugh, Mary Ann Schroeder, Laura W. MacLachlan.</t>
  </si>
  <si>
    <t>Phillips, Linda Ree Fraelich, 1945-</t>
  </si>
  <si>
    <t>Norwalk, Conn. : Appleton-Century-Crofts, c1986.</t>
  </si>
  <si>
    <t>4962190:eng</t>
  </si>
  <si>
    <t>12314389</t>
  </si>
  <si>
    <t>991000739569702656</t>
  </si>
  <si>
    <t>2271461490002656</t>
  </si>
  <si>
    <t>9780838511626</t>
  </si>
  <si>
    <t>30001000043028</t>
  </si>
  <si>
    <t>893464601</t>
  </si>
  <si>
    <t>WY 20.5 P769e 1997</t>
  </si>
  <si>
    <t>0                      WY 0020500P  769e        1997</t>
  </si>
  <si>
    <t>Essentials of nursing research : methods, appraisals, and utilization / Denise F. Polit, Bernadette P. Hungler.</t>
  </si>
  <si>
    <t>Polit, Denise F.</t>
  </si>
  <si>
    <t>Philadelphia, Pa. : Lippincott-Raven, c1997.</t>
  </si>
  <si>
    <t>2005-10-28</t>
  </si>
  <si>
    <t>766871:eng</t>
  </si>
  <si>
    <t>34958875</t>
  </si>
  <si>
    <t>991000839239702656</t>
  </si>
  <si>
    <t>2254942300002656</t>
  </si>
  <si>
    <t>9780397553686</t>
  </si>
  <si>
    <t>30001003443639</t>
  </si>
  <si>
    <t>893283916</t>
  </si>
  <si>
    <t>WY 20.5 P769e 2006</t>
  </si>
  <si>
    <t>0                      WY 0020500P  769e        2006</t>
  </si>
  <si>
    <t>Essentials of nursing research : methods, appraisal, and utilization / Denise F. Polit, Cheryl Tatano Beck.</t>
  </si>
  <si>
    <t>Philadelphia : Lippincott Williams &amp; Wilkins, c2006.</t>
  </si>
  <si>
    <t>2007-07-24</t>
  </si>
  <si>
    <t>2006-02-23</t>
  </si>
  <si>
    <t>57123679</t>
  </si>
  <si>
    <t>991001735649702656</t>
  </si>
  <si>
    <t>2269244780002656</t>
  </si>
  <si>
    <t>9780781749725</t>
  </si>
  <si>
    <t>30001004912319</t>
  </si>
  <si>
    <t>893121797</t>
  </si>
  <si>
    <t>WY 20.5 P769n 1995</t>
  </si>
  <si>
    <t>0                      WY 0020500P  769n        1995</t>
  </si>
  <si>
    <t>Nursing research : principles and methods / Denise F. Polit, Bernadette P. Hungler.</t>
  </si>
  <si>
    <t>2002-12-13</t>
  </si>
  <si>
    <t>1995-01-19</t>
  </si>
  <si>
    <t>4146083989:eng</t>
  </si>
  <si>
    <t>30894274</t>
  </si>
  <si>
    <t>991000685579702656</t>
  </si>
  <si>
    <t>2271614580002656</t>
  </si>
  <si>
    <t>9780397551385</t>
  </si>
  <si>
    <t>30001002698845</t>
  </si>
  <si>
    <t>893459689</t>
  </si>
  <si>
    <t>WY 20.5 P769n 1995 Suppl.</t>
  </si>
  <si>
    <t>0                      WY 0020500P  769n        1995                                        Suppl.</t>
  </si>
  <si>
    <t>Study guide for Nursing research, principles and methods, fifth edition / Denise F. Polit, Bernadette P. Hungler.</t>
  </si>
  <si>
    <t>1999-09-22</t>
  </si>
  <si>
    <t>1996-10-22</t>
  </si>
  <si>
    <t>5612256349:eng</t>
  </si>
  <si>
    <t>32052703</t>
  </si>
  <si>
    <t>991000848979702656</t>
  </si>
  <si>
    <t>2267383440002656</t>
  </si>
  <si>
    <t>9780397551392</t>
  </si>
  <si>
    <t>30001003473040</t>
  </si>
  <si>
    <t>893374002</t>
  </si>
  <si>
    <t>WY 20.5 P769n 1999</t>
  </si>
  <si>
    <t>0                      WY 0020500P  769n        1999</t>
  </si>
  <si>
    <t>Philadelphia : Lippincott, c1999.</t>
  </si>
  <si>
    <t>2003-02-02</t>
  </si>
  <si>
    <t>1998-12-17</t>
  </si>
  <si>
    <t>39655929</t>
  </si>
  <si>
    <t>991001806579702656</t>
  </si>
  <si>
    <t>2265516430002656</t>
  </si>
  <si>
    <t>9780781715621</t>
  </si>
  <si>
    <t>30001004037893</t>
  </si>
  <si>
    <t>893163037</t>
  </si>
  <si>
    <t>WY20.5 P769n 2004</t>
  </si>
  <si>
    <t>0                      WY 0020500P  769n        2004</t>
  </si>
  <si>
    <t>Nursing research : principles and methods / Denise F. Polit, Cheryl Tatano Beck.</t>
  </si>
  <si>
    <t>2006-10-31</t>
  </si>
  <si>
    <t>2006-02-02</t>
  </si>
  <si>
    <t>51304384</t>
  </si>
  <si>
    <t>991000462279702656</t>
  </si>
  <si>
    <t>2254783770002656</t>
  </si>
  <si>
    <t>9780781737333</t>
  </si>
  <si>
    <t>30001004911881</t>
  </si>
  <si>
    <t>893354377</t>
  </si>
  <si>
    <t>WY 20.5 P791f 1982</t>
  </si>
  <si>
    <t>0                      WY 0020500P  791f        1982</t>
  </si>
  <si>
    <t>Fundamentals of research in nursing / David J. Fox.</t>
  </si>
  <si>
    <t>Fox, David J.</t>
  </si>
  <si>
    <t>New York : Appleton-Century-Crofts, c1982.</t>
  </si>
  <si>
    <t>1994-11-26</t>
  </si>
  <si>
    <t>1295735:eng</t>
  </si>
  <si>
    <t>7946521</t>
  </si>
  <si>
    <t>991000739759702656</t>
  </si>
  <si>
    <t>2264065300002656</t>
  </si>
  <si>
    <t>9780838527979</t>
  </si>
  <si>
    <t>30001000043069</t>
  </si>
  <si>
    <t>893731035</t>
  </si>
  <si>
    <t>WY 20.5 Q12 1992</t>
  </si>
  <si>
    <t>0                      WY 0020500Q  12          1992</t>
  </si>
  <si>
    <t>Qualitative health research / [edited by] Janice M. Morse.</t>
  </si>
  <si>
    <t>Newbury Park, Calif. : SAGE Publications, c1992.</t>
  </si>
  <si>
    <t>2001-11-29</t>
  </si>
  <si>
    <t>54919981:eng</t>
  </si>
  <si>
    <t>26097683</t>
  </si>
  <si>
    <t>991001342649702656</t>
  </si>
  <si>
    <t>2268828420002656</t>
  </si>
  <si>
    <t>9780803947740</t>
  </si>
  <si>
    <t>30001002456343</t>
  </si>
  <si>
    <t>893743749</t>
  </si>
  <si>
    <t>WY 20.5 Q15 1985</t>
  </si>
  <si>
    <t>0                      WY 0020500Q  15          1985</t>
  </si>
  <si>
    <t>Qualitative research methods in nursing / edited by Madeleine M. Leininger.</t>
  </si>
  <si>
    <t>Orlando, Fla. : Grune &amp; Stratton, c1985.</t>
  </si>
  <si>
    <t>2009-10-19</t>
  </si>
  <si>
    <t>54643329:eng</t>
  </si>
  <si>
    <t>10780707</t>
  </si>
  <si>
    <t>991001045509702656</t>
  </si>
  <si>
    <t>2263845000002656</t>
  </si>
  <si>
    <t>9780808916765</t>
  </si>
  <si>
    <t>30001000244196</t>
  </si>
  <si>
    <t>893369059</t>
  </si>
  <si>
    <t>WY 20.5 R287 1981</t>
  </si>
  <si>
    <t>0                      WY 0020500R  287         1981</t>
  </si>
  <si>
    <t>Readings for nursing research / edited by Sydney D. Krampitz, Natalie Pavlovich.</t>
  </si>
  <si>
    <t>1994-10-25</t>
  </si>
  <si>
    <t>355447346:eng</t>
  </si>
  <si>
    <t>6486875</t>
  </si>
  <si>
    <t>991001045589702656</t>
  </si>
  <si>
    <t>2271861600002656</t>
  </si>
  <si>
    <t>9780801627477</t>
  </si>
  <si>
    <t>30001000244204</t>
  </si>
  <si>
    <t>893278654</t>
  </si>
  <si>
    <t>WY 20.5 R432 1981</t>
  </si>
  <si>
    <t>0                      WY 0020500R  432         1981</t>
  </si>
  <si>
    <t>Research methodology and its application to nursing / edited by Yvonne M. Williamson.</t>
  </si>
  <si>
    <t>New York : Wiley, c1981.</t>
  </si>
  <si>
    <t>2000-10-29</t>
  </si>
  <si>
    <t>24386739:eng</t>
  </si>
  <si>
    <t>6789670</t>
  </si>
  <si>
    <t>991001045549702656</t>
  </si>
  <si>
    <t>2267837680002656</t>
  </si>
  <si>
    <t>9780471033134</t>
  </si>
  <si>
    <t>30001000244212</t>
  </si>
  <si>
    <t>893816063</t>
  </si>
  <si>
    <t>WY 20.5 R639n 1989</t>
  </si>
  <si>
    <t>0                      WY 0020500R  639n        1989</t>
  </si>
  <si>
    <t>Nursing research : a quantitative and qualitative approach / Carol A. Roberts, Sharon Ogden Burke.</t>
  </si>
  <si>
    <t>Roberts, Carol A.</t>
  </si>
  <si>
    <t>Boston : Jones and Bartlett, c1989.</t>
  </si>
  <si>
    <t>1998-12-01</t>
  </si>
  <si>
    <t>1989-07-07</t>
  </si>
  <si>
    <t>431810480:eng</t>
  </si>
  <si>
    <t>18833804</t>
  </si>
  <si>
    <t>991001310809702656</t>
  </si>
  <si>
    <t>2255514910002656</t>
  </si>
  <si>
    <t>9780867204155</t>
  </si>
  <si>
    <t>30001001750803</t>
  </si>
  <si>
    <t>893460461</t>
  </si>
  <si>
    <t>WY 20.5 R728i 1970</t>
  </si>
  <si>
    <t>0                      WY 0020500R  728i        1970</t>
  </si>
  <si>
    <t>An introduction to the theoretical basis of nursing / by Martha E. Rogers.</t>
  </si>
  <si>
    <t>Philadelphia : F.A. Davis Co., 1970.</t>
  </si>
  <si>
    <t>Nursing science ; 1</t>
  </si>
  <si>
    <t>455893:eng</t>
  </si>
  <si>
    <t>66304</t>
  </si>
  <si>
    <t>991001045639702656</t>
  </si>
  <si>
    <t>2258659610002656</t>
  </si>
  <si>
    <t>30001000244220</t>
  </si>
  <si>
    <t>893284346</t>
  </si>
  <si>
    <t>WY 20.5 S322r 1984</t>
  </si>
  <si>
    <t>0                      WY 0020500S  322r        1984</t>
  </si>
  <si>
    <t>Research methods in nursing and health / Sonya Iverson Shelley.</t>
  </si>
  <si>
    <t>Shelley, Sonya Iverson.</t>
  </si>
  <si>
    <t>Boston : Little, Brown, c1984.</t>
  </si>
  <si>
    <t>1997-11-12</t>
  </si>
  <si>
    <t>3154643:eng</t>
  </si>
  <si>
    <t>10674851</t>
  </si>
  <si>
    <t>991001045679702656</t>
  </si>
  <si>
    <t>2269813290002656</t>
  </si>
  <si>
    <t>9780316784740</t>
  </si>
  <si>
    <t>30001000244238</t>
  </si>
  <si>
    <t>893834543</t>
  </si>
  <si>
    <t>WY 20.5 S438r 1982</t>
  </si>
  <si>
    <t>0                      WY 0020500S  438r        1982</t>
  </si>
  <si>
    <t>Research methods for undergraduate students in nursing / Catherine C.H. Seaman, Phyllis J. Verhonick.</t>
  </si>
  <si>
    <t>Seaman, Catherine H. C.</t>
  </si>
  <si>
    <t>1994-11-22</t>
  </si>
  <si>
    <t>2564853761:eng</t>
  </si>
  <si>
    <t>7998968</t>
  </si>
  <si>
    <t>991001045709702656</t>
  </si>
  <si>
    <t>2259604060002656</t>
  </si>
  <si>
    <t>9780838584095</t>
  </si>
  <si>
    <t>30001000244246</t>
  </si>
  <si>
    <t>893450805</t>
  </si>
  <si>
    <t>WY 20.5 S438r 1987</t>
  </si>
  <si>
    <t>0                      WY 0020500S  438r        1987</t>
  </si>
  <si>
    <t>Research methods : principles, practice, and theory for nursing / Catherine H.C. Seaman.</t>
  </si>
  <si>
    <t>Norwalk, Conn. : Appleton-Century-Crofts, c1987.</t>
  </si>
  <si>
    <t>1998-11-23</t>
  </si>
  <si>
    <t>836692433:eng</t>
  </si>
  <si>
    <t>14818308</t>
  </si>
  <si>
    <t>991000739489702656</t>
  </si>
  <si>
    <t>2259424100002656</t>
  </si>
  <si>
    <t>9780838582756</t>
  </si>
  <si>
    <t>30001000042996</t>
  </si>
  <si>
    <t>893631951</t>
  </si>
  <si>
    <t>WY 20.5 S724 1984</t>
  </si>
  <si>
    <t>0                      WY 0020500S  724         1984</t>
  </si>
  <si>
    <t>A Source book of nursing research.</t>
  </si>
  <si>
    <t>Philadelphia : Davis, c1984.</t>
  </si>
  <si>
    <t>Ed. 3 / [compiled by] Florence S. Downs.</t>
  </si>
  <si>
    <t>1993-02-05</t>
  </si>
  <si>
    <t>1990-05-31</t>
  </si>
  <si>
    <t>1641136:eng</t>
  </si>
  <si>
    <t>9683417</t>
  </si>
  <si>
    <t>991000739389702656</t>
  </si>
  <si>
    <t>2262432000002656</t>
  </si>
  <si>
    <t>9780803627925</t>
  </si>
  <si>
    <t>30001000042970</t>
  </si>
  <si>
    <t>893464600</t>
  </si>
  <si>
    <t>WY 20.5 S797 1985</t>
  </si>
  <si>
    <t>0                      WY 0020500S  797         1985</t>
  </si>
  <si>
    <t>Statistics and quantitative methods in nursing : issues and strategies for research and education / Ivo L. Abraham, Deborah M. Nadzam, Joyce J. Fitzpatrick.</t>
  </si>
  <si>
    <t>Philadelphia : Saunders, c1989.</t>
  </si>
  <si>
    <t>1998-02-13</t>
  </si>
  <si>
    <t>1989-12-07</t>
  </si>
  <si>
    <t>431942059:eng</t>
  </si>
  <si>
    <t>19325399</t>
  </si>
  <si>
    <t>991001378879702656</t>
  </si>
  <si>
    <t>2265484110002656</t>
  </si>
  <si>
    <t>9780721622248</t>
  </si>
  <si>
    <t>30001001798521</t>
  </si>
  <si>
    <t>893826691</t>
  </si>
  <si>
    <t>WY20.5 S876c 2004</t>
  </si>
  <si>
    <t>0                      WY 0020500S  876c        2004</t>
  </si>
  <si>
    <t>Clinical research : concepts and principles for advanced practice nurses / Manfred Stommel, Celia E. Wills.</t>
  </si>
  <si>
    <t>Stommel, Manfred.</t>
  </si>
  <si>
    <t>2007-05-23</t>
  </si>
  <si>
    <t>2004-02-24</t>
  </si>
  <si>
    <t>766503:eng</t>
  </si>
  <si>
    <t>52041429</t>
  </si>
  <si>
    <t>991000366489702656</t>
  </si>
  <si>
    <t>2258841820002656</t>
  </si>
  <si>
    <t>9780781735186</t>
  </si>
  <si>
    <t>30001004509354</t>
  </si>
  <si>
    <t>893365369</t>
  </si>
  <si>
    <t>WY20.5 S915q 2003</t>
  </si>
  <si>
    <t>0                      WY 0020500S  915q        2003</t>
  </si>
  <si>
    <t>Qualitative research in nursing : advancing the humanistic imperative / Helen J. Streubert Speziale, Dona R. Carpenter.</t>
  </si>
  <si>
    <t>Speziale, Helen Streubert.</t>
  </si>
  <si>
    <t>Philadelphia, PA : Lippincott Williams &amp; Wilkins, c2003.</t>
  </si>
  <si>
    <t>2003-06-10</t>
  </si>
  <si>
    <t>1049779:eng</t>
  </si>
  <si>
    <t>49679624</t>
  </si>
  <si>
    <t>991000349649702656</t>
  </si>
  <si>
    <t>2264218520002656</t>
  </si>
  <si>
    <t>9780781734837</t>
  </si>
  <si>
    <t>30001004501351</t>
  </si>
  <si>
    <t>893737252</t>
  </si>
  <si>
    <t>WY 20.5 T441 1967</t>
  </si>
  <si>
    <t>0                      WY 0020500T  441         1967</t>
  </si>
  <si>
    <t>Guidelines for research in clinical nursing / Lorna W. Thigpen.</t>
  </si>
  <si>
    <t>Thigpen, Lorna Woodward, 1904-</t>
  </si>
  <si>
    <t>New York : National League for Nursing, Division of Nursing Education, 1967.</t>
  </si>
  <si>
    <t>League exchange, no. 81</t>
  </si>
  <si>
    <t>1780540483:eng</t>
  </si>
  <si>
    <t>1268967</t>
  </si>
  <si>
    <t>991001362549702656</t>
  </si>
  <si>
    <t>2260202800002656</t>
  </si>
  <si>
    <t>30001000460966</t>
  </si>
  <si>
    <t>893546627</t>
  </si>
  <si>
    <t>WY 20.5 U85 1983</t>
  </si>
  <si>
    <t>0                      WY 0020500U  85          1983</t>
  </si>
  <si>
    <t>Using research to improve nursing practice, a guide / CURN Project ; principal investigator, Jo Anne Horsley ; the manuscript for this book was prepared by Jo Anne Horsley ... [et al.].</t>
  </si>
  <si>
    <t>New York : Grune &amp; Stratton, c1983.</t>
  </si>
  <si>
    <t>Using research to improve nursing practice</t>
  </si>
  <si>
    <t>2000-08-25</t>
  </si>
  <si>
    <t>1991-11-25</t>
  </si>
  <si>
    <t>375444752:eng</t>
  </si>
  <si>
    <t>8785972</t>
  </si>
  <si>
    <t>991001181979702656</t>
  </si>
  <si>
    <t>2266775070002656</t>
  </si>
  <si>
    <t>9780808915102</t>
  </si>
  <si>
    <t>30001002313155</t>
  </si>
  <si>
    <t>893552207</t>
  </si>
  <si>
    <t>WY 20.5 U85t 1989</t>
  </si>
  <si>
    <t>0                      WY 0020500U  85t         1989</t>
  </si>
  <si>
    <t>Using nursing research / editors : Christine A. Tanner, Carol A. Lindeman.</t>
  </si>
  <si>
    <t>NLN pub. no. 15-2232</t>
  </si>
  <si>
    <t>1994-11-08</t>
  </si>
  <si>
    <t>1989-08-21</t>
  </si>
  <si>
    <t>426748864:eng</t>
  </si>
  <si>
    <t>22547127</t>
  </si>
  <si>
    <t>991001313619702656</t>
  </si>
  <si>
    <t>2265310430002656</t>
  </si>
  <si>
    <t>9780887374142</t>
  </si>
  <si>
    <t>30001001751934</t>
  </si>
  <si>
    <t>893369313</t>
  </si>
  <si>
    <t>WY 20.5 V915m 1984</t>
  </si>
  <si>
    <t>0                      WY 0020500V  915m        1984</t>
  </si>
  <si>
    <t>Multivariate statistics for nursing research / Beverly J. Volicer.</t>
  </si>
  <si>
    <t>Volicer, Beverly J.</t>
  </si>
  <si>
    <t>Orlando : Grune &amp; Stratton, c1984.</t>
  </si>
  <si>
    <t>3805267:eng</t>
  </si>
  <si>
    <t>10299788</t>
  </si>
  <si>
    <t>991001044489702656</t>
  </si>
  <si>
    <t>2269033890002656</t>
  </si>
  <si>
    <t>9780808916390</t>
  </si>
  <si>
    <t>30001000243537</t>
  </si>
  <si>
    <t>893284344</t>
  </si>
  <si>
    <t>WY 20.5 W241n 1981</t>
  </si>
  <si>
    <t>0                      WY 0020500W  241n        1981</t>
  </si>
  <si>
    <t>Nursing research : design, statistics, and computer analysis / Carolyn Feher Waltz, R. Barker Bausell.</t>
  </si>
  <si>
    <t>Waltz, Carolyn Feher.</t>
  </si>
  <si>
    <t>Philadelphia : Davis, c1981.</t>
  </si>
  <si>
    <t>426881088:eng</t>
  </si>
  <si>
    <t>6532273</t>
  </si>
  <si>
    <t>991000739279702656</t>
  </si>
  <si>
    <t>2255131680002656</t>
  </si>
  <si>
    <t>9780803690400</t>
  </si>
  <si>
    <t>30001000042939</t>
  </si>
  <si>
    <t>893160973</t>
  </si>
  <si>
    <t>WY 20.5 W896n 1988</t>
  </si>
  <si>
    <t>0                      WY 0020500W  896n        1988</t>
  </si>
  <si>
    <t>Nursing research : a learning resource / Nancy Fugate Woods.</t>
  </si>
  <si>
    <t>Woods, Nancy Fugate.</t>
  </si>
  <si>
    <t>St. Louis : Mosby, c1988.</t>
  </si>
  <si>
    <t>1988-07-07</t>
  </si>
  <si>
    <t>2260878069:eng</t>
  </si>
  <si>
    <t>17289132</t>
  </si>
  <si>
    <t>991001417259702656</t>
  </si>
  <si>
    <t>2261717790002656</t>
  </si>
  <si>
    <t>9780801657054</t>
  </si>
  <si>
    <t>30001001181116</t>
  </si>
  <si>
    <t>893284788</t>
  </si>
  <si>
    <t>WY 21 AA1 J7f 1994</t>
  </si>
  <si>
    <t>0                      WY 0021000AA 1                  J  7f          1994</t>
  </si>
  <si>
    <t>Framework for improving performance : a guide for nurses.</t>
  </si>
  <si>
    <t>Joint Commission on Accreditation of Healthcare Organizations.</t>
  </si>
  <si>
    <t>Oakbrook Terrace, IL : Joint Commission on Accreditation of Healthcare Organizations, 1994.</t>
  </si>
  <si>
    <t>ilu</t>
  </si>
  <si>
    <t>1998-01-13</t>
  </si>
  <si>
    <t>1997-12-18</t>
  </si>
  <si>
    <t>33968047:eng</t>
  </si>
  <si>
    <t>31770497</t>
  </si>
  <si>
    <t>991001562959702656</t>
  </si>
  <si>
    <t>2260853420002656</t>
  </si>
  <si>
    <t>9780866883931</t>
  </si>
  <si>
    <t>30001003606300</t>
  </si>
  <si>
    <t>893369478</t>
  </si>
  <si>
    <t>WY 21 AA1 L8 1986</t>
  </si>
  <si>
    <t>0                      WY 0021000AA 1                  L  8           1986</t>
  </si>
  <si>
    <t>Looking beyond the entry issue : implications for education and service.</t>
  </si>
  <si>
    <t>NLN pub. no. 41-2173</t>
  </si>
  <si>
    <t>8607351:eng</t>
  </si>
  <si>
    <t>15116807</t>
  </si>
  <si>
    <t>991001390469702656</t>
  </si>
  <si>
    <t>2269457700002656</t>
  </si>
  <si>
    <t>9780887373435</t>
  </si>
  <si>
    <t>30001000464968</t>
  </si>
  <si>
    <t>893284742</t>
  </si>
  <si>
    <t>WY 21 AA1 R6e 1979</t>
  </si>
  <si>
    <t>0                      WY 0021000AA 1                  R  6e          1979</t>
  </si>
  <si>
    <t>Examining the validity of the State Board Test Pool Examination for registered nurse licensure / [prepared by Marguerite Robey, Carole Kingsbury, and Janet Kane].</t>
  </si>
  <si>
    <t>Robey, Marguerite.</t>
  </si>
  <si>
    <t>Kansas City, Mo. : Council of State Boards of Nursing, American Nurses' Assn., 1979.</t>
  </si>
  <si>
    <t>ANA. B-42</t>
  </si>
  <si>
    <t>1990-01-19</t>
  </si>
  <si>
    <t>1788952492:eng</t>
  </si>
  <si>
    <t>5172971</t>
  </si>
  <si>
    <t>991001044599702656</t>
  </si>
  <si>
    <t>2268219500002656</t>
  </si>
  <si>
    <t>30001000243594</t>
  </si>
  <si>
    <t>893450803</t>
  </si>
  <si>
    <t>WY 21 AA1 T3 1981</t>
  </si>
  <si>
    <t>0                      WY 0021000AA 1                  T  3           1981</t>
  </si>
  <si>
    <t>Test plan of the RN licensure examination : changes, concerns, issues, process of test development.</t>
  </si>
  <si>
    <t>New York : National League for Nursing, 1981.</t>
  </si>
  <si>
    <t>NLN pub. no. 23-1842</t>
  </si>
  <si>
    <t>29598966:eng</t>
  </si>
  <si>
    <t>7776372</t>
  </si>
  <si>
    <t>991001388969702656</t>
  </si>
  <si>
    <t>2270955650002656</t>
  </si>
  <si>
    <t>30001000464471</t>
  </si>
  <si>
    <t>893638284</t>
  </si>
  <si>
    <t>WY 21.1 F931 1979</t>
  </si>
  <si>
    <t>0                      WY 0021100F  931         1979</t>
  </si>
  <si>
    <t>From concept to standardized test : papers presented at the 1979 Invitational Conference for Boards of Nursing, January 25-26, 1979, New York, New York.</t>
  </si>
  <si>
    <t>NLN pub. no. 17-1796</t>
  </si>
  <si>
    <t>1155636646:eng</t>
  </si>
  <si>
    <t>6127862</t>
  </si>
  <si>
    <t>991001379069702656</t>
  </si>
  <si>
    <t>2256607230002656</t>
  </si>
  <si>
    <t>30001000462541</t>
  </si>
  <si>
    <t>893816342</t>
  </si>
  <si>
    <t>WY 21.1 L698 1977</t>
  </si>
  <si>
    <t>0                      WY 0021100L  698         1977</t>
  </si>
  <si>
    <t>Licensure and credentialing.</t>
  </si>
  <si>
    <t>NLN pub. no. 52-1706</t>
  </si>
  <si>
    <t>14685395:eng</t>
  </si>
  <si>
    <t>4468339</t>
  </si>
  <si>
    <t>991001516499702656</t>
  </si>
  <si>
    <t>2268728870002656</t>
  </si>
  <si>
    <t>30001000600066</t>
  </si>
  <si>
    <t>893727723</t>
  </si>
  <si>
    <t>WY 22 AA1 E24 1987</t>
  </si>
  <si>
    <t>0                      WY 0022000AA 1                  E  24          1987</t>
  </si>
  <si>
    <t>Educational outcomes : assessment of quality : a directory of student outcome measurements utilized by nursing programs in the United States.</t>
  </si>
  <si>
    <t>NLN pub. no. 18-2211</t>
  </si>
  <si>
    <t>2000-05-14</t>
  </si>
  <si>
    <t>55042103:eng</t>
  </si>
  <si>
    <t>17209382</t>
  </si>
  <si>
    <t>991001536319702656</t>
  </si>
  <si>
    <t>2260140810002656</t>
  </si>
  <si>
    <t>9780887373923</t>
  </si>
  <si>
    <t>30001000623076</t>
  </si>
  <si>
    <t>893358700</t>
  </si>
  <si>
    <t>WY 26.5 B187u 1984</t>
  </si>
  <si>
    <t>0                      WY 0026500B  187u        1984</t>
  </si>
  <si>
    <t>Using computers in nursing / Marion J. Ball, Kathryn J. Hannah, with the assistance of James D. Browne.</t>
  </si>
  <si>
    <t>Ball, Marion J.</t>
  </si>
  <si>
    <t>Reston, Va. : Reston Pub. Co., c1984.</t>
  </si>
  <si>
    <t>2001-09-26</t>
  </si>
  <si>
    <t>3405777:eng</t>
  </si>
  <si>
    <t>10777940</t>
  </si>
  <si>
    <t>991001044669702656</t>
  </si>
  <si>
    <t>2264266880002656</t>
  </si>
  <si>
    <t>9780835981293</t>
  </si>
  <si>
    <t>30001000243628</t>
  </si>
  <si>
    <t>893148827</t>
  </si>
  <si>
    <t>WY 26.5 C7382 1992</t>
  </si>
  <si>
    <t>0                      WY 0026500C  7382        1992</t>
  </si>
  <si>
    <t>Computers in nursing research : a theoretical perspective.</t>
  </si>
  <si>
    <t>Kansas City, Mo. : American Nurses Pub., c1992.</t>
  </si>
  <si>
    <t>927595364:eng</t>
  </si>
  <si>
    <t>25245842</t>
  </si>
  <si>
    <t>991000232709702656</t>
  </si>
  <si>
    <t>2259108200002656</t>
  </si>
  <si>
    <t>9781558100725</t>
  </si>
  <si>
    <t>30001002391771</t>
  </si>
  <si>
    <t>893732596</t>
  </si>
  <si>
    <t>WY 26.5 E53 1995</t>
  </si>
  <si>
    <t>0                      WY 0026500E  53          1995</t>
  </si>
  <si>
    <t>An Emerging framework : data system advances for clinical nursing practice.</t>
  </si>
  <si>
    <t>Washington, D.C. : American Nurses Association, [1995]</t>
  </si>
  <si>
    <t>ANA pub. no. np-94 7.5M</t>
  </si>
  <si>
    <t>2002-06-04</t>
  </si>
  <si>
    <t>55967673:eng</t>
  </si>
  <si>
    <t>33054868</t>
  </si>
  <si>
    <t>991000257019702656</t>
  </si>
  <si>
    <t>2256389550002656</t>
  </si>
  <si>
    <t>9781558101067</t>
  </si>
  <si>
    <t>30001003286954</t>
  </si>
  <si>
    <t>893150364</t>
  </si>
  <si>
    <t>WY26.5 H443h 2005</t>
  </si>
  <si>
    <t>0                      WY 0026500H  443h        2005</t>
  </si>
  <si>
    <t>Handbook of informatics for nurses and health care professionals / Toni Hebda, Patricia Czar, Cynthia Mascara.</t>
  </si>
  <si>
    <t>Hebda, Toni.</t>
  </si>
  <si>
    <t>Upper Saddle River, N.J. : Pearson Prentice Hall, c2005.</t>
  </si>
  <si>
    <t>2006-10-20</t>
  </si>
  <si>
    <t>2005-12-21</t>
  </si>
  <si>
    <t>429375:eng</t>
  </si>
  <si>
    <t>54906877</t>
  </si>
  <si>
    <t>991001736399702656</t>
  </si>
  <si>
    <t>2257352000002656</t>
  </si>
  <si>
    <t>9780131512627</t>
  </si>
  <si>
    <t>30001004911139</t>
  </si>
  <si>
    <t>893369839</t>
  </si>
  <si>
    <t>WY 26.5 H939n 2004</t>
  </si>
  <si>
    <t>0                      WY 0026500H  939n        2004</t>
  </si>
  <si>
    <t>The nursing informatics implementation guide / Eleanor Callahan Hunt, Sara Breckenridge Sproat, Rebecca Rutherford Kitzmiller.</t>
  </si>
  <si>
    <t>Hunt, Eleanor C.</t>
  </si>
  <si>
    <t>New York : Springer, c2004.</t>
  </si>
  <si>
    <t>Health informatics series</t>
  </si>
  <si>
    <t>2004-10-04</t>
  </si>
  <si>
    <t>145568599:eng</t>
  </si>
  <si>
    <t>52813807</t>
  </si>
  <si>
    <t>991000398579702656</t>
  </si>
  <si>
    <t>2271445910002656</t>
  </si>
  <si>
    <t>9780387408378</t>
  </si>
  <si>
    <t>30001004810455</t>
  </si>
  <si>
    <t>893827453</t>
  </si>
  <si>
    <t>WY 26.5 I43 1990</t>
  </si>
  <si>
    <t>0                      WY 0026500I  43          1990</t>
  </si>
  <si>
    <t>Information management and computers / Michael R. Bleich, Michael J. Bratton, [editors].</t>
  </si>
  <si>
    <t>Nurse managers' bookshelf : a quarterly series ; v. 2, no. 2 (June 1990).</t>
  </si>
  <si>
    <t>1992-03-25</t>
  </si>
  <si>
    <t>24695861:eng</t>
  </si>
  <si>
    <t>22399737</t>
  </si>
  <si>
    <t>991001035169702656</t>
  </si>
  <si>
    <t>2267014480002656</t>
  </si>
  <si>
    <t>9780683065336</t>
  </si>
  <si>
    <t>30001002244624</t>
  </si>
  <si>
    <t>893161633</t>
  </si>
  <si>
    <t>WY 26.5 N645c 1998</t>
  </si>
  <si>
    <t>0                      WY 0026500N  645c        1998</t>
  </si>
  <si>
    <t>Computers in nursing's nurses' guide to the Internet.</t>
  </si>
  <si>
    <t>Nicoll, Leslie H.</t>
  </si>
  <si>
    <t>2nd ed. / Leslie H. Nicoll.</t>
  </si>
  <si>
    <t>2000-07-25</t>
  </si>
  <si>
    <t>2564813115:eng</t>
  </si>
  <si>
    <t>38017012</t>
  </si>
  <si>
    <t>991001572049702656</t>
  </si>
  <si>
    <t>2266637570002656</t>
  </si>
  <si>
    <t>9780781714358</t>
  </si>
  <si>
    <t>30001004080349</t>
  </si>
  <si>
    <t>893369490</t>
  </si>
  <si>
    <t>WY 26.5 N9735 1998</t>
  </si>
  <si>
    <t>0                      WY 0026500N  9735        1998</t>
  </si>
  <si>
    <t>Nursing and computers : an anthology, 1987-1996 / Virginia K. Saba, Dorothy B. Pocklington, Kenneth P. Miller, editors.</t>
  </si>
  <si>
    <t>New York : Springer, c1998.</t>
  </si>
  <si>
    <t>Computers and medicine</t>
  </si>
  <si>
    <t>1998-02-27</t>
  </si>
  <si>
    <t>9657921184:eng</t>
  </si>
  <si>
    <t>36682360</t>
  </si>
  <si>
    <t>991001306129702656</t>
  </si>
  <si>
    <t>2258556030002656</t>
  </si>
  <si>
    <t>9780387949550</t>
  </si>
  <si>
    <t>30001003749845</t>
  </si>
  <si>
    <t>893740981</t>
  </si>
  <si>
    <t>WY 26.5 P927 1988</t>
  </si>
  <si>
    <t>0                      WY 0026500P  927         1988</t>
  </si>
  <si>
    <t>Preparing nurses for using information systems : recommended informatics competencies / edited by Hans E. Peterson, Ulla Gerdin-Jelgers.</t>
  </si>
  <si>
    <t>"Pub. no. 14-2234"</t>
  </si>
  <si>
    <t>1995-06-06</t>
  </si>
  <si>
    <t>1988-06-18</t>
  </si>
  <si>
    <t>423096157:eng</t>
  </si>
  <si>
    <t>18001524</t>
  </si>
  <si>
    <t>991001414979702656</t>
  </si>
  <si>
    <t>2270982740002656</t>
  </si>
  <si>
    <t>9780887374166</t>
  </si>
  <si>
    <t>30001001180191</t>
  </si>
  <si>
    <t>893364086</t>
  </si>
  <si>
    <t>WY 26.5 R768g 1987</t>
  </si>
  <si>
    <t>0                      WY 0026500R  768g        1987</t>
  </si>
  <si>
    <t>Guidelines for basic computer education in nursing / Judith S. Ronald, Diane J. Skiba.</t>
  </si>
  <si>
    <t>Ronald, Judith S.</t>
  </si>
  <si>
    <t>NLN pub. no. 41-2177</t>
  </si>
  <si>
    <t>11087087:eng</t>
  </si>
  <si>
    <t>15914144</t>
  </si>
  <si>
    <t>991001202239702656</t>
  </si>
  <si>
    <t>2263635750002656</t>
  </si>
  <si>
    <t>9780887373619</t>
  </si>
  <si>
    <t>30001000317281</t>
  </si>
  <si>
    <t>893284562</t>
  </si>
  <si>
    <t>WY 26.5 S113c 1994</t>
  </si>
  <si>
    <t>0                      WY 0026500S  113c        1994</t>
  </si>
  <si>
    <t>Computers in nursing management / Virginia K. Saba, Joyce E. Johnson, Roy L. Simpson.</t>
  </si>
  <si>
    <t>Saba, Virginia K.</t>
  </si>
  <si>
    <t>Washington, DC : American Nurses Publ., c1994.</t>
  </si>
  <si>
    <t>ANA pub. NP-87 10M</t>
  </si>
  <si>
    <t>998702:eng</t>
  </si>
  <si>
    <t>30988775</t>
  </si>
  <si>
    <t>991000250479702656</t>
  </si>
  <si>
    <t>2260779800002656</t>
  </si>
  <si>
    <t>9781558100992</t>
  </si>
  <si>
    <t>30001003044171</t>
  </si>
  <si>
    <t>893122416</t>
  </si>
  <si>
    <t>WY 26.5 S785 1995</t>
  </si>
  <si>
    <t>0                      WY 0026500S  785         1995</t>
  </si>
  <si>
    <t>Standards of practice for nursing informatics / [developed by the American Nurses Association's Task Force to Develop Measurement Criteria for Standards for Nursing Informatics].</t>
  </si>
  <si>
    <t>Washington, DC : American Nurses Publishing, c1995.</t>
  </si>
  <si>
    <t>ANA NP-100 7.5M</t>
  </si>
  <si>
    <t>34431382:eng</t>
  </si>
  <si>
    <t>32372101</t>
  </si>
  <si>
    <t>991000254069702656</t>
  </si>
  <si>
    <t>2255006390002656</t>
  </si>
  <si>
    <t>30001003169044</t>
  </si>
  <si>
    <t>893816885</t>
  </si>
  <si>
    <t>WY 26.5 T3 75I 2003</t>
  </si>
  <si>
    <t>0                      WY 0026500T  3                                                       75I 2003</t>
  </si>
  <si>
    <t>Informatics and nursing : opportunities &amp; challenges / Linda Q. Thede.</t>
  </si>
  <si>
    <t>Thede, Linda Q.</t>
  </si>
  <si>
    <t>Philadelphia : Lippincott Williams &amp; Wilkins, c2003.</t>
  </si>
  <si>
    <t>2004-12-09</t>
  </si>
  <si>
    <t>2003-04-25</t>
  </si>
  <si>
    <t>919025527:eng</t>
  </si>
  <si>
    <t>51009591</t>
  </si>
  <si>
    <t>991001722149702656</t>
  </si>
  <si>
    <t>2262505430002656</t>
  </si>
  <si>
    <t>9780781740203</t>
  </si>
  <si>
    <t>30001004504207</t>
  </si>
  <si>
    <t>893743925</t>
  </si>
  <si>
    <t>WY 26.5 Z66n 1993</t>
  </si>
  <si>
    <t>0                      WY 0026500Z  66n         1993</t>
  </si>
  <si>
    <t>Next-generation nursing information systems : essential characteristics for professional practice / Rita D. Zielstorff, Carole I. Hudgings, Susan J. Grobe and the National Commission on Nursing Implementation Project (NCNIP) Task Force on Nursing Information Systems.</t>
  </si>
  <si>
    <t>Zielstorff, Rita D.</t>
  </si>
  <si>
    <t>Washington, DC : American Nursing Pub., c1993.</t>
  </si>
  <si>
    <t>ANA pub. NP-83 5M</t>
  </si>
  <si>
    <t>998684:eng</t>
  </si>
  <si>
    <t>28951395</t>
  </si>
  <si>
    <t>991000243879702656</t>
  </si>
  <si>
    <t>2256309260002656</t>
  </si>
  <si>
    <t>9781558100831</t>
  </si>
  <si>
    <t>30001003004167</t>
  </si>
  <si>
    <t>893451910</t>
  </si>
  <si>
    <t>WY 26.6 S422 2001</t>
  </si>
  <si>
    <t>0                      WY 0026600S  422         2001</t>
  </si>
  <si>
    <t>Scope and standards of nursing informatics practice.</t>
  </si>
  <si>
    <t>Washington, D.C. : American Nurses Publishing, c2001.</t>
  </si>
  <si>
    <t>ANA pub ; no. NIP21</t>
  </si>
  <si>
    <t>2002-06-11</t>
  </si>
  <si>
    <t>2001-12-18</t>
  </si>
  <si>
    <t>998757:eng</t>
  </si>
  <si>
    <t>47839007</t>
  </si>
  <si>
    <t>991000296899702656</t>
  </si>
  <si>
    <t>2264495330002656</t>
  </si>
  <si>
    <t>9781558101661</t>
  </si>
  <si>
    <t>30001004215341</t>
  </si>
  <si>
    <t>893136080</t>
  </si>
  <si>
    <t>WY 29 A511g 1979</t>
  </si>
  <si>
    <t>0                      WY 0029000A  511g        1979</t>
  </si>
  <si>
    <t>Guidelines for use of supplemental nursing services.</t>
  </si>
  <si>
    <t>[Kansas City, Mo.] : American Nurses' Assn., Commission on Nursing Services, c1979.</t>
  </si>
  <si>
    <t>ANA pub ; no. NS-25</t>
  </si>
  <si>
    <t>22299712:eng</t>
  </si>
  <si>
    <t>6329834</t>
  </si>
  <si>
    <t>991000179649702656</t>
  </si>
  <si>
    <t>2262944260002656</t>
  </si>
  <si>
    <t>30001000602658</t>
  </si>
  <si>
    <t>893274905</t>
  </si>
  <si>
    <t>WY 29 K94L 1979</t>
  </si>
  <si>
    <t>0                      WY 0029000K  94L         1979</t>
  </si>
  <si>
    <t>Labor-management issues for the future / Daniel H. Kruger.</t>
  </si>
  <si>
    <t>Kruger, Daniel H.</t>
  </si>
  <si>
    <t>NLN pub. no. 20-1801</t>
  </si>
  <si>
    <t>20130384:eng</t>
  </si>
  <si>
    <t>5739237</t>
  </si>
  <si>
    <t>991001385749702656</t>
  </si>
  <si>
    <t>2259505550002656</t>
  </si>
  <si>
    <t>30001000463689</t>
  </si>
  <si>
    <t>893369342</t>
  </si>
  <si>
    <t>WY 29 K97r 1997</t>
  </si>
  <si>
    <t>0                      WY 0029000K  97r         1997</t>
  </si>
  <si>
    <t>Resume writing for the professional nurse : self-directed learning / Nancy Kuzmich.</t>
  </si>
  <si>
    <t>Kuzmich, Nancy.</t>
  </si>
  <si>
    <t>Hinsdale, Ill. : CES, c1997.</t>
  </si>
  <si>
    <t>1999-03-25</t>
  </si>
  <si>
    <t>16821491:eng</t>
  </si>
  <si>
    <t>40649655</t>
  </si>
  <si>
    <t>991000783119702656</t>
  </si>
  <si>
    <t>2266558020002656</t>
  </si>
  <si>
    <t>9780916780319</t>
  </si>
  <si>
    <t>30001004070647</t>
  </si>
  <si>
    <t>893540543</t>
  </si>
  <si>
    <t>WY 29 L883a 1981</t>
  </si>
  <si>
    <t>0                      WY 0029000L  883a        1981</t>
  </si>
  <si>
    <t>Advance : the nurse's guide to success in today's job market / Mary Sue Lotito, Joyce Kostenbauer.</t>
  </si>
  <si>
    <t>Lotito, Mary Sue.</t>
  </si>
  <si>
    <t>Boston : Little, Brown, c1981.</t>
  </si>
  <si>
    <t>1993-12-02</t>
  </si>
  <si>
    <t>1989-09-27</t>
  </si>
  <si>
    <t>31779308:eng</t>
  </si>
  <si>
    <t>8475006</t>
  </si>
  <si>
    <t>991001325729702656</t>
  </si>
  <si>
    <t>2264663940002656</t>
  </si>
  <si>
    <t>30001001754409</t>
  </si>
  <si>
    <t>893377202</t>
  </si>
  <si>
    <t>WY 29 NU974 1990 no.1</t>
  </si>
  <si>
    <t>0                      WY 0029000NU 974         1990                                        no.1</t>
  </si>
  <si>
    <t>An overview : characteristics, impact and solutions / Richard C. McKibbin and Carol Boston.</t>
  </si>
  <si>
    <t>no.1*</t>
  </si>
  <si>
    <t>Chicago, IL : American Organization of Nurse Executives of the American Hospital Association, American Nurses' Association, c1990.</t>
  </si>
  <si>
    <t>AHA pub ; no. 154180</t>
  </si>
  <si>
    <t>23197911:eng</t>
  </si>
  <si>
    <t>21473519</t>
  </si>
  <si>
    <t>991000222959702656</t>
  </si>
  <si>
    <t>2270297740002656</t>
  </si>
  <si>
    <t>9780872585348</t>
  </si>
  <si>
    <t>30001001884701</t>
  </si>
  <si>
    <t>893135999</t>
  </si>
  <si>
    <t>WY 29 NU974 1990 no.2</t>
  </si>
  <si>
    <t>0                      WY 0029000NU 974         1990                                        no.2</t>
  </si>
  <si>
    <t>Administrative issues and approaches / Karen S. Ehrat.</t>
  </si>
  <si>
    <t>no.2*</t>
  </si>
  <si>
    <t>Ehrat, Karen S.</t>
  </si>
  <si>
    <t>Chicago : American Organization of Nurse Executives, c1990.</t>
  </si>
  <si>
    <t>AHA pub ; no. 154181</t>
  </si>
  <si>
    <t>23198437:eng</t>
  </si>
  <si>
    <t>21532059</t>
  </si>
  <si>
    <t>991000222919702656</t>
  </si>
  <si>
    <t>2270315100002656</t>
  </si>
  <si>
    <t>30001001884727</t>
  </si>
  <si>
    <t>893447084</t>
  </si>
  <si>
    <t>WY 29 NU974 1990 no.3</t>
  </si>
  <si>
    <t>0                      WY 0029000NU 974         1990                                        no.3</t>
  </si>
  <si>
    <t>Resource allocation in managing the nursing shortage / Judith L. Brett and Mary C. Tonges.</t>
  </si>
  <si>
    <t>no.3*</t>
  </si>
  <si>
    <t>Brett, Judy L. Luckenbill.</t>
  </si>
  <si>
    <t>Chicago, Ill. : American Organization of Nurse Executives of th e American Hospital Association, American Nurses' Association, c1990.</t>
  </si>
  <si>
    <t>AHA pub ; no. 154182</t>
  </si>
  <si>
    <t>23358805:eng</t>
  </si>
  <si>
    <t>21532168</t>
  </si>
  <si>
    <t>991000222989702656</t>
  </si>
  <si>
    <t>2270299580002656</t>
  </si>
  <si>
    <t>30001001884743</t>
  </si>
  <si>
    <t>893456486</t>
  </si>
  <si>
    <t>WY 29 NU974 1990 no.4</t>
  </si>
  <si>
    <t>0                      WY 0029000NU 974         1990                                        no.4</t>
  </si>
  <si>
    <t>Reward strategies in nursing practice / American Organization of Nurse Executives and American Nurses' Association ; Maureen P. McCausland.</t>
  </si>
  <si>
    <t>no.4*</t>
  </si>
  <si>
    <t>American Organization of Nurse Executives.</t>
  </si>
  <si>
    <t>Chicago, Ill. : American Hospital Association, c1990.</t>
  </si>
  <si>
    <t>AHA pub ; no. 154183</t>
  </si>
  <si>
    <t>23199459:eng</t>
  </si>
  <si>
    <t>21473611</t>
  </si>
  <si>
    <t>991000222179702656</t>
  </si>
  <si>
    <t>2260301160002656</t>
  </si>
  <si>
    <t>30001001884768</t>
  </si>
  <si>
    <t>893816872</t>
  </si>
  <si>
    <t>WY 29 NU974 1990 no.5</t>
  </si>
  <si>
    <t>0                      WY 0029000NU 974         1990                                        no.5</t>
  </si>
  <si>
    <t>Nursing education and the shortage / American Organization of Nurse Executives and American Nurses' Association ; Mary D. Naylor.</t>
  </si>
  <si>
    <t>no.5*</t>
  </si>
  <si>
    <t>Naylor, Mary Duffin.</t>
  </si>
  <si>
    <t>AHA pub ; no. 154184</t>
  </si>
  <si>
    <t>24511420:eng</t>
  </si>
  <si>
    <t>22240454</t>
  </si>
  <si>
    <t>991000222219702656</t>
  </si>
  <si>
    <t>2260306450002656</t>
  </si>
  <si>
    <t>30001001884784</t>
  </si>
  <si>
    <t>893536901</t>
  </si>
  <si>
    <t>WY 29 V878e 1988</t>
  </si>
  <si>
    <t>0                      WY 0029000V  878e        1988</t>
  </si>
  <si>
    <t>Entrepreneuring : a nurse's guide to starting a business / Gerry Vogel, Nancy Doleysh.</t>
  </si>
  <si>
    <t>Vogel, Gerry.</t>
  </si>
  <si>
    <t>"Pub. no. 41-2201"</t>
  </si>
  <si>
    <t>21275026:eng</t>
  </si>
  <si>
    <t>19810858</t>
  </si>
  <si>
    <t>991001414849702656</t>
  </si>
  <si>
    <t>2270988640002656</t>
  </si>
  <si>
    <t>9780887373855</t>
  </si>
  <si>
    <t>30001001180183</t>
  </si>
  <si>
    <t>893541384</t>
  </si>
  <si>
    <t>WY 30 D726i 1981</t>
  </si>
  <si>
    <t>0                      WY 0030000D  726i        1981</t>
  </si>
  <si>
    <t>Issues in collective bargaining for nurses / Joel M. Douglas.</t>
  </si>
  <si>
    <t>Douglas, Joel M.</t>
  </si>
  <si>
    <t>NLN pub. no. 23-1874</t>
  </si>
  <si>
    <t>31479637:eng</t>
  </si>
  <si>
    <t>8453547</t>
  </si>
  <si>
    <t>991001389109702656</t>
  </si>
  <si>
    <t>2271568100002656</t>
  </si>
  <si>
    <t>30001000464505</t>
  </si>
  <si>
    <t>893821162</t>
  </si>
  <si>
    <t>WY 30 G198p 1984</t>
  </si>
  <si>
    <t>0                      WY 0030000G  198p        1984</t>
  </si>
  <si>
    <t>Performance appraisal for productivity : the nurse manager's handbook / Joan M. Ganong and Warren L. Ganong.</t>
  </si>
  <si>
    <t>1991-06-17</t>
  </si>
  <si>
    <t>20507495:eng</t>
  </si>
  <si>
    <t>9945049</t>
  </si>
  <si>
    <t>991001044769702656</t>
  </si>
  <si>
    <t>2264463820002656</t>
  </si>
  <si>
    <t>9780894439452</t>
  </si>
  <si>
    <t>30001000243644</t>
  </si>
  <si>
    <t>893820879</t>
  </si>
  <si>
    <t>WY 30 M266 1989</t>
  </si>
  <si>
    <t>0                      WY 0030000M  266         1989</t>
  </si>
  <si>
    <t>Managing the nursing shortage : a guide to recruitment and retention / [edited by] Terence F. Moore, Earl A. Simendinger ; contributors, David P. Berry ... [et al.].</t>
  </si>
  <si>
    <t>1989-09-09</t>
  </si>
  <si>
    <t>427711250:eng</t>
  </si>
  <si>
    <t>18870709</t>
  </si>
  <si>
    <t>991001317339702656</t>
  </si>
  <si>
    <t>2261080810002656</t>
  </si>
  <si>
    <t>9780834200463</t>
  </si>
  <si>
    <t>30001001753203</t>
  </si>
  <si>
    <t>893134465</t>
  </si>
  <si>
    <t>WY 30 N974 1992</t>
  </si>
  <si>
    <t>0                      WY 0030000N  974         1992</t>
  </si>
  <si>
    <t>Nurses in the workplace / edited by Marie E. Cowart, William J. Serow.</t>
  </si>
  <si>
    <t>Newbury Park [Calif.] : Sage Publications, c1992.</t>
  </si>
  <si>
    <t>2000-07-12</t>
  </si>
  <si>
    <t>1992-09-30</t>
  </si>
  <si>
    <t>434213830:eng</t>
  </si>
  <si>
    <t>24668293</t>
  </si>
  <si>
    <t>991001034919702656</t>
  </si>
  <si>
    <t>2256739340002656</t>
  </si>
  <si>
    <t>9780803943131</t>
  </si>
  <si>
    <t>30001002244582</t>
  </si>
  <si>
    <t>893273617</t>
  </si>
  <si>
    <t>WY 30 R437 1983</t>
  </si>
  <si>
    <t>0                      WY 0030000R  437         1983</t>
  </si>
  <si>
    <t>Retaining professional nurses : a planned process / Judith F. Vogt ... [et al.].</t>
  </si>
  <si>
    <t>St. Louis : Mosby, c1983.</t>
  </si>
  <si>
    <t>1999-06-24</t>
  </si>
  <si>
    <t>836700189:eng</t>
  </si>
  <si>
    <t>8689449</t>
  </si>
  <si>
    <t>991001044819702656</t>
  </si>
  <si>
    <t>2266321200002656</t>
  </si>
  <si>
    <t>9780801652264</t>
  </si>
  <si>
    <t>30001000243651</t>
  </si>
  <si>
    <t>893363681</t>
  </si>
  <si>
    <t>WY 30 R977m 1987</t>
  </si>
  <si>
    <t>0                      WY 0030000R  977m        1987</t>
  </si>
  <si>
    <t>Managing for productivity in nursing / Barbara Rutkowski.</t>
  </si>
  <si>
    <t>Rutkowski, Barbara Lang, 1945-</t>
  </si>
  <si>
    <t>Rockville, Md. : Aspen Publishers, c1987.</t>
  </si>
  <si>
    <t>9052847:eng</t>
  </si>
  <si>
    <t>15083345</t>
  </si>
  <si>
    <t>991000766279702656</t>
  </si>
  <si>
    <t>2257113160002656</t>
  </si>
  <si>
    <t>9780871896186</t>
  </si>
  <si>
    <t>30001000057077</t>
  </si>
  <si>
    <t>893735671</t>
  </si>
  <si>
    <t>WY 30 W499u 1978</t>
  </si>
  <si>
    <t>0                      WY 0030000W  499u        1978</t>
  </si>
  <si>
    <t>Unions do not happen, they are caused / William B. Werther, Jr.</t>
  </si>
  <si>
    <t>Werther, William B.</t>
  </si>
  <si>
    <t>NLN pub. no. 20-1725</t>
  </si>
  <si>
    <t>1990-05-10</t>
  </si>
  <si>
    <t>13888224:eng</t>
  </si>
  <si>
    <t>3989787</t>
  </si>
  <si>
    <t>991001385529702656</t>
  </si>
  <si>
    <t>2268208590002656</t>
  </si>
  <si>
    <t>30001000463663</t>
  </si>
  <si>
    <t>893374491</t>
  </si>
  <si>
    <t>WY 31 A512f 1987</t>
  </si>
  <si>
    <t>0                      WY 0031000A  512f        1987</t>
  </si>
  <si>
    <t>Facts about nursing / prepared by American Nurses' Association.</t>
  </si>
  <si>
    <t>New York, N.Y. : American Nurses Association, c1987.</t>
  </si>
  <si>
    <t>1986-87 ed.</t>
  </si>
  <si>
    <t>1990-05-11</t>
  </si>
  <si>
    <t>3856314879:eng</t>
  </si>
  <si>
    <t>19841923</t>
  </si>
  <si>
    <t>991001415169702656</t>
  </si>
  <si>
    <t>2268292930002656</t>
  </si>
  <si>
    <t>30001001180266</t>
  </si>
  <si>
    <t>893455790</t>
  </si>
  <si>
    <t>WY31 C469 2002</t>
  </si>
  <si>
    <t>0                      WY 0031000C  469         2002</t>
  </si>
  <si>
    <t>Characteristics of foreign nurse graduates in the United States workforce, 2000-2001 : a survey by the Commission on Graduates of Foreign Nursing Schools.</t>
  </si>
  <si>
    <t>Philadelphia, Pa. : Commission on Graduates of Foreign Nursing Schools, c2002.</t>
  </si>
  <si>
    <t>2004-03-07</t>
  </si>
  <si>
    <t>2003-01-20</t>
  </si>
  <si>
    <t>791200:eng</t>
  </si>
  <si>
    <t>50258923</t>
  </si>
  <si>
    <t>991000336379702656</t>
  </si>
  <si>
    <t>2270156740002656</t>
  </si>
  <si>
    <t>9780963059208</t>
  </si>
  <si>
    <t>30001004501120</t>
  </si>
  <si>
    <t>893269365</t>
  </si>
  <si>
    <t>WY 31 G231n 1979</t>
  </si>
  <si>
    <t>0                      WY 0031000G  231n        1979</t>
  </si>
  <si>
    <t>The NLN pre-nursing and guidance examination : a validation study / Robin Garfinkel, Yvonne Rubens.</t>
  </si>
  <si>
    <t>Garfinkel, Robin.</t>
  </si>
  <si>
    <t>NLN pub. no. 17-1788</t>
  </si>
  <si>
    <t>18959314:eng</t>
  </si>
  <si>
    <t>5584082</t>
  </si>
  <si>
    <t>991001379029702656</t>
  </si>
  <si>
    <t>2256455610002656</t>
  </si>
  <si>
    <t>30001000462533</t>
  </si>
  <si>
    <t>893638274</t>
  </si>
  <si>
    <t>WY 31 J71 1982</t>
  </si>
  <si>
    <t>0                      WY 0031000J  71          1982</t>
  </si>
  <si>
    <t>Supply and demand relations and the shortage of nurses / Walter L. Johnson and John C. Vaughn.</t>
  </si>
  <si>
    <t>Johnson, Walter L.</t>
  </si>
  <si>
    <t>NLN pub. no. 19-1916</t>
  </si>
  <si>
    <t>1992-11-30</t>
  </si>
  <si>
    <t>25435706:eng</t>
  </si>
  <si>
    <t>9209950</t>
  </si>
  <si>
    <t>991001382519702656</t>
  </si>
  <si>
    <t>2256397140002656</t>
  </si>
  <si>
    <t>30001000463051</t>
  </si>
  <si>
    <t>893834654</t>
  </si>
  <si>
    <t>WY 31 L665f 1975</t>
  </si>
  <si>
    <t>0                      WY 0031000L  665f        1975</t>
  </si>
  <si>
    <t>Factors affecting staffing levels and patterns of nursing personnel / Harry D. Levine, and P. Joseph Phillip, Bureau of Research Services, American Hospital Association.</t>
  </si>
  <si>
    <t>Levine, Harry D.</t>
  </si>
  <si>
    <t>Bethesda, Md. : Division of Nursing; U.S.G.P.O., Washington : 1975.</t>
  </si>
  <si>
    <t>DHEW publication ; no. (HRA) 75-6</t>
  </si>
  <si>
    <t>2347855:eng</t>
  </si>
  <si>
    <t>3018349</t>
  </si>
  <si>
    <t>991001013939702656</t>
  </si>
  <si>
    <t>2259570970002656</t>
  </si>
  <si>
    <t>30001002240341</t>
  </si>
  <si>
    <t>893632655</t>
  </si>
  <si>
    <t>WY 31 N277g 1968</t>
  </si>
  <si>
    <t>0                      WY 0031000N  277g        1968</t>
  </si>
  <si>
    <t>Guidelines for assessing the nursing education needs of a community.</t>
  </si>
  <si>
    <t>National League for Nursing. Sub-Committee to Develop Guidelines for Assessing Nursing Education Needs.</t>
  </si>
  <si>
    <t>Rev. February 1968.</t>
  </si>
  <si>
    <t>NLN pub. no. 11-1245</t>
  </si>
  <si>
    <t>119219628:eng</t>
  </si>
  <si>
    <t>6068202</t>
  </si>
  <si>
    <t>991001360919702656</t>
  </si>
  <si>
    <t>2255526900002656</t>
  </si>
  <si>
    <t>30001000460651</t>
  </si>
  <si>
    <t>893736516</t>
  </si>
  <si>
    <t>WY 31 N974 1988</t>
  </si>
  <si>
    <t>0                      WY 0031000N  974         1988</t>
  </si>
  <si>
    <t>Nurse faculty : socioeconomic trends, 1988 / [compiled] by Ann Gothler.</t>
  </si>
  <si>
    <t>NLN pub. no. 19-2240.</t>
  </si>
  <si>
    <t>1989-04-20</t>
  </si>
  <si>
    <t>1989-04-19</t>
  </si>
  <si>
    <t>22704950:eng</t>
  </si>
  <si>
    <t>20893842</t>
  </si>
  <si>
    <t>991001244109702656</t>
  </si>
  <si>
    <t>2262155000002656</t>
  </si>
  <si>
    <t>9780887374227</t>
  </si>
  <si>
    <t>30001001676529</t>
  </si>
  <si>
    <t>893727370</t>
  </si>
  <si>
    <t>WY 31 N9742 1974</t>
  </si>
  <si>
    <t>0                      WY 0031000N  9742        1974</t>
  </si>
  <si>
    <t>Nurse-faculty census 1974.</t>
  </si>
  <si>
    <t>New York : National League for Nursing, Division of Research, 1974.</t>
  </si>
  <si>
    <t>NLN pub. no. 19-1548</t>
  </si>
  <si>
    <t>3898495:eng</t>
  </si>
  <si>
    <t>20574650</t>
  </si>
  <si>
    <t>991001380749702656</t>
  </si>
  <si>
    <t>2255866790002656</t>
  </si>
  <si>
    <t>30001000462681</t>
  </si>
  <si>
    <t>893358521</t>
  </si>
  <si>
    <t>WY 31 N9742 1976</t>
  </si>
  <si>
    <t>0                      WY 0031000N  9742        1976</t>
  </si>
  <si>
    <t>Nurse-faculty census, 1976.</t>
  </si>
  <si>
    <t>New York : Division of Research, National League for Nursing, 1977.</t>
  </si>
  <si>
    <t>NLN pub. no. 19-1650</t>
  </si>
  <si>
    <t>3373069835:eng</t>
  </si>
  <si>
    <t>2904884</t>
  </si>
  <si>
    <t>991001380999702656</t>
  </si>
  <si>
    <t>2272253910002656</t>
  </si>
  <si>
    <t>30001000462731</t>
  </si>
  <si>
    <t>893358522</t>
  </si>
  <si>
    <t>WY 31 R813n 1989</t>
  </si>
  <si>
    <t>0                      WY 0031000R  813n        1989</t>
  </si>
  <si>
    <t>Nursing student census, 1989 / Peri Rosenfeld.</t>
  </si>
  <si>
    <t>New York : Division of Public Policy and Research, National League for Nursing, c1990</t>
  </si>
  <si>
    <t>NLN pub. no. 19-2291.</t>
  </si>
  <si>
    <t>41850302:eng</t>
  </si>
  <si>
    <t>38967988</t>
  </si>
  <si>
    <t>991001386509702656</t>
  </si>
  <si>
    <t>2272525230002656</t>
  </si>
  <si>
    <t>9780887374531</t>
  </si>
  <si>
    <t>30001001799867</t>
  </si>
  <si>
    <t>893465448</t>
  </si>
  <si>
    <t>WY 31 U58r 1986</t>
  </si>
  <si>
    <t>0                      WY 0031000U  58r         1986</t>
  </si>
  <si>
    <t>Report on nursing : fifth report to the President &amp; Congress on the status of health personnel in the United States.</t>
  </si>
  <si>
    <t>United States. Health Resources and Services Administration. Bureau of Health Professions.</t>
  </si>
  <si>
    <t>Rockville, Md. : U.S. Dept. of Health &amp; Human Services, Public Health Service, Health Resources and Services Administration, Bureau of Health Professions ; Springfield, VA : Available through NTIS, 1986.</t>
  </si>
  <si>
    <t>7713718:eng</t>
  </si>
  <si>
    <t>14186037</t>
  </si>
  <si>
    <t>991001241689702656</t>
  </si>
  <si>
    <t>2260772450002656</t>
  </si>
  <si>
    <t>30001001675810</t>
  </si>
  <si>
    <t>893834610</t>
  </si>
  <si>
    <t>WY 32 AA1 C163 1987</t>
  </si>
  <si>
    <t>0                      WY 0032000AA 1                  C  163         1987</t>
  </si>
  <si>
    <t>Nursing and the law / Sue Dill Calloway.</t>
  </si>
  <si>
    <t>Calloway, Sue Dill.</t>
  </si>
  <si>
    <t>Eau Claire, Wis. : Professional Education Systems, c1987.</t>
  </si>
  <si>
    <t>wiu</t>
  </si>
  <si>
    <t>1996-10-09</t>
  </si>
  <si>
    <t>1988-02-04</t>
  </si>
  <si>
    <t>2542053710:eng</t>
  </si>
  <si>
    <t>15492730</t>
  </si>
  <si>
    <t>991001537979702656</t>
  </si>
  <si>
    <t>2255855470002656</t>
  </si>
  <si>
    <t>9780941161237</t>
  </si>
  <si>
    <t>30001000623811</t>
  </si>
  <si>
    <t>893541487</t>
  </si>
  <si>
    <t>WY 32 AA1 H2s 1975</t>
  </si>
  <si>
    <t>0                      WY 0032000AA 1                  H  2s          1975</t>
  </si>
  <si>
    <t>Statutory regulation of the scope of nursing practice : a critical survey / Virginia C. Hall.</t>
  </si>
  <si>
    <t>Hall, Virginia C.</t>
  </si>
  <si>
    <t>Chicago : National Joint Practice Commission, c1975.</t>
  </si>
  <si>
    <t>2000-02-14</t>
  </si>
  <si>
    <t>2633919:eng</t>
  </si>
  <si>
    <t>1858796</t>
  </si>
  <si>
    <t>991001044099702656</t>
  </si>
  <si>
    <t>2266966150002656</t>
  </si>
  <si>
    <t>30001000243339</t>
  </si>
  <si>
    <t>893552092</t>
  </si>
  <si>
    <t>WY33 AA1 B8n 2001</t>
  </si>
  <si>
    <t>0                      WY 0033000AA 1                  B  8n          2001</t>
  </si>
  <si>
    <t>Nurses and the law : a guide to principles and applications / Nancy J. Brent.</t>
  </si>
  <si>
    <t>Brent, Nancy J.</t>
  </si>
  <si>
    <t>2001-12-10</t>
  </si>
  <si>
    <t>34854183:eng</t>
  </si>
  <si>
    <t>45093704</t>
  </si>
  <si>
    <t>991001709939702656</t>
  </si>
  <si>
    <t>2260696210002656</t>
  </si>
  <si>
    <t>9780721691954</t>
  </si>
  <si>
    <t>30001004560555</t>
  </si>
  <si>
    <t>893816568</t>
  </si>
  <si>
    <t>WY 33 AA1 C93m 1988</t>
  </si>
  <si>
    <t>0                      WY 0033000AA 1                  C  93m         1988</t>
  </si>
  <si>
    <t>Nursing jurisprudence / Maureen Cushing.</t>
  </si>
  <si>
    <t>Cushing, Mary.</t>
  </si>
  <si>
    <t>1988-08-06</t>
  </si>
  <si>
    <t>13169487:eng</t>
  </si>
  <si>
    <t>16804990</t>
  </si>
  <si>
    <t>991001419249702656</t>
  </si>
  <si>
    <t>2254950410002656</t>
  </si>
  <si>
    <t>9780838570395</t>
  </si>
  <si>
    <t>30001001181744</t>
  </si>
  <si>
    <t>893731989</t>
  </si>
  <si>
    <t>WY 33 AA1 C9L 1986</t>
  </si>
  <si>
    <t>0                      WY 0033000AA 1                  C  9L          1986</t>
  </si>
  <si>
    <t>Law every nurse should know / Helen Creighton.</t>
  </si>
  <si>
    <t>Creighton, Helen, 1914-</t>
  </si>
  <si>
    <t>1993-09-03</t>
  </si>
  <si>
    <t>448017:eng</t>
  </si>
  <si>
    <t>12583018</t>
  </si>
  <si>
    <t>991000739129702656</t>
  </si>
  <si>
    <t>2271736570002656</t>
  </si>
  <si>
    <t>9780721618333</t>
  </si>
  <si>
    <t>30001000042855</t>
  </si>
  <si>
    <t>893731034</t>
  </si>
  <si>
    <t>WY 33 AA1 F466L 1983</t>
  </si>
  <si>
    <t>0                      WY 0033000AA 1                  F  466L        1983</t>
  </si>
  <si>
    <t>The law and liability : a guide for nurses / Janine Fiesta.</t>
  </si>
  <si>
    <t>Fiesta, Janine.</t>
  </si>
  <si>
    <t>New York : Wiley, c1983.</t>
  </si>
  <si>
    <t>A Wiley medical publication.</t>
  </si>
  <si>
    <t>1998-09-16</t>
  </si>
  <si>
    <t>836721154:eng</t>
  </si>
  <si>
    <t>8688404</t>
  </si>
  <si>
    <t>991000817249702656</t>
  </si>
  <si>
    <t>2272501000002656</t>
  </si>
  <si>
    <t>9780471078791</t>
  </si>
  <si>
    <t>30001002086652</t>
  </si>
  <si>
    <t>893831448</t>
  </si>
  <si>
    <t>WY 33 AA1 G9L 1997</t>
  </si>
  <si>
    <t>0                      WY 0033000AA 1                  G  9L          1997</t>
  </si>
  <si>
    <t>Legal issues in nursing / Ginny Wacker Guido.</t>
  </si>
  <si>
    <t>Guido, Ginny Wacker.</t>
  </si>
  <si>
    <t>Stamford, Conn. : Appleton &amp; Lange, c1997.</t>
  </si>
  <si>
    <t>2005-10-16</t>
  </si>
  <si>
    <t>1997-04-29</t>
  </si>
  <si>
    <t>872481:eng</t>
  </si>
  <si>
    <t>34604216</t>
  </si>
  <si>
    <t>991001049169702656</t>
  </si>
  <si>
    <t>2271228170002656</t>
  </si>
  <si>
    <t>9780838556474</t>
  </si>
  <si>
    <t>30001003585785</t>
  </si>
  <si>
    <t>893148829</t>
  </si>
  <si>
    <t>WY33 AA1 H399 2004</t>
  </si>
  <si>
    <t>0                      WY 0033000AA 1                  H  399         2004</t>
  </si>
  <si>
    <t>Health policy and politics : a nurse's guide / [edited by] Jeri A. Milstead.</t>
  </si>
  <si>
    <t>Sudbury, Mass. : Jones and Bartlett, c2004.</t>
  </si>
  <si>
    <t>2004-03-10</t>
  </si>
  <si>
    <t>903473825:eng</t>
  </si>
  <si>
    <t>53138565</t>
  </si>
  <si>
    <t>991000366559702656</t>
  </si>
  <si>
    <t>2266279430002656</t>
  </si>
  <si>
    <t>9780763731588</t>
  </si>
  <si>
    <t>30001004509586</t>
  </si>
  <si>
    <t>893285524</t>
  </si>
  <si>
    <t>WY 33 AA1 L113e 1986</t>
  </si>
  <si>
    <t>0                      WY 0033000AA 1                  L  113e        1986</t>
  </si>
  <si>
    <t>Enforcement of the nursing practice act / Clare LaBar.</t>
  </si>
  <si>
    <t>LaBar, Clare.</t>
  </si>
  <si>
    <t>ANA pub ; no. D-89</t>
  </si>
  <si>
    <t>1991-04-07</t>
  </si>
  <si>
    <t>8490961:eng</t>
  </si>
  <si>
    <t>14817171</t>
  </si>
  <si>
    <t>991001521409702656</t>
  </si>
  <si>
    <t>2259445930002656</t>
  </si>
  <si>
    <t>30001000602807</t>
  </si>
  <si>
    <t>893826834</t>
  </si>
  <si>
    <t>WY 33 AA1 M9L 1982</t>
  </si>
  <si>
    <t>0                      WY 0033000AA 1                  M  9L          1982</t>
  </si>
  <si>
    <t>Legal accountability in the nursing process / Irene Murchison, Thomas S. Nichols, Rachel Hanson.</t>
  </si>
  <si>
    <t>Murchison, Irene A.</t>
  </si>
  <si>
    <t>451262:eng</t>
  </si>
  <si>
    <t>7923808</t>
  </si>
  <si>
    <t>991000817209702656</t>
  </si>
  <si>
    <t>2269189190002656</t>
  </si>
  <si>
    <t>9780801636042</t>
  </si>
  <si>
    <t>30001002086660</t>
  </si>
  <si>
    <t>893161233</t>
  </si>
  <si>
    <t>WY 33 AA1 N79 1996</t>
  </si>
  <si>
    <t>0                      WY 0033000AA 1                  N  79          1996</t>
  </si>
  <si>
    <t>Nurse's legal handbook.</t>
  </si>
  <si>
    <t>1997-05-02</t>
  </si>
  <si>
    <t>502583264:eng</t>
  </si>
  <si>
    <t>35293047</t>
  </si>
  <si>
    <t>991001058219702656</t>
  </si>
  <si>
    <t>2271023010002656</t>
  </si>
  <si>
    <t>9780874348491</t>
  </si>
  <si>
    <t>30001003588672</t>
  </si>
  <si>
    <t>893560849</t>
  </si>
  <si>
    <t>WY 33 AA1 N79 1999</t>
  </si>
  <si>
    <t>0                      WY 0033000AA 1                  N  79          1999</t>
  </si>
  <si>
    <t>Springhouse, Pa. : Springhouse Corp., c1999.</t>
  </si>
  <si>
    <t>2000-04-01</t>
  </si>
  <si>
    <t>42643691</t>
  </si>
  <si>
    <t>991001800229702656</t>
  </si>
  <si>
    <t>2257504070002656</t>
  </si>
  <si>
    <t>9780874349917</t>
  </si>
  <si>
    <t>30001003883396</t>
  </si>
  <si>
    <t>893461162</t>
  </si>
  <si>
    <t>WY 33 AA1 N79 2004</t>
  </si>
  <si>
    <t>0                      WY 0033000AA 1                  N  79          2004</t>
  </si>
  <si>
    <t>Philadelphia, PA : Lippincott Williams &amp; Wilkins, c2004.</t>
  </si>
  <si>
    <t>2004-09-02</t>
  </si>
  <si>
    <t>53224847</t>
  </si>
  <si>
    <t>991001729709702656</t>
  </si>
  <si>
    <t>2263204050002656</t>
  </si>
  <si>
    <t>9781582552804</t>
  </si>
  <si>
    <t>30001004840577</t>
  </si>
  <si>
    <t>893364509</t>
  </si>
  <si>
    <t>WY 33 AA1 R6L 1982</t>
  </si>
  <si>
    <t>0                      WY 0033000AA 1                  R  6L          1982</t>
  </si>
  <si>
    <t>The legal dimensions of nursing practice / LaVerne R. Rocereto, Cynthia M. Maleski.</t>
  </si>
  <si>
    <t>Rocereto, LaVerne R. (LaVerne Rodgers)</t>
  </si>
  <si>
    <t>New York : Springer Pub. Co., c1982.</t>
  </si>
  <si>
    <t>1990-10-27</t>
  </si>
  <si>
    <t>1989-07-13</t>
  </si>
  <si>
    <t>30869624:eng</t>
  </si>
  <si>
    <t>8114420</t>
  </si>
  <si>
    <t>991000931039702656</t>
  </si>
  <si>
    <t>2268967060002656</t>
  </si>
  <si>
    <t>9780826135209</t>
  </si>
  <si>
    <t>30001000185225</t>
  </si>
  <si>
    <t>893460142</t>
  </si>
  <si>
    <t>WY 33 AA1 R893c 1998</t>
  </si>
  <si>
    <t>0                      WY 0033000AA 1                  R  893c        1998</t>
  </si>
  <si>
    <t>Corporate compliance in home health : establishing a plan, managing the risks / Fay A. Rozovsky.</t>
  </si>
  <si>
    <t>Rozovsky, F. A. (Fay Adrienne), 1950-</t>
  </si>
  <si>
    <t>Gaithersburg, Md. : Aspen Publishers, 1998.</t>
  </si>
  <si>
    <t>1999-09-27</t>
  </si>
  <si>
    <t>1999-09-24</t>
  </si>
  <si>
    <t>24763971:eng</t>
  </si>
  <si>
    <t>39108789</t>
  </si>
  <si>
    <t>991001338339702656</t>
  </si>
  <si>
    <t>2263759830002656</t>
  </si>
  <si>
    <t>9780834211735</t>
  </si>
  <si>
    <t>30001003790914</t>
  </si>
  <si>
    <t>893643503</t>
  </si>
  <si>
    <t>WY 33.1 M284n 1982</t>
  </si>
  <si>
    <t>0                      WY 0033100M  284n        1982</t>
  </si>
  <si>
    <t>The nurse anesthetist and the law / Mary Jeanette Mannino.</t>
  </si>
  <si>
    <t>Mannino, Mary Jeanette.</t>
  </si>
  <si>
    <t>New York, NY : Grune &amp; Stratton, c1982.</t>
  </si>
  <si>
    <t>465844:eng</t>
  </si>
  <si>
    <t>8626911</t>
  </si>
  <si>
    <t>991001044299702656</t>
  </si>
  <si>
    <t>2254700430002656</t>
  </si>
  <si>
    <t>9780808914969</t>
  </si>
  <si>
    <t>30001000243461</t>
  </si>
  <si>
    <t>893643166</t>
  </si>
  <si>
    <t>WY 33.1 W187f 1979</t>
  </si>
  <si>
    <t>0                      WY 0033100W  187f        1979</t>
  </si>
  <si>
    <t>Facts and myths about nursing legislation / Stanley Wall.</t>
  </si>
  <si>
    <t>Wall, Stanley.</t>
  </si>
  <si>
    <t>NLN pub. no. 23-1790</t>
  </si>
  <si>
    <t>2555216612:eng</t>
  </si>
  <si>
    <t>5584134</t>
  </si>
  <si>
    <t>991001388699702656</t>
  </si>
  <si>
    <t>2269628920002656</t>
  </si>
  <si>
    <t>30001000464398</t>
  </si>
  <si>
    <t>893284740</t>
  </si>
  <si>
    <t>WY 39 A182n 1993</t>
  </si>
  <si>
    <t>0                      WY 0039000A  182n        1993</t>
  </si>
  <si>
    <t>Nursing diagnosis handbook : a guide to planning care / Betty J. Ackley, Gail B. Ladwig.</t>
  </si>
  <si>
    <t>Ackley, Betty J.</t>
  </si>
  <si>
    <t>St. Louis, MO : Mosby-Year Book, c1993.</t>
  </si>
  <si>
    <t>2002-10-09</t>
  </si>
  <si>
    <t>28723712</t>
  </si>
  <si>
    <t>991001512869702656</t>
  </si>
  <si>
    <t>2263224840002656</t>
  </si>
  <si>
    <t>9780801677915</t>
  </si>
  <si>
    <t>30001002601153</t>
  </si>
  <si>
    <t>893284872</t>
  </si>
  <si>
    <t>WY 39 A5115 1994</t>
  </si>
  <si>
    <t>0                      WY 0039000A  5115        1994</t>
  </si>
  <si>
    <t>American College of Physicians home care guide for cancer : how to care for family and friends at home / editor, Peter S. Houts ; associate editors, Arthur M. Nezu ... [et al.].</t>
  </si>
  <si>
    <t>Philadelphia, PA : The College, c1994.</t>
  </si>
  <si>
    <t>1999-01-07</t>
  </si>
  <si>
    <t>364545211:eng</t>
  </si>
  <si>
    <t>30027754</t>
  </si>
  <si>
    <t>991001566579702656</t>
  </si>
  <si>
    <t>2260920210002656</t>
  </si>
  <si>
    <t>9780943126302</t>
  </si>
  <si>
    <t>30001004037737</t>
  </si>
  <si>
    <t>893821344</t>
  </si>
  <si>
    <t>WY 39 A512 1984</t>
  </si>
  <si>
    <t>0                      WY 0039000A  512         1984</t>
  </si>
  <si>
    <t>The American handbook of psychiatric nursing / Suzanne Lego, editor ; 45 contributors.</t>
  </si>
  <si>
    <t>Philadelphia : Lippincott, c1984.</t>
  </si>
  <si>
    <t>1995-07-13</t>
  </si>
  <si>
    <t>54611659:eng</t>
  </si>
  <si>
    <t>10208462</t>
  </si>
  <si>
    <t>991001044399702656</t>
  </si>
  <si>
    <t>2268027120002656</t>
  </si>
  <si>
    <t>9780397543700</t>
  </si>
  <si>
    <t>30001000243495</t>
  </si>
  <si>
    <t>893540976</t>
  </si>
  <si>
    <t>WY 39 B895L 1986</t>
  </si>
  <si>
    <t>0                      WY 0039000B  895L        1986</t>
  </si>
  <si>
    <t>The Lippincott manual of nursing practice / Lillian Sholtis Brunner, Doris Smith Suddarth.</t>
  </si>
  <si>
    <t>Brunner, Lillian Sholtis.</t>
  </si>
  <si>
    <t>4th ed. / [with the assistance of] Dorothy Brooten, Anne Schwalenstocker Klijanowicz, Donnajeanne Biggs Lavoie.</t>
  </si>
  <si>
    <t>1988-05-20</t>
  </si>
  <si>
    <t>364006384:eng</t>
  </si>
  <si>
    <t>12612711</t>
  </si>
  <si>
    <t>991000738999702656</t>
  </si>
  <si>
    <t>2263511190002656</t>
  </si>
  <si>
    <t>9780397544998</t>
  </si>
  <si>
    <t>30001000042798</t>
  </si>
  <si>
    <t>893467549</t>
  </si>
  <si>
    <t>WY 39 C294h 1993</t>
  </si>
  <si>
    <t>0                      WY 0039000C  294h        1993</t>
  </si>
  <si>
    <t>Handbook of nursing diagnosis / Lynda Juall Carpenito.</t>
  </si>
  <si>
    <t>Philadelphia : Lippincott, c1993.</t>
  </si>
  <si>
    <t>1997-11-13</t>
  </si>
  <si>
    <t>1997-03-17</t>
  </si>
  <si>
    <t>2637205:eng</t>
  </si>
  <si>
    <t>26895265</t>
  </si>
  <si>
    <t>991000990929702656</t>
  </si>
  <si>
    <t>2270670660002656</t>
  </si>
  <si>
    <t>9780397550548</t>
  </si>
  <si>
    <t>30001003565159</t>
  </si>
  <si>
    <t>893465101</t>
  </si>
  <si>
    <t>WY 39 C737 1984</t>
  </si>
  <si>
    <t>0                      WY 0039000C  737         1984</t>
  </si>
  <si>
    <t>A Comprehensive review manual for the nurse practitioner / Susan F. Connor ... [et al.].</t>
  </si>
  <si>
    <t>1999-02-17</t>
  </si>
  <si>
    <t>3855314366:eng</t>
  </si>
  <si>
    <t>10483287</t>
  </si>
  <si>
    <t>991001044439702656</t>
  </si>
  <si>
    <t>2262816730002656</t>
  </si>
  <si>
    <t>9780316153171</t>
  </si>
  <si>
    <t>30001000243503</t>
  </si>
  <si>
    <t>893736172</t>
  </si>
  <si>
    <t>WY 39 D331c 1993</t>
  </si>
  <si>
    <t>0                      WY 0039000D  331c        1993</t>
  </si>
  <si>
    <t>Collaborative nursing case management : a handbook for development and implementation / Virginia Del Togno-Armanasco, Lois A. Hopkin, Sue Harter.</t>
  </si>
  <si>
    <t>Del Togno-Armanasco, Virginia.</t>
  </si>
  <si>
    <t>1995-02-08</t>
  </si>
  <si>
    <t>1994-09-06</t>
  </si>
  <si>
    <t>356666:eng</t>
  </si>
  <si>
    <t>27811738</t>
  </si>
  <si>
    <t>991000673189702656</t>
  </si>
  <si>
    <t>2258652730002656</t>
  </si>
  <si>
    <t>9780826181107</t>
  </si>
  <si>
    <t>30001002696377</t>
  </si>
  <si>
    <t>893631853</t>
  </si>
  <si>
    <t>WY 39 D651na 1991</t>
  </si>
  <si>
    <t>0                      WY 0039000D  651na       1991</t>
  </si>
  <si>
    <t>Nurse's pocket guide : nursing diagnoses with interventions / Marilynn E. Doenges, Mary Frances Moorhouse.</t>
  </si>
  <si>
    <t>Doenges, Marilynn E., 1922-</t>
  </si>
  <si>
    <t>Philadelphia : F.A. Davis, c1991.</t>
  </si>
  <si>
    <t>10792660514:eng</t>
  </si>
  <si>
    <t>22243676</t>
  </si>
  <si>
    <t>991000990899702656</t>
  </si>
  <si>
    <t>2271660130002656</t>
  </si>
  <si>
    <t>9780803626669</t>
  </si>
  <si>
    <t>30001003565167</t>
  </si>
  <si>
    <t>893287154</t>
  </si>
  <si>
    <t>WY 39 E11q 1991</t>
  </si>
  <si>
    <t>0                      WY 0039000E  11q         1991</t>
  </si>
  <si>
    <t>Quick reference to cardiac critical care nursing / Janet S. Eagan, Susan L. Stewart, Joan M. Vitello-Cicciu.</t>
  </si>
  <si>
    <t>Eagan, Janet S.</t>
  </si>
  <si>
    <t>Aspen series quick reference to critical care nursing</t>
  </si>
  <si>
    <t>1993-06-16</t>
  </si>
  <si>
    <t>1993-06-14</t>
  </si>
  <si>
    <t>25354157:eng</t>
  </si>
  <si>
    <t>23732595</t>
  </si>
  <si>
    <t>991001479199702656</t>
  </si>
  <si>
    <t>2265454830002656</t>
  </si>
  <si>
    <t>9780834202498</t>
  </si>
  <si>
    <t>30001002564930</t>
  </si>
  <si>
    <t>893649258</t>
  </si>
  <si>
    <t>WY 39 E57p 1989</t>
  </si>
  <si>
    <t>0                      WY 0039000E  57p         1989</t>
  </si>
  <si>
    <t>Pocket guide to pediatric assessment / Joyce Engel.</t>
  </si>
  <si>
    <t>Engel, Joyce.</t>
  </si>
  <si>
    <t>St. Louis : Mosby, c1989.</t>
  </si>
  <si>
    <t>Pocket guide</t>
  </si>
  <si>
    <t>1991-03-24</t>
  </si>
  <si>
    <t>1989-07-29</t>
  </si>
  <si>
    <t>2636991:eng</t>
  </si>
  <si>
    <t>18560353</t>
  </si>
  <si>
    <t>991001312599702656</t>
  </si>
  <si>
    <t>2270640630002656</t>
  </si>
  <si>
    <t>9780801617959</t>
  </si>
  <si>
    <t>30001001751389</t>
  </si>
  <si>
    <t>893643452</t>
  </si>
  <si>
    <t>WY 39 J23h 1988</t>
  </si>
  <si>
    <t>0                      WY 0039000J  23h         1988</t>
  </si>
  <si>
    <t>Home health nursing care plans / Marie S. Jaffe, Linda Skidmore-Roth.</t>
  </si>
  <si>
    <t>Jaffe, Marie S.</t>
  </si>
  <si>
    <t>1988-11-28</t>
  </si>
  <si>
    <t>1988-08-05</t>
  </si>
  <si>
    <t>5090614743:eng</t>
  </si>
  <si>
    <t>16984094</t>
  </si>
  <si>
    <t>991001419179702656</t>
  </si>
  <si>
    <t>2272063740002656</t>
  </si>
  <si>
    <t>9780801650185</t>
  </si>
  <si>
    <t>30001001181710</t>
  </si>
  <si>
    <t>893816378</t>
  </si>
  <si>
    <t>WY39 J23n 1993</t>
  </si>
  <si>
    <t>0                      WY 0039000J  23n         1993</t>
  </si>
  <si>
    <t>Nursing procedures for home care / Marie S. Jaffe.</t>
  </si>
  <si>
    <t>Albany, NY : Delmar Publishers, c1993.</t>
  </si>
  <si>
    <t>2000-04-20</t>
  </si>
  <si>
    <t>4566926481:eng</t>
  </si>
  <si>
    <t>24795722</t>
  </si>
  <si>
    <t>991001474509702656</t>
  </si>
  <si>
    <t>2259815030002656</t>
  </si>
  <si>
    <t>9780827345089</t>
  </si>
  <si>
    <t>30001002563312</t>
  </si>
  <si>
    <t>893374612</t>
  </si>
  <si>
    <t>WY 39 K68h 1984</t>
  </si>
  <si>
    <t>0                      WY 0039000K  68h         1984</t>
  </si>
  <si>
    <t>Handbook of psychosocial nursing care / Carol Ren Kneisl, Holly Skodol Wilson.</t>
  </si>
  <si>
    <t>Kneisl, Carol Ren.</t>
  </si>
  <si>
    <t>Menlo Park, Calif. : Addison-Wesley Pub. Co., Nursing Division, c1984.</t>
  </si>
  <si>
    <t>1992-08-20</t>
  </si>
  <si>
    <t>3819975:eng</t>
  </si>
  <si>
    <t>11113497</t>
  </si>
  <si>
    <t>991000764589702656</t>
  </si>
  <si>
    <t>2269261550002656</t>
  </si>
  <si>
    <t>9780201117059</t>
  </si>
  <si>
    <t>30001000056830</t>
  </si>
  <si>
    <t>893133696</t>
  </si>
  <si>
    <t>WY 39 K89q 1991</t>
  </si>
  <si>
    <t>0                      WY 0039000K  89q         1991</t>
  </si>
  <si>
    <t>Quick reference to respiratory critical care nursing / Nancy L. Kranzley.</t>
  </si>
  <si>
    <t>Kranzley, Nancy L.</t>
  </si>
  <si>
    <t>1997-11-28</t>
  </si>
  <si>
    <t>24213124:eng</t>
  </si>
  <si>
    <t>22813776</t>
  </si>
  <si>
    <t>991001479289702656</t>
  </si>
  <si>
    <t>2263664820002656</t>
  </si>
  <si>
    <t>9780834202054</t>
  </si>
  <si>
    <t>30001002564997</t>
  </si>
  <si>
    <t>893727632</t>
  </si>
  <si>
    <t>WY 39 L434q 1990</t>
  </si>
  <si>
    <t>0                      WY 0039000L  434q        1990</t>
  </si>
  <si>
    <t>Quick reference to neurological critical care nursing / Noreen M. Leahy.</t>
  </si>
  <si>
    <t>Leahy, Noreen M.</t>
  </si>
  <si>
    <t>Rockville, Md. : Aspen Publishers, c1990.</t>
  </si>
  <si>
    <t>1990-06-29</t>
  </si>
  <si>
    <t>22228849:eng</t>
  </si>
  <si>
    <t>20417082</t>
  </si>
  <si>
    <t>991001450849702656</t>
  </si>
  <si>
    <t>2264953020002656</t>
  </si>
  <si>
    <t>9780834201279</t>
  </si>
  <si>
    <t>30001001882903</t>
  </si>
  <si>
    <t>893465555</t>
  </si>
  <si>
    <t>WY 39 L948p 1990</t>
  </si>
  <si>
    <t>0                      WY 0039000L  948p        1990</t>
  </si>
  <si>
    <t>Pocket guide to gerontologic assessment / Annette Giesler Lueckenotte.</t>
  </si>
  <si>
    <t>Lueckenotte, Annette Giesler.</t>
  </si>
  <si>
    <t>St. Louis : C.V. Mosby, c1990.</t>
  </si>
  <si>
    <t>1997-08-22</t>
  </si>
  <si>
    <t>1992-09-25</t>
  </si>
  <si>
    <t>622743:eng</t>
  </si>
  <si>
    <t>22665858</t>
  </si>
  <si>
    <t>991001345579702656</t>
  </si>
  <si>
    <t>2256715370002656</t>
  </si>
  <si>
    <t>9780801633324</t>
  </si>
  <si>
    <t>30001002457101</t>
  </si>
  <si>
    <t>893832109</t>
  </si>
  <si>
    <t>WY 39 M2946 1990</t>
  </si>
  <si>
    <t>0                      WY 0039000M  2946        1990</t>
  </si>
  <si>
    <t>Manual of nursing therapeutics : applying nursing diagnoses to medical disorders / special project editor, Pamela L. Swearingen.</t>
  </si>
  <si>
    <t>54775160:eng</t>
  </si>
  <si>
    <t>20593802</t>
  </si>
  <si>
    <t>991001451179702656</t>
  </si>
  <si>
    <t>2265519930002656</t>
  </si>
  <si>
    <t>9780801658471</t>
  </si>
  <si>
    <t>30001001883026</t>
  </si>
  <si>
    <t>893369408</t>
  </si>
  <si>
    <t>WY 39 M825n 1990</t>
  </si>
  <si>
    <t>0                      WY 0039000M  825n        1990</t>
  </si>
  <si>
    <t>Nurse's clinical pocket manual : nursing diagnoses, care planning, and documentation / Mary Frances Moorhouse and Marilynn E. Doenges.</t>
  </si>
  <si>
    <t>Moorhouse, Mary Frances, 1947-</t>
  </si>
  <si>
    <t>[Philadelphia] : Davis, c1990.</t>
  </si>
  <si>
    <t>1997-03-13</t>
  </si>
  <si>
    <t>800908643:eng</t>
  </si>
  <si>
    <t>21195805</t>
  </si>
  <si>
    <t>991000836589702656</t>
  </si>
  <si>
    <t>2270844380002656</t>
  </si>
  <si>
    <t>9780803663145</t>
  </si>
  <si>
    <t>30001003441971</t>
  </si>
  <si>
    <t>893632319</t>
  </si>
  <si>
    <t>WY 39 N9744 1985</t>
  </si>
  <si>
    <t>0                      WY 0039000N  9744        1985</t>
  </si>
  <si>
    <t>Nursing care planning guides for psychiatric and mental health care / Margo Creighton Neal ... [et al.].</t>
  </si>
  <si>
    <t>Pacific Palisades, CA : Nurseco, c1985.</t>
  </si>
  <si>
    <t>1997-04-09</t>
  </si>
  <si>
    <t>3768403660:eng</t>
  </si>
  <si>
    <t>11548130</t>
  </si>
  <si>
    <t>991000738969702656</t>
  </si>
  <si>
    <t>2263132400002656</t>
  </si>
  <si>
    <t>9780935236453</t>
  </si>
  <si>
    <t>30001000042780</t>
  </si>
  <si>
    <t>893740065</t>
  </si>
  <si>
    <t>WY 39 P462c 1990</t>
  </si>
  <si>
    <t>0                      WY 0039000P  462c        1990</t>
  </si>
  <si>
    <t>Clinical nursing skills and techniques / Anne G. Perry, Patricia A. Potter.</t>
  </si>
  <si>
    <t>Perry, Anne Griffin.</t>
  </si>
  <si>
    <t>2002-11-18</t>
  </si>
  <si>
    <t>5090631370:eng</t>
  </si>
  <si>
    <t>13124057</t>
  </si>
  <si>
    <t>991001451769702656</t>
  </si>
  <si>
    <t>2267695990002656</t>
  </si>
  <si>
    <t>9780801654930</t>
  </si>
  <si>
    <t>30001001883299</t>
  </si>
  <si>
    <t>893541421</t>
  </si>
  <si>
    <t>WY 39 Q6 1984</t>
  </si>
  <si>
    <t>0                      WY 0039000Q  6           1984</t>
  </si>
  <si>
    <t>Quick reference to pediatric nursing / [edited by] Carol M. Murphy ; 12 contributors.</t>
  </si>
  <si>
    <t>Lippincott's quick references</t>
  </si>
  <si>
    <t>1993-03-29</t>
  </si>
  <si>
    <t>1988-06-10</t>
  </si>
  <si>
    <t>43892126:eng</t>
  </si>
  <si>
    <t>9919291</t>
  </si>
  <si>
    <t>991001291299702656</t>
  </si>
  <si>
    <t>2255158010002656</t>
  </si>
  <si>
    <t>9780397544493</t>
  </si>
  <si>
    <t>30001000398216</t>
  </si>
  <si>
    <t>893278952</t>
  </si>
  <si>
    <t>WY 39 R136q 1989</t>
  </si>
  <si>
    <t>0                      WY 0039000R  136q        1989</t>
  </si>
  <si>
    <t>Quick reference to maternity nursing / Beverly Raff, Arlyne Friesner.</t>
  </si>
  <si>
    <t>Raff, Beverly S.</t>
  </si>
  <si>
    <t>1989-09-18</t>
  </si>
  <si>
    <t>1989-09-12</t>
  </si>
  <si>
    <t>18409992:eng</t>
  </si>
  <si>
    <t>18960919</t>
  </si>
  <si>
    <t>991001317939702656</t>
  </si>
  <si>
    <t>2270578610002656</t>
  </si>
  <si>
    <t>9780834200517</t>
  </si>
  <si>
    <t>30001001753344</t>
  </si>
  <si>
    <t>893816295</t>
  </si>
  <si>
    <t>WY 39 S326c 1985</t>
  </si>
  <si>
    <t>0                      WY 0039000S  326c        1985</t>
  </si>
  <si>
    <t>New York : Wiley, c1985.</t>
  </si>
  <si>
    <t>1988-09-01</t>
  </si>
  <si>
    <t>11044246</t>
  </si>
  <si>
    <t>991000738839702656</t>
  </si>
  <si>
    <t>2260960140002656</t>
  </si>
  <si>
    <t>9780471812999</t>
  </si>
  <si>
    <t>30001000042749</t>
  </si>
  <si>
    <t>893545726</t>
  </si>
  <si>
    <t>WY 39 S389m 1990</t>
  </si>
  <si>
    <t>0                      WY 0039000S  389m        1990</t>
  </si>
  <si>
    <t>Manual of psychiatric nursing care plans / Judith M. Schultz, Sheila L. Dark.</t>
  </si>
  <si>
    <t>Schultz, Judith M.</t>
  </si>
  <si>
    <t>Glenview, IL : Scott, Foresman and Co., c1990.</t>
  </si>
  <si>
    <t>2001-07-22</t>
  </si>
  <si>
    <t>3893616588:eng</t>
  </si>
  <si>
    <t>20264554</t>
  </si>
  <si>
    <t>991001454149702656</t>
  </si>
  <si>
    <t>2265018150002656</t>
  </si>
  <si>
    <t>9780673520494</t>
  </si>
  <si>
    <t>30001001884362</t>
  </si>
  <si>
    <t>893541424</t>
  </si>
  <si>
    <t>WY 39 S626m 1992</t>
  </si>
  <si>
    <t>0                      WY 0039000S  626m        1992</t>
  </si>
  <si>
    <t>Manual of pediatric nursing procedures / Nedra Skale.</t>
  </si>
  <si>
    <t>Skale, Nedra.</t>
  </si>
  <si>
    <t>1992-05-15</t>
  </si>
  <si>
    <t>24768849:eng</t>
  </si>
  <si>
    <t>23651980</t>
  </si>
  <si>
    <t>991001304429702656</t>
  </si>
  <si>
    <t>2262867170002656</t>
  </si>
  <si>
    <t>9780397547821</t>
  </si>
  <si>
    <t>30001002413096</t>
  </si>
  <si>
    <t>893134461</t>
  </si>
  <si>
    <t>WY 39 S628m 1986</t>
  </si>
  <si>
    <t>0                      WY 0039000S  628m        1986</t>
  </si>
  <si>
    <t>Medical-surgical nursing care plans : nursing diagnosis and interventions / Linda Skidmore-Roth, Marie Jaffe.</t>
  </si>
  <si>
    <t>Skidmore-Roth, Linda.</t>
  </si>
  <si>
    <t>1996-09-23</t>
  </si>
  <si>
    <t>836863046:eng</t>
  </si>
  <si>
    <t>13525650</t>
  </si>
  <si>
    <t>991001044879702656</t>
  </si>
  <si>
    <t>2261926180002656</t>
  </si>
  <si>
    <t>9780838562796</t>
  </si>
  <si>
    <t>30001000243677</t>
  </si>
  <si>
    <t>893450804</t>
  </si>
  <si>
    <t>WY 39 S786h 2000</t>
  </si>
  <si>
    <t>0                      WY 0039000S  786h        2000</t>
  </si>
  <si>
    <t>Handbook of community-based and home health nursing : tools for assessment, intervention, and education / Marcia Stanhope, Ruth N. Knollmueller.</t>
  </si>
  <si>
    <t>St. Louis : Mosby, c2000.</t>
  </si>
  <si>
    <t>2000-04-14</t>
  </si>
  <si>
    <t>3754505886:eng</t>
  </si>
  <si>
    <t>42621971</t>
  </si>
  <si>
    <t>991001407619702656</t>
  </si>
  <si>
    <t>2261634160002656</t>
  </si>
  <si>
    <t>9780323008754</t>
  </si>
  <si>
    <t>30001003824416</t>
  </si>
  <si>
    <t>893743772</t>
  </si>
  <si>
    <t>WY 39 S929p 1988</t>
  </si>
  <si>
    <t>0                      WY 0039000S  929p        1988</t>
  </si>
  <si>
    <t>Pocket guide to psychiatric nursing / Gail W. Stuart, Sandra J. Sundeen.</t>
  </si>
  <si>
    <t>Stuart, Gail Wiscarz, 1949-</t>
  </si>
  <si>
    <t>1996-09-30</t>
  </si>
  <si>
    <t>1988-05-04</t>
  </si>
  <si>
    <t>3855733247:eng</t>
  </si>
  <si>
    <t>16867369</t>
  </si>
  <si>
    <t>991001190279702656</t>
  </si>
  <si>
    <t>2266637950002656</t>
  </si>
  <si>
    <t>9780801648564</t>
  </si>
  <si>
    <t>30001000979155</t>
  </si>
  <si>
    <t>893560902</t>
  </si>
  <si>
    <t>WY 39 S943L 1991</t>
  </si>
  <si>
    <t>0                      WY 0039000S  943L        1991</t>
  </si>
  <si>
    <t>The Lippincott manual of nursing practice.</t>
  </si>
  <si>
    <t>Suddarth, Doris Smith.</t>
  </si>
  <si>
    <t>5th ed. / Doris Smith Suddarth ; contributors, Brenda Bare ... [et al.].</t>
  </si>
  <si>
    <t>2007-05-24</t>
  </si>
  <si>
    <t>1991-04-23</t>
  </si>
  <si>
    <t>3901360399:eng</t>
  </si>
  <si>
    <t>22705943</t>
  </si>
  <si>
    <t>991000932919702656</t>
  </si>
  <si>
    <t>2257555810002656</t>
  </si>
  <si>
    <t>9780397547876</t>
  </si>
  <si>
    <t>30001002190173</t>
  </si>
  <si>
    <t>893167964</t>
  </si>
  <si>
    <t>WY 39 S961 1986</t>
  </si>
  <si>
    <t>0                      WY 0039000S  961         1986</t>
  </si>
  <si>
    <t>Surgical care.</t>
  </si>
  <si>
    <t>Springhouse, Pa. : Springhouse Corp., c1986.</t>
  </si>
  <si>
    <t>Clinical pocket manual</t>
  </si>
  <si>
    <t>1991-06-18</t>
  </si>
  <si>
    <t>5445667:eng</t>
  </si>
  <si>
    <t>12909180</t>
  </si>
  <si>
    <t>991000738879702656</t>
  </si>
  <si>
    <t>2257591820002656</t>
  </si>
  <si>
    <t>9780874340129</t>
  </si>
  <si>
    <t>30001000042756</t>
  </si>
  <si>
    <t>893731033</t>
  </si>
  <si>
    <t>WY 39 T139p 1993</t>
  </si>
  <si>
    <t>0                      WY 0039000T  139p        1993</t>
  </si>
  <si>
    <t>Pocket guide to critical care assessment / Laura A. Talbot, Mary Meyers-Marquardt.</t>
  </si>
  <si>
    <t>Talbot, Laura.</t>
  </si>
  <si>
    <t>St. Louis : Mosby, c1993.</t>
  </si>
  <si>
    <t>1994-08-09</t>
  </si>
  <si>
    <t>19247118:eng</t>
  </si>
  <si>
    <t>29024036</t>
  </si>
  <si>
    <t>991001119889702656</t>
  </si>
  <si>
    <t>2258300210002656</t>
  </si>
  <si>
    <t>9780801666971</t>
  </si>
  <si>
    <t>30001002950253</t>
  </si>
  <si>
    <t>893731674</t>
  </si>
  <si>
    <t>WY 39 T749n 1997</t>
  </si>
  <si>
    <t>0                      WY 0039000T  749n        1997</t>
  </si>
  <si>
    <t>Nursing diagnoses in psychiatric nursing : a pocket guide for care plan construction / Mary C. Townsend.</t>
  </si>
  <si>
    <t>Townsend, Mary C., 1941-</t>
  </si>
  <si>
    <t>Philadelphia : F.A. Davis, c1997.</t>
  </si>
  <si>
    <t>1998-01-27</t>
  </si>
  <si>
    <t>3855410585:eng</t>
  </si>
  <si>
    <t>35926334</t>
  </si>
  <si>
    <t>991001231499702656</t>
  </si>
  <si>
    <t>2263540340002656</t>
  </si>
  <si>
    <t>9780803602908</t>
  </si>
  <si>
    <t>30001003673821</t>
  </si>
  <si>
    <t>893743682</t>
  </si>
  <si>
    <t>WY 39 U45m 1994</t>
  </si>
  <si>
    <t>0                      WY 0039000U  45m         1994</t>
  </si>
  <si>
    <t>Medical-surgical nursing care planning guides / Susan Puderbaugh Ulrich, Suzanne Weyland Canale, Sharon Andrea Wendell.</t>
  </si>
  <si>
    <t>Ulrich, Susan Puderbaugh.</t>
  </si>
  <si>
    <t>Philadelphia : W.B. Saunders, c1994.</t>
  </si>
  <si>
    <t>2001-06-18</t>
  </si>
  <si>
    <t>1994-05-03</t>
  </si>
  <si>
    <t>31630294:eng</t>
  </si>
  <si>
    <t>28749378</t>
  </si>
  <si>
    <t>991001160349702656</t>
  </si>
  <si>
    <t>2269473970002656</t>
  </si>
  <si>
    <t>9780721651989</t>
  </si>
  <si>
    <t>30001002973958</t>
  </si>
  <si>
    <t>893740829</t>
  </si>
  <si>
    <t>WY 39 U45n 1990</t>
  </si>
  <si>
    <t>0                      WY 0039000U  45n         1990</t>
  </si>
  <si>
    <t>Nursing care planning guides : a nursing diagnosis approach / by Susan Puderbaugh Ulrich, Suzanne Weyland Canale, Sharon Andrea Wendell.</t>
  </si>
  <si>
    <t>2003-10-26</t>
  </si>
  <si>
    <t>3901065065:eng</t>
  </si>
  <si>
    <t>20935086</t>
  </si>
  <si>
    <t>991001453379702656</t>
  </si>
  <si>
    <t>2268242560002656</t>
  </si>
  <si>
    <t>9780721630915</t>
  </si>
  <si>
    <t>30001001884024</t>
  </si>
  <si>
    <t>893268528</t>
  </si>
  <si>
    <t>WY 39 V886m 1985</t>
  </si>
  <si>
    <t>0                      WY 0039000V  886m        1985</t>
  </si>
  <si>
    <t>Mosby's manual of neurological care / Gordon Vogt, Margaret Miller, Myrna Esluer.</t>
  </si>
  <si>
    <t>Vogt, Gordon.</t>
  </si>
  <si>
    <t>1996-02-11</t>
  </si>
  <si>
    <t>4013733:eng</t>
  </si>
  <si>
    <t>11043051</t>
  </si>
  <si>
    <t>991001131829702656</t>
  </si>
  <si>
    <t>2260414700002656</t>
  </si>
  <si>
    <t>9780801652554</t>
  </si>
  <si>
    <t>30001000285306</t>
  </si>
  <si>
    <t>893284431</t>
  </si>
  <si>
    <t>WY 39 W613m 1985</t>
  </si>
  <si>
    <t>0                      WY 0039000W  613m        1985</t>
  </si>
  <si>
    <t>A manual of clinical obstetrics / Nancy Whitley.</t>
  </si>
  <si>
    <t>Whitley, Nancy, 1942-</t>
  </si>
  <si>
    <t>Philadelphia : Lippincott, c1985.</t>
  </si>
  <si>
    <t>428427018:eng</t>
  </si>
  <si>
    <t>10605926</t>
  </si>
  <si>
    <t>991000843309702656</t>
  </si>
  <si>
    <t>2262666850002656</t>
  </si>
  <si>
    <t>9780397542581</t>
  </si>
  <si>
    <t>30001000785743</t>
  </si>
  <si>
    <t>893357806</t>
  </si>
  <si>
    <t>WY 39 W713m 1986</t>
  </si>
  <si>
    <t>0                      WY 0039000W  713m        1986</t>
  </si>
  <si>
    <t>Manual of neonatal intensive care nursing / Mary Jane Willett, Marcia Patterson, Beth Steinbock.</t>
  </si>
  <si>
    <t>Willett, Mary Jane.</t>
  </si>
  <si>
    <t>Boston : Little, Brown, c1986.</t>
  </si>
  <si>
    <t>5838782:eng</t>
  </si>
  <si>
    <t>13093910</t>
  </si>
  <si>
    <t>991001131859702656</t>
  </si>
  <si>
    <t>2256566740002656</t>
  </si>
  <si>
    <t>9780316943789</t>
  </si>
  <si>
    <t>30001000285314</t>
  </si>
  <si>
    <t>893278751</t>
  </si>
  <si>
    <t>WY49 A111 2005</t>
  </si>
  <si>
    <t>0                      WY 0049000A  111         2005</t>
  </si>
  <si>
    <t>AACN procedure manual for critical care / edited by Debra J. Lynn-McHale Wiegand, Karen K. Carlson.</t>
  </si>
  <si>
    <t>Philadelphia : Elsevier/Saunders, c2005.</t>
  </si>
  <si>
    <t>2007-04-02</t>
  </si>
  <si>
    <t>2006-01-25</t>
  </si>
  <si>
    <t>374604669:eng</t>
  </si>
  <si>
    <t>60128452</t>
  </si>
  <si>
    <t>991000458189702656</t>
  </si>
  <si>
    <t>2268985500002656</t>
  </si>
  <si>
    <t>9780721604527</t>
  </si>
  <si>
    <t>30001004913036</t>
  </si>
  <si>
    <t>893639241</t>
  </si>
  <si>
    <t>WY 49 A8455 2005</t>
  </si>
  <si>
    <t>0                      WY 0049000A  8455        2005</t>
  </si>
  <si>
    <t>Assessment : a 2-in-1 reference for nurses.</t>
  </si>
  <si>
    <t>Philadelphia : Lippincott Williams &amp; Wilkins, c2005.</t>
  </si>
  <si>
    <t>2004-09-24</t>
  </si>
  <si>
    <t>2004-09-22</t>
  </si>
  <si>
    <t>3944301585:eng</t>
  </si>
  <si>
    <t>53476782</t>
  </si>
  <si>
    <t>991000394489702656</t>
  </si>
  <si>
    <t>2268831640002656</t>
  </si>
  <si>
    <t>9781582553191</t>
  </si>
  <si>
    <t>30001004978450</t>
  </si>
  <si>
    <t>893832792</t>
  </si>
  <si>
    <t>WY 49 C227m 2006</t>
  </si>
  <si>
    <t>0                      WY 0049000C  227m        2006</t>
  </si>
  <si>
    <t>Mosby's handbook of patient teaching / Mary M. Canobbio.</t>
  </si>
  <si>
    <t>Canobbio, Mary M.</t>
  </si>
  <si>
    <t>St. Louis, Mo. : Mosby Elsevier, c2006.</t>
  </si>
  <si>
    <t>2006-03-16</t>
  </si>
  <si>
    <t>2636605:eng</t>
  </si>
  <si>
    <t>62332155</t>
  </si>
  <si>
    <t>991001737219702656</t>
  </si>
  <si>
    <t>2266619100002656</t>
  </si>
  <si>
    <t>9780323032087</t>
  </si>
  <si>
    <t>30001005126331</t>
  </si>
  <si>
    <t>893465791</t>
  </si>
  <si>
    <t>WY 49 C294h 1999</t>
  </si>
  <si>
    <t>0                      WY 0049000C  294h        1999</t>
  </si>
  <si>
    <t>Philadelphia : Lippincott Williams &amp; Wilkins, c1999.</t>
  </si>
  <si>
    <t>2001-08-06</t>
  </si>
  <si>
    <t>1999-08-17</t>
  </si>
  <si>
    <t>40698413</t>
  </si>
  <si>
    <t>991000863539702656</t>
  </si>
  <si>
    <t>2264534340002656</t>
  </si>
  <si>
    <t>9780781719711</t>
  </si>
  <si>
    <t>30001004149938</t>
  </si>
  <si>
    <t>893283970</t>
  </si>
  <si>
    <t>WY 49 C536 1997</t>
  </si>
  <si>
    <t>0                      WY 0049000C  536         1997</t>
  </si>
  <si>
    <t>Children and youth assisted by medical technology in educational settings : guidelines for care / edited by Stephanie Porter ... [et al.] ; illustrations by Marcia Williams.</t>
  </si>
  <si>
    <t>Baltimore : P.H. Brookes Pub. Co., c1997.</t>
  </si>
  <si>
    <t>1999-05-11</t>
  </si>
  <si>
    <t>837022443:eng</t>
  </si>
  <si>
    <t>35667191</t>
  </si>
  <si>
    <t>991001570379702656</t>
  </si>
  <si>
    <t>2261003760002656</t>
  </si>
  <si>
    <t>9781557662361</t>
  </si>
  <si>
    <t>30001003803352</t>
  </si>
  <si>
    <t>893451337</t>
  </si>
  <si>
    <t>WY 49 C9345 2004</t>
  </si>
  <si>
    <t>0                      WY 0049000C  9345        2004</t>
  </si>
  <si>
    <t>Critical care skills : a clinical handbook / Barbara Clark Mims ... [et al.].</t>
  </si>
  <si>
    <t>St. Louis : W.B. Saunders, c2004.</t>
  </si>
  <si>
    <t>2004-09-18</t>
  </si>
  <si>
    <t>2004-09-16</t>
  </si>
  <si>
    <t>836919326:eng</t>
  </si>
  <si>
    <t>56655324</t>
  </si>
  <si>
    <t>991000392019702656</t>
  </si>
  <si>
    <t>2261767540002656</t>
  </si>
  <si>
    <t>9780721600857</t>
  </si>
  <si>
    <t>30001004445211</t>
  </si>
  <si>
    <t>893827446</t>
  </si>
  <si>
    <t>WY49 D611 2002</t>
  </si>
  <si>
    <t>0                      WY 0049000D  611         2002</t>
  </si>
  <si>
    <t>Disease management for nurse practitioners.</t>
  </si>
  <si>
    <t>Springhouse, Pa. : Springhouse, c2002.</t>
  </si>
  <si>
    <t>2003-09-30</t>
  </si>
  <si>
    <t>2002-04-23</t>
  </si>
  <si>
    <t>8909064928:eng</t>
  </si>
  <si>
    <t>47081403</t>
  </si>
  <si>
    <t>991000308729702656</t>
  </si>
  <si>
    <t>2256817680002656</t>
  </si>
  <si>
    <t>9781582550695</t>
  </si>
  <si>
    <t>30001004237535</t>
  </si>
  <si>
    <t>893269340</t>
  </si>
  <si>
    <t>WY 49 D651pa 1998</t>
  </si>
  <si>
    <t>0                      WY 0049000D  651pa       1998</t>
  </si>
  <si>
    <t>Psychiatric care plans : guidelines for individualizing care / Marilynn E. Doenges, Mary C. Townsend, Mary Frances Moorhouse.</t>
  </si>
  <si>
    <t>Philadelphia : F.A. Davis, c1998.</t>
  </si>
  <si>
    <t>Ed. 3</t>
  </si>
  <si>
    <t>1998-12-10</t>
  </si>
  <si>
    <t>3857329856:eng</t>
  </si>
  <si>
    <t>37281836</t>
  </si>
  <si>
    <t>991000692259702656</t>
  </si>
  <si>
    <t>2257921960002656</t>
  </si>
  <si>
    <t>9780803603226</t>
  </si>
  <si>
    <t>30001004036846</t>
  </si>
  <si>
    <t>893556861</t>
  </si>
  <si>
    <t>WY 49 E53 2004</t>
  </si>
  <si>
    <t>0                      WY 0049000E  53          2004</t>
  </si>
  <si>
    <t>Emergency nursing procedures / [edited by] Jean A. Proehl.</t>
  </si>
  <si>
    <t>St. Louis, Mo. : Saunders, c2004.</t>
  </si>
  <si>
    <t>2009-10-09</t>
  </si>
  <si>
    <t>1110327466:eng</t>
  </si>
  <si>
    <t>54953447</t>
  </si>
  <si>
    <t>991000382289702656</t>
  </si>
  <si>
    <t>2258775030002656</t>
  </si>
  <si>
    <t>9780721603414</t>
  </si>
  <si>
    <t>30001004840585</t>
  </si>
  <si>
    <t>893639140</t>
  </si>
  <si>
    <t>WY 49 G671p 2008</t>
  </si>
  <si>
    <t>0                      WY 0049000G  671p        2008</t>
  </si>
  <si>
    <t>Psychosocial nursing for general patient care / Linda M. Gorman, Donna F. Sultan.</t>
  </si>
  <si>
    <t>Gorman, Linda M.</t>
  </si>
  <si>
    <t>Philadelphia : F.A. Davis Co., c2008.</t>
  </si>
  <si>
    <t>2008</t>
  </si>
  <si>
    <t>2008-09-26</t>
  </si>
  <si>
    <t>37592876:eng</t>
  </si>
  <si>
    <t>173659675</t>
  </si>
  <si>
    <t>991001320219702656</t>
  </si>
  <si>
    <t>2266103810002656</t>
  </si>
  <si>
    <t>9780803617841</t>
  </si>
  <si>
    <t>30001005372273</t>
  </si>
  <si>
    <t>893560967</t>
  </si>
  <si>
    <t>WY49 H2354 2003</t>
  </si>
  <si>
    <t>0                      WY 0049000H  2354        2003</t>
  </si>
  <si>
    <t>Handbook of geriatric nursing care.</t>
  </si>
  <si>
    <t>2003-05-13</t>
  </si>
  <si>
    <t>56834970:eng</t>
  </si>
  <si>
    <t>50124465</t>
  </si>
  <si>
    <t>991000346969702656</t>
  </si>
  <si>
    <t>2266787460002656</t>
  </si>
  <si>
    <t>9781582551432</t>
  </si>
  <si>
    <t>30001004502433</t>
  </si>
  <si>
    <t>893732797</t>
  </si>
  <si>
    <t>WY49 H429m 1999</t>
  </si>
  <si>
    <t>0                      WY 0049000H  429m        1999</t>
  </si>
  <si>
    <t>Manual of pediatric critical care / Mary Fran Hazinski.</t>
  </si>
  <si>
    <t>Hazinski, Mary Fran.</t>
  </si>
  <si>
    <t>St. Louis : Mosby, c1999.</t>
  </si>
  <si>
    <t>2002-09-18</t>
  </si>
  <si>
    <t>1076402:eng</t>
  </si>
  <si>
    <t>40120330</t>
  </si>
  <si>
    <t>991000319299702656</t>
  </si>
  <si>
    <t>2264403580002656</t>
  </si>
  <si>
    <t>9780815142300</t>
  </si>
  <si>
    <t>30001004239945</t>
  </si>
  <si>
    <t>893285504</t>
  </si>
  <si>
    <t>WY49 H586w 2005</t>
  </si>
  <si>
    <t>0                      WY 0049000H  586w        2005</t>
  </si>
  <si>
    <t>Wound care / Cathy Thomas Hess.</t>
  </si>
  <si>
    <t>Hess, Cathy Thomas, 1961-</t>
  </si>
  <si>
    <t>Clinical guide</t>
  </si>
  <si>
    <t>2006-10-13</t>
  </si>
  <si>
    <t>2006-10-06</t>
  </si>
  <si>
    <t>641537:eng</t>
  </si>
  <si>
    <t>55624352</t>
  </si>
  <si>
    <t>991001745219702656</t>
  </si>
  <si>
    <t>2263269610002656</t>
  </si>
  <si>
    <t>9781582552941</t>
  </si>
  <si>
    <t>30001005175742</t>
  </si>
  <si>
    <t>893121985</t>
  </si>
  <si>
    <t>WY 49 H716p 1996</t>
  </si>
  <si>
    <t>0                      WY 0049000H  716p        1996</t>
  </si>
  <si>
    <t>Practical guide to health assessment through the lifespan / Mildred O. Hogstel, Rhonda Keen-Payne.</t>
  </si>
  <si>
    <t>Hogstel, Mildred O.</t>
  </si>
  <si>
    <t>Philadelphia : F.A. Davis, c1996.</t>
  </si>
  <si>
    <t>1998-01-20</t>
  </si>
  <si>
    <t>1997-05-28</t>
  </si>
  <si>
    <t>30452806:eng</t>
  </si>
  <si>
    <t>34193938</t>
  </si>
  <si>
    <t>991001556639702656</t>
  </si>
  <si>
    <t>2260555710002656</t>
  </si>
  <si>
    <t>9780803601307</t>
  </si>
  <si>
    <t>30001003672575</t>
  </si>
  <si>
    <t>893558092</t>
  </si>
  <si>
    <t>WY49 H745n 2004</t>
  </si>
  <si>
    <t>0                      WY 0049000H  745n        2004</t>
  </si>
  <si>
    <t>Nurse's fast facts : your quick source for core clinical content / Brenda Walters Holloway.</t>
  </si>
  <si>
    <t>Holloway, Brenda Walters, 1949-</t>
  </si>
  <si>
    <t>Philadelphia : F.A. Davis Co., c2004.</t>
  </si>
  <si>
    <t>2009-02-22</t>
  </si>
  <si>
    <t>2004-11-16</t>
  </si>
  <si>
    <t>801616378:eng</t>
  </si>
  <si>
    <t>54408242</t>
  </si>
  <si>
    <t>991000411219702656</t>
  </si>
  <si>
    <t>2258430480002656</t>
  </si>
  <si>
    <t>9780803611610</t>
  </si>
  <si>
    <t>30001005390325</t>
  </si>
  <si>
    <t>893732841</t>
  </si>
  <si>
    <t>WY 49 L765 1996</t>
  </si>
  <si>
    <t>0                      WY 0049000L  765         1996</t>
  </si>
  <si>
    <t>Philadelphia : Lippincott-Raven Publishers, c1996.</t>
  </si>
  <si>
    <t>6th ed. / [edited by] Sandra M. Nettina.</t>
  </si>
  <si>
    <t>2007-12-10</t>
  </si>
  <si>
    <t>1996-04-18</t>
  </si>
  <si>
    <t>33077330</t>
  </si>
  <si>
    <t>991001506239702656</t>
  </si>
  <si>
    <t>2254804940002656</t>
  </si>
  <si>
    <t>9780397551637</t>
  </si>
  <si>
    <t>30001003264472</t>
  </si>
  <si>
    <t>893284867</t>
  </si>
  <si>
    <t>WY49 M2938 2003</t>
  </si>
  <si>
    <t>0                      WY 0049000M  2938        2003</t>
  </si>
  <si>
    <t>Manual of medical-surgical nursing care : nursing interventions &amp; collaborative management / Pamela L. Swearingen, special project editor.</t>
  </si>
  <si>
    <t>St. Louis : Mosby, c2003.</t>
  </si>
  <si>
    <t>Ed. 5.</t>
  </si>
  <si>
    <t>2006-11-06</t>
  </si>
  <si>
    <t>2002-12-12</t>
  </si>
  <si>
    <t>815799385:eng</t>
  </si>
  <si>
    <t>49221920</t>
  </si>
  <si>
    <t>991000333269702656</t>
  </si>
  <si>
    <t>2260802990002656</t>
  </si>
  <si>
    <t>9780323016476</t>
  </si>
  <si>
    <t>30001004500718</t>
  </si>
  <si>
    <t>893109422</t>
  </si>
  <si>
    <t>WY 49 M358 1998</t>
  </si>
  <si>
    <t>0                      WY 0049000M  358         1998</t>
  </si>
  <si>
    <t>Manual of home health practice : guidance for effective clinical operations / Tina M. Marrelli, Lynda S. Hilliard.</t>
  </si>
  <si>
    <t>Marrelli, T. M.</t>
  </si>
  <si>
    <t>St. Louis, Mo. ; London : Mosby, c1998.</t>
  </si>
  <si>
    <t>1999-11-04</t>
  </si>
  <si>
    <t>622923:eng</t>
  </si>
  <si>
    <t>38112996</t>
  </si>
  <si>
    <t>991000598199702656</t>
  </si>
  <si>
    <t>2271840380002656</t>
  </si>
  <si>
    <t>9780815146506</t>
  </si>
  <si>
    <t>30001004015832</t>
  </si>
  <si>
    <t>893830432</t>
  </si>
  <si>
    <t>WY49 N9745 2002</t>
  </si>
  <si>
    <t>0                      WY 0049000N  9745        2002</t>
  </si>
  <si>
    <t>St. Louis : Mosby, c2002.</t>
  </si>
  <si>
    <t>2002-09-23</t>
  </si>
  <si>
    <t>2001-12-20</t>
  </si>
  <si>
    <t>46872999</t>
  </si>
  <si>
    <t>991000298919702656</t>
  </si>
  <si>
    <t>2272223710002656</t>
  </si>
  <si>
    <t>9780323014595</t>
  </si>
  <si>
    <t>30001004560332</t>
  </si>
  <si>
    <t>893108688</t>
  </si>
  <si>
    <t>WY 49 P462c 1998</t>
  </si>
  <si>
    <t>0                      WY 0049000P  462c        1998</t>
  </si>
  <si>
    <t>Clinical nursing skills &amp; techniques / Anne Griffin Perry, Patricia A. Potter.</t>
  </si>
  <si>
    <t>1999-02-16</t>
  </si>
  <si>
    <t>5091100448:eng</t>
  </si>
  <si>
    <t>37355339</t>
  </si>
  <si>
    <t>991001271439702656</t>
  </si>
  <si>
    <t>2261587940002656</t>
  </si>
  <si>
    <t>9780815143055</t>
  </si>
  <si>
    <t>30001003694850</t>
  </si>
  <si>
    <t>893460403</t>
  </si>
  <si>
    <t>WY49 P462c 2006</t>
  </si>
  <si>
    <t>0                      WY 0049000P  462c        2006</t>
  </si>
  <si>
    <t>Clinical nursing skills &amp; techniques / [edited by] Anne Griffin Perry, Patricia A. Potter.</t>
  </si>
  <si>
    <t>St. Louis, Mo. : Elsevier/Mosby, c2006.</t>
  </si>
  <si>
    <t>2008-03-26</t>
  </si>
  <si>
    <t>2006-01-19</t>
  </si>
  <si>
    <t>5090361003:eng</t>
  </si>
  <si>
    <t>61046967</t>
  </si>
  <si>
    <t>991001736589702656</t>
  </si>
  <si>
    <t>2255048010002656</t>
  </si>
  <si>
    <t>9780323028394</t>
  </si>
  <si>
    <t>30001004910792</t>
  </si>
  <si>
    <t>893162264</t>
  </si>
  <si>
    <t>WY 49R163n 2005</t>
  </si>
  <si>
    <t>0                      WY 0049000R  163n        2005</t>
  </si>
  <si>
    <t>Nursing diagnosis reference manual / Sheila Sparks Ralph, Cynthia M. Taylor.</t>
  </si>
  <si>
    <t>Ralph, Sheila Sparks.</t>
  </si>
  <si>
    <t>2004-11-29</t>
  </si>
  <si>
    <t>641533:eng</t>
  </si>
  <si>
    <t>56014652</t>
  </si>
  <si>
    <t>991001731339702656</t>
  </si>
  <si>
    <t>2257268170002656</t>
  </si>
  <si>
    <t>9781582552927</t>
  </si>
  <si>
    <t>30001004925774</t>
  </si>
  <si>
    <t>893162263</t>
  </si>
  <si>
    <t>WY 49 S736na 1998</t>
  </si>
  <si>
    <t>0                      WY 0049000S  736na       1998</t>
  </si>
  <si>
    <t>Nursing diagnosis reference manual / Sheila M. Sparks, Cynthia M. Taylor.</t>
  </si>
  <si>
    <t>Springhouse, Pa. : Springhouse Corp., c1998.</t>
  </si>
  <si>
    <t>37481569</t>
  </si>
  <si>
    <t>991000598109702656</t>
  </si>
  <si>
    <t>2268719110002656</t>
  </si>
  <si>
    <t>9780874348972</t>
  </si>
  <si>
    <t>30001004015840</t>
  </si>
  <si>
    <t>893830431</t>
  </si>
  <si>
    <t>WY 49 V289m 2004</t>
  </si>
  <si>
    <t>0                      WY 0049000V  289m        2004</t>
  </si>
  <si>
    <t>Manual of psychiatric nursing care plans : diagnoses, clinical tools, and psychopharmacology / Elizabeth M. Varcarolis.</t>
  </si>
  <si>
    <t>Varcarolis, Elizabeth M.</t>
  </si>
  <si>
    <t>2004-09-27</t>
  </si>
  <si>
    <t>837190627:eng</t>
  </si>
  <si>
    <t>52937970</t>
  </si>
  <si>
    <t>991000397409702656</t>
  </si>
  <si>
    <t>2262709870002656</t>
  </si>
  <si>
    <t>9780721603162</t>
  </si>
  <si>
    <t>30001004923233</t>
  </si>
  <si>
    <t>893285535</t>
  </si>
  <si>
    <t>WY49 V879a 2004</t>
  </si>
  <si>
    <t>0                      WY 0049000V  879a        2004</t>
  </si>
  <si>
    <t>Advanced practice oncology and palliative care guidelines / Wendy H. Vogel, Margery A. Wilson, Michelle S. Melvin.</t>
  </si>
  <si>
    <t>Vogel, Wendy H.</t>
  </si>
  <si>
    <t>766772:eng</t>
  </si>
  <si>
    <t>51478057</t>
  </si>
  <si>
    <t>991000551919702656</t>
  </si>
  <si>
    <t>2257090680002656</t>
  </si>
  <si>
    <t>9780781743310</t>
  </si>
  <si>
    <t>30001005175734</t>
  </si>
  <si>
    <t>893144439</t>
  </si>
  <si>
    <t>WY 49 W585d 2003</t>
  </si>
  <si>
    <t>0                      WY 0049000W  585d        2003</t>
  </si>
  <si>
    <t>Documentation &amp; the nursing process / Lois White.</t>
  </si>
  <si>
    <t>White, Lois (Lois Elain Wacker)</t>
  </si>
  <si>
    <t>Clifton Park, N.Y. : Thomson/Delmar Learning, c2003.</t>
  </si>
  <si>
    <t>2006-09-11</t>
  </si>
  <si>
    <t>1047908:eng</t>
  </si>
  <si>
    <t>49743666</t>
  </si>
  <si>
    <t>991000537179702656</t>
  </si>
  <si>
    <t>2259083450002656</t>
  </si>
  <si>
    <t>9780766850095</t>
  </si>
  <si>
    <t>30001005120474</t>
  </si>
  <si>
    <t>893640640</t>
  </si>
  <si>
    <t>WY 77 A154u 2000</t>
  </si>
  <si>
    <t>0                      WY 0077000A  154u        2000</t>
  </si>
  <si>
    <t>Understanding payment for advanced practice nursing services / Sheila Abood, David Keepnews.</t>
  </si>
  <si>
    <t>Abood, Sheila.</t>
  </si>
  <si>
    <t>Washington, DC : American Nurses Pub., c2000-</t>
  </si>
  <si>
    <t>ANA pub ; no. APNS-20</t>
  </si>
  <si>
    <t>2002-04-17</t>
  </si>
  <si>
    <t>4051596036:eng</t>
  </si>
  <si>
    <t>44040395</t>
  </si>
  <si>
    <t>991000296509702656</t>
  </si>
  <si>
    <t>2256530540002656</t>
  </si>
  <si>
    <t>9781558101487</t>
  </si>
  <si>
    <t>30001004520757</t>
  </si>
  <si>
    <t>893466175</t>
  </si>
  <si>
    <t>WY77 A154U 2002</t>
  </si>
  <si>
    <t>0                      WY 0077000A  154U        2002</t>
  </si>
  <si>
    <t>30001004433498</t>
  </si>
  <si>
    <t>893466176</t>
  </si>
  <si>
    <t>WY 77 A532 1975</t>
  </si>
  <si>
    <t>0                      WY 0077000A  532         1975</t>
  </si>
  <si>
    <t>ANA's economic &amp; general welfare program : the grievance procedure.</t>
  </si>
  <si>
    <t>Kansas City, Mo. : ANA, 1975.</t>
  </si>
  <si>
    <t>ANA pub ; no. EC-132</t>
  </si>
  <si>
    <t>1990-04-02</t>
  </si>
  <si>
    <t>2287843297:eng</t>
  </si>
  <si>
    <t>3155217</t>
  </si>
  <si>
    <t>991001521829702656</t>
  </si>
  <si>
    <t>2261992820002656</t>
  </si>
  <si>
    <t>30001000603094</t>
  </si>
  <si>
    <t>893287454</t>
  </si>
  <si>
    <t>WY 77 C624e 1990</t>
  </si>
  <si>
    <t>0                      WY 0077000C  624e        1990</t>
  </si>
  <si>
    <t>The economics of nursing / Virginia S. Cleland ; consultant and contributor, Richard C. McKibbin.</t>
  </si>
  <si>
    <t>Cleland, Virginia S.</t>
  </si>
  <si>
    <t>Norwalk, Conn. : Appleton &amp; Lange, c1990.</t>
  </si>
  <si>
    <t>1993-04-06</t>
  </si>
  <si>
    <t>21658365:eng</t>
  </si>
  <si>
    <t>19981497</t>
  </si>
  <si>
    <t>991001477299702656</t>
  </si>
  <si>
    <t>2261837240002656</t>
  </si>
  <si>
    <t>9780838520369</t>
  </si>
  <si>
    <t>30001002563619</t>
  </si>
  <si>
    <t>893284841</t>
  </si>
  <si>
    <t>WY 77 C842 1985</t>
  </si>
  <si>
    <t>0                      WY 0077000C  842         1985</t>
  </si>
  <si>
    <t>Costing out nursing : pricing our product / Franklin A. Shaffer, editor.</t>
  </si>
  <si>
    <t>NLN pub. no. 20-1982</t>
  </si>
  <si>
    <t>1992-04-21</t>
  </si>
  <si>
    <t>5380673:eng</t>
  </si>
  <si>
    <t>12709343</t>
  </si>
  <si>
    <t>991001385909702656</t>
  </si>
  <si>
    <t>2264028730002656</t>
  </si>
  <si>
    <t>9780887371677</t>
  </si>
  <si>
    <t>30001000463713</t>
  </si>
  <si>
    <t>893364046</t>
  </si>
  <si>
    <t>WY 77 D778 1984</t>
  </si>
  <si>
    <t>0                      WY 0077000D  778         1984</t>
  </si>
  <si>
    <t>DRGs, changes and challenges / Franklin A. Shaffer, editor.</t>
  </si>
  <si>
    <t>New York : National League for Nursing, c1984.</t>
  </si>
  <si>
    <t>NLN pub. no. 20-1959.</t>
  </si>
  <si>
    <t>2003-10-10</t>
  </si>
  <si>
    <t>3531825:eng</t>
  </si>
  <si>
    <t>10932630</t>
  </si>
  <si>
    <t>991000193759702656</t>
  </si>
  <si>
    <t>2268323510002656</t>
  </si>
  <si>
    <t>9780887370649</t>
  </si>
  <si>
    <t>30001003445378</t>
  </si>
  <si>
    <t>893542013</t>
  </si>
  <si>
    <t>WY 77 E19 1982</t>
  </si>
  <si>
    <t>0                      WY 0077000E  19          1982</t>
  </si>
  <si>
    <t>Economic &amp; employment issues for registered nurses.</t>
  </si>
  <si>
    <t>Kansas City, Mo. : American Nurses' Association, c1982.</t>
  </si>
  <si>
    <t>ANA. D-72 21M 9/82</t>
  </si>
  <si>
    <t>1990-09-21</t>
  </si>
  <si>
    <t>3148960757:eng</t>
  </si>
  <si>
    <t>9054989</t>
  </si>
  <si>
    <t>991001548659702656</t>
  </si>
  <si>
    <t>2267415900002656</t>
  </si>
  <si>
    <t>30001001987082</t>
  </si>
  <si>
    <t>893816504</t>
  </si>
  <si>
    <t>WY 77 F491 1991</t>
  </si>
  <si>
    <t>0                      WY 0077000F  491         1991</t>
  </si>
  <si>
    <t>Financial management in critical care nursing / edited by Donna L. Bertram, Judith L. Wilson.</t>
  </si>
  <si>
    <t>AACN management series</t>
  </si>
  <si>
    <t>1993-02-24</t>
  </si>
  <si>
    <t>1993-02-22</t>
  </si>
  <si>
    <t>428178241:eng</t>
  </si>
  <si>
    <t>23219859</t>
  </si>
  <si>
    <t>991001430009702656</t>
  </si>
  <si>
    <t>2258734980002656</t>
  </si>
  <si>
    <t>9780683006162</t>
  </si>
  <si>
    <t>30001002528661</t>
  </si>
  <si>
    <t>893274147</t>
  </si>
  <si>
    <t>WY 77 F583e 1989</t>
  </si>
  <si>
    <t>0                      WY 0077000F  583e        1989</t>
  </si>
  <si>
    <t>Earn what you're worth : a nurse's guide to better compensation / Lyndia Flanagan.</t>
  </si>
  <si>
    <t>Kansas City, Mo. (2420 Pershing Rd., Kansas City 64108) : American Nurses' Association, c1989.</t>
  </si>
  <si>
    <t>ANA pub ; no. EC-147</t>
  </si>
  <si>
    <t>1997-07-06</t>
  </si>
  <si>
    <t>1989-06-29</t>
  </si>
  <si>
    <t>21391282:eng</t>
  </si>
  <si>
    <t>19220457</t>
  </si>
  <si>
    <t>991001309249702656</t>
  </si>
  <si>
    <t>2265592950002656</t>
  </si>
  <si>
    <t>30001001750324</t>
  </si>
  <si>
    <t>893541243</t>
  </si>
  <si>
    <t>WY 77 H699n 1988</t>
  </si>
  <si>
    <t>0                      WY 0077000H  699n        1988</t>
  </si>
  <si>
    <t>Nursing productivity assessment and costing out nursing services / Frances Hoffman.</t>
  </si>
  <si>
    <t>Hoffman, Frances M.</t>
  </si>
  <si>
    <t>Philadelphia : Lippincott, c1988.</t>
  </si>
  <si>
    <t>Lippincott's nursing management series</t>
  </si>
  <si>
    <t>1991-07-11</t>
  </si>
  <si>
    <t>12653110:eng</t>
  </si>
  <si>
    <t>16683966</t>
  </si>
  <si>
    <t>991001416749702656</t>
  </si>
  <si>
    <t>2261062720002656</t>
  </si>
  <si>
    <t>9780397546473</t>
  </si>
  <si>
    <t>30001001181009</t>
  </si>
  <si>
    <t>893287409</t>
  </si>
  <si>
    <t>WY 77 I34 1980</t>
  </si>
  <si>
    <t>0                      WY 0077000I  34          1980</t>
  </si>
  <si>
    <t>The Impact of changing resources on health policy.</t>
  </si>
  <si>
    <t>Kansas City, Mo. : American Academy of Nursing, c1981.</t>
  </si>
  <si>
    <t>30274517:eng</t>
  </si>
  <si>
    <t>7923769</t>
  </si>
  <si>
    <t>991001132009702656</t>
  </si>
  <si>
    <t>2272778730002656</t>
  </si>
  <si>
    <t>30001000285371</t>
  </si>
  <si>
    <t>893450895</t>
  </si>
  <si>
    <t>WY 77 L657u 1979</t>
  </si>
  <si>
    <t>0                      WY 0077000L  657u        1979</t>
  </si>
  <si>
    <t>Use of patient statistics for program planning / Goldie Levenson.</t>
  </si>
  <si>
    <t>Levenson, Goldie.</t>
  </si>
  <si>
    <t>NLN pub. no. 21-1794</t>
  </si>
  <si>
    <t>18743524:eng</t>
  </si>
  <si>
    <t>5670883</t>
  </si>
  <si>
    <t>991001387129702656</t>
  </si>
  <si>
    <t>2259474220002656</t>
  </si>
  <si>
    <t>30001000463986</t>
  </si>
  <si>
    <t>893541317</t>
  </si>
  <si>
    <t>WY 77 M319w 1979</t>
  </si>
  <si>
    <t>0                      WY 0077000M  319w        1979</t>
  </si>
  <si>
    <t>What you don't know can hurt you! : the implications of hospital cost containment for nursing / Sue Marciniak.</t>
  </si>
  <si>
    <t>Marciniak, Sue.</t>
  </si>
  <si>
    <t>NLN pub. no. 41-1769</t>
  </si>
  <si>
    <t>2916794505:eng</t>
  </si>
  <si>
    <t>5089318</t>
  </si>
  <si>
    <t>991001389949702656</t>
  </si>
  <si>
    <t>2261452810002656</t>
  </si>
  <si>
    <t>30001000464802</t>
  </si>
  <si>
    <t>893168156</t>
  </si>
  <si>
    <t>WY 77 M936m 1986</t>
  </si>
  <si>
    <t>0                      WY 0077000M  936m        1986</t>
  </si>
  <si>
    <t>Managing health care costs, quality, and technology : product line strategies for nursing / Mychelle M. Mowry, Ralph A. Korpman.</t>
  </si>
  <si>
    <t>Mowry, Mychelle M.</t>
  </si>
  <si>
    <t>Rockville, Md. : Aspen, c1986.</t>
  </si>
  <si>
    <t>2002-02-20</t>
  </si>
  <si>
    <t>5546744:eng</t>
  </si>
  <si>
    <t>13156898</t>
  </si>
  <si>
    <t>991001413959702656</t>
  </si>
  <si>
    <t>2256551650002656</t>
  </si>
  <si>
    <t>9780871892959</t>
  </si>
  <si>
    <t>30001000506552</t>
  </si>
  <si>
    <t>893727550</t>
  </si>
  <si>
    <t>WY 77 N9375 2000</t>
  </si>
  <si>
    <t>0                      WY 0077000N  9375        2000</t>
  </si>
  <si>
    <t>MedLearn's nurse practitioners' guide to evaluation &amp; management coding.</t>
  </si>
  <si>
    <t>St. Paul, MN : Medical Learning, Inc., c2000.</t>
  </si>
  <si>
    <t>Rev. ed.</t>
  </si>
  <si>
    <t>mnu</t>
  </si>
  <si>
    <t>2004-10-12</t>
  </si>
  <si>
    <t>2000-04-18</t>
  </si>
  <si>
    <t>3858094616:eng</t>
  </si>
  <si>
    <t>40759976</t>
  </si>
  <si>
    <t>991000501009702656</t>
  </si>
  <si>
    <t>2262036140002656</t>
  </si>
  <si>
    <t>9781889115122</t>
  </si>
  <si>
    <t>30001003883966</t>
  </si>
  <si>
    <t>893285675</t>
  </si>
  <si>
    <t>WY 77 P467 1985</t>
  </si>
  <si>
    <t>0                      WY 0077000P  467         1985</t>
  </si>
  <si>
    <t>Perspectives on prospective payment : challenges and opportunities for nurses / edited by Marjorie Beyers.</t>
  </si>
  <si>
    <t>1991-07-21</t>
  </si>
  <si>
    <t>2525387659:eng</t>
  </si>
  <si>
    <t>11622228</t>
  </si>
  <si>
    <t>991001413919702656</t>
  </si>
  <si>
    <t>2258296920002656</t>
  </si>
  <si>
    <t>9780871890955</t>
  </si>
  <si>
    <t>30001000506545</t>
  </si>
  <si>
    <t>893638298</t>
  </si>
  <si>
    <t>WY 77 P847n 1987</t>
  </si>
  <si>
    <t>0                      WY 0077000P  847n        1987</t>
  </si>
  <si>
    <t>Nursing finance : budgeting strategies for a new age / by Tim Porter-O'Grady.</t>
  </si>
  <si>
    <t>Porter-O'Grady, Timothy.</t>
  </si>
  <si>
    <t>1988-03-22</t>
  </si>
  <si>
    <t>440836972:eng</t>
  </si>
  <si>
    <t>16085049</t>
  </si>
  <si>
    <t>991001177139702656</t>
  </si>
  <si>
    <t>2263274490002656</t>
  </si>
  <si>
    <t>9780871898562</t>
  </si>
  <si>
    <t>30001000976185</t>
  </si>
  <si>
    <t>893369175</t>
  </si>
  <si>
    <t>WY 85 A512g 1980</t>
  </si>
  <si>
    <t>0                      WY 0085000A  512g        1980</t>
  </si>
  <si>
    <t>Guidelines for implementing the Code for nurses / [developed by the Committee on Ethics, American Nurses' Association].</t>
  </si>
  <si>
    <t>American Nurses Association. Committee on Ethics.</t>
  </si>
  <si>
    <t>Kansas City. Mo. : The Association, c1980.</t>
  </si>
  <si>
    <t>ANA. G-146</t>
  </si>
  <si>
    <t>1993-11-08</t>
  </si>
  <si>
    <t>30313691:eng</t>
  </si>
  <si>
    <t>7975970</t>
  </si>
  <si>
    <t>991001132159702656</t>
  </si>
  <si>
    <t>2255897600002656</t>
  </si>
  <si>
    <t>30001000285405</t>
  </si>
  <si>
    <t>893632748</t>
  </si>
  <si>
    <t>WY 85 B214n 1990</t>
  </si>
  <si>
    <t>0                      WY 0085000B  214n        1990</t>
  </si>
  <si>
    <t>Nursing ethics through the life span / Elsie L. Bandman, Bertram Bandman.</t>
  </si>
  <si>
    <t>Bandman, Elsie L.</t>
  </si>
  <si>
    <t>2000-04-11</t>
  </si>
  <si>
    <t>408451:eng</t>
  </si>
  <si>
    <t>19455594</t>
  </si>
  <si>
    <t>991001451899702656</t>
  </si>
  <si>
    <t>2255072220002656</t>
  </si>
  <si>
    <t>9780838570524</t>
  </si>
  <si>
    <t>30001001883356</t>
  </si>
  <si>
    <t>893162021</t>
  </si>
  <si>
    <t>WY85 B214n 2002</t>
  </si>
  <si>
    <t>0                      WY 0085000B  214n        2002</t>
  </si>
  <si>
    <t>Upper Saddle River, N.J. : Prentice Hall, 2002.</t>
  </si>
  <si>
    <t>2004-04-15</t>
  </si>
  <si>
    <t>45500356</t>
  </si>
  <si>
    <t>991000295099702656</t>
  </si>
  <si>
    <t>2272706880002656</t>
  </si>
  <si>
    <t>30001004560654</t>
  </si>
  <si>
    <t>893456511</t>
  </si>
  <si>
    <t>WY 85 B468e 1992</t>
  </si>
  <si>
    <t>0                      WY 0085000B  468e        1992</t>
  </si>
  <si>
    <t>Ethics in nursing / Martin Benjamin, Joy Curtis.</t>
  </si>
  <si>
    <t>Benjamin, Martin.</t>
  </si>
  <si>
    <t>New York : Oxford University Press, c1992.</t>
  </si>
  <si>
    <t>2005-08-11</t>
  </si>
  <si>
    <t>1992-02-18</t>
  </si>
  <si>
    <t>5672113:eng</t>
  </si>
  <si>
    <t>23687643</t>
  </si>
  <si>
    <t>991001033059702656</t>
  </si>
  <si>
    <t>2268014670002656</t>
  </si>
  <si>
    <t>9780195067477</t>
  </si>
  <si>
    <t>30001002244194</t>
  </si>
  <si>
    <t>893450793</t>
  </si>
  <si>
    <t>WY 85 B613n 2000</t>
  </si>
  <si>
    <t>0                      WY 0085000B  613n        2000</t>
  </si>
  <si>
    <t>Nursing ethics : holistic caring practice / Anne H. Bishop, John R. Scudder, Jr.</t>
  </si>
  <si>
    <t>Bishop, Anne H., 1935-</t>
  </si>
  <si>
    <t>NLN Pub. No. 14-4267</t>
  </si>
  <si>
    <t>44784948:eng</t>
  </si>
  <si>
    <t>43801020</t>
  </si>
  <si>
    <t>991000296039702656</t>
  </si>
  <si>
    <t>2257438420002656</t>
  </si>
  <si>
    <t>9780763714260</t>
  </si>
  <si>
    <t>30001004470508</t>
  </si>
  <si>
    <t>893629018</t>
  </si>
  <si>
    <t>WY 85 B959e 1998</t>
  </si>
  <si>
    <t>0                      WY 0085000B  959e        1998</t>
  </si>
  <si>
    <t>Ethics &amp; issues in contemporary nursing / Margaret A. Burkhardt, Alvita K. Nathaniel.</t>
  </si>
  <si>
    <t>Burkhardt, Margaret A.</t>
  </si>
  <si>
    <t>Albany, N.Y. : Delmar, c1998.</t>
  </si>
  <si>
    <t>9530435:eng</t>
  </si>
  <si>
    <t>37696623</t>
  </si>
  <si>
    <t>991000596099702656</t>
  </si>
  <si>
    <t>2270374600002656</t>
  </si>
  <si>
    <t>9780827377028</t>
  </si>
  <si>
    <t>30001004015105</t>
  </si>
  <si>
    <t>893647490</t>
  </si>
  <si>
    <t>WY 85 C456 1981</t>
  </si>
  <si>
    <t>0                      WY 0085000C  456         1981</t>
  </si>
  <si>
    <t>Changing conceptions of health care : public policy &amp; ethical issues for nurses / Marie E. Cowart, Rodney F. Allen, [editors].</t>
  </si>
  <si>
    <t>Thorofare, N.J. : C.B. Slack, c1981.</t>
  </si>
  <si>
    <t>1992-03-20</t>
  </si>
  <si>
    <t>558423:eng</t>
  </si>
  <si>
    <t>8473614</t>
  </si>
  <si>
    <t>991001133129702656</t>
  </si>
  <si>
    <t>2262692960002656</t>
  </si>
  <si>
    <t>9780913590812</t>
  </si>
  <si>
    <t>30001000285736</t>
  </si>
  <si>
    <t>893820937</t>
  </si>
  <si>
    <t>WY 85 C978n 1982</t>
  </si>
  <si>
    <t>0                      WY 0085000C  978n        1982</t>
  </si>
  <si>
    <t>Nursing ethics--theories and pragmatics / Leah Curtin, M. Josephine Flaherty.</t>
  </si>
  <si>
    <t>Bowie, Md. : Brady, c1982.</t>
  </si>
  <si>
    <t>180125554:eng</t>
  </si>
  <si>
    <t>7978009</t>
  </si>
  <si>
    <t>991001132309702656</t>
  </si>
  <si>
    <t>2271055190002656</t>
  </si>
  <si>
    <t>9780893030513</t>
  </si>
  <si>
    <t>30001000285462</t>
  </si>
  <si>
    <t>893727273</t>
  </si>
  <si>
    <t>WY 85 D261e 1978</t>
  </si>
  <si>
    <t>0                      WY 0085000D  261e        1978</t>
  </si>
  <si>
    <t>Ethical dilemmas and nursing practice / Anne J. Davis, Mila A. Aroskar.</t>
  </si>
  <si>
    <t>Davis, Anne J., 1931-</t>
  </si>
  <si>
    <t>-- New York : Appleton-Century-Crofts, c1978.</t>
  </si>
  <si>
    <t>1994-03-31</t>
  </si>
  <si>
    <t>13284500:eng</t>
  </si>
  <si>
    <t>3917728</t>
  </si>
  <si>
    <t>991001132439702656</t>
  </si>
  <si>
    <t>2262322180002656</t>
  </si>
  <si>
    <t>9780838522738</t>
  </si>
  <si>
    <t>30001000285470</t>
  </si>
  <si>
    <t>893168035</t>
  </si>
  <si>
    <t>WY 85 D261e 1991</t>
  </si>
  <si>
    <t>0                      WY 0085000D  261e        1991</t>
  </si>
  <si>
    <t>Norwalk, Conn. : Appleton &amp; Lange, c1991.</t>
  </si>
  <si>
    <t>1991-12-18</t>
  </si>
  <si>
    <t>22764768</t>
  </si>
  <si>
    <t>991001028779702656</t>
  </si>
  <si>
    <t>2261751510002656</t>
  </si>
  <si>
    <t>9780838522752</t>
  </si>
  <si>
    <t>30001002243220</t>
  </si>
  <si>
    <t>893826392</t>
  </si>
  <si>
    <t>WY 85 D732e 1990</t>
  </si>
  <si>
    <t>0                      WY 0085000D  732e        1990</t>
  </si>
  <si>
    <t>Ethical dilemmas in perioperative nursing / Charles J. Dougherty, Barba J. Edwards, Amy M. Haddad.</t>
  </si>
  <si>
    <t>Dougherty, Charles J., 1949-</t>
  </si>
  <si>
    <t>Denver, Colo. : Association of Operating Room Nurses, c1990.</t>
  </si>
  <si>
    <t>2000-09-06</t>
  </si>
  <si>
    <t>1990-10-10</t>
  </si>
  <si>
    <t>988115:eng</t>
  </si>
  <si>
    <t>22255702</t>
  </si>
  <si>
    <t>991001549679702656</t>
  </si>
  <si>
    <t>2271791600002656</t>
  </si>
  <si>
    <t>9780939583676</t>
  </si>
  <si>
    <t>30001002060772</t>
  </si>
  <si>
    <t>893741246</t>
  </si>
  <si>
    <t>WY 85 E842 1985</t>
  </si>
  <si>
    <t>0                      WY 0085000E  842         1985</t>
  </si>
  <si>
    <t>Ethical dilemmas confronting nurses.</t>
  </si>
  <si>
    <t>Kansas City, Mo. : American Nurses' Association, Committee on Ethics, c1985.</t>
  </si>
  <si>
    <t>ANA pub ; no. G-165</t>
  </si>
  <si>
    <t>1992-03-04</t>
  </si>
  <si>
    <t>7486934:eng</t>
  </si>
  <si>
    <t>13580814</t>
  </si>
  <si>
    <t>991001521309702656</t>
  </si>
  <si>
    <t>2257640060002656</t>
  </si>
  <si>
    <t>30001000602781</t>
  </si>
  <si>
    <t>893455884</t>
  </si>
  <si>
    <t>WY 85 E848 1988</t>
  </si>
  <si>
    <t>0                      WY 0085000E  848         1988</t>
  </si>
  <si>
    <t>Ethics in nursing : position statements and guidelines / American Nurses's Association.</t>
  </si>
  <si>
    <t>Kansas City, Mo. : The Association, c1988.</t>
  </si>
  <si>
    <t>American Nurses' Association: "G-175 2M 6/88"</t>
  </si>
  <si>
    <t>1988-09-20</t>
  </si>
  <si>
    <t>22512243:eng</t>
  </si>
  <si>
    <t>20631731</t>
  </si>
  <si>
    <t>991000760039702656</t>
  </si>
  <si>
    <t>2272200180002656</t>
  </si>
  <si>
    <t>30001001392093</t>
  </si>
  <si>
    <t>893267368</t>
  </si>
  <si>
    <t>WY 85 E86 1992</t>
  </si>
  <si>
    <t>0                      WY 0085000E  86          1992</t>
  </si>
  <si>
    <t>Ethical dilemmas in contemporary nursing practice / edited by Gladys B. White.</t>
  </si>
  <si>
    <t>Washington, D.C. : American Nurses Pub., c1992.</t>
  </si>
  <si>
    <t>ANA NP-81 6M</t>
  </si>
  <si>
    <t>998677:eng</t>
  </si>
  <si>
    <t>27438074</t>
  </si>
  <si>
    <t>991000238459702656</t>
  </si>
  <si>
    <t>2257367280002656</t>
  </si>
  <si>
    <t>9781558100749</t>
  </si>
  <si>
    <t>30001002539072</t>
  </si>
  <si>
    <t>893821933</t>
  </si>
  <si>
    <t>WY 85 F931e 1981</t>
  </si>
  <si>
    <t>0                      WY 0085000F  931e        1981</t>
  </si>
  <si>
    <t>Ethical issues in health care / Margot Joan Fromer.</t>
  </si>
  <si>
    <t>Fromer, Margot Joan, 1939-</t>
  </si>
  <si>
    <t>St. Louis : Mosby, c1981.</t>
  </si>
  <si>
    <t>2002-04-04</t>
  </si>
  <si>
    <t>12895532:eng</t>
  </si>
  <si>
    <t>6864155</t>
  </si>
  <si>
    <t>991000738799702656</t>
  </si>
  <si>
    <t>2269458240002656</t>
  </si>
  <si>
    <t>9780801617287</t>
  </si>
  <si>
    <t>30001000042723</t>
  </si>
  <si>
    <t>893120096</t>
  </si>
  <si>
    <t>WY 85 G543e 1930</t>
  </si>
  <si>
    <t>0                      WY 0085000G  543e        1930</t>
  </si>
  <si>
    <t>Ethics : talks to nurses / by Mary E. Gladwin.</t>
  </si>
  <si>
    <t>Gladwin, Mary E. (Mary Elizabeth), 1861-1939.</t>
  </si>
  <si>
    <t>Philadelphia and London : W.B. Saunders Co., c1930.</t>
  </si>
  <si>
    <t>1930</t>
  </si>
  <si>
    <t>1990-05-23</t>
  </si>
  <si>
    <t>3768579399:eng</t>
  </si>
  <si>
    <t>14724126</t>
  </si>
  <si>
    <t>991001448229702656</t>
  </si>
  <si>
    <t>2267058650002656</t>
  </si>
  <si>
    <t>30001001881814</t>
  </si>
  <si>
    <t>893736599</t>
  </si>
  <si>
    <t>WY 85 G625s 1973</t>
  </si>
  <si>
    <t>0                      WY 0085000G  625s        1973</t>
  </si>
  <si>
    <t>The Social and ethical significance of nursing / a series of addresses / by Annie Warburton Goodrich.</t>
  </si>
  <si>
    <t>Goodrich, Annie Warburton, 1866-</t>
  </si>
  <si>
    <t>-- [New Haven, Conn.] : Yale University School of Nursing, 1973.</t>
  </si>
  <si>
    <t>2009-02-05</t>
  </si>
  <si>
    <t>430398477:eng</t>
  </si>
  <si>
    <t>751485</t>
  </si>
  <si>
    <t>991001132459702656</t>
  </si>
  <si>
    <t>2269557480002656</t>
  </si>
  <si>
    <t>30001000285496</t>
  </si>
  <si>
    <t>893134274</t>
  </si>
  <si>
    <t>WY 85 H177n 1996</t>
  </si>
  <si>
    <t>0                      WY 0085000H  177n        1996</t>
  </si>
  <si>
    <t>Nursing ethics and law / Jacqulyn K. Hall.</t>
  </si>
  <si>
    <t>Hall, Jacqulyn K. (Jacqulyn Kay)</t>
  </si>
  <si>
    <t>Philadelphia : Saunders, c1996.</t>
  </si>
  <si>
    <t>2005-03-10</t>
  </si>
  <si>
    <t>2002-07-03</t>
  </si>
  <si>
    <t>38422059:eng</t>
  </si>
  <si>
    <t>33246743</t>
  </si>
  <si>
    <t>991000323229702656</t>
  </si>
  <si>
    <t>2259438610002656</t>
  </si>
  <si>
    <t>9780721649917</t>
  </si>
  <si>
    <t>30001004445393</t>
  </si>
  <si>
    <t>893461344</t>
  </si>
  <si>
    <t>WY 85 H972e 1995</t>
  </si>
  <si>
    <t>0                      WY 0085000H  972e        1995</t>
  </si>
  <si>
    <t>Ethical decision making in nursing / Gladys L. Husted, James H. Husted.</t>
  </si>
  <si>
    <t>Husted, Gladys L.</t>
  </si>
  <si>
    <t>St. Louis : Mosby, c1995.</t>
  </si>
  <si>
    <t>3863780786:eng</t>
  </si>
  <si>
    <t>30359178</t>
  </si>
  <si>
    <t>991000688239702656</t>
  </si>
  <si>
    <t>2256996940002656</t>
  </si>
  <si>
    <t>9780801677748</t>
  </si>
  <si>
    <t>30001002699611</t>
  </si>
  <si>
    <t>893277954</t>
  </si>
  <si>
    <t>WY85 H972e 2001</t>
  </si>
  <si>
    <t>0                      WY 0085000H  972e        2001</t>
  </si>
  <si>
    <t>Ethical decision making in nursing and healthcare : the symphonological approach / Gladys L. Husted, James H. Husted.</t>
  </si>
  <si>
    <t>New York : Springer Pub. Co., c2001.</t>
  </si>
  <si>
    <t>2001-11-02</t>
  </si>
  <si>
    <t>24064923:eng</t>
  </si>
  <si>
    <t>46829391</t>
  </si>
  <si>
    <t>991001709339702656</t>
  </si>
  <si>
    <t>2256902610002656</t>
  </si>
  <si>
    <t>9780826114327</t>
  </si>
  <si>
    <t>30001004235802</t>
  </si>
  <si>
    <t>893279272</t>
  </si>
  <si>
    <t>WY 85 J31n 1984</t>
  </si>
  <si>
    <t>0                      WY 0085000J  31n         1984</t>
  </si>
  <si>
    <t>Nursing practice : the ethical issues / Andrew Jameton ; with a foreword by Ingeborg G. Mauksch.</t>
  </si>
  <si>
    <t>Jameton, Andrew.</t>
  </si>
  <si>
    <t>Englewood Cliffs, N.J. : Prentice-Hall, c1984.</t>
  </si>
  <si>
    <t>Prentice-Hall series in the philosophy of medicine</t>
  </si>
  <si>
    <t>2002-03-27</t>
  </si>
  <si>
    <t>307960345:eng</t>
  </si>
  <si>
    <t>9896319</t>
  </si>
  <si>
    <t>991001132539702656</t>
  </si>
  <si>
    <t>2264394430002656</t>
  </si>
  <si>
    <t>9780136274483</t>
  </si>
  <si>
    <t>30001000285504</t>
  </si>
  <si>
    <t>893287249</t>
  </si>
  <si>
    <t>WY 85 K43m 1988</t>
  </si>
  <si>
    <t>0                      WY 0085000K  43m         1988</t>
  </si>
  <si>
    <t>Moral reasoning and ethical practice in nursing : an integrative review / Shaké Ketefian, in collaboration with Ingrid Ormond.</t>
  </si>
  <si>
    <t>Ketefian, Shaké.</t>
  </si>
  <si>
    <t>National League for Nursing : "Pub. no. 15-2250."</t>
  </si>
  <si>
    <t>432507252:eng</t>
  </si>
  <si>
    <t>18340085</t>
  </si>
  <si>
    <t>991000760539702656</t>
  </si>
  <si>
    <t>2268893950002656</t>
  </si>
  <si>
    <t>9780887374265</t>
  </si>
  <si>
    <t>30001001392135</t>
  </si>
  <si>
    <t>893148234</t>
  </si>
  <si>
    <t>WY 85 L665c 1990</t>
  </si>
  <si>
    <t>0                      WY 0085000L  665c        1990</t>
  </si>
  <si>
    <t>Creating an ethical environment / June Levine-Ariff, Donna H. Groh.</t>
  </si>
  <si>
    <t>Levine-Ariff, June.</t>
  </si>
  <si>
    <t>Nurse managers' bookshelf ; v. 2, no. 1 (Mar. 1990)</t>
  </si>
  <si>
    <t>2000-03-19</t>
  </si>
  <si>
    <t>1990-11-14</t>
  </si>
  <si>
    <t>5573711496:eng</t>
  </si>
  <si>
    <t>20692132</t>
  </si>
  <si>
    <t>991000780109702656</t>
  </si>
  <si>
    <t>2255037160002656</t>
  </si>
  <si>
    <t>9780683065343</t>
  </si>
  <si>
    <t>30001002063990</t>
  </si>
  <si>
    <t>893363063</t>
  </si>
  <si>
    <t>WY 85 M6293 1985h</t>
  </si>
  <si>
    <t>0                      WY 0085000M  6293        1985h</t>
  </si>
  <si>
    <t>Health care ethics : dilemmas, issues, and conflicts / edited by Valencia N. Prock, Barbara B. Minckley, Lu Ann Young ; Midwest Alliance in Nursing, Inc., Fall Workshop, September 1985.</t>
  </si>
  <si>
    <t>Midwest Alliance in Nursing. Fall Workshop (6th : 1985 : Indianapolis, Ind.)</t>
  </si>
  <si>
    <t>Indianapolis, IN : Midwest Alliance in Nursing, c1986.</t>
  </si>
  <si>
    <t>1993-05-19</t>
  </si>
  <si>
    <t>1988-12-14</t>
  </si>
  <si>
    <t>7319757:eng</t>
  </si>
  <si>
    <t>13426006</t>
  </si>
  <si>
    <t>991001104049702656</t>
  </si>
  <si>
    <t>2266154890002656</t>
  </si>
  <si>
    <t>9780942146110</t>
  </si>
  <si>
    <t>30001001610353</t>
  </si>
  <si>
    <t>893740755</t>
  </si>
  <si>
    <t>WY85 N9745 2006</t>
  </si>
  <si>
    <t>0                      WY 0085000N  9745        2006</t>
  </si>
  <si>
    <t>Nursing ethics / Ian E. Thompson ... [et al.].</t>
  </si>
  <si>
    <t>Edinburgh ; New York : Churchill Livingstone Elsevier, 2006.</t>
  </si>
  <si>
    <t>2008-01-22</t>
  </si>
  <si>
    <t>2007-11-19</t>
  </si>
  <si>
    <t>15714572:eng</t>
  </si>
  <si>
    <t>67374622</t>
  </si>
  <si>
    <t>991000662489702656</t>
  </si>
  <si>
    <t>2271290820002656</t>
  </si>
  <si>
    <t>9780443101380</t>
  </si>
  <si>
    <t>30001005270592</t>
  </si>
  <si>
    <t>893730871</t>
  </si>
  <si>
    <t>WY85 P458e 2001</t>
  </si>
  <si>
    <t>0                      WY 0085000P  458e        2001</t>
  </si>
  <si>
    <t>Ethics and conflict / Kathleen Ouimet Perrin, James McGhee.</t>
  </si>
  <si>
    <t>Perrin, Kathleen Ouimet.</t>
  </si>
  <si>
    <t>Thorofare, NJ : SLACK, Inc., c2001.</t>
  </si>
  <si>
    <t>Nursing concepts</t>
  </si>
  <si>
    <t>2003-06-03</t>
  </si>
  <si>
    <t>36419332:eng</t>
  </si>
  <si>
    <t>47177699</t>
  </si>
  <si>
    <t>991000348469702656</t>
  </si>
  <si>
    <t>2265159320002656</t>
  </si>
  <si>
    <t>9781556425172</t>
  </si>
  <si>
    <t>30001004504470</t>
  </si>
  <si>
    <t>893644290</t>
  </si>
  <si>
    <t>WY 85 P647e 1988</t>
  </si>
  <si>
    <t>0                      WY 0085000P  647e        1988</t>
  </si>
  <si>
    <t>Ethical and moral dilemmas in nursing : the role of the nurse and perceptions of autonomy / by Winifred Jane Pinch.</t>
  </si>
  <si>
    <t>Pinch, Winifred Jane.</t>
  </si>
  <si>
    <t>Ann Arbor, Mich. : University Microfilms International, 1988, c1983.</t>
  </si>
  <si>
    <t>1989-01-04</t>
  </si>
  <si>
    <t>1988-12-10</t>
  </si>
  <si>
    <t>3267702:eng</t>
  </si>
  <si>
    <t>10981039</t>
  </si>
  <si>
    <t>991001105089702656</t>
  </si>
  <si>
    <t>2260787940002656</t>
  </si>
  <si>
    <t>30001001610718</t>
  </si>
  <si>
    <t>893820908</t>
  </si>
  <si>
    <t>WY 85 R936e 1999</t>
  </si>
  <si>
    <t>0                      WY 0085000R  936e        1999</t>
  </si>
  <si>
    <t>Ethics in nursing practice / Graham Rumbold.</t>
  </si>
  <si>
    <t>Rumbold, Graham.</t>
  </si>
  <si>
    <t>Edinburgh ; New York : Bailliere Tindall, c1999.</t>
  </si>
  <si>
    <t>2003-04-15</t>
  </si>
  <si>
    <t>1999-09-28</t>
  </si>
  <si>
    <t>5406387:eng</t>
  </si>
  <si>
    <t>40075796</t>
  </si>
  <si>
    <t>991001338269702656</t>
  </si>
  <si>
    <t>2265644930002656</t>
  </si>
  <si>
    <t>9780702023125</t>
  </si>
  <si>
    <t>30001003790880</t>
  </si>
  <si>
    <t>893552375</t>
  </si>
  <si>
    <t>WY 85 S545d 1980</t>
  </si>
  <si>
    <t>0                      WY 0085000S  545d        1980</t>
  </si>
  <si>
    <t>Dilemma : a nurse's guide for making ethical decisions / Judith Allen Shelly.</t>
  </si>
  <si>
    <t>Shelly, Judith Allen.</t>
  </si>
  <si>
    <t>Downers Grove, Ill. : InterVarsity Press, c1980.</t>
  </si>
  <si>
    <t>24315052:eng</t>
  </si>
  <si>
    <t>6735062</t>
  </si>
  <si>
    <t>991001134529702656</t>
  </si>
  <si>
    <t>2268625530002656</t>
  </si>
  <si>
    <t>9780877846666</t>
  </si>
  <si>
    <t>30001000286049</t>
  </si>
  <si>
    <t>893638064</t>
  </si>
  <si>
    <t>WY 85 S586a 1995</t>
  </si>
  <si>
    <t>0                      WY 0085000S  586a        1995</t>
  </si>
  <si>
    <t>Annotated bibliography for ethical guidelines in the conduct, dissemination, and implementation of nursing research / Mary Cipriano Silva.</t>
  </si>
  <si>
    <t>wau</t>
  </si>
  <si>
    <t>American Nurses Association ; Pub. no. D-97</t>
  </si>
  <si>
    <t>2051836:eng</t>
  </si>
  <si>
    <t>33076929</t>
  </si>
  <si>
    <t>991000255969702656</t>
  </si>
  <si>
    <t>2268487540002656</t>
  </si>
  <si>
    <t>9781558101104</t>
  </si>
  <si>
    <t>30001003231356</t>
  </si>
  <si>
    <t>893108174</t>
  </si>
  <si>
    <t>WY 85 S586r 1991</t>
  </si>
  <si>
    <t>0                      WY 0085000S  586r        1991</t>
  </si>
  <si>
    <t>Research on ethics in nursing education : an integrative review and critique / Mary Cipriano Silva, Jeanne Merkle Sorrell.</t>
  </si>
  <si>
    <t>New York : National League for Nursing Press, c1991.</t>
  </si>
  <si>
    <t>Council for the Society for Research in Nursing Education. Monograph series</t>
  </si>
  <si>
    <t>117581655:eng</t>
  </si>
  <si>
    <t>24340528</t>
  </si>
  <si>
    <t>991000230109702656</t>
  </si>
  <si>
    <t>2255711170002656</t>
  </si>
  <si>
    <t>9780887375255</t>
  </si>
  <si>
    <t>30001002289389</t>
  </si>
  <si>
    <t>893732595</t>
  </si>
  <si>
    <t>WY 85 T473b 1985</t>
  </si>
  <si>
    <t>0                      WY 0085000T  473b        1985</t>
  </si>
  <si>
    <t>Bioethical decision making for nurses / Joyce E. Thompson, Henry O. Thompson.</t>
  </si>
  <si>
    <t>Thompson, Joyce Beebe.</t>
  </si>
  <si>
    <t>4333428:eng</t>
  </si>
  <si>
    <t>11549571</t>
  </si>
  <si>
    <t>991000738929702656</t>
  </si>
  <si>
    <t>2263030590002656</t>
  </si>
  <si>
    <t>9780838506509</t>
  </si>
  <si>
    <t>30001000042764</t>
  </si>
  <si>
    <t>893368394</t>
  </si>
  <si>
    <t>WY 85 T473e 1981</t>
  </si>
  <si>
    <t>0                      WY 0085000T  473e        1981</t>
  </si>
  <si>
    <t>Ethics in nursing / Joyce Beebe Thompson, Henry O. Thompson.</t>
  </si>
  <si>
    <t>New York : Macmillan, c1981.</t>
  </si>
  <si>
    <t>1989-06-15</t>
  </si>
  <si>
    <t>3901380231:eng</t>
  </si>
  <si>
    <t>6375961</t>
  </si>
  <si>
    <t>991001134709702656</t>
  </si>
  <si>
    <t>2270559090002656</t>
  </si>
  <si>
    <t>9780024206909</t>
  </si>
  <si>
    <t>30001000286080</t>
  </si>
  <si>
    <t>893727277</t>
  </si>
  <si>
    <t>WY85 V899n 2002</t>
  </si>
  <si>
    <t>0                      WY 0085000V  899n        2002</t>
  </si>
  <si>
    <t>Nursing ethics : communities in dialogue / Rose Mary Volbrecht ; content consultant, Karen Groth ; editorial consultant, Patti Cleary.</t>
  </si>
  <si>
    <t>Volbrecht, Rose Mary.</t>
  </si>
  <si>
    <t>819144615:eng</t>
  </si>
  <si>
    <t>46463290</t>
  </si>
  <si>
    <t>991000371319702656</t>
  </si>
  <si>
    <t>2266753380002656</t>
  </si>
  <si>
    <t>9780130305213</t>
  </si>
  <si>
    <t>30001004509081</t>
  </si>
  <si>
    <t>893811443</t>
  </si>
  <si>
    <t>WY 86 A244 1983</t>
  </si>
  <si>
    <t>0                      WY 0086000A  244         1983</t>
  </si>
  <si>
    <t>Advances in nursing theory development / editor, Peggy L. Chinn ; contributors, Marcia Anderson ... [et al.].</t>
  </si>
  <si>
    <t>1999-03-22</t>
  </si>
  <si>
    <t>43646853:eng</t>
  </si>
  <si>
    <t>8805280</t>
  </si>
  <si>
    <t>991001134759702656</t>
  </si>
  <si>
    <t>2265437100002656</t>
  </si>
  <si>
    <t>9780894438424</t>
  </si>
  <si>
    <t>30001000286098</t>
  </si>
  <si>
    <t>893465222</t>
  </si>
  <si>
    <t>WY 86 B214c 1995</t>
  </si>
  <si>
    <t>0                      WY 0086000B  214c        1995</t>
  </si>
  <si>
    <t>Critical thinking in nursing / Elsie L. Bandman, Bertram Bandman.</t>
  </si>
  <si>
    <t>Norwalk, Conn. : Appleton &amp; Lange, c1995.</t>
  </si>
  <si>
    <t>16531514:eng</t>
  </si>
  <si>
    <t>30891731</t>
  </si>
  <si>
    <t>991000688919702656</t>
  </si>
  <si>
    <t>2270407770002656</t>
  </si>
  <si>
    <t>9780838513743</t>
  </si>
  <si>
    <t>30001002699744</t>
  </si>
  <si>
    <t>893647993</t>
  </si>
  <si>
    <t>WY 86 B263n 1998</t>
  </si>
  <si>
    <t>0                      WY 0086000B  263n        1998</t>
  </si>
  <si>
    <t>Nursing theory : analysis, application, evaluation / Barbara Stevens Barnum.</t>
  </si>
  <si>
    <t>Barnum, Barbara Stevens.</t>
  </si>
  <si>
    <t>1999-09-07</t>
  </si>
  <si>
    <t>1998-03-24</t>
  </si>
  <si>
    <t>836646322:eng</t>
  </si>
  <si>
    <t>37410529</t>
  </si>
  <si>
    <t>991001427469702656</t>
  </si>
  <si>
    <t>2266405380002656</t>
  </si>
  <si>
    <t>9780781711043</t>
  </si>
  <si>
    <t>30001003860477</t>
  </si>
  <si>
    <t>893643569</t>
  </si>
  <si>
    <t>WY 86 B622p 1990</t>
  </si>
  <si>
    <t>0                      WY 0086000B  622p        1990</t>
  </si>
  <si>
    <t>The practical, moral, and personal sense of nursing : a phenomenological philosophy of practice / Anne H. Bishop, John R. Scudder, Jr.</t>
  </si>
  <si>
    <t>Albany, N.Y. : State University of New York Press, c1990.</t>
  </si>
  <si>
    <t>1990-07-16</t>
  </si>
  <si>
    <t>894442191:eng</t>
  </si>
  <si>
    <t>19980987</t>
  </si>
  <si>
    <t>991001450179702656</t>
  </si>
  <si>
    <t>2271837990002656</t>
  </si>
  <si>
    <t>9780791402528</t>
  </si>
  <si>
    <t>30001001882671</t>
  </si>
  <si>
    <t>893149233</t>
  </si>
  <si>
    <t>WY 86 C337 1986</t>
  </si>
  <si>
    <t>0                      WY 0086000C  337         1986</t>
  </si>
  <si>
    <t>Case studies in nursing theory / Patricia Winstead-Fry, editor.</t>
  </si>
  <si>
    <t>NLN pub. no. 15-2152</t>
  </si>
  <si>
    <t>2002-09-03</t>
  </si>
  <si>
    <t>355446500:eng</t>
  </si>
  <si>
    <t>13871363</t>
  </si>
  <si>
    <t>991001374339702656</t>
  </si>
  <si>
    <t>2258067940002656</t>
  </si>
  <si>
    <t>9780887372537</t>
  </si>
  <si>
    <t>30001000462053</t>
  </si>
  <si>
    <t>893161922</t>
  </si>
  <si>
    <t>WY 86 C486 1992</t>
  </si>
  <si>
    <t>0                      WY 0086000C  486         1992</t>
  </si>
  <si>
    <t>Charting nursing's future : agenda for the 1990s / Linda H. Aiken, Claire M. Fagin, [editors].</t>
  </si>
  <si>
    <t>Philadelphia : J.B. Lippincott Co., c1992.</t>
  </si>
  <si>
    <t>1999-04-02</t>
  </si>
  <si>
    <t>353761860:eng</t>
  </si>
  <si>
    <t>23766278</t>
  </si>
  <si>
    <t>991001035729702656</t>
  </si>
  <si>
    <t>2269498220002656</t>
  </si>
  <si>
    <t>9780397548002</t>
  </si>
  <si>
    <t>30001002244731</t>
  </si>
  <si>
    <t>893268005</t>
  </si>
  <si>
    <t>WY86 C539i 2004</t>
  </si>
  <si>
    <t>0                      WY 0086000C  539i        2004</t>
  </si>
  <si>
    <t>Integrated knowledge development in nursing / Peggy L. Chinn, Maeona K. Kramer.</t>
  </si>
  <si>
    <t>Chinn, Peggy L.</t>
  </si>
  <si>
    <t>St. Louis : Mosby, c2004.</t>
  </si>
  <si>
    <t>2007-11-08</t>
  </si>
  <si>
    <t>2004-03-08</t>
  </si>
  <si>
    <t>3901361329:eng</t>
  </si>
  <si>
    <t>53620601</t>
  </si>
  <si>
    <t>991000367549702656</t>
  </si>
  <si>
    <t>2261644230002656</t>
  </si>
  <si>
    <t>9780323023412</t>
  </si>
  <si>
    <t>30001004509461</t>
  </si>
  <si>
    <t>893639126</t>
  </si>
  <si>
    <t>WY 86 C539t 1995</t>
  </si>
  <si>
    <t>0                      WY 0086000C  539t        1995</t>
  </si>
  <si>
    <t>Theory and nursing : a systematic approach / Peggy L. Chinn, Maeona K. Kramer.</t>
  </si>
  <si>
    <t>St Louis : Mosby, c1995.</t>
  </si>
  <si>
    <t>1997-10-10</t>
  </si>
  <si>
    <t>1995-08-14</t>
  </si>
  <si>
    <t>7019221:eng</t>
  </si>
  <si>
    <t>31597013</t>
  </si>
  <si>
    <t>991001403649702656</t>
  </si>
  <si>
    <t>2260781420002656</t>
  </si>
  <si>
    <t>9780801679476</t>
  </si>
  <si>
    <t>30001003149293</t>
  </si>
  <si>
    <t>893557933</t>
  </si>
  <si>
    <t>WY86 C7435 2000</t>
  </si>
  <si>
    <t>0                      WY 0086000C  7435        2000</t>
  </si>
  <si>
    <t>Concept development in nursing : foundations, techniques, and applications / [edited by] Beth L. Rodgers, Kathleen A. Knafl.</t>
  </si>
  <si>
    <t>Philadelphia : Saunders, c2000.</t>
  </si>
  <si>
    <t>2008-11-14</t>
  </si>
  <si>
    <t>836730848:eng</t>
  </si>
  <si>
    <t>41326069</t>
  </si>
  <si>
    <t>991000319849702656</t>
  </si>
  <si>
    <t>2264621070002656</t>
  </si>
  <si>
    <t>9780721682433</t>
  </si>
  <si>
    <t>30001004442440</t>
  </si>
  <si>
    <t>893461342</t>
  </si>
  <si>
    <t>WY 86 C744 1982</t>
  </si>
  <si>
    <t>0                      WY 0086000C  744         1982</t>
  </si>
  <si>
    <t>Concepts for advanced nursing practice : the nurse as a change agent / edited by Jeanette Lancaster ; with 27 contributors.</t>
  </si>
  <si>
    <t>894374531:eng</t>
  </si>
  <si>
    <t>7773969</t>
  </si>
  <si>
    <t>991001131059702656</t>
  </si>
  <si>
    <t>2272769370002656</t>
  </si>
  <si>
    <t>9780801628320</t>
  </si>
  <si>
    <t>30001000285074</t>
  </si>
  <si>
    <t>893546398</t>
  </si>
  <si>
    <t>WY 86 D881t 1985</t>
  </si>
  <si>
    <t>0                      WY 0086000D  881t        1985</t>
  </si>
  <si>
    <t>Theoretical perspectives for nursing / Bonnie W. Duldt, Kim Giffin.</t>
  </si>
  <si>
    <t>Duldt, Bonnie Weaver.</t>
  </si>
  <si>
    <t>Boston : Little, Brown, c1985.</t>
  </si>
  <si>
    <t>1997-04-28</t>
  </si>
  <si>
    <t>1988-09-13</t>
  </si>
  <si>
    <t>4482701:eng</t>
  </si>
  <si>
    <t>11574713</t>
  </si>
  <si>
    <t>991001130969702656</t>
  </si>
  <si>
    <t>2269155610002656</t>
  </si>
  <si>
    <t>9780316195287</t>
  </si>
  <si>
    <t>30001000285041</t>
  </si>
  <si>
    <t>893134272</t>
  </si>
  <si>
    <t>WY 86 H7325 1988</t>
  </si>
  <si>
    <t>0                      WY 0086000H  7325        1988</t>
  </si>
  <si>
    <t>Holistic nursing : a handbook for practice / Barbara Montgomery Dossey ... [et al.].</t>
  </si>
  <si>
    <t>2003-02-16</t>
  </si>
  <si>
    <t>1988-12-22</t>
  </si>
  <si>
    <t>1077195666:eng</t>
  </si>
  <si>
    <t>17917935</t>
  </si>
  <si>
    <t>991001106129702656</t>
  </si>
  <si>
    <t>2257021880002656</t>
  </si>
  <si>
    <t>9780871897763</t>
  </si>
  <si>
    <t>30001001611039</t>
  </si>
  <si>
    <t>893546379</t>
  </si>
  <si>
    <t>WY86 H776L 2003</t>
  </si>
  <si>
    <t>0                      WY 0086000H  776L        2003</t>
  </si>
  <si>
    <t>Leddy &amp; Pepper's conceptual bases of professional nursing / Lucy Jane Hood, Susan Kun Leddy.</t>
  </si>
  <si>
    <t>Hood, Lucy J.</t>
  </si>
  <si>
    <t>2003-09-16</t>
  </si>
  <si>
    <t>2003-06-09</t>
  </si>
  <si>
    <t>3625509397:eng</t>
  </si>
  <si>
    <t>50244338</t>
  </si>
  <si>
    <t>991000349559702656</t>
  </si>
  <si>
    <t>2268557890002656</t>
  </si>
  <si>
    <t>9780781735230</t>
  </si>
  <si>
    <t>30001004501260</t>
  </si>
  <si>
    <t>893359495</t>
  </si>
  <si>
    <t>WY86 H776L 2006</t>
  </si>
  <si>
    <t>0                      WY 0086000H  776L        2006</t>
  </si>
  <si>
    <t>2008-01-04</t>
  </si>
  <si>
    <t>2006-03-30</t>
  </si>
  <si>
    <t>61162303</t>
  </si>
  <si>
    <t>991001738339702656</t>
  </si>
  <si>
    <t>2269115740002656</t>
  </si>
  <si>
    <t>9780781761000</t>
  </si>
  <si>
    <t>30001005127164</t>
  </si>
  <si>
    <t>893832488</t>
  </si>
  <si>
    <t>WY86 J66i 2005</t>
  </si>
  <si>
    <t>0                      WY 0086000J  66i         2005</t>
  </si>
  <si>
    <t>An introduction to theory and reasoning in nursing / Betty M. Johnson, Pamela B. Webber.</t>
  </si>
  <si>
    <t>Johnson, Betty M.</t>
  </si>
  <si>
    <t>2004-09-20</t>
  </si>
  <si>
    <t>2004-09-15</t>
  </si>
  <si>
    <t>12533858:eng</t>
  </si>
  <si>
    <t>54408200</t>
  </si>
  <si>
    <t>991000390689702656</t>
  </si>
  <si>
    <t>2260939460002656</t>
  </si>
  <si>
    <t>9780781748421</t>
  </si>
  <si>
    <t>30001004922839</t>
  </si>
  <si>
    <t>893547794</t>
  </si>
  <si>
    <t>WY 86 J66i 2010</t>
  </si>
  <si>
    <t>0                      WY 0086000J  66i         2010</t>
  </si>
  <si>
    <t>Philadelphia : Wolters Kluwer Health/Lippincott Williams &amp; Wilkins, c2010.</t>
  </si>
  <si>
    <t>2010</t>
  </si>
  <si>
    <t>2010-03-02</t>
  </si>
  <si>
    <t>2009-08-10</t>
  </si>
  <si>
    <t>280354584</t>
  </si>
  <si>
    <t>991001803119702656</t>
  </si>
  <si>
    <t>2260335510002656</t>
  </si>
  <si>
    <t>9780781791038</t>
  </si>
  <si>
    <t>30001004918506</t>
  </si>
  <si>
    <t>893821737</t>
  </si>
  <si>
    <t>WY 86 K49u 1983</t>
  </si>
  <si>
    <t>0                      WY 0086000K  49u         1983</t>
  </si>
  <si>
    <t>The nature of theoretical thinking in nursing / by Hesook Suzie Kim.</t>
  </si>
  <si>
    <t>Kim, Hesook Suzie.</t>
  </si>
  <si>
    <t>East Norwalk, Conn. : Appleton-Century-Crofts, c1983.</t>
  </si>
  <si>
    <t>966298:eng</t>
  </si>
  <si>
    <t>8786114</t>
  </si>
  <si>
    <t>991001131109702656</t>
  </si>
  <si>
    <t>2266630830002656</t>
  </si>
  <si>
    <t>9780838566527</t>
  </si>
  <si>
    <t>30001000285082</t>
  </si>
  <si>
    <t>893148890</t>
  </si>
  <si>
    <t>WY 86 K52t 1981</t>
  </si>
  <si>
    <t>0                      WY 0086000K  52t         1981</t>
  </si>
  <si>
    <t>A theory for nursing : systems, concepts, process / Imogene M. King.</t>
  </si>
  <si>
    <t>King, Imogene M.</t>
  </si>
  <si>
    <t>2001-11-08</t>
  </si>
  <si>
    <t>494100:eng</t>
  </si>
  <si>
    <t>7276214</t>
  </si>
  <si>
    <t>991000738679702656</t>
  </si>
  <si>
    <t>2259954820002656</t>
  </si>
  <si>
    <t>9780471077954</t>
  </si>
  <si>
    <t>30001000042665</t>
  </si>
  <si>
    <t>893272939</t>
  </si>
  <si>
    <t>WY 86 K73 1989</t>
  </si>
  <si>
    <t>0                      WY 0086000K  73          1989</t>
  </si>
  <si>
    <t>Knowledge about care and caring : state of the art and future developments : proceedings of a Wingspread conference February 1-3, 1989, Wingspread Conference Center, Racine, Wisconsin / edited by Joanne S. Stevenson and Toni Tripp-Reimer.</t>
  </si>
  <si>
    <t>Kansas City, Mo. : American Academy of Nursing, c1990.</t>
  </si>
  <si>
    <t>NLN pub. no. G-177 2500</t>
  </si>
  <si>
    <t>2864374484:eng</t>
  </si>
  <si>
    <t>22233313</t>
  </si>
  <si>
    <t>991000224319702656</t>
  </si>
  <si>
    <t>2271622810002656</t>
  </si>
  <si>
    <t>30001001884644</t>
  </si>
  <si>
    <t>893821925</t>
  </si>
  <si>
    <t>WY 86 K92f 1981</t>
  </si>
  <si>
    <t>0                      WY 0086000K  92f         1981</t>
  </si>
  <si>
    <t>Foundations for holistic health nursing practices : the Renaissance nurse / Dolores Krieger ; with clinical papers by seven holistic health nurses.</t>
  </si>
  <si>
    <t>Krieger, Dolores.</t>
  </si>
  <si>
    <t>Philadelphia : Lippincott, c1981.</t>
  </si>
  <si>
    <t>363389487:eng</t>
  </si>
  <si>
    <t>7204951</t>
  </si>
  <si>
    <t>991001145399702656</t>
  </si>
  <si>
    <t>2271883800002656</t>
  </si>
  <si>
    <t>9780397543410</t>
  </si>
  <si>
    <t>30001000291841</t>
  </si>
  <si>
    <t>893820986</t>
  </si>
  <si>
    <t>WY 86 M449i 1981</t>
  </si>
  <si>
    <t>0                      WY 0086000M  449i        1981</t>
  </si>
  <si>
    <t>Implementing change in nursing / Ingeborg G. Mauksch, Michael H. Miller.</t>
  </si>
  <si>
    <t>Mauksch, Ingeborg G.</t>
  </si>
  <si>
    <t>St. Louis : C.V. Mosby, c1981.</t>
  </si>
  <si>
    <t>451259:eng</t>
  </si>
  <si>
    <t>6357383</t>
  </si>
  <si>
    <t>991001019969702656</t>
  </si>
  <si>
    <t>2256036280002656</t>
  </si>
  <si>
    <t>9780801634765</t>
  </si>
  <si>
    <t>30001002241430</t>
  </si>
  <si>
    <t>893134185</t>
  </si>
  <si>
    <t>WY 86 M519t 1991</t>
  </si>
  <si>
    <t>0                      WY 0086000M  519t        1991</t>
  </si>
  <si>
    <t>Theoretical nursing : development and progress / Afaf Ibrahim Meleis.</t>
  </si>
  <si>
    <t>Meleis, Afaf Ibrahim.</t>
  </si>
  <si>
    <t>Philadelphia, Pa. ; Lippincott : c1991.</t>
  </si>
  <si>
    <t>836669293:eng</t>
  </si>
  <si>
    <t>21973952</t>
  </si>
  <si>
    <t>991000817599702656</t>
  </si>
  <si>
    <t>2261330270002656</t>
  </si>
  <si>
    <t>9780397548231</t>
  </si>
  <si>
    <t>30001002086744</t>
  </si>
  <si>
    <t>893455078</t>
  </si>
  <si>
    <t>WY 86 M519t 1997</t>
  </si>
  <si>
    <t>0                      WY 0086000M  519t        1997</t>
  </si>
  <si>
    <t>Philadelphia : Lippincott, c1997.</t>
  </si>
  <si>
    <t>1997-10-31</t>
  </si>
  <si>
    <t>35650986</t>
  </si>
  <si>
    <t>991001558739702656</t>
  </si>
  <si>
    <t>2258263820002656</t>
  </si>
  <si>
    <t>9780397552597</t>
  </si>
  <si>
    <t>30001003603562</t>
  </si>
  <si>
    <t>893638446</t>
  </si>
  <si>
    <t>WY 86 M661h 1999</t>
  </si>
  <si>
    <t>0                      WY 0086000M  661h        1999</t>
  </si>
  <si>
    <t>Health policy and politics : a nurse's guide / Jeri A. Milstead.</t>
  </si>
  <si>
    <t>Milstead, Jeri A.</t>
  </si>
  <si>
    <t>Gaithersburg, Md : Aspen, c1999.</t>
  </si>
  <si>
    <t>1999-02-19</t>
  </si>
  <si>
    <t>39886987</t>
  </si>
  <si>
    <t>991001559769702656</t>
  </si>
  <si>
    <t>2265927590002656</t>
  </si>
  <si>
    <t>9780834210554</t>
  </si>
  <si>
    <t>30001004159598</t>
  </si>
  <si>
    <t>893736711</t>
  </si>
  <si>
    <t>WY 86 N277s 1966</t>
  </si>
  <si>
    <t>0                      WY 0086000N  277s        1966</t>
  </si>
  <si>
    <t>The shifting scene - foundations for strength : papers presented at the Twenty-Second conference of the Council of Member Agencies of the Department of Baccalaureate and Higher Degree Programs held at Seattle, Washington, November 16-18, 1966.</t>
  </si>
  <si>
    <t>National League for Nursing. Department of Baccalaureate and Higher Degree Programs. Council of Member Agencies.</t>
  </si>
  <si>
    <t>New York : National League for Nursing, Dept. of Baccalaureate and Higher Degree Programs, 1967.</t>
  </si>
  <si>
    <t>NLN pub. no. 15-1271</t>
  </si>
  <si>
    <t>1781725951:eng</t>
  </si>
  <si>
    <t>4808828</t>
  </si>
  <si>
    <t>991001366929702656</t>
  </si>
  <si>
    <t>2271887000002656</t>
  </si>
  <si>
    <t>30001000461253</t>
  </si>
  <si>
    <t>893460501</t>
  </si>
  <si>
    <t>WY 86 N489 1995</t>
  </si>
  <si>
    <t>0                      WY 0086000N  489         1995</t>
  </si>
  <si>
    <t>The Neuman systems model / [edited by] Betty Neuman.</t>
  </si>
  <si>
    <t>1994-12-06</t>
  </si>
  <si>
    <t>30913866</t>
  </si>
  <si>
    <t>991000683009702656</t>
  </si>
  <si>
    <t>2267661890002656</t>
  </si>
  <si>
    <t>9780838567012</t>
  </si>
  <si>
    <t>30001002698092</t>
  </si>
  <si>
    <t>893815146</t>
  </si>
  <si>
    <t>WY 86 N532 1986</t>
  </si>
  <si>
    <t>0                      WY 0086000N  532         1986</t>
  </si>
  <si>
    <t>New approaches to theory development / Patricia Moccia, editor.</t>
  </si>
  <si>
    <t>NLN pub. no. 15-1992</t>
  </si>
  <si>
    <t>474564902:eng</t>
  </si>
  <si>
    <t>13580802</t>
  </si>
  <si>
    <t>991001373439702656</t>
  </si>
  <si>
    <t>2256423980002656</t>
  </si>
  <si>
    <t>9780887372186</t>
  </si>
  <si>
    <t>30001000462020</t>
  </si>
  <si>
    <t>893552417</t>
  </si>
  <si>
    <t>WY 86 N554t 1979</t>
  </si>
  <si>
    <t>0                      WY 0086000N  554t        1979</t>
  </si>
  <si>
    <t>Theory development in nursing / Margaret A. Newman.</t>
  </si>
  <si>
    <t>Philadelphia : Davis, c1979.</t>
  </si>
  <si>
    <t>455880:eng</t>
  </si>
  <si>
    <t>4857802</t>
  </si>
  <si>
    <t>991000738759702656</t>
  </si>
  <si>
    <t>2260592040002656</t>
  </si>
  <si>
    <t>9780803665200</t>
  </si>
  <si>
    <t>30001000042673</t>
  </si>
  <si>
    <t>893373565</t>
  </si>
  <si>
    <t>WY 86 N9738 1986</t>
  </si>
  <si>
    <t>0                      WY 0086000N  9738        1986</t>
  </si>
  <si>
    <t>Nursing theorists and their work / [edited by] Ann Marriner.</t>
  </si>
  <si>
    <t>St. Louis : Mosby, c1986.</t>
  </si>
  <si>
    <t>4917693168:eng</t>
  </si>
  <si>
    <t>12370780</t>
  </si>
  <si>
    <t>991000738719702656</t>
  </si>
  <si>
    <t>2266780370002656</t>
  </si>
  <si>
    <t>9780801631627</t>
  </si>
  <si>
    <t>30001000042657</t>
  </si>
  <si>
    <t>893148141</t>
  </si>
  <si>
    <t>WY 86 N9738 1994</t>
  </si>
  <si>
    <t>0                      WY 0086000N  9738        1994</t>
  </si>
  <si>
    <t>Nursing theorists and their work / [edited by] Ann Marriner-Tomey.</t>
  </si>
  <si>
    <t>St. Louis : Mosby, c1994.</t>
  </si>
  <si>
    <t>27849140</t>
  </si>
  <si>
    <t>991001403609702656</t>
  </si>
  <si>
    <t>2267179420002656</t>
  </si>
  <si>
    <t>9780801667640</t>
  </si>
  <si>
    <t>30001003149301</t>
  </si>
  <si>
    <t>893268461</t>
  </si>
  <si>
    <t>WY 86 N9738 1998</t>
  </si>
  <si>
    <t>0                      WY 0086000N  9738        1998</t>
  </si>
  <si>
    <t>Nursing theorists and their work / [edited by] Ann Marriner Tomey, Martha Raile Alligood.</t>
  </si>
  <si>
    <t>St. Louis, Mo. : Mosby, c1998.</t>
  </si>
  <si>
    <t>36648249</t>
  </si>
  <si>
    <t>991001277149702656</t>
  </si>
  <si>
    <t>2266026210002656</t>
  </si>
  <si>
    <t>9780815144212</t>
  </si>
  <si>
    <t>30001003700012</t>
  </si>
  <si>
    <t>893557777</t>
  </si>
  <si>
    <t>WY 86 N974 1990</t>
  </si>
  <si>
    <t>0                      WY 0086000N  974         1990</t>
  </si>
  <si>
    <t>Nursing theories in practice / Marilyn E. Parker, editor.</t>
  </si>
  <si>
    <t>New York, NY : National League for Nursing, c1990.</t>
  </si>
  <si>
    <t>NLN pub. no. 15-2350.</t>
  </si>
  <si>
    <t>180835671:eng</t>
  </si>
  <si>
    <t>25871338</t>
  </si>
  <si>
    <t>991000227959702656</t>
  </si>
  <si>
    <t>2256306360002656</t>
  </si>
  <si>
    <t>9780887374975</t>
  </si>
  <si>
    <t>30001002087866</t>
  </si>
  <si>
    <t>893832726</t>
  </si>
  <si>
    <t>WY86 N9755 1985</t>
  </si>
  <si>
    <t>0                      WY 0086000N  9755        1985</t>
  </si>
  <si>
    <t>Nursing theories : the base for professional nursing practice / Julia B. George, editor ; the Nursing Theories Conference Group.</t>
  </si>
  <si>
    <t>Englewood Cliffs, N.J. : Prentice-Hall, c1985.</t>
  </si>
  <si>
    <t>1997-03-06</t>
  </si>
  <si>
    <t>793912824:eng</t>
  </si>
  <si>
    <t>11468885</t>
  </si>
  <si>
    <t>991000738629702656</t>
  </si>
  <si>
    <t>2261661040002656</t>
  </si>
  <si>
    <t>9780136274070</t>
  </si>
  <si>
    <t>30001000042640</t>
  </si>
  <si>
    <t>893148140</t>
  </si>
  <si>
    <t>WY 86 N9755 1990</t>
  </si>
  <si>
    <t>0                      WY 0086000N  9755        1990</t>
  </si>
  <si>
    <t>Nursing theories : the base for professional nursing practice / editor, Julia B. George.</t>
  </si>
  <si>
    <t>2008-01-23</t>
  </si>
  <si>
    <t>1990-08-08</t>
  </si>
  <si>
    <t>19630779</t>
  </si>
  <si>
    <t>991001452299702656</t>
  </si>
  <si>
    <t>2271700150002656</t>
  </si>
  <si>
    <t>9780838570517</t>
  </si>
  <si>
    <t>30001001883521</t>
  </si>
  <si>
    <t>893557998</t>
  </si>
  <si>
    <t>WY86 N9758 2002</t>
  </si>
  <si>
    <t>0                      WY 0086000N  9758        2002</t>
  </si>
  <si>
    <t>Nursing theory : utilization &amp; application / [edited by] Martha Raile Alligood, Ann Marriner Tomey.</t>
  </si>
  <si>
    <t>2010-10-09</t>
  </si>
  <si>
    <t>3768404941:eng</t>
  </si>
  <si>
    <t>46785598</t>
  </si>
  <si>
    <t>991000456259702656</t>
  </si>
  <si>
    <t>2263294360002656</t>
  </si>
  <si>
    <t>9780323011945</t>
  </si>
  <si>
    <t>30001004912194</t>
  </si>
  <si>
    <t>893269471</t>
  </si>
  <si>
    <t>WY 86 O65p 1991</t>
  </si>
  <si>
    <t>0                      WY 0086000O  65p         1991</t>
  </si>
  <si>
    <t>Professional nursing practice : a conceptual approach / Marilyn H. Oermann, with contributors.</t>
  </si>
  <si>
    <t>1998-11-05</t>
  </si>
  <si>
    <t>1995-09-07</t>
  </si>
  <si>
    <t>39847932:eng</t>
  </si>
  <si>
    <t>21759187</t>
  </si>
  <si>
    <t>991001489859702656</t>
  </si>
  <si>
    <t>2264808820002656</t>
  </si>
  <si>
    <t>9780397548514</t>
  </si>
  <si>
    <t>30001003260033</t>
  </si>
  <si>
    <t>893149276</t>
  </si>
  <si>
    <t>WY 86 P316 1993</t>
  </si>
  <si>
    <t>0                      WY 0086000P  316         1993</t>
  </si>
  <si>
    <t>Patterns of nursing theories in practice / Marilyn E. Parker, editor.</t>
  </si>
  <si>
    <t>New York : National League for Nursing Press, c1993.</t>
  </si>
  <si>
    <t>NLN pub. no. 15-2548.</t>
  </si>
  <si>
    <t>2008-01-31</t>
  </si>
  <si>
    <t>3857378845:eng</t>
  </si>
  <si>
    <t>27812276</t>
  </si>
  <si>
    <t>991000238959702656</t>
  </si>
  <si>
    <t>2256366370002656</t>
  </si>
  <si>
    <t>9780887376009</t>
  </si>
  <si>
    <t>30001002657858</t>
  </si>
  <si>
    <t>893466156</t>
  </si>
  <si>
    <t>WY 86 P316 1997</t>
  </si>
  <si>
    <t>0                      WY 0086000P  316         1997</t>
  </si>
  <si>
    <t>Patterns of Rogerian knowing / edited by Mary Madrid.</t>
  </si>
  <si>
    <t>NLN pub. no. 15-6886</t>
  </si>
  <si>
    <t>647824:eng</t>
  </si>
  <si>
    <t>36074289</t>
  </si>
  <si>
    <t>991000264579702656</t>
  </si>
  <si>
    <t>2263955020002656</t>
  </si>
  <si>
    <t>9780887376887</t>
  </si>
  <si>
    <t>30001003564913</t>
  </si>
  <si>
    <t>893354131</t>
  </si>
  <si>
    <t>WY 86 P467 1992</t>
  </si>
  <si>
    <t>0                      WY 0086000P  467         1992</t>
  </si>
  <si>
    <t>Perspectives on nursing theory / edited by Leslie H. Nicoll.</t>
  </si>
  <si>
    <t>1071477736:eng</t>
  </si>
  <si>
    <t>24319051</t>
  </si>
  <si>
    <t>991001302559702656</t>
  </si>
  <si>
    <t>2272104950002656</t>
  </si>
  <si>
    <t>9780397549115</t>
  </si>
  <si>
    <t>30001002412411</t>
  </si>
  <si>
    <t>893369309</t>
  </si>
  <si>
    <t>WY86 P467 2004</t>
  </si>
  <si>
    <t>0                      WY 0086000P  467         2004</t>
  </si>
  <si>
    <t>Perspectives on nursing theory / edited by Pamela G. Reed, Nelma B. Crawford Shearer ; Leslie H. Nicoll, editor emerita.</t>
  </si>
  <si>
    <t>2006-10-26</t>
  </si>
  <si>
    <t>51978032</t>
  </si>
  <si>
    <t>991000560999702656</t>
  </si>
  <si>
    <t>2260853210002656</t>
  </si>
  <si>
    <t>9780781747431</t>
  </si>
  <si>
    <t>30001005176724</t>
  </si>
  <si>
    <t>893829777</t>
  </si>
  <si>
    <t>WY86 P4675 1999</t>
  </si>
  <si>
    <t>0                      WY 0086000P  4675        1999</t>
  </si>
  <si>
    <t>Perspectives on philosophy of science in nursing : an historical and contemporary anthology / edited by E. Carol Polifroni, Marylouise Welch.</t>
  </si>
  <si>
    <t>2003-05-27</t>
  </si>
  <si>
    <t>894467279:eng</t>
  </si>
  <si>
    <t>38562389</t>
  </si>
  <si>
    <t>991000318649702656</t>
  </si>
  <si>
    <t>2265751640002656</t>
  </si>
  <si>
    <t>9780781712019</t>
  </si>
  <si>
    <t>30001004442473</t>
  </si>
  <si>
    <t>893553415</t>
  </si>
  <si>
    <t>WY 86 P569 1999</t>
  </si>
  <si>
    <t>0                      WY 0086000P  569         1999</t>
  </si>
  <si>
    <t>Philosophical and theoretical perspectives for advanced nursing practice / edited by Janet W. Kenney.</t>
  </si>
  <si>
    <t>Sudbury, Mass. : Jones and Bartlett Publishers, c1999.</t>
  </si>
  <si>
    <t>2005-10-24</t>
  </si>
  <si>
    <t>864032673:eng</t>
  </si>
  <si>
    <t>39891445</t>
  </si>
  <si>
    <t>991001553389702656</t>
  </si>
  <si>
    <t>2261745960002656</t>
  </si>
  <si>
    <t>9780763709174</t>
  </si>
  <si>
    <t>30001004445336</t>
  </si>
  <si>
    <t>893552630</t>
  </si>
  <si>
    <t>WY 86 R888t 1981</t>
  </si>
  <si>
    <t>0                      WY 0086000R  888t        1981</t>
  </si>
  <si>
    <t>Theory construction in nursing : an adaptation model / Callista Roy, Sharon L. Roberts.</t>
  </si>
  <si>
    <t>Roy, Callista.</t>
  </si>
  <si>
    <t>Englewood Cliffs, N.J. : Prentice-Hall, c1981.</t>
  </si>
  <si>
    <t>2006-07-15</t>
  </si>
  <si>
    <t>363545260:eng</t>
  </si>
  <si>
    <t>6861787</t>
  </si>
  <si>
    <t>991000738599702656</t>
  </si>
  <si>
    <t>2258548090002656</t>
  </si>
  <si>
    <t>9780139136573</t>
  </si>
  <si>
    <t>30001000042632</t>
  </si>
  <si>
    <t>893834293</t>
  </si>
  <si>
    <t>WY 86 S638i 1989</t>
  </si>
  <si>
    <t>0                      WY 0086000S  638i        1989</t>
  </si>
  <si>
    <t>Interdisciplinary guide to the literature for human caring / Janet Smerke.</t>
  </si>
  <si>
    <t>Smerke, Janet Marie.</t>
  </si>
  <si>
    <t>NLN pub. no. 15-2331.</t>
  </si>
  <si>
    <t>24566548:eng</t>
  </si>
  <si>
    <t>22541739</t>
  </si>
  <si>
    <t>991000220389702656</t>
  </si>
  <si>
    <t>2258210210002656</t>
  </si>
  <si>
    <t>9780887374784</t>
  </si>
  <si>
    <t>30001001799859</t>
  </si>
  <si>
    <t>893547523</t>
  </si>
  <si>
    <t>WY 86 S851i 1993</t>
  </si>
  <si>
    <t>0                      WY 0086000S  851i        1993</t>
  </si>
  <si>
    <t>Integrating social support in nursing / Miriam J. Stewart.</t>
  </si>
  <si>
    <t>Stewart, Miriam (Miriam Joyce)</t>
  </si>
  <si>
    <t>Newbury Park : Sage Publications, c1993.</t>
  </si>
  <si>
    <t>1997-03-04</t>
  </si>
  <si>
    <t>1993-06-21</t>
  </si>
  <si>
    <t>352005:eng</t>
  </si>
  <si>
    <t>27894685</t>
  </si>
  <si>
    <t>991001480929702656</t>
  </si>
  <si>
    <t>2261371970002656</t>
  </si>
  <si>
    <t>9780803942738</t>
  </si>
  <si>
    <t>30001002569426</t>
  </si>
  <si>
    <t>893455840</t>
  </si>
  <si>
    <t>WY 86 T396 1977</t>
  </si>
  <si>
    <t>0                      WY 0086000T  396         1977</t>
  </si>
  <si>
    <t>Theory development : what, why, how?</t>
  </si>
  <si>
    <t>NLN pub. no. 15-1708</t>
  </si>
  <si>
    <t>1994-09-09</t>
  </si>
  <si>
    <t>1988-10-13</t>
  </si>
  <si>
    <t>14684086:eng</t>
  </si>
  <si>
    <t>4467920</t>
  </si>
  <si>
    <t>991001099789702656</t>
  </si>
  <si>
    <t>2256049340002656</t>
  </si>
  <si>
    <t>30001001606567</t>
  </si>
  <si>
    <t>893736207</t>
  </si>
  <si>
    <t>WY 86 V831 1990</t>
  </si>
  <si>
    <t>0                      WY 0086000V  831         1990</t>
  </si>
  <si>
    <t>Visions of Rogers' science-based nursing / Elizabeth Ann Manhart Barrett, editor.</t>
  </si>
  <si>
    <t>355360153:eng</t>
  </si>
  <si>
    <t>22008079</t>
  </si>
  <si>
    <t>991001386349702656</t>
  </si>
  <si>
    <t>2259852630002656</t>
  </si>
  <si>
    <t>9780887374470</t>
  </si>
  <si>
    <t>30001001799842</t>
  </si>
  <si>
    <t>893374492</t>
  </si>
  <si>
    <t>WY 86 W181s 1988</t>
  </si>
  <si>
    <t>0                      WY 0086000W  181s        1988</t>
  </si>
  <si>
    <t>Strategies for theory construction in nursing / Lorraine Olszewski Walker, Kay Coalson Avant.</t>
  </si>
  <si>
    <t>Walker, Lorraine Olszewski.</t>
  </si>
  <si>
    <t>1988-08-22</t>
  </si>
  <si>
    <t>13895835:eng</t>
  </si>
  <si>
    <t>18259747</t>
  </si>
  <si>
    <t>991001422719702656</t>
  </si>
  <si>
    <t>2263270780002656</t>
  </si>
  <si>
    <t>9780838586808</t>
  </si>
  <si>
    <t>30001001182874</t>
  </si>
  <si>
    <t>893369381</t>
  </si>
  <si>
    <t>WY 86 W181s 1995</t>
  </si>
  <si>
    <t>0                      WY 0086000W  181s        1995</t>
  </si>
  <si>
    <t>Norwalk, CT : Appleton &amp; Lange, c1995.</t>
  </si>
  <si>
    <t>2000-11-21</t>
  </si>
  <si>
    <t>30033685</t>
  </si>
  <si>
    <t>991000688879702656</t>
  </si>
  <si>
    <t>2272208910002656</t>
  </si>
  <si>
    <t>9780838586884</t>
  </si>
  <si>
    <t>30001002699736</t>
  </si>
  <si>
    <t>893267147</t>
  </si>
  <si>
    <t>WY86 W181s 2005</t>
  </si>
  <si>
    <t>0                      WY 0086000W  181s        2005</t>
  </si>
  <si>
    <t>Upper Saddle River, N.J. : Pearson/Prentice Hall, c2005.</t>
  </si>
  <si>
    <t>2007-08-27</t>
  </si>
  <si>
    <t>2006-12-01</t>
  </si>
  <si>
    <t>54914123</t>
  </si>
  <si>
    <t>991001746279702656</t>
  </si>
  <si>
    <t>2271773450002656</t>
  </si>
  <si>
    <t>9780131191266</t>
  </si>
  <si>
    <t>30001005192747</t>
  </si>
  <si>
    <t>893375082</t>
  </si>
  <si>
    <t>WY 86 W37a 1981</t>
  </si>
  <si>
    <t>0                      WY 0086000W  37a         1981</t>
  </si>
  <si>
    <t>Assessment and documentation : nursing theories in action / Annita B. Watson, Marlene G. Mayers.</t>
  </si>
  <si>
    <t>Watson, Annita B., 1937-</t>
  </si>
  <si>
    <t>558418:eng</t>
  </si>
  <si>
    <t>7773121</t>
  </si>
  <si>
    <t>991001131259702656</t>
  </si>
  <si>
    <t>2269203900002656</t>
  </si>
  <si>
    <t>9780913590720</t>
  </si>
  <si>
    <t>30001000285132</t>
  </si>
  <si>
    <t>893731685</t>
  </si>
  <si>
    <t>WY 86.5 M174n 2001</t>
  </si>
  <si>
    <t>0                      WY 0086500M  174n        2001</t>
  </si>
  <si>
    <t>Nursing as a spiritual practice : a contemporary application of Florence Nightingale's views / Janet A. Macrae.</t>
  </si>
  <si>
    <t>Macrae, Janet, 1947-</t>
  </si>
  <si>
    <t>New York : Springer Pub., c2001.</t>
  </si>
  <si>
    <t>803212485:eng</t>
  </si>
  <si>
    <t>44841627</t>
  </si>
  <si>
    <t>991000382079702656</t>
  </si>
  <si>
    <t>2265421150002656</t>
  </si>
  <si>
    <t>9780826113870</t>
  </si>
  <si>
    <t>30001004840643</t>
  </si>
  <si>
    <t>893264200</t>
  </si>
  <si>
    <t>WY 87 A581d 1983</t>
  </si>
  <si>
    <t>0                      WY 0087000A  581d        1983</t>
  </si>
  <si>
    <t>Developing the new assertive nurse : essentials for advancement / Gerry Angel, Diane Knox Petronko.</t>
  </si>
  <si>
    <t>Angel, Gerry.</t>
  </si>
  <si>
    <t>1990-10-01</t>
  </si>
  <si>
    <t>307785715:eng</t>
  </si>
  <si>
    <t>9350574</t>
  </si>
  <si>
    <t>991001131309702656</t>
  </si>
  <si>
    <t>2263540060002656</t>
  </si>
  <si>
    <t>9780826135117</t>
  </si>
  <si>
    <t>30001000285140</t>
  </si>
  <si>
    <t>893632745</t>
  </si>
  <si>
    <t>WY 87 A753 1999</t>
  </si>
  <si>
    <t>0                      WY 0087000A  753         1999</t>
  </si>
  <si>
    <t>Interpersonal relationships : professional communication skills for nurses / Elizabeth Arnold, Kathleen Underman Boggs.</t>
  </si>
  <si>
    <t>Arnold, Elizabeth.</t>
  </si>
  <si>
    <t>Philadelphia : W.B. Saunders, c1999.</t>
  </si>
  <si>
    <t>2000-12-06</t>
  </si>
  <si>
    <t>1999-03-23</t>
  </si>
  <si>
    <t>408461:eng</t>
  </si>
  <si>
    <t>39625215</t>
  </si>
  <si>
    <t>991000782619702656</t>
  </si>
  <si>
    <t>2261966070002656</t>
  </si>
  <si>
    <t>9780721681030</t>
  </si>
  <si>
    <t>30001004070266</t>
  </si>
  <si>
    <t>893450248</t>
  </si>
  <si>
    <t>WY 87 A753i 2003</t>
  </si>
  <si>
    <t>0                      WY 0087000A  753i        2003</t>
  </si>
  <si>
    <t>St. Louis : Saunders, c2003.</t>
  </si>
  <si>
    <t>51099936</t>
  </si>
  <si>
    <t>991000349699702656</t>
  </si>
  <si>
    <t>2272361370002656</t>
  </si>
  <si>
    <t>9780721693880</t>
  </si>
  <si>
    <t>30001004501369</t>
  </si>
  <si>
    <t>893136753</t>
  </si>
  <si>
    <t>WY 87 A919b 1976</t>
  </si>
  <si>
    <t>0                      WY 0087000A  919b        1976</t>
  </si>
  <si>
    <t>Behavioral systems and nursing / Jeanine Roose Auger.</t>
  </si>
  <si>
    <t>Roose, Jeanine.</t>
  </si>
  <si>
    <t>Englewood Cliffs, N.J. : Prentice-Hall, c1976.</t>
  </si>
  <si>
    <t>Prentice-Hall scientific foundations of nursing practice series</t>
  </si>
  <si>
    <t>2003-10-06</t>
  </si>
  <si>
    <t>2643641:eng</t>
  </si>
  <si>
    <t>1859738</t>
  </si>
  <si>
    <t>991001131369702656</t>
  </si>
  <si>
    <t>2266526290002656</t>
  </si>
  <si>
    <t>9780130744845</t>
  </si>
  <si>
    <t>30001000285157</t>
  </si>
  <si>
    <t>893632746</t>
  </si>
  <si>
    <t>WY 87 B198c 2000</t>
  </si>
  <si>
    <t>0                      WY 0087000B  198c        2000</t>
  </si>
  <si>
    <t>Communication in nursing.</t>
  </si>
  <si>
    <t>Balzer-Riley, Julia W.</t>
  </si>
  <si>
    <t>4th ed. / Julia Balzer Riley.</t>
  </si>
  <si>
    <t>679697:eng</t>
  </si>
  <si>
    <t>41606497</t>
  </si>
  <si>
    <t>991001410309702656</t>
  </si>
  <si>
    <t>2255685090002656</t>
  </si>
  <si>
    <t>9780323008723</t>
  </si>
  <si>
    <t>30001003831098</t>
  </si>
  <si>
    <t>893834663</t>
  </si>
  <si>
    <t>WY87 B198c 2004</t>
  </si>
  <si>
    <t>0                      WY 0087000B  198c        2004</t>
  </si>
  <si>
    <t>St. Louis, Mo. : Mosby, c2004.</t>
  </si>
  <si>
    <t>5th ed. / Julia Balzer Riley.</t>
  </si>
  <si>
    <t>2006-01-30</t>
  </si>
  <si>
    <t>51982681</t>
  </si>
  <si>
    <t>991000456419702656</t>
  </si>
  <si>
    <t>2268541550002656</t>
  </si>
  <si>
    <t>9780323024013</t>
  </si>
  <si>
    <t>30001004912152</t>
  </si>
  <si>
    <t>893354375</t>
  </si>
  <si>
    <t>WY 87 B419 1978</t>
  </si>
  <si>
    <t>0                      WY 0087000B  419         1978</t>
  </si>
  <si>
    <t>Behavioral concepts and nursing intervention / edited by Carolyn E. Carlson and Betty Blackwell.</t>
  </si>
  <si>
    <t>Philadelphia : Lippincott, c1978.</t>
  </si>
  <si>
    <t>2d. ed.</t>
  </si>
  <si>
    <t>1996-09-21</t>
  </si>
  <si>
    <t>198265493:eng</t>
  </si>
  <si>
    <t>3892967</t>
  </si>
  <si>
    <t>991000738559702656</t>
  </si>
  <si>
    <t>2272358340002656</t>
  </si>
  <si>
    <t>9780397542178</t>
  </si>
  <si>
    <t>30001000042608</t>
  </si>
  <si>
    <t>893267264</t>
  </si>
  <si>
    <t>WY 87 B4197 1983</t>
  </si>
  <si>
    <t>0                      WY 0087000B  4197        1983</t>
  </si>
  <si>
    <t>Behavioral science &amp; nursing theory / Powhatan J. Wooldridge ... [et al.].</t>
  </si>
  <si>
    <t>1992-10-12</t>
  </si>
  <si>
    <t>451332:eng</t>
  </si>
  <si>
    <t>8785604</t>
  </si>
  <si>
    <t>991001131469702656</t>
  </si>
  <si>
    <t>2266916100002656</t>
  </si>
  <si>
    <t>9780801656231</t>
  </si>
  <si>
    <t>30001000285207</t>
  </si>
  <si>
    <t>893278750</t>
  </si>
  <si>
    <t>WY 87 B654n 1982</t>
  </si>
  <si>
    <t>0                      WY 0087000B  654n        1982</t>
  </si>
  <si>
    <t>Nonverbal communication with patients : back to the human touch / Marion Nesbitt Blondis, Barbara E. Jackson.</t>
  </si>
  <si>
    <t>Blondis, Marion Nesbitt.</t>
  </si>
  <si>
    <t>New York : Wiley, c1982.</t>
  </si>
  <si>
    <t>1998-10-01</t>
  </si>
  <si>
    <t>865289659:eng</t>
  </si>
  <si>
    <t>7947006</t>
  </si>
  <si>
    <t>991001131669702656</t>
  </si>
  <si>
    <t>2254997730002656</t>
  </si>
  <si>
    <t>9780471082170</t>
  </si>
  <si>
    <t>30001000285264</t>
  </si>
  <si>
    <t>893161699</t>
  </si>
  <si>
    <t>WY 87 B792t 1989</t>
  </si>
  <si>
    <t>0                      WY 0087000B  792t        1989</t>
  </si>
  <si>
    <t>Transcultural concepts in nursing care / Joyceen S. Boyle, Margaret M. Andrews.</t>
  </si>
  <si>
    <t>Boyle, Joyceen S.</t>
  </si>
  <si>
    <t>Glenview, Ill. : Scott, Foresman, Little, Brown College Division, c1989.</t>
  </si>
  <si>
    <t>2001-09-02</t>
  </si>
  <si>
    <t>1990-08-24</t>
  </si>
  <si>
    <t>4929014947:eng</t>
  </si>
  <si>
    <t>17440785</t>
  </si>
  <si>
    <t>991001453729702656</t>
  </si>
  <si>
    <t>2260327630002656</t>
  </si>
  <si>
    <t>9780673398703</t>
  </si>
  <si>
    <t>30001001884198</t>
  </si>
  <si>
    <t>893649213</t>
  </si>
  <si>
    <t>WY 87 B873L 1988</t>
  </si>
  <si>
    <t>0                      WY 0087000B  873L        1988</t>
  </si>
  <si>
    <t>Leadership for change : a guide for frustrating situations / Dorothy A. Brooten, Laura Lucia Hayman, Mary Duffin Naylor.</t>
  </si>
  <si>
    <t>Brooten, Dorothy A.</t>
  </si>
  <si>
    <t>1996-04-08</t>
  </si>
  <si>
    <t>11934705:eng</t>
  </si>
  <si>
    <t>16404575</t>
  </si>
  <si>
    <t>991001416669702656</t>
  </si>
  <si>
    <t>2262053470002656</t>
  </si>
  <si>
    <t>9780397545971</t>
  </si>
  <si>
    <t>30001001180969</t>
  </si>
  <si>
    <t>893743773</t>
  </si>
  <si>
    <t>WY 87 B885d 1972</t>
  </si>
  <si>
    <t>0                      WY 0087000B  885d        1972</t>
  </si>
  <si>
    <t>The dying patient : a nursing perspective / compiled by Mary H. Browning and Edith P. Lewis.</t>
  </si>
  <si>
    <t>Browning, Mary H., compiler.</t>
  </si>
  <si>
    <t>New York : American Journal of Nursing Co., c1972.</t>
  </si>
  <si>
    <t>Contemporary nursing series</t>
  </si>
  <si>
    <t>1996-09-20</t>
  </si>
  <si>
    <t>1774630:eng</t>
  </si>
  <si>
    <t>590330</t>
  </si>
  <si>
    <t>991001131729702656</t>
  </si>
  <si>
    <t>2262836410002656</t>
  </si>
  <si>
    <t>30001000285280</t>
  </si>
  <si>
    <t>893460298</t>
  </si>
  <si>
    <t>WY 87 C277 1990</t>
  </si>
  <si>
    <t>0                      WY 0087000C  277         1990</t>
  </si>
  <si>
    <t>The Caring imperative in education / Madeleine Leininger and Jean Watson, editors.</t>
  </si>
  <si>
    <t>New York, N.Y. : National League for Nursing, c1990.</t>
  </si>
  <si>
    <t>NLN pub. no. 41-2308</t>
  </si>
  <si>
    <t>422891501:eng</t>
  </si>
  <si>
    <t>26552358</t>
  </si>
  <si>
    <t>991000221199702656</t>
  </si>
  <si>
    <t>2268381430002656</t>
  </si>
  <si>
    <t>9780887374708</t>
  </si>
  <si>
    <t>30001001881376</t>
  </si>
  <si>
    <t>893628937</t>
  </si>
  <si>
    <t>WY 87 C2845n 1984</t>
  </si>
  <si>
    <t>0                      WY 0087000C  2845n       1984</t>
  </si>
  <si>
    <t>The nurse's guide to better communication / by Robert E. Carlson ; in consultation with Margaret Kidwell Udin and Mary Louise Carlson.</t>
  </si>
  <si>
    <t>Carlson, Robert E.</t>
  </si>
  <si>
    <t>Glenview, Ill. : Scott, Foresman and Co., c1984.</t>
  </si>
  <si>
    <t>43723138:eng</t>
  </si>
  <si>
    <t>9682662</t>
  </si>
  <si>
    <t>991001133069702656</t>
  </si>
  <si>
    <t>2269549400002656</t>
  </si>
  <si>
    <t>9780673155528</t>
  </si>
  <si>
    <t>30001000285728</t>
  </si>
  <si>
    <t>893816116</t>
  </si>
  <si>
    <t>WY 87 C388e 1982</t>
  </si>
  <si>
    <t>0                      WY 0087000C  388e        1982</t>
  </si>
  <si>
    <t>Effective communication in nursing : theory and practice / Joseph F. Ceccio, Cathy M. Ceccio.</t>
  </si>
  <si>
    <t>Ceccio, Joseph.</t>
  </si>
  <si>
    <t>1989-10-24</t>
  </si>
  <si>
    <t>894330279:eng</t>
  </si>
  <si>
    <t>7836943</t>
  </si>
  <si>
    <t>991001133029702656</t>
  </si>
  <si>
    <t>2266186640002656</t>
  </si>
  <si>
    <t>9780471079118</t>
  </si>
  <si>
    <t>30001000285710</t>
  </si>
  <si>
    <t>893278752</t>
  </si>
  <si>
    <t>WY 87 C462e 1969</t>
  </si>
  <si>
    <t>0                      WY 0087000C  462e        1969</t>
  </si>
  <si>
    <t>Effects of different nursing approaches upon psychological and physiological responses of patients / Jacqueline Sue Chapman.</t>
  </si>
  <si>
    <t>Chapman, Jacqueline Sue.</t>
  </si>
  <si>
    <t>Cleveland : Frances Payne Bolton School of Nursing, Case Western Reserve University, 1969.</t>
  </si>
  <si>
    <t>2002-06-02</t>
  </si>
  <si>
    <t>3859514178:eng</t>
  </si>
  <si>
    <t>5543389</t>
  </si>
  <si>
    <t>991001133179702656</t>
  </si>
  <si>
    <t>2257629460002656</t>
  </si>
  <si>
    <t>30001000285744</t>
  </si>
  <si>
    <t>893557637</t>
  </si>
  <si>
    <t>WY 87 C591c 1978</t>
  </si>
  <si>
    <t>0                      WY 0087000C  591c        1978</t>
  </si>
  <si>
    <t>Culture, childbearing, health professionals / Ann L. Clark, editor.</t>
  </si>
  <si>
    <t>-- Philadelphia : Davis, c1978.</t>
  </si>
  <si>
    <t>1995-10-30</t>
  </si>
  <si>
    <t>455811:eng</t>
  </si>
  <si>
    <t>3770665</t>
  </si>
  <si>
    <t>991001133249702656</t>
  </si>
  <si>
    <t>2260852280002656</t>
  </si>
  <si>
    <t>9780803618350</t>
  </si>
  <si>
    <t>30001000285751</t>
  </si>
  <si>
    <t>893455504</t>
  </si>
  <si>
    <t>WY 87 C592w 1986</t>
  </si>
  <si>
    <t>0                      WY 0087000C  592w        1986</t>
  </si>
  <si>
    <t>Wellness nursing : concepts, theory, research, and practice / Carolyn Chambers Clark.</t>
  </si>
  <si>
    <t>New York : Springer Pub. Co., c1986.</t>
  </si>
  <si>
    <t>967303:eng</t>
  </si>
  <si>
    <t>13760396</t>
  </si>
  <si>
    <t>991001451589702656</t>
  </si>
  <si>
    <t>2262164200002656</t>
  </si>
  <si>
    <t>9780826151506</t>
  </si>
  <si>
    <t>30001001883166</t>
  </si>
  <si>
    <t>893465557</t>
  </si>
  <si>
    <t>WY 87 C712c 1983</t>
  </si>
  <si>
    <t>0                      WY 0087000C  712c        1983</t>
  </si>
  <si>
    <t>Communication in health care : the human connection in the life cycle / Mattie Collins.</t>
  </si>
  <si>
    <t>Collins, Mattie, 1929-</t>
  </si>
  <si>
    <t>1996-11-10</t>
  </si>
  <si>
    <t>292702628:eng</t>
  </si>
  <si>
    <t>8284789</t>
  </si>
  <si>
    <t>991001133339702656</t>
  </si>
  <si>
    <t>2267969530002656</t>
  </si>
  <si>
    <t>9780801610813</t>
  </si>
  <si>
    <t>30001000285769</t>
  </si>
  <si>
    <t>893820938</t>
  </si>
  <si>
    <t>WY 87 C783 1982</t>
  </si>
  <si>
    <t>0                      WY 0087000C  783         1982</t>
  </si>
  <si>
    <t>Coping with stress / Doris C. Sutterley and Gloria F. Donnelly.</t>
  </si>
  <si>
    <t>Rockville, Md. : Aspen Systems Corp., c1982.</t>
  </si>
  <si>
    <t>1997-02-17</t>
  </si>
  <si>
    <t>29632665:eng</t>
  </si>
  <si>
    <t>7876010</t>
  </si>
  <si>
    <t>991001133379702656</t>
  </si>
  <si>
    <t>2266183380002656</t>
  </si>
  <si>
    <t>9780894436505</t>
  </si>
  <si>
    <t>30001000285785</t>
  </si>
  <si>
    <t>893638062</t>
  </si>
  <si>
    <t>WY 87 C967 1996</t>
  </si>
  <si>
    <t>0                      WY 0087000C  967         1996</t>
  </si>
  <si>
    <t>Culture &amp; nursing care : a pocket guide / edited by Juliene G. Lipson, Suzanne L. Dibble, Pamela A. Minarik.</t>
  </si>
  <si>
    <t>San Francisco : UCSF Nursing Press, c1996.</t>
  </si>
  <si>
    <t>364652794:eng</t>
  </si>
  <si>
    <t>36470638</t>
  </si>
  <si>
    <t>991001792089702656</t>
  </si>
  <si>
    <t>2259730380002656</t>
  </si>
  <si>
    <t>9780943671154</t>
  </si>
  <si>
    <t>30001003682590</t>
  </si>
  <si>
    <t>893461156</t>
  </si>
  <si>
    <t>WY 87 C987 2001</t>
  </si>
  <si>
    <t>0                      WY 0087000C  987         2001</t>
  </si>
  <si>
    <t>Boston : Jones and Bartlett Publishers, 2001.</t>
  </si>
  <si>
    <t>NLN Pub. No. 14-8254</t>
  </si>
  <si>
    <t>2004-09-14</t>
  </si>
  <si>
    <t>45917120</t>
  </si>
  <si>
    <t>991000295919702656</t>
  </si>
  <si>
    <t>2270021030002656</t>
  </si>
  <si>
    <t>9780763718251</t>
  </si>
  <si>
    <t>30001004466597</t>
  </si>
  <si>
    <t>893122542</t>
  </si>
  <si>
    <t>WY 87 D261L 1984</t>
  </si>
  <si>
    <t>0                      WY 0087000D  261L        1984</t>
  </si>
  <si>
    <t>Listening and responding / A. Jann Davis.</t>
  </si>
  <si>
    <t>Davis, A. Jann.</t>
  </si>
  <si>
    <t>St. Louis : Mosby, c1984.</t>
  </si>
  <si>
    <t>1995-11-13</t>
  </si>
  <si>
    <t>43557039:eng</t>
  </si>
  <si>
    <t>9413003</t>
  </si>
  <si>
    <t>991001133469702656</t>
  </si>
  <si>
    <t>2263633570002656</t>
  </si>
  <si>
    <t>9780801612305</t>
  </si>
  <si>
    <t>30001000285801</t>
  </si>
  <si>
    <t>893557638</t>
  </si>
  <si>
    <t>WY 87 D265n 1980</t>
  </si>
  <si>
    <t>0                      WY 0087000D  265n        1980</t>
  </si>
  <si>
    <t>Nurses' responses to patients' suffering / Lois Leiderman Davitz, Joel Robert Davitz, with Charlene Fischi Rubin.</t>
  </si>
  <si>
    <t>Davitz, Lois Jean.</t>
  </si>
  <si>
    <t>New York : Springer Pub. Co., c1980.</t>
  </si>
  <si>
    <t>1999-03-04</t>
  </si>
  <si>
    <t>493110:eng</t>
  </si>
  <si>
    <t>6196523</t>
  </si>
  <si>
    <t>991001133669702656</t>
  </si>
  <si>
    <t>2266182020002656</t>
  </si>
  <si>
    <t>9780826129208</t>
  </si>
  <si>
    <t>30001000285850</t>
  </si>
  <si>
    <t>893278753</t>
  </si>
  <si>
    <t>WY 87 D279 1976</t>
  </si>
  <si>
    <t>0                      WY 0087000D  279         1976</t>
  </si>
  <si>
    <t>Dealing with death and dying.</t>
  </si>
  <si>
    <t>Jenkintown, Pa. : Intermed Communications, c1976.</t>
  </si>
  <si>
    <t>Nursing skillbook</t>
  </si>
  <si>
    <t>1990-02-23</t>
  </si>
  <si>
    <t>5616463868:eng</t>
  </si>
  <si>
    <t>6545945</t>
  </si>
  <si>
    <t>991001133699702656</t>
  </si>
  <si>
    <t>2266729370002656</t>
  </si>
  <si>
    <t>9780916730017</t>
  </si>
  <si>
    <t>30001000285868</t>
  </si>
  <si>
    <t>893736254</t>
  </si>
  <si>
    <t>WY 87 D411p 1967</t>
  </si>
  <si>
    <t>0                      WY 0087000D  411p        1967</t>
  </si>
  <si>
    <t>Psychology of human behavior for nurses.</t>
  </si>
  <si>
    <t>Dennis, Lorraine Bradt.</t>
  </si>
  <si>
    <t>Philadelphia : Saunders, 1967.</t>
  </si>
  <si>
    <t>2000-02-01</t>
  </si>
  <si>
    <t>2043082:eng</t>
  </si>
  <si>
    <t>1129695</t>
  </si>
  <si>
    <t>991001133839702656</t>
  </si>
  <si>
    <t>2272397090002656</t>
  </si>
  <si>
    <t>30001000285876</t>
  </si>
  <si>
    <t>893148892</t>
  </si>
  <si>
    <t>WY 87 D614 1981</t>
  </si>
  <si>
    <t>0                      WY 0087000D  614         1981</t>
  </si>
  <si>
    <t>Distress reduction through sensory preparation / CURN Project ; principal investigator, Jo Anne Horsley ; the protocol manuscript ... prepared by Margaret A. Reynolds, Karen B. Haller.</t>
  </si>
  <si>
    <t>New York : Grune &amp; Stratton, c1981.</t>
  </si>
  <si>
    <t>1988-09-29</t>
  </si>
  <si>
    <t>427438363:eng</t>
  </si>
  <si>
    <t>7576299</t>
  </si>
  <si>
    <t>991001133499702656</t>
  </si>
  <si>
    <t>2257822380002656</t>
  </si>
  <si>
    <t>9780808914006</t>
  </si>
  <si>
    <t>30001000285819</t>
  </si>
  <si>
    <t>893638063</t>
  </si>
  <si>
    <t>WY 87 D819p 1982</t>
  </si>
  <si>
    <t>0                      WY 0087000D  819p        1982</t>
  </si>
  <si>
    <t>Promoting wellness in nursing practice : a step-by-step approach in patient education / Rita Jean Dubrey.</t>
  </si>
  <si>
    <t>DuBrey, Rita Jean.</t>
  </si>
  <si>
    <t>1991-10-22</t>
  </si>
  <si>
    <t>428092821:eng</t>
  </si>
  <si>
    <t>8032634</t>
  </si>
  <si>
    <t>991001133919702656</t>
  </si>
  <si>
    <t>2258692590002656</t>
  </si>
  <si>
    <t>9780801614804</t>
  </si>
  <si>
    <t>30001000285892</t>
  </si>
  <si>
    <t>893363796</t>
  </si>
  <si>
    <t>WY 87 E26c 1981</t>
  </si>
  <si>
    <t>0                      WY 0087000E  26c         1981</t>
  </si>
  <si>
    <t>Communication in nursing practice / Barba Jean Edwards, John K. Brilhart.</t>
  </si>
  <si>
    <t>Edwards, Barba Jean, 1930-</t>
  </si>
  <si>
    <t>451184:eng</t>
  </si>
  <si>
    <t>7275994</t>
  </si>
  <si>
    <t>991001133949702656</t>
  </si>
  <si>
    <t>2259925370002656</t>
  </si>
  <si>
    <t>9780801607868</t>
  </si>
  <si>
    <t>30001000285900</t>
  </si>
  <si>
    <t>893643247</t>
  </si>
  <si>
    <t>WY 87 E84 1983</t>
  </si>
  <si>
    <t>0                      WY 0087000E  84          1983</t>
  </si>
  <si>
    <t>Ethical problems in the nurse-patient relationship / [edited by] Catherine P. Murphy, Howard Hunter.</t>
  </si>
  <si>
    <t>Boston : Allyn and Bacon, c1983.</t>
  </si>
  <si>
    <t>417434:eng</t>
  </si>
  <si>
    <t>8112958</t>
  </si>
  <si>
    <t>991001134209702656</t>
  </si>
  <si>
    <t>2267901430002656</t>
  </si>
  <si>
    <t>9780205077625</t>
  </si>
  <si>
    <t>30001000285959</t>
  </si>
  <si>
    <t>893736257</t>
  </si>
  <si>
    <t>WY 87 E84n 1976</t>
  </si>
  <si>
    <t>0                      WY 0087000E  84n         1976</t>
  </si>
  <si>
    <t>Ethnicity and health care.</t>
  </si>
  <si>
    <t>NLN pub. no. 14-1625</t>
  </si>
  <si>
    <t>1991-04-18</t>
  </si>
  <si>
    <t>54128200:eng</t>
  </si>
  <si>
    <t>2399307</t>
  </si>
  <si>
    <t>991001363729702656</t>
  </si>
  <si>
    <t>2265206170002656</t>
  </si>
  <si>
    <t>30001000461071</t>
  </si>
  <si>
    <t>893121434</t>
  </si>
  <si>
    <t>WY 87 F532 1978</t>
  </si>
  <si>
    <t>0                      WY 0087000F  532         1978</t>
  </si>
  <si>
    <t>Spiritual care : the nurse's role / Sharon Fish, Judith Allen Shelly.</t>
  </si>
  <si>
    <t>Fish, Sharon.</t>
  </si>
  <si>
    <t>-- Downers Grove, Ill. : InterVarsity Press, c1978.</t>
  </si>
  <si>
    <t>1999-12-16</t>
  </si>
  <si>
    <t>3856029869:eng</t>
  </si>
  <si>
    <t>3856716</t>
  </si>
  <si>
    <t>991001134249702656</t>
  </si>
  <si>
    <t>2266500120002656</t>
  </si>
  <si>
    <t>9780877845065</t>
  </si>
  <si>
    <t>30001000285967</t>
  </si>
  <si>
    <t>893450896</t>
  </si>
  <si>
    <t>WY 87 F618h 1984</t>
  </si>
  <si>
    <t>0                      WY 0087000F  618h        1984</t>
  </si>
  <si>
    <t>The healing bond : human relations skills for nurses and other health-care professionals / Mai Lee Fleury.</t>
  </si>
  <si>
    <t>Fleury, Mai Lee.</t>
  </si>
  <si>
    <t>1991-10-06</t>
  </si>
  <si>
    <t>43274946:eng</t>
  </si>
  <si>
    <t>9829218</t>
  </si>
  <si>
    <t>991001134269702656</t>
  </si>
  <si>
    <t>2269917380002656</t>
  </si>
  <si>
    <t>9780133847352</t>
  </si>
  <si>
    <t>30001000285975</t>
  </si>
  <si>
    <t>893284438</t>
  </si>
  <si>
    <t>WY 87 F818p 1968</t>
  </si>
  <si>
    <t>0                      WY 0087000F  818p        1968</t>
  </si>
  <si>
    <t>Promoting psychological comfort / Gloria M. Francis and Barbara Munjas.</t>
  </si>
  <si>
    <t>Francis, Gloria M.</t>
  </si>
  <si>
    <t>Dubuque, IA : W.C. Brown Co., 1968.</t>
  </si>
  <si>
    <t>iau</t>
  </si>
  <si>
    <t>Foundations of nursing series</t>
  </si>
  <si>
    <t>443237:eng</t>
  </si>
  <si>
    <t>239024</t>
  </si>
  <si>
    <t>991001134299702656</t>
  </si>
  <si>
    <t>2256953670002656</t>
  </si>
  <si>
    <t>30001000285983</t>
  </si>
  <si>
    <t>893826476</t>
  </si>
  <si>
    <t>WY 87 G233c 1982</t>
  </si>
  <si>
    <t>0                      WY 0087000G  233c        1982</t>
  </si>
  <si>
    <t>Coping behaviors and nursing / by LaRetta M. Garland and Carol T. Bush.</t>
  </si>
  <si>
    <t>Garland, LaRetta M.</t>
  </si>
  <si>
    <t>Reston, Va. : Reston Pub. Co., c1982.</t>
  </si>
  <si>
    <t>1990-11-26</t>
  </si>
  <si>
    <t>539164:eng</t>
  </si>
  <si>
    <t>7876653</t>
  </si>
  <si>
    <t>991001134399702656</t>
  </si>
  <si>
    <t>2266290850002656</t>
  </si>
  <si>
    <t>9780879090883</t>
  </si>
  <si>
    <t>30001000286023</t>
  </si>
  <si>
    <t>893134275</t>
  </si>
  <si>
    <t>WY 87 G275p 1992</t>
  </si>
  <si>
    <t>0                      WY 0087000G  275p        1992</t>
  </si>
  <si>
    <t>The presence of caring in nursing / by Delores A. Gaut, editor.</t>
  </si>
  <si>
    <t>Gaut, Delores A.</t>
  </si>
  <si>
    <t>New York, N.Y. : National League for Nursing; c1992.</t>
  </si>
  <si>
    <t>NLN pub. no. 15-2465.</t>
  </si>
  <si>
    <t>476289428:eng</t>
  </si>
  <si>
    <t>25828642</t>
  </si>
  <si>
    <t>991000234349702656</t>
  </si>
  <si>
    <t>2269354930002656</t>
  </si>
  <si>
    <t>9780887375477</t>
  </si>
  <si>
    <t>30001002387829</t>
  </si>
  <si>
    <t>893451906</t>
  </si>
  <si>
    <t>WY 87 G848 1980</t>
  </si>
  <si>
    <t>0                      WY 0087000G  848         1980</t>
  </si>
  <si>
    <t>Grief responses to long-term illness and disability : manifestations and nursing interventions / Jean A. Werner-Beland, editor ; contributors, Judith M. Agee ...[et al.]</t>
  </si>
  <si>
    <t>Reston, Va. : Reston, c1980.</t>
  </si>
  <si>
    <t>vau</t>
  </si>
  <si>
    <t>1991-12-04</t>
  </si>
  <si>
    <t>54324166:eng</t>
  </si>
  <si>
    <t>5497954</t>
  </si>
  <si>
    <t>991001136229702656</t>
  </si>
  <si>
    <t>2264798310002656</t>
  </si>
  <si>
    <t>9780835925914</t>
  </si>
  <si>
    <t>30001000286361</t>
  </si>
  <si>
    <t>893820941</t>
  </si>
  <si>
    <t>WY 87 H468c 1973</t>
  </si>
  <si>
    <t>0                      WY 0087000H  468c        1973</t>
  </si>
  <si>
    <t>Communication in nursing practice / Eleanor C. Hein.</t>
  </si>
  <si>
    <t>Hein, Eleanor C.</t>
  </si>
  <si>
    <t>-- Boston : Little, Brown, c1973.</t>
  </si>
  <si>
    <t>1996-12-20</t>
  </si>
  <si>
    <t>448016:eng</t>
  </si>
  <si>
    <t>702972</t>
  </si>
  <si>
    <t>991001136429702656</t>
  </si>
  <si>
    <t>2258114290002656</t>
  </si>
  <si>
    <t>30001000286403</t>
  </si>
  <si>
    <t>893121191</t>
  </si>
  <si>
    <t>WY 87 H483 1957</t>
  </si>
  <si>
    <t>0                      WY 0087000H  483         1957</t>
  </si>
  <si>
    <t>Helping nurses increase their human relations skill : an account of a workshop offered by the University of Pittsburgh Graduate School of Public Health / prepared by Eleanore Gill, Mildred Mouw, Graham C. Taylor.</t>
  </si>
  <si>
    <t>New York : National League for Nursing, 1957.</t>
  </si>
  <si>
    <t>1957</t>
  </si>
  <si>
    <t>League exchange, no. 21</t>
  </si>
  <si>
    <t>8907176606:eng</t>
  </si>
  <si>
    <t>14597357</t>
  </si>
  <si>
    <t>991001361799702656</t>
  </si>
  <si>
    <t>2254706810002656</t>
  </si>
  <si>
    <t>30001000460883</t>
  </si>
  <si>
    <t>893816332</t>
  </si>
  <si>
    <t>WY 87 H551b 1978</t>
  </si>
  <si>
    <t>0                      WY 0087000H  551b        1978</t>
  </si>
  <si>
    <t>Becoming assertive : a guide for nurses / Sonya J. Herman.</t>
  </si>
  <si>
    <t>Herman, Sonya J.</t>
  </si>
  <si>
    <t>-- New York : Van Nostrand, c1978.</t>
  </si>
  <si>
    <t>12342696:eng</t>
  </si>
  <si>
    <t>3802159</t>
  </si>
  <si>
    <t>991001136469702656</t>
  </si>
  <si>
    <t>2263905110002656</t>
  </si>
  <si>
    <t>9780442232597</t>
  </si>
  <si>
    <t>30001000286411</t>
  </si>
  <si>
    <t>893727280</t>
  </si>
  <si>
    <t>WY 87 H663s 1986</t>
  </si>
  <si>
    <t>0                      WY 0087000H  663s        1986</t>
  </si>
  <si>
    <t>Stress and the nurse manager / by Peter Hingley and Cary L. Cooper.</t>
  </si>
  <si>
    <t>Hingley, Peter.</t>
  </si>
  <si>
    <t>Chichester ; New York : Wiley, c1986.</t>
  </si>
  <si>
    <t>1994-11-04</t>
  </si>
  <si>
    <t>6939412:eng</t>
  </si>
  <si>
    <t>13214447</t>
  </si>
  <si>
    <t>991001136599702656</t>
  </si>
  <si>
    <t>2262049550002656</t>
  </si>
  <si>
    <t>9780471910220</t>
  </si>
  <si>
    <t>30001000286429</t>
  </si>
  <si>
    <t>893727281</t>
  </si>
  <si>
    <t>WY 87 H673</t>
  </si>
  <si>
    <t>0                      WY 0087000H  673</t>
  </si>
  <si>
    <t>Hispanic culture and health care : fact, fiction, folklore / edited by Ricardo Arguijo Martinez.</t>
  </si>
  <si>
    <t>-- St. Louis : Mosby, 1978.</t>
  </si>
  <si>
    <t>2000-02-28</t>
  </si>
  <si>
    <t>11379098:eng</t>
  </si>
  <si>
    <t>3542501</t>
  </si>
  <si>
    <t>991001136649702656</t>
  </si>
  <si>
    <t>2264339620002656</t>
  </si>
  <si>
    <t>9780801631436</t>
  </si>
  <si>
    <t>30001000286437</t>
  </si>
  <si>
    <t>893168036</t>
  </si>
  <si>
    <t>WY 87 I61 1984</t>
  </si>
  <si>
    <t>0                      WY 0087000I  61          1984</t>
  </si>
  <si>
    <t>Interpersonal communication in nursing : an interactionist approach / Paul Fritz ... [et al.].</t>
  </si>
  <si>
    <t>836628560:eng</t>
  </si>
  <si>
    <t>9893387</t>
  </si>
  <si>
    <t>991001136689702656</t>
  </si>
  <si>
    <t>2262181070002656</t>
  </si>
  <si>
    <t>9780838543122</t>
  </si>
  <si>
    <t>30001000286452</t>
  </si>
  <si>
    <t>893831934</t>
  </si>
  <si>
    <t>WY 87 J39b 1979</t>
  </si>
  <si>
    <t>0                      WY 0087000J  39b         1979</t>
  </si>
  <si>
    <t>Behavioral concepts and the nursing process / Sylvia Jasmin, Louise N. Trygstad.</t>
  </si>
  <si>
    <t>Jasmin, Sylvia, 1943-</t>
  </si>
  <si>
    <t>-- St. Louis : Mosby, 1979.</t>
  </si>
  <si>
    <t>1998-11-16</t>
  </si>
  <si>
    <t>14759271:eng</t>
  </si>
  <si>
    <t>4491835</t>
  </si>
  <si>
    <t>991001136849702656</t>
  </si>
  <si>
    <t>2264120000002656</t>
  </si>
  <si>
    <t>9780801624353</t>
  </si>
  <si>
    <t>30001000286486</t>
  </si>
  <si>
    <t>893268111</t>
  </si>
  <si>
    <t>WY 87 K52t 1971</t>
  </si>
  <si>
    <t>0                      WY 0087000K  52t         1971</t>
  </si>
  <si>
    <t>Toward a theory for nursing : general concepts of human behavior / Imogene M. King.</t>
  </si>
  <si>
    <t>New York, NY : Wiley 1971.</t>
  </si>
  <si>
    <t>1998-11-17</t>
  </si>
  <si>
    <t>1989-04-10</t>
  </si>
  <si>
    <t>3902579433:eng</t>
  </si>
  <si>
    <t>116519</t>
  </si>
  <si>
    <t>991001136959702656</t>
  </si>
  <si>
    <t>2260518920002656</t>
  </si>
  <si>
    <t>9780471478003</t>
  </si>
  <si>
    <t>30001000286502</t>
  </si>
  <si>
    <t>893465224</t>
  </si>
  <si>
    <t>WY 87 K78a 1982</t>
  </si>
  <si>
    <t>0                      WY 0087000K  78a         1982</t>
  </si>
  <si>
    <t>Advocacy, risk and reality / Mary F. Kohnke.</t>
  </si>
  <si>
    <t>Kohnke, Mary F.</t>
  </si>
  <si>
    <t>1998-10-15</t>
  </si>
  <si>
    <t>31535476:eng</t>
  </si>
  <si>
    <t>8409918</t>
  </si>
  <si>
    <t>991000738399702656</t>
  </si>
  <si>
    <t>2271390050002656</t>
  </si>
  <si>
    <t>9780801627217</t>
  </si>
  <si>
    <t>30001000042533</t>
  </si>
  <si>
    <t>893120095</t>
  </si>
  <si>
    <t>WY 87 L531n 1970</t>
  </si>
  <si>
    <t>0                      WY 0087000L  531n        1970</t>
  </si>
  <si>
    <t>Nursing and anthropology : two worlds to blend / Madeleine Leininger.</t>
  </si>
  <si>
    <t>Leininger, Madeleine M.</t>
  </si>
  <si>
    <t>New York, NY : Wiley, 1970.</t>
  </si>
  <si>
    <t>1997-09-30</t>
  </si>
  <si>
    <t>1221802:eng</t>
  </si>
  <si>
    <t>109534</t>
  </si>
  <si>
    <t>991001137089702656</t>
  </si>
  <si>
    <t>2254971740002656</t>
  </si>
  <si>
    <t>9780471526025</t>
  </si>
  <si>
    <t>30001000286544</t>
  </si>
  <si>
    <t>893273729</t>
  </si>
  <si>
    <t>WY 87 L531t 1995</t>
  </si>
  <si>
    <t>0                      WY 0087000L  531t        1995</t>
  </si>
  <si>
    <t>Transcultural nursing : concepts, theories, research &amp; practices / Madeleine Leininger.</t>
  </si>
  <si>
    <t>New York : McGraw-Hill, Inc., c1995.</t>
  </si>
  <si>
    <t>College custom series</t>
  </si>
  <si>
    <t>2004-08-10</t>
  </si>
  <si>
    <t>2536725:eng</t>
  </si>
  <si>
    <t>34110081</t>
  </si>
  <si>
    <t>991001048689702656</t>
  </si>
  <si>
    <t>2264929970002656</t>
  </si>
  <si>
    <t>9780070376601</t>
  </si>
  <si>
    <t>30001003585686</t>
  </si>
  <si>
    <t>893743615</t>
  </si>
  <si>
    <t>WY 87 L764e 1992</t>
  </si>
  <si>
    <t>0                      WY 0087000L  764e        1992</t>
  </si>
  <si>
    <t>Effective approaches to patients' behavior / Gladys B. Lipkin, Roberta G. Cohen.</t>
  </si>
  <si>
    <t>Lipkin, Gladys B.</t>
  </si>
  <si>
    <t>New York : Springer Pub. Co., c1992.</t>
  </si>
  <si>
    <t>1993-01-27</t>
  </si>
  <si>
    <t>966652:eng</t>
  </si>
  <si>
    <t>23582553</t>
  </si>
  <si>
    <t>991001351069702656</t>
  </si>
  <si>
    <t>2255729600002656</t>
  </si>
  <si>
    <t>9780826114969</t>
  </si>
  <si>
    <t>30001002459479</t>
  </si>
  <si>
    <t>893560989</t>
  </si>
  <si>
    <t>WY 87 L848u 1981</t>
  </si>
  <si>
    <t>0                      WY 0087000L  848u        1981</t>
  </si>
  <si>
    <t>Understanding/responding : a communication manual for nurses / Lynette Long, Penny Prophit.</t>
  </si>
  <si>
    <t>Long, Lynette.</t>
  </si>
  <si>
    <t>Montery Calif. : Wadsworth Health Sciences Division, c1981.</t>
  </si>
  <si>
    <t>1989-09-11</t>
  </si>
  <si>
    <t>22613413:eng</t>
  </si>
  <si>
    <t>6447026</t>
  </si>
  <si>
    <t>991001132639702656</t>
  </si>
  <si>
    <t>2255560540002656</t>
  </si>
  <si>
    <t>9780878722846</t>
  </si>
  <si>
    <t>30001000285561</t>
  </si>
  <si>
    <t>893148891</t>
  </si>
  <si>
    <t>WY 87 N234p 1979</t>
  </si>
  <si>
    <t>0                      WY 0087000N  234p        1979</t>
  </si>
  <si>
    <t>Patient teaching in nursing practice : a patient and family-centered approach / Barbara W. Narrow.</t>
  </si>
  <si>
    <t>Narrow, Barbara W.</t>
  </si>
  <si>
    <t>New York : Wiley, c1979.</t>
  </si>
  <si>
    <t>908056885:eng</t>
  </si>
  <si>
    <t>4496507</t>
  </si>
  <si>
    <t>991001132829702656</t>
  </si>
  <si>
    <t>2268704110002656</t>
  </si>
  <si>
    <t>9780471040354</t>
  </si>
  <si>
    <t>30001000285637</t>
  </si>
  <si>
    <t>893268107</t>
  </si>
  <si>
    <t>WY 87 N275 1976</t>
  </si>
  <si>
    <t>0                      WY 0087000N  275         1976</t>
  </si>
  <si>
    <t>Socialization and resocialization of nurses for professional nursing practice : papers presented at the sixteenth conference of the Council of Baccalaureate and Higher Degree Programs, Philadelphia, Pennsylvania, November 1976.</t>
  </si>
  <si>
    <t>NLN pub. no. 15-1659</t>
  </si>
  <si>
    <t>9643492:eng</t>
  </si>
  <si>
    <t>3293044</t>
  </si>
  <si>
    <t>991001370539702656</t>
  </si>
  <si>
    <t>2268902740002656</t>
  </si>
  <si>
    <t>30001000461709</t>
  </si>
  <si>
    <t>893560993</t>
  </si>
  <si>
    <t>WY 87 N974 1998</t>
  </si>
  <si>
    <t>0                      WY 0087000N  974         1998</t>
  </si>
  <si>
    <t>Nurse-client interaction : implementing the nursing process / Sandra J. Sundeen ... [et al.].</t>
  </si>
  <si>
    <t>836920131:eng</t>
  </si>
  <si>
    <t>37879075</t>
  </si>
  <si>
    <t>991001306049702656</t>
  </si>
  <si>
    <t>2264441580002656</t>
  </si>
  <si>
    <t>9780815126058</t>
  </si>
  <si>
    <t>30001003749860</t>
  </si>
  <si>
    <t>893651959</t>
  </si>
  <si>
    <t>WY 87 N9747 1983</t>
  </si>
  <si>
    <t>0                      WY 0087000N  9747        1983</t>
  </si>
  <si>
    <t>Nurses under stress / edited by Sharol F. Jacobson, H. Marie McGrath.</t>
  </si>
  <si>
    <t>2003-10-27</t>
  </si>
  <si>
    <t>355447276:eng</t>
  </si>
  <si>
    <t>8847213</t>
  </si>
  <si>
    <t>991001132949702656</t>
  </si>
  <si>
    <t>2267352600002656</t>
  </si>
  <si>
    <t>9780471078999</t>
  </si>
  <si>
    <t>30001000285686</t>
  </si>
  <si>
    <t>893284437</t>
  </si>
  <si>
    <t>WY 87 N9755 1985</t>
  </si>
  <si>
    <t>0                      WY 0087000N  9755        1985</t>
  </si>
  <si>
    <t>Nursing interventions : treatments for nursing diagnoses / [edited by] Gloria M. Bulechek, Joanne C. McCloskey.</t>
  </si>
  <si>
    <t>3901037548:eng</t>
  </si>
  <si>
    <t>11842852</t>
  </si>
  <si>
    <t>991001137689702656</t>
  </si>
  <si>
    <t>2254844750002656</t>
  </si>
  <si>
    <t>9780721613109</t>
  </si>
  <si>
    <t>30001000287005</t>
  </si>
  <si>
    <t>893374281</t>
  </si>
  <si>
    <t>WY 87 O13c 1974</t>
  </si>
  <si>
    <t>0                      WY 0087000O  13c         1974</t>
  </si>
  <si>
    <t>Communications and relationships in nursing / Maureen J. O'Brien.</t>
  </si>
  <si>
    <t>Flaherty, Maureen O'Brien, 1933-</t>
  </si>
  <si>
    <t>Saint Louis, MO : Mosby, 1974.</t>
  </si>
  <si>
    <t>1991-02-19</t>
  </si>
  <si>
    <t>1772849:eng</t>
  </si>
  <si>
    <t>797873</t>
  </si>
  <si>
    <t>991001134879702656</t>
  </si>
  <si>
    <t>2261194160002656</t>
  </si>
  <si>
    <t>9780801636912</t>
  </si>
  <si>
    <t>30001000286148</t>
  </si>
  <si>
    <t>893546400</t>
  </si>
  <si>
    <t>WY 87 O45s 1968</t>
  </si>
  <si>
    <t>0                      WY 0087000O  45s         1968</t>
  </si>
  <si>
    <t>The silent dialogue : a study in the social psychology of professional socialization / Virginia L. Olesen and Elvi W. Whittaker.</t>
  </si>
  <si>
    <t>Olesen, Virginia L.</t>
  </si>
  <si>
    <t>San Francisco : Jossey-Bass, c1968.</t>
  </si>
  <si>
    <t>The Jossey-Bass behavioral science series</t>
  </si>
  <si>
    <t>1990-09-07</t>
  </si>
  <si>
    <t>902167596:eng</t>
  </si>
  <si>
    <t>252423</t>
  </si>
  <si>
    <t>991001134789702656</t>
  </si>
  <si>
    <t>2270064940002656</t>
  </si>
  <si>
    <t>30001000286106</t>
  </si>
  <si>
    <t>893727278</t>
  </si>
  <si>
    <t>WY 87 P128n 2008</t>
  </si>
  <si>
    <t>0                      WY 0087000P  128n        2008</t>
  </si>
  <si>
    <t>The nurse's etiquette advantage : how professional etiquette can advance your nursing career / by Kathleen D. Pagana.</t>
  </si>
  <si>
    <t>Pagana, Kathleen Deska, 1952-</t>
  </si>
  <si>
    <t>Indianapolis, IN : Sigma Theta Tau International, c2008.</t>
  </si>
  <si>
    <t>inu</t>
  </si>
  <si>
    <t>2009-09-08</t>
  </si>
  <si>
    <t>2009-03-23</t>
  </si>
  <si>
    <t>802396190:eng</t>
  </si>
  <si>
    <t>222135065</t>
  </si>
  <si>
    <t>991001373999702656</t>
  </si>
  <si>
    <t>2264096960002656</t>
  </si>
  <si>
    <t>9781930538801</t>
  </si>
  <si>
    <t>30001005391414</t>
  </si>
  <si>
    <t>893268413</t>
  </si>
  <si>
    <t>WY 87 P296h 1988</t>
  </si>
  <si>
    <t>0                      WY 0087000P  296h        1988</t>
  </si>
  <si>
    <t>Humanistic nursing / Josephine G. Paterson, Loretta T. Zderad.</t>
  </si>
  <si>
    <t>Paterson, Josephine G.</t>
  </si>
  <si>
    <t>New York : Wiley, c1988.</t>
  </si>
  <si>
    <t>Pub. No. 41-2218.</t>
  </si>
  <si>
    <t>2007-09-11</t>
  </si>
  <si>
    <t>1988-04-22</t>
  </si>
  <si>
    <t>2638530:eng</t>
  </si>
  <si>
    <t>1959544</t>
  </si>
  <si>
    <t>991001186459702656</t>
  </si>
  <si>
    <t>2266098040002656</t>
  </si>
  <si>
    <t>9780471669463</t>
  </si>
  <si>
    <t>30001000978173</t>
  </si>
  <si>
    <t>893831984</t>
  </si>
  <si>
    <t>WY 87 P838c 1984</t>
  </si>
  <si>
    <t>0                      WY 0087000P  838c        1984</t>
  </si>
  <si>
    <t>Communication, choices for nurses / Lyn Porritt.</t>
  </si>
  <si>
    <t>Porritt, Lyn.</t>
  </si>
  <si>
    <t>Melbourne ; New York : Churchill Livingstone, c1984.</t>
  </si>
  <si>
    <t xml:space="preserve">at </t>
  </si>
  <si>
    <t>43278900:eng</t>
  </si>
  <si>
    <t>9829356</t>
  </si>
  <si>
    <t>991001134979702656</t>
  </si>
  <si>
    <t>2269894800002656</t>
  </si>
  <si>
    <t>9780443028519</t>
  </si>
  <si>
    <t>30001000286163</t>
  </si>
  <si>
    <t>893552175</t>
  </si>
  <si>
    <t>WY 87 P895 1978</t>
  </si>
  <si>
    <t>0                      WY 0087000P  895         1978</t>
  </si>
  <si>
    <t>A Practical manual for patient-teaching / edited by Karen S. Zander ... [et al.].</t>
  </si>
  <si>
    <t>1992-06-25</t>
  </si>
  <si>
    <t>13294167:eng</t>
  </si>
  <si>
    <t>3843355</t>
  </si>
  <si>
    <t>991001135389702656</t>
  </si>
  <si>
    <t>2266429240002656</t>
  </si>
  <si>
    <t>9780801656781</t>
  </si>
  <si>
    <t>30001000286239</t>
  </si>
  <si>
    <t>893358251</t>
  </si>
  <si>
    <t>WY 87 P952 1984</t>
  </si>
  <si>
    <t>0                      WY 0087000P  952         1984</t>
  </si>
  <si>
    <t>Primary health care handbook : guidelines for patient education / edited by Sherry L. Shamansky, M. Carolyn Cecere, Evelyn Shellenberger.</t>
  </si>
  <si>
    <t>836673528:eng</t>
  </si>
  <si>
    <t>12667243</t>
  </si>
  <si>
    <t>991001135219702656</t>
  </si>
  <si>
    <t>2272287600002656</t>
  </si>
  <si>
    <t>9780316787246</t>
  </si>
  <si>
    <t>30001000286221</t>
  </si>
  <si>
    <t>893820940</t>
  </si>
  <si>
    <t>WY 87 Q7n 1967</t>
  </si>
  <si>
    <t>0                      WY 0087000Q  7n          1967</t>
  </si>
  <si>
    <t>The nurse and the dying patient / Jeanne C. Quint.</t>
  </si>
  <si>
    <t>Benoliel, Jeanne Quint.</t>
  </si>
  <si>
    <t>New York, NY : Macmillan 1967.</t>
  </si>
  <si>
    <t>1996-10-21</t>
  </si>
  <si>
    <t>1407871:eng</t>
  </si>
  <si>
    <t>274434</t>
  </si>
  <si>
    <t>991001135489702656</t>
  </si>
  <si>
    <t>2260857130002656</t>
  </si>
  <si>
    <t>30001000286254</t>
  </si>
  <si>
    <t>893369134</t>
  </si>
  <si>
    <t>WY 87 R318p 1984</t>
  </si>
  <si>
    <t>0                      WY 0087000R  318p        1984</t>
  </si>
  <si>
    <t>The process of patient education / Barbara Klug Redman.</t>
  </si>
  <si>
    <t>Redman, Barbara Klug.</t>
  </si>
  <si>
    <t>13086160:eng</t>
  </si>
  <si>
    <t>9557513</t>
  </si>
  <si>
    <t>991000738239702656</t>
  </si>
  <si>
    <t>2258869280002656</t>
  </si>
  <si>
    <t>9780801641855</t>
  </si>
  <si>
    <t>30001000042434</t>
  </si>
  <si>
    <t>893272937</t>
  </si>
  <si>
    <t>WY 87 R318p 1997</t>
  </si>
  <si>
    <t>0                      WY 0087000R  318p        1997</t>
  </si>
  <si>
    <t>The practice of patient education / Barbara Klug Redman.</t>
  </si>
  <si>
    <t>20798663:eng</t>
  </si>
  <si>
    <t>34772122</t>
  </si>
  <si>
    <t>991001572859702656</t>
  </si>
  <si>
    <t>2263148930002656</t>
  </si>
  <si>
    <t>9780815193579</t>
  </si>
  <si>
    <t>30001004071066</t>
  </si>
  <si>
    <t>893743905</t>
  </si>
  <si>
    <t>WY87 R318P 2001</t>
  </si>
  <si>
    <t>0                      WY 0087000R  318P        2001</t>
  </si>
  <si>
    <t>St. Louis, Mo. : Mosby, 2001.</t>
  </si>
  <si>
    <t>2009-11-01</t>
  </si>
  <si>
    <t>2001-12-06</t>
  </si>
  <si>
    <t>44979664</t>
  </si>
  <si>
    <t>991001706329702656</t>
  </si>
  <si>
    <t>2271273290002656</t>
  </si>
  <si>
    <t>9780323012799</t>
  </si>
  <si>
    <t>30001004560548</t>
  </si>
  <si>
    <t>893558122</t>
  </si>
  <si>
    <t>WY 87 R647b 1978</t>
  </si>
  <si>
    <t>0                      WY 0087000R  647b        1978</t>
  </si>
  <si>
    <t>Behavioral concepts and nursing throughout the life span / Sharon L. Roberts.</t>
  </si>
  <si>
    <t>Roberts, Sharon L.</t>
  </si>
  <si>
    <t>-- Englewood Cliffs, N.J. : Prentice-Hall, 1978.</t>
  </si>
  <si>
    <t>1989-03-11</t>
  </si>
  <si>
    <t>410262:eng</t>
  </si>
  <si>
    <t>3224072</t>
  </si>
  <si>
    <t>991001136079702656</t>
  </si>
  <si>
    <t>2258797960002656</t>
  </si>
  <si>
    <t>9780130745590</t>
  </si>
  <si>
    <t>30001000286312</t>
  </si>
  <si>
    <t>893648926</t>
  </si>
  <si>
    <t>WY 87 R787n 1987</t>
  </si>
  <si>
    <t>0                      WY 0087000R  787n        1987</t>
  </si>
  <si>
    <t>Nurses as health teachers : a practical guide / Judith Waring Rorden.</t>
  </si>
  <si>
    <t>Rorden, Judith Waring.</t>
  </si>
  <si>
    <t>1988-02-19</t>
  </si>
  <si>
    <t>836689967:eng</t>
  </si>
  <si>
    <t>14693206</t>
  </si>
  <si>
    <t>991001172659702656</t>
  </si>
  <si>
    <t>2257728450002656</t>
  </si>
  <si>
    <t>9780721618043</t>
  </si>
  <si>
    <t>30001000975351</t>
  </si>
  <si>
    <t>893287286</t>
  </si>
  <si>
    <t>WY 87 S347c 1979</t>
  </si>
  <si>
    <t>0                      WY 0087000S  347c        1979</t>
  </si>
  <si>
    <t>Coping with reality shock : the voices of experience / Claudia Schmalenberg, Marlene Kramer.</t>
  </si>
  <si>
    <t>Schmalenberg, Claudia.</t>
  </si>
  <si>
    <t>Wakefield, Mass. : Nursing Resources, c1979.</t>
  </si>
  <si>
    <t>2008-09-17</t>
  </si>
  <si>
    <t>308080352:eng</t>
  </si>
  <si>
    <t>4668704</t>
  </si>
  <si>
    <t>991001152209702656</t>
  </si>
  <si>
    <t>2259012160002656</t>
  </si>
  <si>
    <t>9780913654507</t>
  </si>
  <si>
    <t>30001000296691</t>
  </si>
  <si>
    <t>893121207</t>
  </si>
  <si>
    <t>WY 87 S399p 1972</t>
  </si>
  <si>
    <t>0                      WY 0087000S  399p        1972</t>
  </si>
  <si>
    <t>The psychodynamics of patient care / Lawrence H. Schwartz and Jane Linker Schwartz.</t>
  </si>
  <si>
    <t>Schwartz, Lawrence H.</t>
  </si>
  <si>
    <t>Englewood Cliffs, NJ : Prentice-Hall, 1972.</t>
  </si>
  <si>
    <t>2001-06-20</t>
  </si>
  <si>
    <t>1456469:eng</t>
  </si>
  <si>
    <t>286829</t>
  </si>
  <si>
    <t>991001152289702656</t>
  </si>
  <si>
    <t>2260871780002656</t>
  </si>
  <si>
    <t>9780137325863</t>
  </si>
  <si>
    <t>30001000296709</t>
  </si>
  <si>
    <t>893643265</t>
  </si>
  <si>
    <t>WY87 S544c 2005</t>
  </si>
  <si>
    <t>0                      WY 0087000S  544c        2005</t>
  </si>
  <si>
    <t>Communication for nurses : talking with patients / Lisa Kennedy Sheldon.</t>
  </si>
  <si>
    <t>Sheldon, Lisa Kennedy.</t>
  </si>
  <si>
    <t>Boston : Jones and Bartlett, c2005.</t>
  </si>
  <si>
    <t>2010-09-15</t>
  </si>
  <si>
    <t>2006-04-20</t>
  </si>
  <si>
    <t>197057852:eng</t>
  </si>
  <si>
    <t>57937093</t>
  </si>
  <si>
    <t>991000475939702656</t>
  </si>
  <si>
    <t>2258867070002656</t>
  </si>
  <si>
    <t>9780763735968</t>
  </si>
  <si>
    <t>30001004914356</t>
  </si>
  <si>
    <t>893733017</t>
  </si>
  <si>
    <t>WY 87 S545 1978</t>
  </si>
  <si>
    <t>0                      WY 0087000S  545         1978</t>
  </si>
  <si>
    <t>Spiritual care workbook : a companion to Spiritual care: the nurse's role / Judith Allen Shelly.</t>
  </si>
  <si>
    <t>Downers Grove, IL : InterVarsity Press, c1978.</t>
  </si>
  <si>
    <t>1998-06-29</t>
  </si>
  <si>
    <t>3373477814:eng</t>
  </si>
  <si>
    <t>3856808</t>
  </si>
  <si>
    <t>991001152309702656</t>
  </si>
  <si>
    <t>2266583400002656</t>
  </si>
  <si>
    <t>9780877845072</t>
  </si>
  <si>
    <t>30001000296717</t>
  </si>
  <si>
    <t>893831949</t>
  </si>
  <si>
    <t>WY 87 S592n 1978</t>
  </si>
  <si>
    <t>0                      WY 0087000S  592n        1978</t>
  </si>
  <si>
    <t>The nurse person : developing perspectives for contemporary nursing / Lillian M. Simms, Janice B. Lindberg ; contributors, Harold W. Gold, Carol J. Schaupner.</t>
  </si>
  <si>
    <t>Simms, Lillian M. (Lillian Margaret)</t>
  </si>
  <si>
    <t>New York : Harper &amp; Row, c1978.</t>
  </si>
  <si>
    <t>1988-03-20</t>
  </si>
  <si>
    <t>9310769:eng</t>
  </si>
  <si>
    <t>3275416</t>
  </si>
  <si>
    <t>991001152349702656</t>
  </si>
  <si>
    <t>2255564570002656</t>
  </si>
  <si>
    <t>9780060462161</t>
  </si>
  <si>
    <t>30001000296725</t>
  </si>
  <si>
    <t>893820992</t>
  </si>
  <si>
    <t>WY 87 S661c 1992</t>
  </si>
  <si>
    <t>0                      WY 0087000S  661c        1992</t>
  </si>
  <si>
    <t>Communications in nursing : communicating assertively and responsibly in nursing : a guidebook / Susan Smith.</t>
  </si>
  <si>
    <t>Smith, Susan, 1946-</t>
  </si>
  <si>
    <t>St. Louis : Mosby Year Book, c1992.</t>
  </si>
  <si>
    <t>1993-03-25</t>
  </si>
  <si>
    <t>11728864:eng</t>
  </si>
  <si>
    <t>24319409</t>
  </si>
  <si>
    <t>991001471499702656</t>
  </si>
  <si>
    <t>2272111960002656</t>
  </si>
  <si>
    <t>9780801663574</t>
  </si>
  <si>
    <t>30001002563114</t>
  </si>
  <si>
    <t>893826781</t>
  </si>
  <si>
    <t>WY 87 S75951 2008</t>
  </si>
  <si>
    <t>0                      WY 0087000S  75951       2008</t>
  </si>
  <si>
    <t>Spiritual dimensions of nursing practice / edited by Verna Benner Carson and Harold G. Koenig.</t>
  </si>
  <si>
    <t>West Conshohocken, Pa. : Templeton Foundation Press, c2008.</t>
  </si>
  <si>
    <t>2009-05-29</t>
  </si>
  <si>
    <t>1258946536:eng</t>
  </si>
  <si>
    <t>225389320</t>
  </si>
  <si>
    <t>991001466789702656</t>
  </si>
  <si>
    <t>2260134320002656</t>
  </si>
  <si>
    <t>9781599471457</t>
  </si>
  <si>
    <t>30001004916971</t>
  </si>
  <si>
    <t>893541431</t>
  </si>
  <si>
    <t>WY 87 S796h 1975</t>
  </si>
  <si>
    <t>0                      WY 0087000S  796h        1975</t>
  </si>
  <si>
    <t>Human development and behavior : psychology in nursing / Bernard D. Starr, Harris S. Goldstein ; with a foreword by Anne J. Doyle.</t>
  </si>
  <si>
    <t>Starr, Bernard D.</t>
  </si>
  <si>
    <t>New York : Springer, c1975.</t>
  </si>
  <si>
    <t>1991-06-24</t>
  </si>
  <si>
    <t>360345589:eng</t>
  </si>
  <si>
    <t>1169799</t>
  </si>
  <si>
    <t>991001152379702656</t>
  </si>
  <si>
    <t>2266533320002656</t>
  </si>
  <si>
    <t>9780826115508</t>
  </si>
  <si>
    <t>30001000296733</t>
  </si>
  <si>
    <t>893268144</t>
  </si>
  <si>
    <t>WY 87 S811p 1982</t>
  </si>
  <si>
    <t>0                      WY 0087000S  811p        1982</t>
  </si>
  <si>
    <t>Patient contracting / Susan Boehm Steckel.</t>
  </si>
  <si>
    <t>Steckel, Susan Boehm.</t>
  </si>
  <si>
    <t>1995-11-02</t>
  </si>
  <si>
    <t>503052:eng</t>
  </si>
  <si>
    <t>8110656</t>
  </si>
  <si>
    <t>991001152419702656</t>
  </si>
  <si>
    <t>2255785930002656</t>
  </si>
  <si>
    <t>9780838577684</t>
  </si>
  <si>
    <t>30001000296741</t>
  </si>
  <si>
    <t>893369146</t>
  </si>
  <si>
    <t>WY 87 S814c 1981</t>
  </si>
  <si>
    <t>0                      WY 0087000S  814c        1981</t>
  </si>
  <si>
    <t>Creativity in nursing (and other professions) / Shirley M. Steele and Frank L. Maraviglia.</t>
  </si>
  <si>
    <t>1991-09-21</t>
  </si>
  <si>
    <t>558417:eng</t>
  </si>
  <si>
    <t>7647168</t>
  </si>
  <si>
    <t>991001152449702656</t>
  </si>
  <si>
    <t>2265615490002656</t>
  </si>
  <si>
    <t>9780913590737</t>
  </si>
  <si>
    <t>30001000296758</t>
  </si>
  <si>
    <t>893541063</t>
  </si>
  <si>
    <t>WY87 T4615L 2002</t>
  </si>
  <si>
    <t>0                      WY 0087000T  4615L       2002</t>
  </si>
  <si>
    <t>Listening to patients : a phenomenological approach to nursing research and practice / Sandra P. Thomas, Howard R. Pollio.</t>
  </si>
  <si>
    <t>Thomas, Sandra P.</t>
  </si>
  <si>
    <t>New York : Springer Pub. Co., c2002.</t>
  </si>
  <si>
    <t>2002-04-22</t>
  </si>
  <si>
    <t>794238562:eng</t>
  </si>
  <si>
    <t>46928686</t>
  </si>
  <si>
    <t>991000308449702656</t>
  </si>
  <si>
    <t>2263414520002656</t>
  </si>
  <si>
    <t>9780826114662</t>
  </si>
  <si>
    <t>30001004237469</t>
  </si>
  <si>
    <t>893832754</t>
  </si>
  <si>
    <t>WY 87 T7715 1991</t>
  </si>
  <si>
    <t>0                      WY 0087000T  7715        1991</t>
  </si>
  <si>
    <t>Transcultural nursing : assessment and intervention / [edited by] Joyce Newman Giger, Ruth Elaine Davidhizar.</t>
  </si>
  <si>
    <t>St. Louis : Mosby, c1991.</t>
  </si>
  <si>
    <t>1999-11-09</t>
  </si>
  <si>
    <t>1990-11-28</t>
  </si>
  <si>
    <t>836955562:eng</t>
  </si>
  <si>
    <t>21558701</t>
  </si>
  <si>
    <t>991000781179702656</t>
  </si>
  <si>
    <t>2271179290002656</t>
  </si>
  <si>
    <t>9780801619281</t>
  </si>
  <si>
    <t>30001002064634</t>
  </si>
  <si>
    <t>893637443</t>
  </si>
  <si>
    <t>WY 87 T779i 1971</t>
  </si>
  <si>
    <t>0                      WY 0087000T  779i        1971</t>
  </si>
  <si>
    <t>Interpersonal aspects of nursing.</t>
  </si>
  <si>
    <t>Travelbee, Joyce.</t>
  </si>
  <si>
    <t>Philadelphia, PA : F.A. Davis Co., 1971.</t>
  </si>
  <si>
    <t>2010-08-19</t>
  </si>
  <si>
    <t>1193395:eng</t>
  </si>
  <si>
    <t>157323</t>
  </si>
  <si>
    <t>991001152549702656</t>
  </si>
  <si>
    <t>2256092970002656</t>
  </si>
  <si>
    <t>9780803686014</t>
  </si>
  <si>
    <t>30001000296782</t>
  </si>
  <si>
    <t>893465236</t>
  </si>
  <si>
    <t>WY 87 U33n 1963</t>
  </si>
  <si>
    <t>0                      WY 0087000U  33n         1963</t>
  </si>
  <si>
    <t>The nurse and her problem patients.</t>
  </si>
  <si>
    <t>Ujhely, Gertrud B. (Gertrud Bertrand)</t>
  </si>
  <si>
    <t>New York, NY : Springer Pub. Co. 1963.</t>
  </si>
  <si>
    <t>1376284:eng</t>
  </si>
  <si>
    <t>312815</t>
  </si>
  <si>
    <t>991001152589702656</t>
  </si>
  <si>
    <t>2271226140002656</t>
  </si>
  <si>
    <t>30001000296790</t>
  </si>
  <si>
    <t>893552189</t>
  </si>
  <si>
    <t>WY87 W951s 2005</t>
  </si>
  <si>
    <t>0                      WY 0087000W  951s        2005</t>
  </si>
  <si>
    <t>Spirituality, suffering, and illness : ideas for healing / Lorraine M. Wright.</t>
  </si>
  <si>
    <t>Wright, Lorraine M., 1944-</t>
  </si>
  <si>
    <t>Philadelphia : F.A. Davis Co., c2005.</t>
  </si>
  <si>
    <t>2009-06-04</t>
  </si>
  <si>
    <t>2006-02-09</t>
  </si>
  <si>
    <t>802034306:eng</t>
  </si>
  <si>
    <t>55494911</t>
  </si>
  <si>
    <t>991000463679702656</t>
  </si>
  <si>
    <t>2263651490002656</t>
  </si>
  <si>
    <t>9780803611719</t>
  </si>
  <si>
    <t>30001004912772</t>
  </si>
  <si>
    <t>893817118</t>
  </si>
  <si>
    <t>WY 90 P977n 1997</t>
  </si>
  <si>
    <t>0                      WY 0090000P  977n        1997</t>
  </si>
  <si>
    <t>The nurse consultant's handbook / Belinda Puetz, Linda J. Shinn.</t>
  </si>
  <si>
    <t>New York, NY : Springer Pub. Co., c1997.</t>
  </si>
  <si>
    <t>1998-09-30</t>
  </si>
  <si>
    <t>968387:eng</t>
  </si>
  <si>
    <t>35741782</t>
  </si>
  <si>
    <t>991001569219702656</t>
  </si>
  <si>
    <t>2260231220002656</t>
  </si>
  <si>
    <t>9780826195203</t>
  </si>
  <si>
    <t>30001004090512</t>
  </si>
  <si>
    <t>893541518</t>
  </si>
  <si>
    <t>WY 100 A227 1983</t>
  </si>
  <si>
    <t>0                      WY 0100000A  227         1983</t>
  </si>
  <si>
    <t>The Addison-Wesley manual of nursing practice / Dolores F. Saxton ... [et al.].</t>
  </si>
  <si>
    <t>Menlo Park, Calif. : Addison-Wesley Pub. Co., c1983.</t>
  </si>
  <si>
    <t>1990-10-25</t>
  </si>
  <si>
    <t>54571176:eng</t>
  </si>
  <si>
    <t>9465145</t>
  </si>
  <si>
    <t>991001152669702656</t>
  </si>
  <si>
    <t>2264665120002656</t>
  </si>
  <si>
    <t>9780201071450</t>
  </si>
  <si>
    <t>30001000296816</t>
  </si>
  <si>
    <t>893358275</t>
  </si>
  <si>
    <t>WY 100 A2443 1986</t>
  </si>
  <si>
    <t>0                      WY 0100000A  2443        1986</t>
  </si>
  <si>
    <t>Adult health nursing : a biopsychosocial approach / [edited by] Carol Ren Kneisl, SueAnn Wooster Ames.</t>
  </si>
  <si>
    <t>Reading, Mass. : Addison-Wesley, c1986.</t>
  </si>
  <si>
    <t>1991-09-05</t>
  </si>
  <si>
    <t>836623418:eng</t>
  </si>
  <si>
    <t>13269354</t>
  </si>
  <si>
    <t>991000738319702656</t>
  </si>
  <si>
    <t>2259123670002656</t>
  </si>
  <si>
    <t>9780201126501</t>
  </si>
  <si>
    <t>30001000042467</t>
  </si>
  <si>
    <t>893735451</t>
  </si>
  <si>
    <t>WY 100 A385a 1998</t>
  </si>
  <si>
    <t>0                      WY 0100000A  385a        1998</t>
  </si>
  <si>
    <t>Applying nursing process : a step-by-step guide / Rosalinda Alfaro-LeFevre.</t>
  </si>
  <si>
    <t>Alfaro-LeFevre, Rosalinda.</t>
  </si>
  <si>
    <t>Philadelphia : Lippincott-Raven, c1998.</t>
  </si>
  <si>
    <t>2754331543:eng</t>
  </si>
  <si>
    <t>37116372</t>
  </si>
  <si>
    <t>991000783949702656</t>
  </si>
  <si>
    <t>2265187710002656</t>
  </si>
  <si>
    <t>9780397554539</t>
  </si>
  <si>
    <t>30001004071140</t>
  </si>
  <si>
    <t>893834321</t>
  </si>
  <si>
    <t>WY 100 A385c 1995</t>
  </si>
  <si>
    <t>0                      WY 0100000A  385c        1995</t>
  </si>
  <si>
    <t>Critical thinking in nursing : a practical approach / Rosalinda Alfaro-LeFevre.</t>
  </si>
  <si>
    <t>Philadelphia : Saunders, c1995.</t>
  </si>
  <si>
    <t>2007-10-14</t>
  </si>
  <si>
    <t>1996-09-10</t>
  </si>
  <si>
    <t>3943864725:eng</t>
  </si>
  <si>
    <t>31604972</t>
  </si>
  <si>
    <t>991001769219702656</t>
  </si>
  <si>
    <t>2266048290002656</t>
  </si>
  <si>
    <t>9780721658971</t>
  </si>
  <si>
    <t>30001003441781</t>
  </si>
  <si>
    <t>893369975</t>
  </si>
  <si>
    <t>WY 100 A512na 1987</t>
  </si>
  <si>
    <t>0                      WY 0100000A  512na       1987</t>
  </si>
  <si>
    <t>The Nursing center : concept &amp; design.</t>
  </si>
  <si>
    <t>Kansas City, MO (2420 Pershing Rd., Kansas City 64108) : American Nurses' Association, c1987.</t>
  </si>
  <si>
    <t>ANA pub ; no. CH-17</t>
  </si>
  <si>
    <t>1994-02-04</t>
  </si>
  <si>
    <t>13014271:eng</t>
  </si>
  <si>
    <t>19876420</t>
  </si>
  <si>
    <t>991001415119702656</t>
  </si>
  <si>
    <t>2268810100002656</t>
  </si>
  <si>
    <t>30001001180241</t>
  </si>
  <si>
    <t>893541385</t>
  </si>
  <si>
    <t>WY 100 A841d 1981</t>
  </si>
  <si>
    <t>0                      WY 0100000A  841d        1981</t>
  </si>
  <si>
    <t>Decision making for patient care : applying the nursing process / Mary Jo Aspinall and Christine A. Tanner ; with a contribution by Dennis G. Fryback.</t>
  </si>
  <si>
    <t>Aspinall, Mary Jo.</t>
  </si>
  <si>
    <t>1991-04-08</t>
  </si>
  <si>
    <t>26377512:eng</t>
  </si>
  <si>
    <t>7282195</t>
  </si>
  <si>
    <t>991001152849702656</t>
  </si>
  <si>
    <t>2257870060002656</t>
  </si>
  <si>
    <t>9780838524817</t>
  </si>
  <si>
    <t>30001000296949</t>
  </si>
  <si>
    <t>893826494</t>
  </si>
  <si>
    <t>WY 100 A846 1980</t>
  </si>
  <si>
    <t>0                      WY 0100000A  846         1980</t>
  </si>
  <si>
    <t>Assessing your patients.</t>
  </si>
  <si>
    <t>Horsham, Pa. : Intermed Communications, c1980.</t>
  </si>
  <si>
    <t>Nursing photobook</t>
  </si>
  <si>
    <t>5617575038:eng</t>
  </si>
  <si>
    <t>6484993</t>
  </si>
  <si>
    <t>991001152889702656</t>
  </si>
  <si>
    <t>2272716710002656</t>
  </si>
  <si>
    <t>9780916730246</t>
  </si>
  <si>
    <t>30001000296956</t>
  </si>
  <si>
    <t>893632767</t>
  </si>
  <si>
    <t>WY 100 A8465 1982</t>
  </si>
  <si>
    <t>0                      WY 0100000A  8465        1982</t>
  </si>
  <si>
    <t>Assessment.</t>
  </si>
  <si>
    <t>Springhouse, Pa. : Intermed Communications, c1982.</t>
  </si>
  <si>
    <t>The Nurse's reference library</t>
  </si>
  <si>
    <t>1996-01-23</t>
  </si>
  <si>
    <t>3133834552:eng</t>
  </si>
  <si>
    <t>8554175</t>
  </si>
  <si>
    <t>991000738359702656</t>
  </si>
  <si>
    <t>2263149890002656</t>
  </si>
  <si>
    <t>9780916730390</t>
  </si>
  <si>
    <t>30001000042475</t>
  </si>
  <si>
    <t>893120094</t>
  </si>
  <si>
    <t>WY 100 A876u 1990</t>
  </si>
  <si>
    <t>0                      WY 0100000A  876u        1990</t>
  </si>
  <si>
    <t>Understanding the nursing process : fundamentals of care planning / Leslie D. Atkinson and Mary Ellen Murray ; illustrated by Mark Atkinson.</t>
  </si>
  <si>
    <t>New York : Pergamon Press, c1990.</t>
  </si>
  <si>
    <t>20826522</t>
  </si>
  <si>
    <t>991000817669702656</t>
  </si>
  <si>
    <t>2270231460002656</t>
  </si>
  <si>
    <t>9780080402994</t>
  </si>
  <si>
    <t>30001002086793</t>
  </si>
  <si>
    <t>893726925</t>
  </si>
  <si>
    <t>WY 100 A928d 1984</t>
  </si>
  <si>
    <t>0                      WY 0100000A  928d        1984</t>
  </si>
  <si>
    <t>Dosage calculation : method and workbook.</t>
  </si>
  <si>
    <t>Aurigemma, Ann.</t>
  </si>
  <si>
    <t>2nd ed. / Ann Aurigemma, Barbara J. Bohny.</t>
  </si>
  <si>
    <t>National League for Nursing : Pub. no. 20-1966.</t>
  </si>
  <si>
    <t>5813635:eng</t>
  </si>
  <si>
    <t>12941367</t>
  </si>
  <si>
    <t>991001152919702656</t>
  </si>
  <si>
    <t>2260132170002656</t>
  </si>
  <si>
    <t>9780887371165</t>
  </si>
  <si>
    <t>30001000296972</t>
  </si>
  <si>
    <t>893736274</t>
  </si>
  <si>
    <t>WY 100 B263n 1994</t>
  </si>
  <si>
    <t>0                      WY 0100000B  263n        1994</t>
  </si>
  <si>
    <t>Nursing theory : analysis, application, evaluation / Barbara J. Stevens Barnum.</t>
  </si>
  <si>
    <t>Philadelphia, PA : Lippincott, c1994.</t>
  </si>
  <si>
    <t>1996-10-18</t>
  </si>
  <si>
    <t>1993-10-14</t>
  </si>
  <si>
    <t>27385658</t>
  </si>
  <si>
    <t>991001487159702656</t>
  </si>
  <si>
    <t>2260347380002656</t>
  </si>
  <si>
    <t>9780397549429</t>
  </si>
  <si>
    <t>30001002579540</t>
  </si>
  <si>
    <t>893279157</t>
  </si>
  <si>
    <t>WY100 B3117 2003</t>
  </si>
  <si>
    <t>0                      WY 0100000B  3117        2003</t>
  </si>
  <si>
    <t>Basic nursing : essentials for practice / [edited by] Patricia A. Potter, Anne Griffin Perry.</t>
  </si>
  <si>
    <t>St. Louis, Mo. : Mosby, c2003.</t>
  </si>
  <si>
    <t>2003-02-07</t>
  </si>
  <si>
    <t>2003-02-03</t>
  </si>
  <si>
    <t>3901309121:eng</t>
  </si>
  <si>
    <t>49250137</t>
  </si>
  <si>
    <t>991001719749702656</t>
  </si>
  <si>
    <t>2271857570002656</t>
  </si>
  <si>
    <t>9780323016605</t>
  </si>
  <si>
    <t>30001004501500</t>
  </si>
  <si>
    <t>893279353</t>
  </si>
  <si>
    <t>WY100 B463f 1977</t>
  </si>
  <si>
    <t>0                      WY 0100000B  463f        1977</t>
  </si>
  <si>
    <t>From nursing audit to multidisciplinary audit / Helen Benedikter.</t>
  </si>
  <si>
    <t>Benedikter, Helen.</t>
  </si>
  <si>
    <t>NLN pub. no. 20-1673</t>
  </si>
  <si>
    <t>9456492:eng</t>
  </si>
  <si>
    <t>3238025</t>
  </si>
  <si>
    <t>991001384829702656</t>
  </si>
  <si>
    <t>2257401450002656</t>
  </si>
  <si>
    <t>30001000463515</t>
  </si>
  <si>
    <t>893821161</t>
  </si>
  <si>
    <t>WY 100 B599m 1987</t>
  </si>
  <si>
    <t>0                      WY 0100000B  599m        1987</t>
  </si>
  <si>
    <t>Medical-surgical nursing : common health problems of adults and children across the life span / Diane McGovern Billings, Lillian Gatlin Stokes.</t>
  </si>
  <si>
    <t>1994-02-15</t>
  </si>
  <si>
    <t>7534611:eng</t>
  </si>
  <si>
    <t>14130739</t>
  </si>
  <si>
    <t>991001153099702656</t>
  </si>
  <si>
    <t>2271715430002656</t>
  </si>
  <si>
    <t>9780801605925</t>
  </si>
  <si>
    <t>30001000297046</t>
  </si>
  <si>
    <t>893541064</t>
  </si>
  <si>
    <t>WY 100 B622n 1991</t>
  </si>
  <si>
    <t>0                      WY 0100000B  622n        1991</t>
  </si>
  <si>
    <t>Nursing : the practice of caring / Anne H. Bishop and John R. Scudder, Jr.</t>
  </si>
  <si>
    <t>NLN pub. no. 14-2442.</t>
  </si>
  <si>
    <t>5975984:eng</t>
  </si>
  <si>
    <t>2772672</t>
  </si>
  <si>
    <t>991000230669702656</t>
  </si>
  <si>
    <t>2262651270002656</t>
  </si>
  <si>
    <t>9780887375378</t>
  </si>
  <si>
    <t>30001002276360</t>
  </si>
  <si>
    <t>893122409</t>
  </si>
  <si>
    <t>WY 100 B651h 1986</t>
  </si>
  <si>
    <t>0                      WY 0100000B  651h        1986</t>
  </si>
  <si>
    <t>Health assessment for professional nursing : a developmental approach / Gloria J. Block, JoEllen W. Nolan ; with the contributions of Mary K. Dempsey-Noreika ... [et al.].</t>
  </si>
  <si>
    <t>Block, Gloria J., 1952-</t>
  </si>
  <si>
    <t>East Norwalk, Conn. : Appleton-Century-Crofts, c1986.</t>
  </si>
  <si>
    <t>1988-03-15</t>
  </si>
  <si>
    <t>5708852:eng</t>
  </si>
  <si>
    <t>13126308</t>
  </si>
  <si>
    <t>991000923179702656</t>
  </si>
  <si>
    <t>2256201150002656</t>
  </si>
  <si>
    <t>9780838536612</t>
  </si>
  <si>
    <t>30001000850216</t>
  </si>
  <si>
    <t>893651807</t>
  </si>
  <si>
    <t>WY 100 B791 1975</t>
  </si>
  <si>
    <t>0                      WY 0100000B  791         1975</t>
  </si>
  <si>
    <t>Nutrition in nursing / Lorraine Stith Boykin ; ill. by Robert Dexter.</t>
  </si>
  <si>
    <t>Boykin-Stith, Lorraine.</t>
  </si>
  <si>
    <t>-- Flushing, N.Y. : Medical Examination Pub. Co., c1975.</t>
  </si>
  <si>
    <t>Nursing outline series</t>
  </si>
  <si>
    <t>1990-02-02</t>
  </si>
  <si>
    <t>3943276844:eng</t>
  </si>
  <si>
    <t>1322160</t>
  </si>
  <si>
    <t>991001153199702656</t>
  </si>
  <si>
    <t>2255009100002656</t>
  </si>
  <si>
    <t>9780874883756</t>
  </si>
  <si>
    <t>30001000297087</t>
  </si>
  <si>
    <t>893465237</t>
  </si>
  <si>
    <t>WY 100 B838d 1987</t>
  </si>
  <si>
    <t>0                      WY 0100000B  838d        1987</t>
  </si>
  <si>
    <t>Diagnostic tests and procedures : applying the nursing process / Zara Brenner.</t>
  </si>
  <si>
    <t>Brenner, Zara.</t>
  </si>
  <si>
    <t>Norwalk, Conn. : Appleton &amp; Lange, c1987.</t>
  </si>
  <si>
    <t>10130390:eng</t>
  </si>
  <si>
    <t>15518025</t>
  </si>
  <si>
    <t>991001535879702656</t>
  </si>
  <si>
    <t>2265171100002656</t>
  </si>
  <si>
    <t>9780838515945</t>
  </si>
  <si>
    <t>30001000622870</t>
  </si>
  <si>
    <t>893638420</t>
  </si>
  <si>
    <t>WY 100 B932 1974</t>
  </si>
  <si>
    <t>0                      WY 0100000B  932         1974</t>
  </si>
  <si>
    <t>Building for the future.</t>
  </si>
  <si>
    <t>[Kansas City, Mo.] : American Nurses' Association, c1975.</t>
  </si>
  <si>
    <t>ANA pub ; no. NP-47</t>
  </si>
  <si>
    <t>1991-07-23</t>
  </si>
  <si>
    <t>54091378:eng</t>
  </si>
  <si>
    <t>1898814</t>
  </si>
  <si>
    <t>991001521679702656</t>
  </si>
  <si>
    <t>2264243900002656</t>
  </si>
  <si>
    <t>30001000603003</t>
  </si>
  <si>
    <t>893652056</t>
  </si>
  <si>
    <t>WY 100 B967h 1980</t>
  </si>
  <si>
    <t>0                      WY 0100000B  967h        1980</t>
  </si>
  <si>
    <t>Health assessment in clinical practice / Kenneth R. Burns, Patricia J. Johnson.</t>
  </si>
  <si>
    <t>Burns, Kenneth R.</t>
  </si>
  <si>
    <t>Englewood Cliffs, N. J. : Prentice-Hall, c1980.</t>
  </si>
  <si>
    <t>1988-04-29</t>
  </si>
  <si>
    <t>411070:eng</t>
  </si>
  <si>
    <t>6088403</t>
  </si>
  <si>
    <t>991001145919702656</t>
  </si>
  <si>
    <t>2256068110002656</t>
  </si>
  <si>
    <t>9780133850543</t>
  </si>
  <si>
    <t>30001000292120</t>
  </si>
  <si>
    <t>893284457</t>
  </si>
  <si>
    <t>WY 100 C212 1988</t>
  </si>
  <si>
    <t>0                      WY 0100000C  212         1988</t>
  </si>
  <si>
    <t>Canadian nursing faces the future : development and change / edited by Alice Baumgart and Jenniece Larsen.</t>
  </si>
  <si>
    <t>St. Louis, Mo. ; Toronto : Mosby, c1988.</t>
  </si>
  <si>
    <t>1996-03-04</t>
  </si>
  <si>
    <t>1991-03-15</t>
  </si>
  <si>
    <t>894493410:eng</t>
  </si>
  <si>
    <t>17768464</t>
  </si>
  <si>
    <t>991000825839702656</t>
  </si>
  <si>
    <t>2258966520002656</t>
  </si>
  <si>
    <t>9780801605277</t>
  </si>
  <si>
    <t>30001002088633</t>
  </si>
  <si>
    <t>893540661</t>
  </si>
  <si>
    <t>WY100 C294n 1999</t>
  </si>
  <si>
    <t>0                      WY 0100000C  294n        1999</t>
  </si>
  <si>
    <t>Nursing care plans &amp; documentation : nursing diagnoses and collaborative problems / Lynda Juall Carpenito.</t>
  </si>
  <si>
    <t>2002-10-10</t>
  </si>
  <si>
    <t>8101607:eng</t>
  </si>
  <si>
    <t>39982677</t>
  </si>
  <si>
    <t>991000319509702656</t>
  </si>
  <si>
    <t>2258043470002656</t>
  </si>
  <si>
    <t>9780781717427</t>
  </si>
  <si>
    <t>30001004239580</t>
  </si>
  <si>
    <t>893122971</t>
  </si>
  <si>
    <t>WY 100 C294n 2004</t>
  </si>
  <si>
    <t>0                      WY 0100000C  294n        2004</t>
  </si>
  <si>
    <t>Nursing care plans &amp; documentation : nursing diagnoses and collaborative problems / Lynda Juall Carpenito-Moyet.</t>
  </si>
  <si>
    <t>2004-09-09</t>
  </si>
  <si>
    <t>2004-09-08</t>
  </si>
  <si>
    <t>52041446</t>
  </si>
  <si>
    <t>991000384919702656</t>
  </si>
  <si>
    <t>2258799080002656</t>
  </si>
  <si>
    <t>9780781739061</t>
  </si>
  <si>
    <t>30001004506848</t>
  </si>
  <si>
    <t>893370439</t>
  </si>
  <si>
    <t>WY 100 C319 1983</t>
  </si>
  <si>
    <t>0                      WY 0100000C  319         1983</t>
  </si>
  <si>
    <t>Carrying out special procedures.</t>
  </si>
  <si>
    <t>Springhouse, Pa. : Intermed Communications, c1983.</t>
  </si>
  <si>
    <t>54548144:eng</t>
  </si>
  <si>
    <t>9155145</t>
  </si>
  <si>
    <t>991001145999702656</t>
  </si>
  <si>
    <t>2266253110002656</t>
  </si>
  <si>
    <t>9780916730451</t>
  </si>
  <si>
    <t>30001000292153</t>
  </si>
  <si>
    <t>893831942</t>
  </si>
  <si>
    <t>WY100 C337 1996</t>
  </si>
  <si>
    <t>0                      WY 0100000C  337         1996</t>
  </si>
  <si>
    <t>Case studies in nursing case management : health care delivery in a world of managed care / Suzanne Smith Blancett, Dominick L. Flarey.</t>
  </si>
  <si>
    <t>Gaithersburg, Md. : Aspen Publishers, c1996.</t>
  </si>
  <si>
    <t>2004-03-19</t>
  </si>
  <si>
    <t>1996-05-21</t>
  </si>
  <si>
    <t>474780638:eng</t>
  </si>
  <si>
    <t>33949723</t>
  </si>
  <si>
    <t>991001506909702656</t>
  </si>
  <si>
    <t>2263528700002656</t>
  </si>
  <si>
    <t>9780834207899</t>
  </si>
  <si>
    <t>30001003264720</t>
  </si>
  <si>
    <t>893541461</t>
  </si>
  <si>
    <t>WY 100 C437 1968</t>
  </si>
  <si>
    <t>0                      WY 0100000C  437         1968</t>
  </si>
  <si>
    <t>The challenge of changing patterns : report of the first conference of the Western Region Committee on Community Nursing Service, San Mateo, California, March 22-23, 1968.</t>
  </si>
  <si>
    <t>San Francisco : National League for Nursing, 1968.</t>
  </si>
  <si>
    <t>NLN pub. no. 54-1326</t>
  </si>
  <si>
    <t>1131648:eng</t>
  </si>
  <si>
    <t>8434</t>
  </si>
  <si>
    <t>991001517709702656</t>
  </si>
  <si>
    <t>2256563530002656</t>
  </si>
  <si>
    <t>30001000600280</t>
  </si>
  <si>
    <t>893832278</t>
  </si>
  <si>
    <t>WY100 C457 1999</t>
  </si>
  <si>
    <t>0                      WY 0100000C  457         1999</t>
  </si>
  <si>
    <t>The changing nature of nursing in a managerial age / edited by Ian J. Norman and Sarah Cowley.</t>
  </si>
  <si>
    <t>Oxford ; Malden, MA : Blackwell Science, 1999.</t>
  </si>
  <si>
    <t>416526826:eng</t>
  </si>
  <si>
    <t>40862065</t>
  </si>
  <si>
    <t>991000321019702656</t>
  </si>
  <si>
    <t>2272129910002656</t>
  </si>
  <si>
    <t>9780632042524</t>
  </si>
  <si>
    <t>30001004442572</t>
  </si>
  <si>
    <t>893274958</t>
  </si>
  <si>
    <t>WY 100 C614 1978-1980c</t>
  </si>
  <si>
    <t>0                      WY 0100000C  614         1978                                        -1980c</t>
  </si>
  <si>
    <t>Classification of nursing diagnoses : proceedings of the third and fourth national conferences / edited by Mi Ja Kim, Derry Ann Moritz.</t>
  </si>
  <si>
    <t>New York : McGraw-Hill, c1982.</t>
  </si>
  <si>
    <t>1991-03-28</t>
  </si>
  <si>
    <t>1989-03-27</t>
  </si>
  <si>
    <t>28557636:eng</t>
  </si>
  <si>
    <t>7653697</t>
  </si>
  <si>
    <t>991001242769702656</t>
  </si>
  <si>
    <t>2255056980002656</t>
  </si>
  <si>
    <t>9780070345478</t>
  </si>
  <si>
    <t>30001001676107</t>
  </si>
  <si>
    <t>893821064</t>
  </si>
  <si>
    <t>WY 100 C614 1984</t>
  </si>
  <si>
    <t>0                      WY 0100000C  614         1984</t>
  </si>
  <si>
    <t>Classification of nursing diagnoses : proceedings of the sixth conference / North American Nursing Diagnosis Association ; edited by Mary E. Hurley.</t>
  </si>
  <si>
    <t>2008-02-04</t>
  </si>
  <si>
    <t>902254918:eng</t>
  </si>
  <si>
    <t>13007046</t>
  </si>
  <si>
    <t>991001242809702656</t>
  </si>
  <si>
    <t>2256717810002656</t>
  </si>
  <si>
    <t>9780801637667</t>
  </si>
  <si>
    <t>30001001676123</t>
  </si>
  <si>
    <t>893134369</t>
  </si>
  <si>
    <t>WY 100 C614 1986</t>
  </si>
  <si>
    <t>0                      WY 0100000C  614         1986</t>
  </si>
  <si>
    <t>Classification of nursing diagnoses : proceedings of the seventh conference / North American Nursing Diagnosis Association ; edited by Audrey M. McLane.</t>
  </si>
  <si>
    <t>15281880</t>
  </si>
  <si>
    <t>991001532459702656</t>
  </si>
  <si>
    <t>2266347540002656</t>
  </si>
  <si>
    <t>9780801638473</t>
  </si>
  <si>
    <t>30001000621971</t>
  </si>
  <si>
    <t>893558075</t>
  </si>
  <si>
    <t>WY 100 C614 1990</t>
  </si>
  <si>
    <t>0                      WY 0100000C  614         1990</t>
  </si>
  <si>
    <t>Classification of nursing diagnoses : proceedings of the ninth conference / North American Nursing Diagnosis Association ; edited by Rose Mary Carroll-Johnson.</t>
  </si>
  <si>
    <t>Philadelphia : J.B. Lippincott, c1991.</t>
  </si>
  <si>
    <t>1994-10-30</t>
  </si>
  <si>
    <t>1993-09-15</t>
  </si>
  <si>
    <t>9592882015:eng</t>
  </si>
  <si>
    <t>23651841</t>
  </si>
  <si>
    <t>991001485429702656</t>
  </si>
  <si>
    <t>2262841250002656</t>
  </si>
  <si>
    <t>9780397548125</t>
  </si>
  <si>
    <t>30001002579102</t>
  </si>
  <si>
    <t>893279155</t>
  </si>
  <si>
    <t>WY 100 C614 1992</t>
  </si>
  <si>
    <t>0                      WY 0100000C  614         1992</t>
  </si>
  <si>
    <t>Classification of nursing diagnoses : proceedings of the tenth conference / North American Nursing Diagnosis Association ; edited by Rose Mary Carroll-Johnson, Mary Paquette.</t>
  </si>
  <si>
    <t>Philadelphia : Lippincott, c1994.</t>
  </si>
  <si>
    <t>1996-11-06</t>
  </si>
  <si>
    <t>1994-06-14</t>
  </si>
  <si>
    <t>9593519766:eng</t>
  </si>
  <si>
    <t>29225707</t>
  </si>
  <si>
    <t>991000670139702656</t>
  </si>
  <si>
    <t>2266186580002656</t>
  </si>
  <si>
    <t>9780397550111</t>
  </si>
  <si>
    <t>30001002695858</t>
  </si>
  <si>
    <t>893739915</t>
  </si>
  <si>
    <t>WY 100 C6145 1989</t>
  </si>
  <si>
    <t>0                      WY 0100000C  6145        1989</t>
  </si>
  <si>
    <t>Classification systems for describing nursing practice : working papers.</t>
  </si>
  <si>
    <t>Kansas City, Mo. (2420 Pershing Rd., Kansas City, 64106) : American Nurses' Association, c1989.</t>
  </si>
  <si>
    <t>ANA NP-74</t>
  </si>
  <si>
    <t>927523448:eng</t>
  </si>
  <si>
    <t>20031535</t>
  </si>
  <si>
    <t>991000218169702656</t>
  </si>
  <si>
    <t>2256667460002656</t>
  </si>
  <si>
    <t>9781558100329</t>
  </si>
  <si>
    <t>30001003146661</t>
  </si>
  <si>
    <t>893723176</t>
  </si>
  <si>
    <t>WY 100 C6402 1989</t>
  </si>
  <si>
    <t>0                      WY 0100000C  6402        1989</t>
  </si>
  <si>
    <t>Clinical assessment tools for use with nursing diagnoses / Cathie E. Guzzetta ... [et al.].</t>
  </si>
  <si>
    <t>St. Louis : C.V. Mosby, c1989.</t>
  </si>
  <si>
    <t>1999-01-18</t>
  </si>
  <si>
    <t>1989-09-25</t>
  </si>
  <si>
    <t>18375933:eng</t>
  </si>
  <si>
    <t>18959666</t>
  </si>
  <si>
    <t>991001322999702656</t>
  </si>
  <si>
    <t>2254886490002656</t>
  </si>
  <si>
    <t>9780801628405</t>
  </si>
  <si>
    <t>30001001754144</t>
  </si>
  <si>
    <t>893268366</t>
  </si>
  <si>
    <t>WY 100 C6403 1993</t>
  </si>
  <si>
    <t>0                      WY 0100000C  6403        1993</t>
  </si>
  <si>
    <t>Clinical applications of nursing diagnosis : adult, child, women's, psychiatric, gerontic, and home health considerations / Helen C. Cox ... [et al.].</t>
  </si>
  <si>
    <t>Philadelphia : F.A. Davis, c1993.</t>
  </si>
  <si>
    <t>1999-10-12</t>
  </si>
  <si>
    <t>2287705754:eng</t>
  </si>
  <si>
    <t>28029769</t>
  </si>
  <si>
    <t>991001335949702656</t>
  </si>
  <si>
    <t>2264983550002656</t>
  </si>
  <si>
    <t>30001003111012</t>
  </si>
  <si>
    <t>893557844</t>
  </si>
  <si>
    <t>WY 100 C641 2005</t>
  </si>
  <si>
    <t>0                      WY 0100000C  641         2005</t>
  </si>
  <si>
    <t>Clinical companion for Fundamentals of nursing / Veronica "Ronnie" Peterson.</t>
  </si>
  <si>
    <t>Peterson, Veronica.</t>
  </si>
  <si>
    <t>St. Louis, MO : Mosby, c2005.</t>
  </si>
  <si>
    <t>1360307183:eng</t>
  </si>
  <si>
    <t>56034900</t>
  </si>
  <si>
    <t>991000647809702656</t>
  </si>
  <si>
    <t>2260245780002656</t>
  </si>
  <si>
    <t>9780323032179</t>
  </si>
  <si>
    <t>30001005230364</t>
  </si>
  <si>
    <t>893357233</t>
  </si>
  <si>
    <t>WY 100 C6415 1993</t>
  </si>
  <si>
    <t>0                      WY 0100000C  6415        1993</t>
  </si>
  <si>
    <t>Clinical pharmacology and nursing management / Roberta Todd Spencer ... [et al.].</t>
  </si>
  <si>
    <t>1997-03-02</t>
  </si>
  <si>
    <t>1993-09-02</t>
  </si>
  <si>
    <t>54521491:eng</t>
  </si>
  <si>
    <t>26015149</t>
  </si>
  <si>
    <t>991001513579702656</t>
  </si>
  <si>
    <t>2259888660002656</t>
  </si>
  <si>
    <t>9780397549351</t>
  </si>
  <si>
    <t>30001002601344</t>
  </si>
  <si>
    <t>893134671</t>
  </si>
  <si>
    <t>WY 100 C678n 1993</t>
  </si>
  <si>
    <t>0                      WY 0100000C  678n        1993</t>
  </si>
  <si>
    <t>Nursing case management : from concept to evaluation / Elaine L. Cohen, Toni G. Cesta.</t>
  </si>
  <si>
    <t>Cohen, Elaine L. (Elaine Liebman)</t>
  </si>
  <si>
    <t>St. Louis : Mosby-Year Book, c1993.</t>
  </si>
  <si>
    <t>2000-09-17</t>
  </si>
  <si>
    <t>3374909523:eng</t>
  </si>
  <si>
    <t>27385648</t>
  </si>
  <si>
    <t>991001512969702656</t>
  </si>
  <si>
    <t>2260348400002656</t>
  </si>
  <si>
    <t>30001002601187</t>
  </si>
  <si>
    <t>893268567</t>
  </si>
  <si>
    <t>WY 100 C678n 1997</t>
  </si>
  <si>
    <t>0                      WY 0100000C  678n        1997</t>
  </si>
  <si>
    <t>2005-05-19</t>
  </si>
  <si>
    <t>1997-08-26</t>
  </si>
  <si>
    <t>35450340</t>
  </si>
  <si>
    <t>991001270479702656</t>
  </si>
  <si>
    <t>2255051680002656</t>
  </si>
  <si>
    <t>9780815119067</t>
  </si>
  <si>
    <t>30001003694694</t>
  </si>
  <si>
    <t>893161823</t>
  </si>
  <si>
    <t>WY100 C678n 2005</t>
  </si>
  <si>
    <t>0                      WY 0100000C  678n        2005</t>
  </si>
  <si>
    <t>Nursing case management : from essentials to advanced practice applications / Elaine L. Cohen, Toni G. Cesta.</t>
  </si>
  <si>
    <t>St. Louis : Elsevier Mosby, c2005.</t>
  </si>
  <si>
    <t>2006-11-09</t>
  </si>
  <si>
    <t>2006-04-27</t>
  </si>
  <si>
    <t>173818:eng</t>
  </si>
  <si>
    <t>56562865</t>
  </si>
  <si>
    <t>991001735769702656</t>
  </si>
  <si>
    <t>2271769220002656</t>
  </si>
  <si>
    <t>9780323027656</t>
  </si>
  <si>
    <t>30001004911576</t>
  </si>
  <si>
    <t>893374969</t>
  </si>
  <si>
    <t>WY 100 C743 1982</t>
  </si>
  <si>
    <t>0                      WY 0100000C  743         1982</t>
  </si>
  <si>
    <t>Concept clarification in nursing / edited by Catherine M. Norris</t>
  </si>
  <si>
    <t>551598:eng</t>
  </si>
  <si>
    <t>8553505</t>
  </si>
  <si>
    <t>991001146059702656</t>
  </si>
  <si>
    <t>2254758500002656</t>
  </si>
  <si>
    <t>9780894438257</t>
  </si>
  <si>
    <t>30001000292179</t>
  </si>
  <si>
    <t>893736266</t>
  </si>
  <si>
    <t>WY 100 C7445 1989</t>
  </si>
  <si>
    <t>0                      WY 0100000C  7445        1989</t>
  </si>
  <si>
    <t>Conceptual models of nursing : analysis and application / [edited] by Joyce J. Fitzpatrick, Ann L. Whall.</t>
  </si>
  <si>
    <t>Norwalk, Conn. : Appleton &amp; Lange, c1989.</t>
  </si>
  <si>
    <t>1077109766:eng</t>
  </si>
  <si>
    <t>18715770</t>
  </si>
  <si>
    <t>991001312759702656</t>
  </si>
  <si>
    <t>2267940780002656</t>
  </si>
  <si>
    <t>9780838512173</t>
  </si>
  <si>
    <t>30001001751470</t>
  </si>
  <si>
    <t>893552348</t>
  </si>
  <si>
    <t>WY100 C898f 1996</t>
  </si>
  <si>
    <t>0                      WY 0100000C  898f        1996</t>
  </si>
  <si>
    <t>Fundamentals of nursing : human health and function / Ruth F. Craven, Constance J. Hirnle.</t>
  </si>
  <si>
    <t>Craven, Ruth F.</t>
  </si>
  <si>
    <t>Philadelphia : Lippincott, c1996.</t>
  </si>
  <si>
    <t>1997-06-03</t>
  </si>
  <si>
    <t>793226265:eng</t>
  </si>
  <si>
    <t>32820194</t>
  </si>
  <si>
    <t>991001230639702656</t>
  </si>
  <si>
    <t>2260695480002656</t>
  </si>
  <si>
    <t>9780397551699</t>
  </si>
  <si>
    <t>30001003672625</t>
  </si>
  <si>
    <t>893134361</t>
  </si>
  <si>
    <t>WY 100 C976 1990</t>
  </si>
  <si>
    <t>0                      WY 0100000C  976         1990</t>
  </si>
  <si>
    <t>Curriculum revolution : community building and activism.</t>
  </si>
  <si>
    <t>NLN pub. no. 15-2398.</t>
  </si>
  <si>
    <t>2261036430:eng</t>
  </si>
  <si>
    <t>25967134</t>
  </si>
  <si>
    <t>991000229319702656</t>
  </si>
  <si>
    <t>2259720780002656</t>
  </si>
  <si>
    <t>9780887375170</t>
  </si>
  <si>
    <t>30001002210286</t>
  </si>
  <si>
    <t>893447090</t>
  </si>
  <si>
    <t>WY100 D521f 2005</t>
  </si>
  <si>
    <t>0                      WY 0100000D  521f        2005</t>
  </si>
  <si>
    <t>Fundamental concepts and skills for nursing / Susan C. deWit ; photographs by Jack Sanders.</t>
  </si>
  <si>
    <t>DeWit, Susan C.</t>
  </si>
  <si>
    <t>Philadelphia : Elsevier, c2005.</t>
  </si>
  <si>
    <t>2009-10-13</t>
  </si>
  <si>
    <t>941096:eng</t>
  </si>
  <si>
    <t>56968838</t>
  </si>
  <si>
    <t>991001736649702656</t>
  </si>
  <si>
    <t>2261717130002656</t>
  </si>
  <si>
    <t>9780721603117</t>
  </si>
  <si>
    <t>30001004910818</t>
  </si>
  <si>
    <t>893826945</t>
  </si>
  <si>
    <t>WY 100 D535 1986</t>
  </si>
  <si>
    <t>0                      WY 0100000D  535         1986</t>
  </si>
  <si>
    <t>Diagnostics.</t>
  </si>
  <si>
    <t>2005-04-05</t>
  </si>
  <si>
    <t>54717348:eng</t>
  </si>
  <si>
    <t>12161068</t>
  </si>
  <si>
    <t>991000738099702656</t>
  </si>
  <si>
    <t>2258390800002656</t>
  </si>
  <si>
    <t>9780916730895</t>
  </si>
  <si>
    <t>30001000042368</t>
  </si>
  <si>
    <t>893148139</t>
  </si>
  <si>
    <t>WY100 D615a 2003</t>
  </si>
  <si>
    <t>0                      WY 0100000D  615a        2003</t>
  </si>
  <si>
    <t>Application of nursing process and nursing diagnosis : an interactive text for diagnostic reasoning / Marilynn E. Doenges, Mary Frances Moorhouse.</t>
  </si>
  <si>
    <t>Philadelphia, Pa. : F.A. Davis, c2003.</t>
  </si>
  <si>
    <t>796423931:eng</t>
  </si>
  <si>
    <t>51607869</t>
  </si>
  <si>
    <t>991000352429702656</t>
  </si>
  <si>
    <t>2270315370002656</t>
  </si>
  <si>
    <t>9780803610668</t>
  </si>
  <si>
    <t>30001004505014</t>
  </si>
  <si>
    <t>893150938</t>
  </si>
  <si>
    <t>WY 100 D651n 1984</t>
  </si>
  <si>
    <t>0                      WY 0100000D  651n        1984</t>
  </si>
  <si>
    <t>Nursing care plans : nursing diagnoses in planning patient care / Marilynn E. Doenges, Mary F. Jeffries, Mary Frances Moorhouse.</t>
  </si>
  <si>
    <t>1997-01-29</t>
  </si>
  <si>
    <t>1988-02-23</t>
  </si>
  <si>
    <t>3901029159:eng</t>
  </si>
  <si>
    <t>10207898</t>
  </si>
  <si>
    <t>991000738009702656</t>
  </si>
  <si>
    <t>2268542510002656</t>
  </si>
  <si>
    <t>9780803626607</t>
  </si>
  <si>
    <t>30001000042335</t>
  </si>
  <si>
    <t>893459770</t>
  </si>
  <si>
    <t>WY 100 E43n 2000</t>
  </si>
  <si>
    <t>0                      WY 0100000E  43n         2000</t>
  </si>
  <si>
    <t>Nursing interventions and clinical skills / Martha Keene Elkin, Patricia A. Potter, Anne G. Perry.</t>
  </si>
  <si>
    <t>Elkin, Martha Keene.</t>
  </si>
  <si>
    <t>St. Louis, Mo. ; London : Mosby, 1999.</t>
  </si>
  <si>
    <t>429367:eng</t>
  </si>
  <si>
    <t>222740507</t>
  </si>
  <si>
    <t>991001565249702656</t>
  </si>
  <si>
    <t>2266979120002656</t>
  </si>
  <si>
    <t>9780323008020</t>
  </si>
  <si>
    <t>30001004015055</t>
  </si>
  <si>
    <t>893279223</t>
  </si>
  <si>
    <t>WY 100 E92 1988</t>
  </si>
  <si>
    <t>0                      WY 0100000E  92          1988</t>
  </si>
  <si>
    <t>Evaluation instruments in nursing / Dolores Bower, Linda Linc, Doreen Denega ; contributing authors, Annette Sues Mitzel, Elaine Nichols.</t>
  </si>
  <si>
    <t>"Pub. no. 15-2178."</t>
  </si>
  <si>
    <t>1994-02-11</t>
  </si>
  <si>
    <t>355359975:eng</t>
  </si>
  <si>
    <t>17285099</t>
  </si>
  <si>
    <t>991001540309702656</t>
  </si>
  <si>
    <t>2268166080002656</t>
  </si>
  <si>
    <t>9780887373596</t>
  </si>
  <si>
    <t>30001000624900</t>
  </si>
  <si>
    <t>893268593</t>
  </si>
  <si>
    <t>WY 100 F1978 1987</t>
  </si>
  <si>
    <t>0                      WY 0100000F  1978        1987</t>
  </si>
  <si>
    <t>Families and life-threatening illness / [edited by] Maureen Leahey, Lorraine M. Wright.</t>
  </si>
  <si>
    <t>Springhouse, Pa. : Springhouse Corp., c1987.</t>
  </si>
  <si>
    <t>Family nursing series</t>
  </si>
  <si>
    <t>2006-02-16</t>
  </si>
  <si>
    <t>1988-01-06</t>
  </si>
  <si>
    <t>10995210:eng</t>
  </si>
  <si>
    <t>16005787</t>
  </si>
  <si>
    <t>991001535449702656</t>
  </si>
  <si>
    <t>2258092530002656</t>
  </si>
  <si>
    <t>9780874340891</t>
  </si>
  <si>
    <t>30001000622748</t>
  </si>
  <si>
    <t>893633172</t>
  </si>
  <si>
    <t>WY 100 F198 1983</t>
  </si>
  <si>
    <t>0                      WY 0100000F  198         1983</t>
  </si>
  <si>
    <t>Family health, a theoretical approach to nursing care / edited by Imelda W. Clements, Florence B. Roberts.</t>
  </si>
  <si>
    <t>430538467:eng</t>
  </si>
  <si>
    <t>8763246</t>
  </si>
  <si>
    <t>991000737869702656</t>
  </si>
  <si>
    <t>2272475020002656</t>
  </si>
  <si>
    <t>9780471085362</t>
  </si>
  <si>
    <t>30001000042293</t>
  </si>
  <si>
    <t>893735450</t>
  </si>
  <si>
    <t>WY 100 F1985 1991</t>
  </si>
  <si>
    <t>0                      WY 0100000F  1985        1991</t>
  </si>
  <si>
    <t>Family theory development in nursing : state of the science and art / edited by Ann L. Whall, Jacqueline Fawcett.</t>
  </si>
  <si>
    <t>836754984:eng</t>
  </si>
  <si>
    <t>22813929</t>
  </si>
  <si>
    <t>991000933899702656</t>
  </si>
  <si>
    <t>2263938880002656</t>
  </si>
  <si>
    <t>9780803692527</t>
  </si>
  <si>
    <t>30001002190322</t>
  </si>
  <si>
    <t>893632514</t>
  </si>
  <si>
    <t>WY 100 F278a 1984</t>
  </si>
  <si>
    <t>0                      WY 0100000F  278a        1984</t>
  </si>
  <si>
    <t>Analysis and evaluation of conceptual models of nursing / Jacqueline Fawcett.</t>
  </si>
  <si>
    <t>Fawcett, Jacqueline.</t>
  </si>
  <si>
    <t>Philadelphia : F.A. Davis, c1984.</t>
  </si>
  <si>
    <t>1996-10-06</t>
  </si>
  <si>
    <t>16491669:eng</t>
  </si>
  <si>
    <t>9394631</t>
  </si>
  <si>
    <t>991000737919702656</t>
  </si>
  <si>
    <t>2263532300002656</t>
  </si>
  <si>
    <t>9780803634091</t>
  </si>
  <si>
    <t>30001000042285</t>
  </si>
  <si>
    <t>893831135</t>
  </si>
  <si>
    <t>WY 100 F278a 1995</t>
  </si>
  <si>
    <t>0                      WY 0100000F  278a        1995</t>
  </si>
  <si>
    <t>Philadelphia : F.A. Davis, c1995.</t>
  </si>
  <si>
    <t>1995-09-13</t>
  </si>
  <si>
    <t>30071382</t>
  </si>
  <si>
    <t>991001491309702656</t>
  </si>
  <si>
    <t>2263355680002656</t>
  </si>
  <si>
    <t>9780803634114</t>
  </si>
  <si>
    <t>30001003260595</t>
  </si>
  <si>
    <t>893732097</t>
  </si>
  <si>
    <t>WY 100 F278an 1993</t>
  </si>
  <si>
    <t>0                      WY 0100000F  278an       1993</t>
  </si>
  <si>
    <t>Analysis and evaluation of nursing theories / Jacqueline Fawcett.</t>
  </si>
  <si>
    <t>Philadelphia : F.A. Davis Co., c1993.</t>
  </si>
  <si>
    <t>2000-10-01</t>
  </si>
  <si>
    <t>1995-09-14</t>
  </si>
  <si>
    <t>351930:eng</t>
  </si>
  <si>
    <t>27727854</t>
  </si>
  <si>
    <t>991001491809702656</t>
  </si>
  <si>
    <t>2264498690002656</t>
  </si>
  <si>
    <t>9780803634138</t>
  </si>
  <si>
    <t>30001003260660</t>
  </si>
  <si>
    <t>893741192</t>
  </si>
  <si>
    <t>WY 100 F699a 1979</t>
  </si>
  <si>
    <t>0                      WY 0100000F  699a        1979</t>
  </si>
  <si>
    <t>Applied decision making for nurses / Jo Ann Garofalo Ford, Louise N. Trygstad-Durland, Bobbie Crew Nelms.</t>
  </si>
  <si>
    <t>Ford, Jo Ann Garofalo, 1948-</t>
  </si>
  <si>
    <t>1993-04-12</t>
  </si>
  <si>
    <t>14586950:eng</t>
  </si>
  <si>
    <t>4135170</t>
  </si>
  <si>
    <t>991000493059702656</t>
  </si>
  <si>
    <t>2254890080002656</t>
  </si>
  <si>
    <t>9780801616242</t>
  </si>
  <si>
    <t>30001000291668</t>
  </si>
  <si>
    <t>893365754</t>
  </si>
  <si>
    <t>WY 100 F784c 1973</t>
  </si>
  <si>
    <t>0                      WY 0100000F  784c        1973</t>
  </si>
  <si>
    <t>Clinical assessment for the nurse practitioner / William C. Fowkes, Jr. and Virginia K. Hunn.</t>
  </si>
  <si>
    <t>Fowkes, William C., 1930-</t>
  </si>
  <si>
    <t>Saint Louis : Mosby, 1973.</t>
  </si>
  <si>
    <t>1994-03-24</t>
  </si>
  <si>
    <t>1690685:eng</t>
  </si>
  <si>
    <t>572884</t>
  </si>
  <si>
    <t>991001145059702656</t>
  </si>
  <si>
    <t>2272577200002656</t>
  </si>
  <si>
    <t>9780801616389</t>
  </si>
  <si>
    <t>30001000291684</t>
  </si>
  <si>
    <t>893168040</t>
  </si>
  <si>
    <t>WY 100 F97983 1999</t>
  </si>
  <si>
    <t>0                      WY 0100000F  97983       1999</t>
  </si>
  <si>
    <t>Fundamentals of nursing : collaborating for optimal health / edited by Karen J. Berger, Marilyn Brinkman Williams.</t>
  </si>
  <si>
    <t>Stamford, Conn. : Appleton &amp; Lange, c1999.</t>
  </si>
  <si>
    <t>1999-11-11</t>
  </si>
  <si>
    <t>836921454:eng</t>
  </si>
  <si>
    <t>37580701</t>
  </si>
  <si>
    <t>991000597839702656</t>
  </si>
  <si>
    <t>2258447090002656</t>
  </si>
  <si>
    <t>9780838525944</t>
  </si>
  <si>
    <t>30001004015766</t>
  </si>
  <si>
    <t>893556193</t>
  </si>
  <si>
    <t>30001004015774</t>
  </si>
  <si>
    <t>893560097</t>
  </si>
  <si>
    <t>30001004015758</t>
  </si>
  <si>
    <t>893539528</t>
  </si>
  <si>
    <t>WY 100 F97984 1995</t>
  </si>
  <si>
    <t>0                      WY 0100000F  97984       1995</t>
  </si>
  <si>
    <t>Fundamentals of nursing : concepts, process, and practice / Barbara Kozier ... [et al.].</t>
  </si>
  <si>
    <t>Redwood City, Calif. : Addison-Westley Nursing, c1995.</t>
  </si>
  <si>
    <t>1998-07-27</t>
  </si>
  <si>
    <t>1995-02-16</t>
  </si>
  <si>
    <t>836974557:eng</t>
  </si>
  <si>
    <t>31075321</t>
  </si>
  <si>
    <t>991000688459702656</t>
  </si>
  <si>
    <t>2269463970002656</t>
  </si>
  <si>
    <t>9780805334906</t>
  </si>
  <si>
    <t>30001002699702</t>
  </si>
  <si>
    <t>893637229</t>
  </si>
  <si>
    <t>WY 100 F97984 1998</t>
  </si>
  <si>
    <t>0                      WY 0100000F  97984       1998</t>
  </si>
  <si>
    <t>Menlo Park, Calif. : Addison-Wesley, c1998.</t>
  </si>
  <si>
    <t>Updated 5th ed.</t>
  </si>
  <si>
    <t>37180387</t>
  </si>
  <si>
    <t>991000692229702656</t>
  </si>
  <si>
    <t>2269906350002656</t>
  </si>
  <si>
    <t>9780805374728</t>
  </si>
  <si>
    <t>30001004036853</t>
  </si>
  <si>
    <t>893160890</t>
  </si>
  <si>
    <t>WY 100 F97984 2004</t>
  </si>
  <si>
    <t>0                      WY 0100000F  97984       2004</t>
  </si>
  <si>
    <t>Upper Saddle River, N.J. : Prentice Hall Health, c2004.</t>
  </si>
  <si>
    <t>2010-10-27</t>
  </si>
  <si>
    <t>51764147</t>
  </si>
  <si>
    <t>991000384949702656</t>
  </si>
  <si>
    <t>2271452970002656</t>
  </si>
  <si>
    <t>9780130455291</t>
  </si>
  <si>
    <t>30001004506822</t>
  </si>
  <si>
    <t>893136786</t>
  </si>
  <si>
    <t>WY 100 F97986 2000</t>
  </si>
  <si>
    <t>0                      WY 0100000F  97986       2000</t>
  </si>
  <si>
    <t>Fundamentals of nursing : caring and clinical judgment / [edited by] Helen Harkreader.</t>
  </si>
  <si>
    <t>Philadelphia : W.B. Saunders, c2000.</t>
  </si>
  <si>
    <t>836922519:eng</t>
  </si>
  <si>
    <t>40862057</t>
  </si>
  <si>
    <t>991000277759702656</t>
  </si>
  <si>
    <t>2272125030002656</t>
  </si>
  <si>
    <t>9780721686691</t>
  </si>
  <si>
    <t>30001003933936</t>
  </si>
  <si>
    <t>893370307</t>
  </si>
  <si>
    <t>WY100 F97988 2003</t>
  </si>
  <si>
    <t>0                      WY 0100000F  97988       2003</t>
  </si>
  <si>
    <t>Fundamentals of nursing : human health and function / [edited by] Ruth F. Craven, Constance J. Hirnle.</t>
  </si>
  <si>
    <t>2004-06-08</t>
  </si>
  <si>
    <t>2002-11-05</t>
  </si>
  <si>
    <t>49057645</t>
  </si>
  <si>
    <t>991000331709702656</t>
  </si>
  <si>
    <t>2265729730002656</t>
  </si>
  <si>
    <t>9780781735810</t>
  </si>
  <si>
    <t>30001004500437</t>
  </si>
  <si>
    <t>893537072</t>
  </si>
  <si>
    <t>WY100 F97988 2006</t>
  </si>
  <si>
    <t>0                      WY 0100000F  97988       2006</t>
  </si>
  <si>
    <t>Fundamentals of nursing : human health and function / [edited by] Ruth F. Craven, Constance J. Hirnle ; 49 contributors.</t>
  </si>
  <si>
    <t>Philadelphia : Lippincott Williams &amp; Wilkins, c2007.</t>
  </si>
  <si>
    <t>2006-04-05</t>
  </si>
  <si>
    <t>62090798</t>
  </si>
  <si>
    <t>991001738179702656</t>
  </si>
  <si>
    <t>2263180340002656</t>
  </si>
  <si>
    <t>9780781762182</t>
  </si>
  <si>
    <t>30001005126992</t>
  </si>
  <si>
    <t>893364515</t>
  </si>
  <si>
    <t>WY100 F97989 2002</t>
  </si>
  <si>
    <t>0                      WY 0100000F  97989       2002</t>
  </si>
  <si>
    <t>Fundamentals of nursing : standards &amp; practice / [edited by] Sue C. DeLaune, Patricia K. Ladner.</t>
  </si>
  <si>
    <t>Albany, NY : Delmar Thomson Learning, c2002.</t>
  </si>
  <si>
    <t>2005-03-06</t>
  </si>
  <si>
    <t>2002-10-14</t>
  </si>
  <si>
    <t>194935495:eng</t>
  </si>
  <si>
    <t>61861006</t>
  </si>
  <si>
    <t>991000330749702656</t>
  </si>
  <si>
    <t>2258394190002656</t>
  </si>
  <si>
    <t>9780766824522</t>
  </si>
  <si>
    <t>30001004440279</t>
  </si>
  <si>
    <t>893163353</t>
  </si>
  <si>
    <t>WY100 F97989 2006</t>
  </si>
  <si>
    <t>0                      WY 0100000F  97989       2006</t>
  </si>
  <si>
    <t>Fundamentals of nursing : standards &amp; practice / Sue C. DeLaune, Patricia K. Ladner.</t>
  </si>
  <si>
    <t>DeLaune, Sue C. (Sue Carter)</t>
  </si>
  <si>
    <t>Clifton Park, NY : Thomson Delmar Learning, c2006.</t>
  </si>
  <si>
    <t>2006-04-13</t>
  </si>
  <si>
    <t>2006-04-06</t>
  </si>
  <si>
    <t>61860821</t>
  </si>
  <si>
    <t>991000472499702656</t>
  </si>
  <si>
    <t>2260738260002656</t>
  </si>
  <si>
    <t>9781401859183</t>
  </si>
  <si>
    <t>30001005126232</t>
  </si>
  <si>
    <t>893728450</t>
  </si>
  <si>
    <t>WY 100 G196n 1984</t>
  </si>
  <si>
    <t>0                      WY 0100000G  196n        1984</t>
  </si>
  <si>
    <t>The nurse's writing handbook / Anita Gandolfo, Judy Romano.</t>
  </si>
  <si>
    <t>Gandolfo, Anita.</t>
  </si>
  <si>
    <t>New York : Appleton-Century-Crofts, c1984.</t>
  </si>
  <si>
    <t>1992-03-21</t>
  </si>
  <si>
    <t>3487067:eng</t>
  </si>
  <si>
    <t>10098058</t>
  </si>
  <si>
    <t>991001145299702656</t>
  </si>
  <si>
    <t>2264970710002656</t>
  </si>
  <si>
    <t>9780838569979</t>
  </si>
  <si>
    <t>30001000291791</t>
  </si>
  <si>
    <t>893369141</t>
  </si>
  <si>
    <t>WY 100 G32c 1979</t>
  </si>
  <si>
    <t>0                      WY 0100000G  32c         1979</t>
  </si>
  <si>
    <t>Cases in nursing management / Joan M. Ganong and Warren L. Ganong.</t>
  </si>
  <si>
    <t>Germantown, Md. : Aspen Systems Corporation, c1979.</t>
  </si>
  <si>
    <t>3698852941:eng</t>
  </si>
  <si>
    <t>5171930</t>
  </si>
  <si>
    <t>991000737669702656</t>
  </si>
  <si>
    <t>2259057540002656</t>
  </si>
  <si>
    <t>9780894431524</t>
  </si>
  <si>
    <t>30001000042251</t>
  </si>
  <si>
    <t>893148138</t>
  </si>
  <si>
    <t>WY 100 G539 1980</t>
  </si>
  <si>
    <t>0                      WY 0100000G  539         1980</t>
  </si>
  <si>
    <t>Giving medications.</t>
  </si>
  <si>
    <t>Horsham, Pa. : Intermed Communications, 1980.</t>
  </si>
  <si>
    <t>1998-08-17</t>
  </si>
  <si>
    <t>5617135728:eng</t>
  </si>
  <si>
    <t>6249551</t>
  </si>
  <si>
    <t>991000843209702656</t>
  </si>
  <si>
    <t>2262878900002656</t>
  </si>
  <si>
    <t>9780916730222</t>
  </si>
  <si>
    <t>30001000785719</t>
  </si>
  <si>
    <t>893731454</t>
  </si>
  <si>
    <t>WY 100 G664n 1982</t>
  </si>
  <si>
    <t>0                      WY 0100000G  664n        1982</t>
  </si>
  <si>
    <t>Nursing diagnosis : process and application / Marjory Gordon.</t>
  </si>
  <si>
    <t>Gordon, Marjory.</t>
  </si>
  <si>
    <t>1991-08-02</t>
  </si>
  <si>
    <t>3855344871:eng</t>
  </si>
  <si>
    <t>7924401</t>
  </si>
  <si>
    <t>991000737629702656</t>
  </si>
  <si>
    <t>2256520040002656</t>
  </si>
  <si>
    <t>9780070238152</t>
  </si>
  <si>
    <t>30001000042236</t>
  </si>
  <si>
    <t>893540336</t>
  </si>
  <si>
    <t>WY100 H2359 1996</t>
  </si>
  <si>
    <t>0                      WY 0100000H  2359        1996</t>
  </si>
  <si>
    <t>Handbook of nursing case management : health care delivery in a world of managed care / [edited by] Dominick L. Flarey, Suzanne Smith Blancett.</t>
  </si>
  <si>
    <t>1996-11-11</t>
  </si>
  <si>
    <t>1996-05-09</t>
  </si>
  <si>
    <t>903479958:eng</t>
  </si>
  <si>
    <t>33838218</t>
  </si>
  <si>
    <t>991001488499702656</t>
  </si>
  <si>
    <t>2259395850002656</t>
  </si>
  <si>
    <t>9780834207905</t>
  </si>
  <si>
    <t>30001003248459</t>
  </si>
  <si>
    <t>893364184</t>
  </si>
  <si>
    <t>WY 100 H4335 1984</t>
  </si>
  <si>
    <t>0                      WY 0100000H  4335        1984</t>
  </si>
  <si>
    <t>Health assessment across the life span / [edited by] Dorothy A. Jones, Mary K. Lepley, Bette A. Baker.</t>
  </si>
  <si>
    <t>New York : McGraw-Hill, c1984.</t>
  </si>
  <si>
    <t>405616:eng</t>
  </si>
  <si>
    <t>9533423</t>
  </si>
  <si>
    <t>991001144249702656</t>
  </si>
  <si>
    <t>2259042490002656</t>
  </si>
  <si>
    <t>9780070328051</t>
  </si>
  <si>
    <t>30001000291403</t>
  </si>
  <si>
    <t>893161709</t>
  </si>
  <si>
    <t>WY 100 H4338 1994</t>
  </si>
  <si>
    <t>0                      WY 0100000H  4338        1994</t>
  </si>
  <si>
    <t>Health policy and nursing : crisis and reform in the U.S. health care delivery system / edited by Charlene Harrington, Carroll L. Estes ; Tom Ferentz, photographer.</t>
  </si>
  <si>
    <t>1996-06-17</t>
  </si>
  <si>
    <t>1994-01-25</t>
  </si>
  <si>
    <t>2487735453:eng</t>
  </si>
  <si>
    <t>28294995</t>
  </si>
  <si>
    <t>991000649519702656</t>
  </si>
  <si>
    <t>2258569570002656</t>
  </si>
  <si>
    <t>9780867208139</t>
  </si>
  <si>
    <t>30001002690875</t>
  </si>
  <si>
    <t>893283287</t>
  </si>
  <si>
    <t>WY 100 H4343 1990</t>
  </si>
  <si>
    <t>0                      WY 0100000H  4343        1990</t>
  </si>
  <si>
    <t>Health promotion throughout the lifespan / [edited by] Carole Lium Edelman, Carol Lynn Mandle.</t>
  </si>
  <si>
    <t>364695445:eng</t>
  </si>
  <si>
    <t>20594599</t>
  </si>
  <si>
    <t>991001450519702656</t>
  </si>
  <si>
    <t>2268189460002656</t>
  </si>
  <si>
    <t>9780801632600</t>
  </si>
  <si>
    <t>30001001882788</t>
  </si>
  <si>
    <t>893279118</t>
  </si>
  <si>
    <t>WY 100 H4343 1998</t>
  </si>
  <si>
    <t>0                      WY 0100000H  4343        1998</t>
  </si>
  <si>
    <t>2001-02-11</t>
  </si>
  <si>
    <t>37615817</t>
  </si>
  <si>
    <t>991001305909702656</t>
  </si>
  <si>
    <t>2259639090002656</t>
  </si>
  <si>
    <t>9780815123897</t>
  </si>
  <si>
    <t>30001003749811</t>
  </si>
  <si>
    <t>893465394</t>
  </si>
  <si>
    <t>WY100 H4343 2006</t>
  </si>
  <si>
    <t>0                      WY 0100000H  4343        2006</t>
  </si>
  <si>
    <t>2010-08-26</t>
  </si>
  <si>
    <t>250173303</t>
  </si>
  <si>
    <t>991001738439702656</t>
  </si>
  <si>
    <t>2271029750002656</t>
  </si>
  <si>
    <t>9780323031288</t>
  </si>
  <si>
    <t>30001005126125</t>
  </si>
  <si>
    <t>893279357</t>
  </si>
  <si>
    <t>WY 100 H522s 2004</t>
  </si>
  <si>
    <t>0                      WY 0100000H  522s        2004</t>
  </si>
  <si>
    <t>The soul of the caring nurse : stories and resources for revitalizing professional passion / by Linda Gambee Henry and James Douglas Henry.</t>
  </si>
  <si>
    <t>Henry, Linda Gambee.</t>
  </si>
  <si>
    <t>Washington, DC : Nursesbooks.org, 2004.</t>
  </si>
  <si>
    <t>2005-09-29</t>
  </si>
  <si>
    <t>2004-06-25</t>
  </si>
  <si>
    <t>998783:eng</t>
  </si>
  <si>
    <t>54817184</t>
  </si>
  <si>
    <t>991001728419702656</t>
  </si>
  <si>
    <t>2265500620002656</t>
  </si>
  <si>
    <t>9781558102194</t>
  </si>
  <si>
    <t>30001004218774</t>
  </si>
  <si>
    <t>893649400</t>
  </si>
  <si>
    <t>WY 100 H918 1982</t>
  </si>
  <si>
    <t>0                      WY 0100000H  918         1982</t>
  </si>
  <si>
    <t>Human needs 2 and the nursing process / edited by Helen Yura, Mary B. Walsh.</t>
  </si>
  <si>
    <t>2869644544:eng</t>
  </si>
  <si>
    <t>8283177</t>
  </si>
  <si>
    <t>991001144409702656</t>
  </si>
  <si>
    <t>2265180020002656</t>
  </si>
  <si>
    <t>9780838539422</t>
  </si>
  <si>
    <t>30001000291452</t>
  </si>
  <si>
    <t>893465230</t>
  </si>
  <si>
    <t>WY 100 H918 1983</t>
  </si>
  <si>
    <t>0                      WY 0100000H  918         1983</t>
  </si>
  <si>
    <t>Human needs 3 and the nursing process / edited by Helen Yura, Mary B. Walsh.</t>
  </si>
  <si>
    <t>Norwalk, Conn. : Appleton-Century-Crofts, c1983.</t>
  </si>
  <si>
    <t>1991-06-26</t>
  </si>
  <si>
    <t>2864694611:eng</t>
  </si>
  <si>
    <t>8907657</t>
  </si>
  <si>
    <t>991001144449702656</t>
  </si>
  <si>
    <t>2260812630002656</t>
  </si>
  <si>
    <t>9780838539439</t>
  </si>
  <si>
    <t>30001000291460</t>
  </si>
  <si>
    <t>893834575</t>
  </si>
  <si>
    <t>WY100 I29 2002</t>
  </si>
  <si>
    <t>0                      WY 0100000I  29          2002</t>
  </si>
  <si>
    <t>Illustrated manual of nursing practice.</t>
  </si>
  <si>
    <t>Philadelphia : Lippincott Williams &amp; Wilkins, c2002.</t>
  </si>
  <si>
    <t>2002-11-06</t>
  </si>
  <si>
    <t>856681:eng</t>
  </si>
  <si>
    <t>48093202</t>
  </si>
  <si>
    <t>991000332079702656</t>
  </si>
  <si>
    <t>2263241750002656</t>
  </si>
  <si>
    <t>9781582550824</t>
  </si>
  <si>
    <t>30001004500080</t>
  </si>
  <si>
    <t>893737232</t>
  </si>
  <si>
    <t>WY 100 I34 1991</t>
  </si>
  <si>
    <t>0                      WY 0100000I  34          1991</t>
  </si>
  <si>
    <t>Implementing nursing diagnosis-based practice : managing the change / edited by Constance D'Argenio.</t>
  </si>
  <si>
    <t>1991-10-11</t>
  </si>
  <si>
    <t>1991-10-07</t>
  </si>
  <si>
    <t>24212683:eng</t>
  </si>
  <si>
    <t>22813752</t>
  </si>
  <si>
    <t>991001013499702656</t>
  </si>
  <si>
    <t>2265339420002656</t>
  </si>
  <si>
    <t>9780834202153</t>
  </si>
  <si>
    <t>30001002240226</t>
  </si>
  <si>
    <t>893643135</t>
  </si>
  <si>
    <t>WY 100 I38 1985</t>
  </si>
  <si>
    <t>0                      WY 0100000I  38          1985</t>
  </si>
  <si>
    <t>Independent nursing interventions / [edited by] Mariah Snyder.</t>
  </si>
  <si>
    <t>1993-10-21</t>
  </si>
  <si>
    <t>54721199:eng</t>
  </si>
  <si>
    <t>12162688</t>
  </si>
  <si>
    <t>991001144489702656</t>
  </si>
  <si>
    <t>2264517790002656</t>
  </si>
  <si>
    <t>9780471884460</t>
  </si>
  <si>
    <t>30001000291478</t>
  </si>
  <si>
    <t>893284456</t>
  </si>
  <si>
    <t>WY 100 I43 1988</t>
  </si>
  <si>
    <t>0                      WY 0100000I  43          1988</t>
  </si>
  <si>
    <t>Information sources for nursing : a guide / Judith S. Shockley, editor.</t>
  </si>
  <si>
    <t>New York : National Leag[u]e for Nursing, c1988.</t>
  </si>
  <si>
    <t>NLN pub. no. 41-2200</t>
  </si>
  <si>
    <t>1988-02-26</t>
  </si>
  <si>
    <t>422980283:eng</t>
  </si>
  <si>
    <t>15788359</t>
  </si>
  <si>
    <t>991001174109702656</t>
  </si>
  <si>
    <t>2260878880002656</t>
  </si>
  <si>
    <t>9780887373862</t>
  </si>
  <si>
    <t>30001000975641</t>
  </si>
  <si>
    <t>893821021</t>
  </si>
  <si>
    <t>WY 100 I575 1986</t>
  </si>
  <si>
    <t>0                      WY 0100000I  575         1986</t>
  </si>
  <si>
    <t>Innovations in nursing service.</t>
  </si>
  <si>
    <t>NLN pub. no. 20-2171</t>
  </si>
  <si>
    <t>982765:eng</t>
  </si>
  <si>
    <t>14918823</t>
  </si>
  <si>
    <t>991001386019702656</t>
  </si>
  <si>
    <t>2269652360002656</t>
  </si>
  <si>
    <t>9780887373411</t>
  </si>
  <si>
    <t>30001000463739</t>
  </si>
  <si>
    <t>893121450</t>
  </si>
  <si>
    <t>WY 100 I61 1976</t>
  </si>
  <si>
    <t>0                      WY 0100000I  61          1976</t>
  </si>
  <si>
    <t>Introduction to nursing : an adaptation model / edited by Callista Roy.</t>
  </si>
  <si>
    <t>688429918:eng</t>
  </si>
  <si>
    <t>1974219</t>
  </si>
  <si>
    <t>991001144569702656</t>
  </si>
  <si>
    <t>2262953020002656</t>
  </si>
  <si>
    <t>9780134912905</t>
  </si>
  <si>
    <t>30001000291486</t>
  </si>
  <si>
    <t>893148900</t>
  </si>
  <si>
    <t>WY 100 I615c 1987</t>
  </si>
  <si>
    <t>0                      WY 0100000I  615c        1987</t>
  </si>
  <si>
    <t>Clinical judgement and decision making : the future with nursing diagnosis : proceedings of the International Nursing Conference, May 27-29, 1987, Calgary, Alberta, Canada / edited by Kathryn J. Hannah ... [et al.].</t>
  </si>
  <si>
    <t>International Nursing Conference (1987 : Calgary, Alta.)</t>
  </si>
  <si>
    <t>New York : Wiley, c1987.</t>
  </si>
  <si>
    <t>1994-05-31</t>
  </si>
  <si>
    <t>1988-04-30</t>
  </si>
  <si>
    <t>499921486:eng</t>
  </si>
  <si>
    <t>16683881</t>
  </si>
  <si>
    <t>991001186949702656</t>
  </si>
  <si>
    <t>2259653850002656</t>
  </si>
  <si>
    <t>9780471627470</t>
  </si>
  <si>
    <t>30001000978322</t>
  </si>
  <si>
    <t>893358311</t>
  </si>
  <si>
    <t>WY 100 I856 1991</t>
  </si>
  <si>
    <t>0                      WY 0100000I  856         1991</t>
  </si>
  <si>
    <t>Issues and strategies for nursing care quality / edited by Patricia Schroeder.</t>
  </si>
  <si>
    <t>The Encyclopedia of nursing care quality ; v. 1.</t>
  </si>
  <si>
    <t>1993-04-02</t>
  </si>
  <si>
    <t>24043258:eng</t>
  </si>
  <si>
    <t>22956381</t>
  </si>
  <si>
    <t>991001471929702656</t>
  </si>
  <si>
    <t>2260528160002656</t>
  </si>
  <si>
    <t>9780834202139</t>
  </si>
  <si>
    <t>30001002563130</t>
  </si>
  <si>
    <t>893552538</t>
  </si>
  <si>
    <t>WY 100 K195m 1997</t>
  </si>
  <si>
    <t>0                      WY 0100000K  195m        1997</t>
  </si>
  <si>
    <t>Managing quality : a guide to system-wide performance management in health care / Jacqueline M. Katz, Eleanor Green.</t>
  </si>
  <si>
    <t>Katz, Jacqueline.</t>
  </si>
  <si>
    <t>2002-03-03</t>
  </si>
  <si>
    <t>39502072:eng</t>
  </si>
  <si>
    <t>34514502</t>
  </si>
  <si>
    <t>991000836289702656</t>
  </si>
  <si>
    <t>2256181510002656</t>
  </si>
  <si>
    <t>9780815149736</t>
  </si>
  <si>
    <t>30001003441898</t>
  </si>
  <si>
    <t>893148436</t>
  </si>
  <si>
    <t>WY 100 K293n 1985</t>
  </si>
  <si>
    <t>0                      WY 0100000K  293n        1985</t>
  </si>
  <si>
    <t>Nursing diagnosis source book : guidelines for clinical application / Mary Ann Kelly.</t>
  </si>
  <si>
    <t>Kelly, Mary Ann, R.N., Ed. D.</t>
  </si>
  <si>
    <t>1991-02-18</t>
  </si>
  <si>
    <t>1988-03-16</t>
  </si>
  <si>
    <t>4235421:eng</t>
  </si>
  <si>
    <t>11399335</t>
  </si>
  <si>
    <t>991000737549702656</t>
  </si>
  <si>
    <t>2272501620002656</t>
  </si>
  <si>
    <t>9780838570340</t>
  </si>
  <si>
    <t>30001000042202</t>
  </si>
  <si>
    <t>893551399</t>
  </si>
  <si>
    <t>WY 100 K44 1989</t>
  </si>
  <si>
    <t>0                      WY 0100000K  44          1989</t>
  </si>
  <si>
    <t>Key aspects of comfort : management of pain, fatigue, and nausea / Sandra G. Funk ... [et al.], editors.</t>
  </si>
  <si>
    <t>New York : Springer Pub. Co., c1989.</t>
  </si>
  <si>
    <t>Disseminating nursing research</t>
  </si>
  <si>
    <t>1997-05-01</t>
  </si>
  <si>
    <t>1991-03-27</t>
  </si>
  <si>
    <t>967693:eng</t>
  </si>
  <si>
    <t>19222166</t>
  </si>
  <si>
    <t>991000826999702656</t>
  </si>
  <si>
    <t>2259322340002656</t>
  </si>
  <si>
    <t>9780826167606</t>
  </si>
  <si>
    <t>30001002089193</t>
  </si>
  <si>
    <t>893540662</t>
  </si>
  <si>
    <t>WY 100 K88fa 1991</t>
  </si>
  <si>
    <t>0                      WY 0100000K  88fa        1991</t>
  </si>
  <si>
    <t>Fundamentals of nursing : concepts, process, and practice / Barbara Kozier, Glenora Erb, Rita Olivieri.</t>
  </si>
  <si>
    <t>Kozier, Barbara.</t>
  </si>
  <si>
    <t>Redwood City, Calif. : Addison-Wesley Nursing, c1991.</t>
  </si>
  <si>
    <t>1997-05-30</t>
  </si>
  <si>
    <t>1991-05-17</t>
  </si>
  <si>
    <t>22665340</t>
  </si>
  <si>
    <t>991000936939702656</t>
  </si>
  <si>
    <t>2257335770002656</t>
  </si>
  <si>
    <t>9780201092028</t>
  </si>
  <si>
    <t>30001002191312</t>
  </si>
  <si>
    <t>893450625</t>
  </si>
  <si>
    <t>WY 100 K88i 1989</t>
  </si>
  <si>
    <t>0                      WY 0100000K  88i         1989</t>
  </si>
  <si>
    <t>Introduction to nursing / Barbara Kozier, Glenora Erb, Patricia McKay Bufalino.</t>
  </si>
  <si>
    <t>Redwood City, Calif. : Addison-Wesley Pub. Co., Health Sciences, c1989.</t>
  </si>
  <si>
    <t>1997-03-03</t>
  </si>
  <si>
    <t>3768742753:eng</t>
  </si>
  <si>
    <t>18464260</t>
  </si>
  <si>
    <t>991001251789702656</t>
  </si>
  <si>
    <t>2269185970002656</t>
  </si>
  <si>
    <t>9780201122404</t>
  </si>
  <si>
    <t>30001001679119</t>
  </si>
  <si>
    <t>893460391</t>
  </si>
  <si>
    <t>WY 100 K88t 2004</t>
  </si>
  <si>
    <t>0                      WY 0100000K  88t         2004</t>
  </si>
  <si>
    <t>Kozier &amp; Erb's techniques in clinical nursing : basic to intermediate skills / Barbara Kozier ... [et al.].</t>
  </si>
  <si>
    <t>Upper Saddle River, N.J. : Pearson/Prentice Hall, c2004.</t>
  </si>
  <si>
    <t>2006-09-03</t>
  </si>
  <si>
    <t>2006-08-25</t>
  </si>
  <si>
    <t>3373718467:eng</t>
  </si>
  <si>
    <t>53055829</t>
  </si>
  <si>
    <t>991001743959702656</t>
  </si>
  <si>
    <t>2266752730002656</t>
  </si>
  <si>
    <t>9780131142299</t>
  </si>
  <si>
    <t>30001005120649</t>
  </si>
  <si>
    <t>893460957</t>
  </si>
  <si>
    <t>WY 100 L222p 1985</t>
  </si>
  <si>
    <t>0                      WY 0100000L  222p        1985</t>
  </si>
  <si>
    <t>Psychosocial care of the physically ill : what every nurse should know / Vickie A. Lambert, Clinton E. Lambert, Jr.</t>
  </si>
  <si>
    <t>3868308:eng</t>
  </si>
  <si>
    <t>11029977</t>
  </si>
  <si>
    <t>991001144709702656</t>
  </si>
  <si>
    <t>2254845250002656</t>
  </si>
  <si>
    <t>9780137368693</t>
  </si>
  <si>
    <t>30001000291536</t>
  </si>
  <si>
    <t>893557645</t>
  </si>
  <si>
    <t>WY 100 L449b 1973</t>
  </si>
  <si>
    <t>0                      WY 0100000L  449b        1973</t>
  </si>
  <si>
    <t>Behavior modification : a significant method in nursing practice.</t>
  </si>
  <si>
    <t>LeBow, Michael D.</t>
  </si>
  <si>
    <t>Englewood Cliffs, N.J. : Prentice-Hall, 1973</t>
  </si>
  <si>
    <t>Scientific foundations of nursing practice series</t>
  </si>
  <si>
    <t>1992-06-27</t>
  </si>
  <si>
    <t>307988378:eng</t>
  </si>
  <si>
    <t>482466</t>
  </si>
  <si>
    <t>991001144839702656</t>
  </si>
  <si>
    <t>2258766600002656</t>
  </si>
  <si>
    <t>9780130741790</t>
  </si>
  <si>
    <t>30001000291577</t>
  </si>
  <si>
    <t>893374287</t>
  </si>
  <si>
    <t>WY 100 L665 1991</t>
  </si>
  <si>
    <t>0                      WY 0100000L  665         1991</t>
  </si>
  <si>
    <t>Levine's conservation model : a framework for nursing practice / edited by Karen Moore Schaefer and Jane Benson Pond ; with special contributions by Myra E. Levine and Jacqueline Fawcett.</t>
  </si>
  <si>
    <t>Philadelphia : F.A. Davis Co., c1991.</t>
  </si>
  <si>
    <t>2000-10-13</t>
  </si>
  <si>
    <t>1994-10-17</t>
  </si>
  <si>
    <t>836839238:eng</t>
  </si>
  <si>
    <t>23213410</t>
  </si>
  <si>
    <t>991001336149702656</t>
  </si>
  <si>
    <t>2263954860002656</t>
  </si>
  <si>
    <t>9780803677470</t>
  </si>
  <si>
    <t>30001003111137</t>
  </si>
  <si>
    <t>893358486</t>
  </si>
  <si>
    <t>WY 100 L676m 1983</t>
  </si>
  <si>
    <t>0                      WY 0100000L  676m        1983</t>
  </si>
  <si>
    <t>Medical-surgical nursing : assessment and management of clinical problems / Sharon Mantik Lewis, Idolia Cox Collier.</t>
  </si>
  <si>
    <t>Lewis, Sharon Mantik.</t>
  </si>
  <si>
    <t>New York : McGraw-Hill, c1983.</t>
  </si>
  <si>
    <t>1993-08-30</t>
  </si>
  <si>
    <t>5454242037:eng</t>
  </si>
  <si>
    <t>8866361</t>
  </si>
  <si>
    <t>991001086449702656</t>
  </si>
  <si>
    <t>2265205230002656</t>
  </si>
  <si>
    <t>9780700375615</t>
  </si>
  <si>
    <t>30001000259608</t>
  </si>
  <si>
    <t>893161667</t>
  </si>
  <si>
    <t>WY 100 L941s 1997</t>
  </si>
  <si>
    <t>0                      WY 0100000L  941s        1997</t>
  </si>
  <si>
    <t>Saunders manual of nursing care / editor, Joan Luckmann ; medical illustrations by Kate Sweeney.</t>
  </si>
  <si>
    <t>Luckmann, Joan.</t>
  </si>
  <si>
    <t>Philadelphia : W.B. Saunders, c1997.</t>
  </si>
  <si>
    <t>2006-07-21</t>
  </si>
  <si>
    <t>2865192247:eng</t>
  </si>
  <si>
    <t>33817905</t>
  </si>
  <si>
    <t>991001551599702656</t>
  </si>
  <si>
    <t>2270128130002656</t>
  </si>
  <si>
    <t>9780721650173</t>
  </si>
  <si>
    <t>30001003443480</t>
  </si>
  <si>
    <t>893546812</t>
  </si>
  <si>
    <t>WY 100 M266 1993</t>
  </si>
  <si>
    <t>0                      WY 0100000M  266         1993</t>
  </si>
  <si>
    <t>Managing nursing care : promise and pitfalls / editor, Kathleen Kelly ; chair of the board, Meridean Maas.</t>
  </si>
  <si>
    <t>Series on nursing administration ; v. 5</t>
  </si>
  <si>
    <t>1995-06-12</t>
  </si>
  <si>
    <t>1993-08-23</t>
  </si>
  <si>
    <t>29559084:eng</t>
  </si>
  <si>
    <t>27072226</t>
  </si>
  <si>
    <t>991001502679702656</t>
  </si>
  <si>
    <t>2272337450002656</t>
  </si>
  <si>
    <t>9780801665479</t>
  </si>
  <si>
    <t>30001002594994</t>
  </si>
  <si>
    <t>893287449</t>
  </si>
  <si>
    <t>WY 100 M423 1990</t>
  </si>
  <si>
    <t>0                      WY 0100000M  423         1990</t>
  </si>
  <si>
    <t>Mastering the nursing process : a case method approach / Jean D'Meza Leuner ... [et al.].</t>
  </si>
  <si>
    <t>Philadelphia : F.A. Davis Co., c1990.</t>
  </si>
  <si>
    <t>1990-07-10</t>
  </si>
  <si>
    <t>894493770:eng</t>
  </si>
  <si>
    <t>20932909</t>
  </si>
  <si>
    <t>991001451609702656</t>
  </si>
  <si>
    <t>2266361210002656</t>
  </si>
  <si>
    <t>9780803655881</t>
  </si>
  <si>
    <t>30001001883216</t>
  </si>
  <si>
    <t>893821229</t>
  </si>
  <si>
    <t>WY 100 M468s 1983</t>
  </si>
  <si>
    <t>0                      WY 0100000M  468s        1983</t>
  </si>
  <si>
    <t>A systematic approach to the nursing care plan / Marlene G. Mayers.</t>
  </si>
  <si>
    <t>Mayers, Marlene G. (Marlene Glover)</t>
  </si>
  <si>
    <t>1150989906:eng</t>
  </si>
  <si>
    <t>9133072</t>
  </si>
  <si>
    <t>991001086529702656</t>
  </si>
  <si>
    <t>2255520510002656</t>
  </si>
  <si>
    <t>9780838587881</t>
  </si>
  <si>
    <t>30001000259681</t>
  </si>
  <si>
    <t>893134234</t>
  </si>
  <si>
    <t>WY 100 M488 1988</t>
  </si>
  <si>
    <t>0                      WY 0100000M  488         1988</t>
  </si>
  <si>
    <t>Medical/surgical care plans / [edited by] Nancy M. Holloway.</t>
  </si>
  <si>
    <t>Springhouse, Pa. : Springhouse Corp., c1988.</t>
  </si>
  <si>
    <t>1997-12-08</t>
  </si>
  <si>
    <t>1989-06-14</t>
  </si>
  <si>
    <t>26330661:eng</t>
  </si>
  <si>
    <t>17384929</t>
  </si>
  <si>
    <t>991001308959702656</t>
  </si>
  <si>
    <t>2267722370002656</t>
  </si>
  <si>
    <t>9780874341287</t>
  </si>
  <si>
    <t>30001001750225</t>
  </si>
  <si>
    <t>893632936</t>
  </si>
  <si>
    <t>WY 100 M489 1992</t>
  </si>
  <si>
    <t>0                      WY 0100000M  489         1992</t>
  </si>
  <si>
    <t>Medical-surgical nursing : assessment and management of clinical problems / [edited by] Sharon Mantik Lewis, Idolia Cox Collier.</t>
  </si>
  <si>
    <t>St. Louis : Mosby-Year Book, c1992.</t>
  </si>
  <si>
    <t>1992-02-20</t>
  </si>
  <si>
    <t>793200462:eng</t>
  </si>
  <si>
    <t>24247514</t>
  </si>
  <si>
    <t>991001297369702656</t>
  </si>
  <si>
    <t>2262034320002656</t>
  </si>
  <si>
    <t>9780801660399</t>
  </si>
  <si>
    <t>30001002410274</t>
  </si>
  <si>
    <t>893731866</t>
  </si>
  <si>
    <t>WY 100 M489 1995</t>
  </si>
  <si>
    <t>0                      WY 0100000M  489         1995</t>
  </si>
  <si>
    <t>Medical-surgical nursing / Marlene Mayers, Carol Pankratz, editors.</t>
  </si>
  <si>
    <t>New York : McGraw-Hill, c1995.</t>
  </si>
  <si>
    <t>McGraw-Hill clinical care plans</t>
  </si>
  <si>
    <t>46882303:eng</t>
  </si>
  <si>
    <t>31321215</t>
  </si>
  <si>
    <t>991000688499702656</t>
  </si>
  <si>
    <t>2258716390002656</t>
  </si>
  <si>
    <t>9780071054645</t>
  </si>
  <si>
    <t>30001002699678</t>
  </si>
  <si>
    <t>893831021</t>
  </si>
  <si>
    <t>WY 100 M489 1996</t>
  </si>
  <si>
    <t>0                      WY 0100000M  489         1996</t>
  </si>
  <si>
    <t>Medical-surgical nursing : assessment and management of clinical problems / [edited by] Sharon Mantik Lewis, Idolia Cox Collier, Margaret M. Heitkemper.</t>
  </si>
  <si>
    <t>St. Louis : Mosby, c1996.</t>
  </si>
  <si>
    <t>2004-10-19</t>
  </si>
  <si>
    <t>1997-01-17</t>
  </si>
  <si>
    <t>32822703</t>
  </si>
  <si>
    <t>991001808479702656</t>
  </si>
  <si>
    <t>2263989480002656</t>
  </si>
  <si>
    <t>9780815153016</t>
  </si>
  <si>
    <t>30001003474030</t>
  </si>
  <si>
    <t>893359219</t>
  </si>
  <si>
    <t>WY 100 M489 2000</t>
  </si>
  <si>
    <t>0                      WY 0100000M  489         2000</t>
  </si>
  <si>
    <t>Medical-surgical nursing : assessment and management of clinical problems / [edited by] Sharon Mantik Lewis, Margaret McLean Heitkemper, Shannon Ruff Dirksen.</t>
  </si>
  <si>
    <t>St. Louis, Mo. : Mosby, c2000.</t>
  </si>
  <si>
    <t>2007-03-20</t>
  </si>
  <si>
    <t>1999-12-17</t>
  </si>
  <si>
    <t>41327717</t>
  </si>
  <si>
    <t>991001799089702656</t>
  </si>
  <si>
    <t>2269848830002656</t>
  </si>
  <si>
    <t>9781556644306</t>
  </si>
  <si>
    <t>30001003831726</t>
  </si>
  <si>
    <t>893736959</t>
  </si>
  <si>
    <t>WY 100 M489 2000 Suppl.</t>
  </si>
  <si>
    <t>0                      WY 0100000M  489         2000                                        Suppl.</t>
  </si>
  <si>
    <t>Study guide to accompany Medical-surgical nursing : assessment and management of clinical problems / prepared by Patricia O'Brien.</t>
  </si>
  <si>
    <t>St. Louis : Mosby, 2000.</t>
  </si>
  <si>
    <t>2000-07-13</t>
  </si>
  <si>
    <t>2830431875:eng</t>
  </si>
  <si>
    <t>42793583</t>
  </si>
  <si>
    <t>991000634209702656</t>
  </si>
  <si>
    <t>2257014370002656</t>
  </si>
  <si>
    <t>9780323002585</t>
  </si>
  <si>
    <t>30001005218203</t>
  </si>
  <si>
    <t>893825252</t>
  </si>
  <si>
    <t>WY100 M489 2004</t>
  </si>
  <si>
    <t>0                      WY 0100000M  489         2004</t>
  </si>
  <si>
    <t>Medical-surgical nursing : assessment and management of clinical problems / [edited by] Sharon Mantik Lewis, Margaret McLean Heitkemper, Shannon Ruff Dirksen ; section editors, Patricia Graber O'Brien, Jean Foret Giddens, Linda Bucher.</t>
  </si>
  <si>
    <t>2007-06-25</t>
  </si>
  <si>
    <t>2003-08-26</t>
  </si>
  <si>
    <t>52086153</t>
  </si>
  <si>
    <t>991001724089702656</t>
  </si>
  <si>
    <t>2256729320002656</t>
  </si>
  <si>
    <t>9780323016100</t>
  </si>
  <si>
    <t>30001004505584</t>
  </si>
  <si>
    <t>893821546</t>
  </si>
  <si>
    <t>WY 100 M4895 1991</t>
  </si>
  <si>
    <t>0                      WY 0100000M  4895        1991</t>
  </si>
  <si>
    <t>Medical-surgical nursing : pathophysiological concepts / Maxine L. Patrick ... [et al.] ; with 81 contributors.</t>
  </si>
  <si>
    <t>1997-01-27</t>
  </si>
  <si>
    <t>1991-08-19</t>
  </si>
  <si>
    <t>836679070:eng</t>
  </si>
  <si>
    <t>21910877</t>
  </si>
  <si>
    <t>991000944689702656</t>
  </si>
  <si>
    <t>2267464000002656</t>
  </si>
  <si>
    <t>9780397547302</t>
  </si>
  <si>
    <t>30001002193409</t>
  </si>
  <si>
    <t>893450628</t>
  </si>
  <si>
    <t>WY 100 M4897 1999</t>
  </si>
  <si>
    <t>0                      WY 0100000M  4897        1999</t>
  </si>
  <si>
    <t>Medical-surgical nursing : total patient care / [edited by] Gail A. Harkness, Judith R. Dincher.</t>
  </si>
  <si>
    <t>St. Louis : Mobsy, c1999.</t>
  </si>
  <si>
    <t>10th ed.</t>
  </si>
  <si>
    <t>2000-09-07</t>
  </si>
  <si>
    <t>837000415:eng</t>
  </si>
  <si>
    <t>39981690</t>
  </si>
  <si>
    <t>991000782649702656</t>
  </si>
  <si>
    <t>2258399200002656</t>
  </si>
  <si>
    <t>9780323002479</t>
  </si>
  <si>
    <t>30001004070274</t>
  </si>
  <si>
    <t>893820251</t>
  </si>
  <si>
    <t>WY 100 M651f 1982</t>
  </si>
  <si>
    <t>0                      WY 0100000M  651f        1982</t>
  </si>
  <si>
    <t>Family systems theory in nursing practice / by Sally R. Miller and Patricia Winstead-Fry.</t>
  </si>
  <si>
    <t>Miller, Sally R.</t>
  </si>
  <si>
    <t>1990-12-18</t>
  </si>
  <si>
    <t>28593610:eng</t>
  </si>
  <si>
    <t>7555948</t>
  </si>
  <si>
    <t>991001086619702656</t>
  </si>
  <si>
    <t>2255739490002656</t>
  </si>
  <si>
    <t>9780835918503</t>
  </si>
  <si>
    <t>30001000259731</t>
  </si>
  <si>
    <t>893148853</t>
  </si>
  <si>
    <t>WY 100 M662s 1980</t>
  </si>
  <si>
    <t>0                      WY 0100000M  662s        1980</t>
  </si>
  <si>
    <t>Sexuality : a nursing perspective / Fern H. Mims, Melinda Swenson.</t>
  </si>
  <si>
    <t>Mims, Fern.</t>
  </si>
  <si>
    <t>1990-11-05</t>
  </si>
  <si>
    <t>425730756:eng</t>
  </si>
  <si>
    <t>5029672</t>
  </si>
  <si>
    <t>991001086719702656</t>
  </si>
  <si>
    <t>2271585190002656</t>
  </si>
  <si>
    <t>9780070423886</t>
  </si>
  <si>
    <t>30001000259749</t>
  </si>
  <si>
    <t>893552111</t>
  </si>
  <si>
    <t>WY 100 M689 1980</t>
  </si>
  <si>
    <t>0                      WY 0100000M  689         1980</t>
  </si>
  <si>
    <t>Models for cultural diversity in nursing : a process for change, final report / Marie Branch, project director; Pat Riley, project secretary.</t>
  </si>
  <si>
    <t>Branch, Marie Foster.</t>
  </si>
  <si>
    <t>Boulder, Colo. : Western Interstate Commission for Higher Education, 1978.</t>
  </si>
  <si>
    <t>14578217:eng</t>
  </si>
  <si>
    <t>4232176</t>
  </si>
  <si>
    <t>991001086799702656</t>
  </si>
  <si>
    <t>2262296500002656</t>
  </si>
  <si>
    <t>30001000259780</t>
  </si>
  <si>
    <t>893450861</t>
  </si>
  <si>
    <t>WY 100 M89448 1997</t>
  </si>
  <si>
    <t>0                      WY 0100000M  89448       1997</t>
  </si>
  <si>
    <t>Mosby's clinical nursing / June M. Thompson ... [et al.].</t>
  </si>
  <si>
    <t>2005-11-16</t>
  </si>
  <si>
    <t>364333804:eng</t>
  </si>
  <si>
    <t>36192085</t>
  </si>
  <si>
    <t>991001555999702656</t>
  </si>
  <si>
    <t>2269173210002656</t>
  </si>
  <si>
    <t>9780815188933</t>
  </si>
  <si>
    <t>30001003670645</t>
  </si>
  <si>
    <t>893633205</t>
  </si>
  <si>
    <t>WY 100 M894c 1981</t>
  </si>
  <si>
    <t>0                      WY 0100000M  894c        1981</t>
  </si>
  <si>
    <t>Mosby's comprehensive review of nursing.</t>
  </si>
  <si>
    <t>C.V. Mosby Company.</t>
  </si>
  <si>
    <t>1991-01-18</t>
  </si>
  <si>
    <t>373440805:eng</t>
  </si>
  <si>
    <t>6942204</t>
  </si>
  <si>
    <t>991001086859702656</t>
  </si>
  <si>
    <t>2257225680002656</t>
  </si>
  <si>
    <t>9780801635304</t>
  </si>
  <si>
    <t>30001000259848</t>
  </si>
  <si>
    <t>893740736</t>
  </si>
  <si>
    <t>WY 100 M895 1981</t>
  </si>
  <si>
    <t>0                      WY 0100000M  895         1981</t>
  </si>
  <si>
    <t>Mosby's Manual of clinical nursing procedures / by the staff of the Department of Nursing Service, University of California, San Francisco ; edited by Jane Hirsch, Leslie Hannock.</t>
  </si>
  <si>
    <t>26441585:eng</t>
  </si>
  <si>
    <t>7283882</t>
  </si>
  <si>
    <t>991000737319702656</t>
  </si>
  <si>
    <t>2270710710002656</t>
  </si>
  <si>
    <t>9780801635922</t>
  </si>
  <si>
    <t>30001000042145</t>
  </si>
  <si>
    <t>893368393</t>
  </si>
  <si>
    <t>WY100 M9825u 2000</t>
  </si>
  <si>
    <t>0                      WY 0100000M  9825u       2000</t>
  </si>
  <si>
    <t>Understanding the nursing process: in a changing care environment / Mary Ellen Murray, Leslie D. Atkinson ; illustrated by Mark Atkinson.</t>
  </si>
  <si>
    <t>Murray, Mary Ellen.</t>
  </si>
  <si>
    <t>New York : McGraw-Hill, Health Professions Division, c2000.</t>
  </si>
  <si>
    <t>2002-10-17</t>
  </si>
  <si>
    <t>9592849855:eng</t>
  </si>
  <si>
    <t>43114534</t>
  </si>
  <si>
    <t>991000321249702656</t>
  </si>
  <si>
    <t>2263552130002656</t>
  </si>
  <si>
    <t>9780071350785</t>
  </si>
  <si>
    <t>30001004442697</t>
  </si>
  <si>
    <t>893649781</t>
  </si>
  <si>
    <t>WY 100 M983n 1985</t>
  </si>
  <si>
    <t>0                      WY 0100000M  983n        1985</t>
  </si>
  <si>
    <t>Nursing concepts for health promotion / Ruth Beckmann Murray, Judith Proctor Zentner.</t>
  </si>
  <si>
    <t>Murray, Ruth Beckmann.</t>
  </si>
  <si>
    <t>1991-07-08</t>
  </si>
  <si>
    <t>2071246:eng</t>
  </si>
  <si>
    <t>11234439</t>
  </si>
  <si>
    <t>991001087059702656</t>
  </si>
  <si>
    <t>2261999310002656</t>
  </si>
  <si>
    <t>9780136273080</t>
  </si>
  <si>
    <t>30001000259939</t>
  </si>
  <si>
    <t>893460267</t>
  </si>
  <si>
    <t>WY 100 M983nb 1989</t>
  </si>
  <si>
    <t>0                      WY 0100000M  983nb       1989</t>
  </si>
  <si>
    <t>Nursing assessment and health promotion strategies through the life span / Ruth Beckmann Murray, Judith Proctor Zentner.</t>
  </si>
  <si>
    <t>1993-06-18</t>
  </si>
  <si>
    <t>3855983319:eng</t>
  </si>
  <si>
    <t>18191761</t>
  </si>
  <si>
    <t>991001251649702656</t>
  </si>
  <si>
    <t>2263436930002656</t>
  </si>
  <si>
    <t>9780838570067</t>
  </si>
  <si>
    <t>30001001679036</t>
  </si>
  <si>
    <t>893557723</t>
  </si>
  <si>
    <t>WY 100 M993 1982</t>
  </si>
  <si>
    <t>0                      WY 0100000M  993         1982</t>
  </si>
  <si>
    <t>Mutual goal setting in patient care / CURN Project ; principal investigator, Jo Anne Horsley ; the protocol manuscript ... prepared by Karen B. Haller, Margaret A. Reynolds.</t>
  </si>
  <si>
    <t>New York : Grune &amp; Stratton, c1982.</t>
  </si>
  <si>
    <t>1992-10-31</t>
  </si>
  <si>
    <t>356304669:eng</t>
  </si>
  <si>
    <t>7796946</t>
  </si>
  <si>
    <t>991001087099702656</t>
  </si>
  <si>
    <t>2266255530002656</t>
  </si>
  <si>
    <t>9780808914365</t>
  </si>
  <si>
    <t>30001000259970</t>
  </si>
  <si>
    <t>893450862</t>
  </si>
  <si>
    <t>WY 100 N527 1973</t>
  </si>
  <si>
    <t>0                      WY 0100000N  527         1973</t>
  </si>
  <si>
    <t>New directions in patient-centered nursing : guidelines for systems of service, education, and research / Faye G. Abdellah ... [et al.] ; Guest contributors: June T. Bailey ... [et al.].</t>
  </si>
  <si>
    <t>New York : Macmillan, 1973</t>
  </si>
  <si>
    <t>2005-08-29</t>
  </si>
  <si>
    <t>398301:eng</t>
  </si>
  <si>
    <t>632012</t>
  </si>
  <si>
    <t>991001148339702656</t>
  </si>
  <si>
    <t>2260819220002656</t>
  </si>
  <si>
    <t>30001000295024</t>
  </si>
  <si>
    <t>893740814</t>
  </si>
  <si>
    <t>WY 100 N5455u 1996</t>
  </si>
  <si>
    <t>0                      WY 0100000N  5455u       1996</t>
  </si>
  <si>
    <t>Using nursing case management to improve health outcomes / Michael Newell.</t>
  </si>
  <si>
    <t>Newell, Michael.</t>
  </si>
  <si>
    <t>Gaithersburg, Md. : Aspen Publishers, 1996.</t>
  </si>
  <si>
    <t>2002-10-23</t>
  </si>
  <si>
    <t>1997-02-14</t>
  </si>
  <si>
    <t>37308078:eng</t>
  </si>
  <si>
    <t>35716888</t>
  </si>
  <si>
    <t>991000855219702656</t>
  </si>
  <si>
    <t>22136059420002656</t>
  </si>
  <si>
    <t>9780834206236</t>
  </si>
  <si>
    <t>30001003474840</t>
  </si>
  <si>
    <t>893637693</t>
  </si>
  <si>
    <t>WY 100 N864c 1988</t>
  </si>
  <si>
    <t>0                      WY 0100000N  864c        1988</t>
  </si>
  <si>
    <t>Classification of nursing diagnoses : proceedings of the Eighth Conference, North American Nursing Diagnosis Association / edited by Rose Mary Carroll-Johnson.</t>
  </si>
  <si>
    <t>North American Nursing Diagnosis Association. Conference (8th : 1988 : Saint Louis, Mo.)</t>
  </si>
  <si>
    <t>Philadelphia : Lippincott, c1989.</t>
  </si>
  <si>
    <t>364349463:eng</t>
  </si>
  <si>
    <t>19266643</t>
  </si>
  <si>
    <t>991001242879702656</t>
  </si>
  <si>
    <t>2264575010002656</t>
  </si>
  <si>
    <t>9780397547364</t>
  </si>
  <si>
    <t>30001001676149</t>
  </si>
  <si>
    <t>893278898</t>
  </si>
  <si>
    <t>WY 100 N9712 1996</t>
  </si>
  <si>
    <t>0                      WY 0100000N  9712        1996</t>
  </si>
  <si>
    <t>Nurse case management in the 21st century / [edited by] Elaine L. Cohen.</t>
  </si>
  <si>
    <t>2000-01-18</t>
  </si>
  <si>
    <t>37477097:eng</t>
  </si>
  <si>
    <t>33161836</t>
  </si>
  <si>
    <t>991001557889702656</t>
  </si>
  <si>
    <t>2261899080002656</t>
  </si>
  <si>
    <t>9780815115182</t>
  </si>
  <si>
    <t>30001003669662</t>
  </si>
  <si>
    <t>893541508</t>
  </si>
  <si>
    <t>WY 100 N97324 2004</t>
  </si>
  <si>
    <t>0                      WY 0100000N  97324       2004</t>
  </si>
  <si>
    <t>Nursing fundamentals : caring &amp; clinical decision making / [edited by] Rick Daniels.</t>
  </si>
  <si>
    <t>Australia ; Clifton Park, NY : Delmar Learning, c2004.</t>
  </si>
  <si>
    <t>2006-12-11</t>
  </si>
  <si>
    <t>815109869:eng</t>
  </si>
  <si>
    <t>52766354</t>
  </si>
  <si>
    <t>991001746419702656</t>
  </si>
  <si>
    <t>2263956390002656</t>
  </si>
  <si>
    <t>9780766838369</t>
  </si>
  <si>
    <t>30001005190477</t>
  </si>
  <si>
    <t>893826996</t>
  </si>
  <si>
    <t>WY100 N97327 2004</t>
  </si>
  <si>
    <t>0                      WY 0100000N  97327       2004</t>
  </si>
  <si>
    <t>Nursing interventions &amp; clinical skills / Martha Keene Elkin, Anne Griffin Perry, Patricia A. Potter.</t>
  </si>
  <si>
    <t>2006-02-07</t>
  </si>
  <si>
    <t>2006-01-26</t>
  </si>
  <si>
    <t>52800871</t>
  </si>
  <si>
    <t>991000458699702656</t>
  </si>
  <si>
    <t>2266270760002656</t>
  </si>
  <si>
    <t>9780323022019</t>
  </si>
  <si>
    <t>30001004912426</t>
  </si>
  <si>
    <t>893447357</t>
  </si>
  <si>
    <t>WY100 N9734 2000</t>
  </si>
  <si>
    <t>0                      WY 0100000N  9734        2000</t>
  </si>
  <si>
    <t>Nursing outcomes classification (NOC) / editors, Marion Johnson, Meridean Maas, Sue Moorhead ; authors, Iowa Outcomes Project, Marion Johnson ... [et al.].</t>
  </si>
  <si>
    <t>2003-02-17</t>
  </si>
  <si>
    <t>4927363002:eng</t>
  </si>
  <si>
    <t>41945021</t>
  </si>
  <si>
    <t>991000319179702656</t>
  </si>
  <si>
    <t>2272099180002656</t>
  </si>
  <si>
    <t>9780323008938</t>
  </si>
  <si>
    <t>30001004239614</t>
  </si>
  <si>
    <t>893122970</t>
  </si>
  <si>
    <t>WY 100 N97416 1996</t>
  </si>
  <si>
    <t>0                      WY 0100000N  97416       1996</t>
  </si>
  <si>
    <t>Nurses and family health promotion : concepts, assessment, and interventions / [edited by] Perri J. Bomar.</t>
  </si>
  <si>
    <t>Philadelphia : W.B. Saunders, c1996.</t>
  </si>
  <si>
    <t>898827491:eng</t>
  </si>
  <si>
    <t>32589515</t>
  </si>
  <si>
    <t>991000835709702656</t>
  </si>
  <si>
    <t>2260941250002656</t>
  </si>
  <si>
    <t>9780721637952</t>
  </si>
  <si>
    <t>30001003441708</t>
  </si>
  <si>
    <t>893368735</t>
  </si>
  <si>
    <t>WY 100 N9743 1987</t>
  </si>
  <si>
    <t>0                      WY 0100000N  9743        1987</t>
  </si>
  <si>
    <t>Nursing and health : maximizing human potential throughout the life cycle / [edited by] Louise P. Gallagher, Maryhelen Cole Kreidler.</t>
  </si>
  <si>
    <t>1992-09-28</t>
  </si>
  <si>
    <t>372377032:eng</t>
  </si>
  <si>
    <t>16005697</t>
  </si>
  <si>
    <t>991001540139702656</t>
  </si>
  <si>
    <t>2264987250002656</t>
  </si>
  <si>
    <t>9780838570388</t>
  </si>
  <si>
    <t>30001000624827</t>
  </si>
  <si>
    <t>893451325</t>
  </si>
  <si>
    <t>WY 100 N9745 1989</t>
  </si>
  <si>
    <t>0                      WY 0100000N  9745        1989</t>
  </si>
  <si>
    <t>Nursing care plans : guidelines for planning patient care / Marilynn E. Doenges ... [et al.].</t>
  </si>
  <si>
    <t>Philadelphia : Davis, c1989.</t>
  </si>
  <si>
    <t>Ed. 2.</t>
  </si>
  <si>
    <t>1999-11-03</t>
  </si>
  <si>
    <t>1990-05-24</t>
  </si>
  <si>
    <t>3901123114:eng</t>
  </si>
  <si>
    <t>18107258</t>
  </si>
  <si>
    <t>991001448709702656</t>
  </si>
  <si>
    <t>2254712130002656</t>
  </si>
  <si>
    <t>9780803626614</t>
  </si>
  <si>
    <t>30001001882002</t>
  </si>
  <si>
    <t>893732036</t>
  </si>
  <si>
    <t>WY 100 N9749 1979</t>
  </si>
  <si>
    <t>0                      WY 0100000N  9749        1979</t>
  </si>
  <si>
    <t>Nursing service in a specialty, a rural, and an urban hospital.</t>
  </si>
  <si>
    <t>NLN pub. no. 20-1720</t>
  </si>
  <si>
    <t>2001-09-24</t>
  </si>
  <si>
    <t>18852464:eng</t>
  </si>
  <si>
    <t>5674461</t>
  </si>
  <si>
    <t>991001385069702656</t>
  </si>
  <si>
    <t>2256408690002656</t>
  </si>
  <si>
    <t>30001000463556</t>
  </si>
  <si>
    <t>893274064</t>
  </si>
  <si>
    <t>WY 100 N974c 1973</t>
  </si>
  <si>
    <t>0                      WY 0100000N  974c        1973</t>
  </si>
  <si>
    <t>Concept formalization in nursing : process and product / by the Nursing Development Conference Group.</t>
  </si>
  <si>
    <t>Nursing Development Conference Group.</t>
  </si>
  <si>
    <t>Boston : Little, Brown, c1973.</t>
  </si>
  <si>
    <t>-- [1st ed.] --</t>
  </si>
  <si>
    <t>1988-02-29</t>
  </si>
  <si>
    <t>1635099:eng</t>
  </si>
  <si>
    <t>609202</t>
  </si>
  <si>
    <t>991001148369702656</t>
  </si>
  <si>
    <t>2254813410002656</t>
  </si>
  <si>
    <t>30001000295032</t>
  </si>
  <si>
    <t>893820989</t>
  </si>
  <si>
    <t>WY 100 N974c 1979</t>
  </si>
  <si>
    <t>0                      WY 0100000N  974c        1979</t>
  </si>
  <si>
    <t>Concept formalization in nursing : process and product / by the Nursing Development Conference Group ; edited by Dorothea E. Orem.</t>
  </si>
  <si>
    <t>Boston : Little, Brown, c1979.</t>
  </si>
  <si>
    <t>5684589</t>
  </si>
  <si>
    <t>991001148409702656</t>
  </si>
  <si>
    <t>2266432270002656</t>
  </si>
  <si>
    <t>9780316614214</t>
  </si>
  <si>
    <t>30001000295040</t>
  </si>
  <si>
    <t>893121205</t>
  </si>
  <si>
    <t>WY 100 N97523 1999</t>
  </si>
  <si>
    <t>0                      WY 0100000N  97523       1999</t>
  </si>
  <si>
    <t>Nursing interventions : effective nursing treatments / [edited by] Gloria M. Bulechek, Joanne C. McCloskey.</t>
  </si>
  <si>
    <t>2002-03-01</t>
  </si>
  <si>
    <t>9621773228:eng</t>
  </si>
  <si>
    <t>40120328</t>
  </si>
  <si>
    <t>991001441699702656</t>
  </si>
  <si>
    <t>2264406700002656</t>
  </si>
  <si>
    <t>9780721677248</t>
  </si>
  <si>
    <t>30001003882521</t>
  </si>
  <si>
    <t>893743786</t>
  </si>
  <si>
    <t>WY 100 N9753 1989</t>
  </si>
  <si>
    <t>0                      WY 0100000N  9753        1989</t>
  </si>
  <si>
    <t>Nursing diagnosis &amp; intervention : planning for patient care / [edited by] Gertrude K. McFarland, Elizabeth A. McFarlane.</t>
  </si>
  <si>
    <t>1999-11-14</t>
  </si>
  <si>
    <t>1989-09-14</t>
  </si>
  <si>
    <t>836900739:eng</t>
  </si>
  <si>
    <t>19125513</t>
  </si>
  <si>
    <t>991001321909702656</t>
  </si>
  <si>
    <t>2269598320002656</t>
  </si>
  <si>
    <t>9780801632228</t>
  </si>
  <si>
    <t>30001001753799</t>
  </si>
  <si>
    <t>893451085</t>
  </si>
  <si>
    <t>WY 100 N97539 1997</t>
  </si>
  <si>
    <t>0                      WY 0100000N  97539       1997</t>
  </si>
  <si>
    <t>Nursing practice and outcomes measurement / the Joint Commission.</t>
  </si>
  <si>
    <t>Oakbrook Terrace, IL : Joint Commission on Accreditation of Healthcare Organizations, c1997.</t>
  </si>
  <si>
    <t>40154391:eng</t>
  </si>
  <si>
    <t>35657911</t>
  </si>
  <si>
    <t>991001563499702656</t>
  </si>
  <si>
    <t>2256887480002656</t>
  </si>
  <si>
    <t>9780866884990</t>
  </si>
  <si>
    <t>30001003605039</t>
  </si>
  <si>
    <t>893826871</t>
  </si>
  <si>
    <t>WY 100 N976 1978</t>
  </si>
  <si>
    <t>0                      WY 0100000N  976         1978</t>
  </si>
  <si>
    <t>The nursing process : assessing, planning, implementing, evaluating / Helen Yura, Mary B. Walsh.</t>
  </si>
  <si>
    <t>-- New York : Appleton-Century-Crofts, 1978.</t>
  </si>
  <si>
    <t>-- 3d ed.</t>
  </si>
  <si>
    <t>1989-07-09</t>
  </si>
  <si>
    <t>1690448:eng</t>
  </si>
  <si>
    <t>3904794</t>
  </si>
  <si>
    <t>991001148479702656</t>
  </si>
  <si>
    <t>2261949570002656</t>
  </si>
  <si>
    <t>9780838570326</t>
  </si>
  <si>
    <t>30001000295065</t>
  </si>
  <si>
    <t>893638077</t>
  </si>
  <si>
    <t>WY 100 N976 1979</t>
  </si>
  <si>
    <t>0                      WY 0100000N  976         1979</t>
  </si>
  <si>
    <t>The nursing process : a humanistic approach / Elaine Lynne La Monica.</t>
  </si>
  <si>
    <t>Menlo Park, Calif. : Addison-Wesley Pub. Co., Medical/Nursing Division, c1979.</t>
  </si>
  <si>
    <t>425582427:eng</t>
  </si>
  <si>
    <t>4639119</t>
  </si>
  <si>
    <t>991000737289702656</t>
  </si>
  <si>
    <t>2255454580002656</t>
  </si>
  <si>
    <t>9780201041385</t>
  </si>
  <si>
    <t>30001000042111</t>
  </si>
  <si>
    <t>893286912</t>
  </si>
  <si>
    <t>WY 100 O66n 1995</t>
  </si>
  <si>
    <t>0                      WY 0100000O  66n         1995</t>
  </si>
  <si>
    <t>Nursing : concepts of practice / Dorothea E. Orem ; with a contributed chapter by Susan G. Taylor and Kathie McLaughlin Renpenning.</t>
  </si>
  <si>
    <t>Orem, Dorothea E. (Dorothea Elizabeth), 1914-2007.</t>
  </si>
  <si>
    <t>1997-09-29</t>
  </si>
  <si>
    <t>4543218:eng</t>
  </si>
  <si>
    <t>31737359</t>
  </si>
  <si>
    <t>991001138439702656</t>
  </si>
  <si>
    <t>2263553910002656</t>
  </si>
  <si>
    <t>9780815165521</t>
  </si>
  <si>
    <t>30001003627751</t>
  </si>
  <si>
    <t>893541047</t>
  </si>
  <si>
    <t>WY 100 O74e 1983</t>
  </si>
  <si>
    <t>0                      WY 0100000O  74e         1983</t>
  </si>
  <si>
    <t>Ethnic nursing care : a multicultural approach / Modesta Soberano Orque, Bobbie Bloch, Lidia S. Ahumada Monrroy.</t>
  </si>
  <si>
    <t>Orque, Modesta Soberano.</t>
  </si>
  <si>
    <t>196504330:eng</t>
  </si>
  <si>
    <t>8475542</t>
  </si>
  <si>
    <t>991000737249702656</t>
  </si>
  <si>
    <t>2271480790002656</t>
  </si>
  <si>
    <t>9780801637421</t>
  </si>
  <si>
    <t>30001000042095</t>
  </si>
  <si>
    <t>893283580</t>
  </si>
  <si>
    <t>WY 100 P144 1985</t>
  </si>
  <si>
    <t>0                      WY 0100000P  144         1985</t>
  </si>
  <si>
    <t>Pain.</t>
  </si>
  <si>
    <t>Springhouse, Pa. : Springhouse Corp., c1985.</t>
  </si>
  <si>
    <t>Nursing now</t>
  </si>
  <si>
    <t>1992-02-15</t>
  </si>
  <si>
    <t>54682629:eng</t>
  </si>
  <si>
    <t>11519030</t>
  </si>
  <si>
    <t>991000771349702656</t>
  </si>
  <si>
    <t>2261781230002656</t>
  </si>
  <si>
    <t>9780916730819</t>
  </si>
  <si>
    <t>30001002062208</t>
  </si>
  <si>
    <t>893459806</t>
  </si>
  <si>
    <t>WY100 P2937 2003</t>
  </si>
  <si>
    <t>0                      WY 0100000P  2937        2003</t>
  </si>
  <si>
    <t>Pathophysiological phenomena in nursing : human responses to illness / Virginia Carrieri-Kohlman, Ada M. Lindsey, Claudia M. West.</t>
  </si>
  <si>
    <t>Philadelphia : Saunders, c2003.</t>
  </si>
  <si>
    <t>2003-11-04</t>
  </si>
  <si>
    <t>836751191:eng</t>
  </si>
  <si>
    <t>50598137</t>
  </si>
  <si>
    <t>991000360079702656</t>
  </si>
  <si>
    <t>2265942830002656</t>
  </si>
  <si>
    <t>9780721684536</t>
  </si>
  <si>
    <t>30001004507630</t>
  </si>
  <si>
    <t>893644315</t>
  </si>
  <si>
    <t>WY 100 P294 1997</t>
  </si>
  <si>
    <t>0                      WY 0100000P  294         1997</t>
  </si>
  <si>
    <t>Pathways of care / edited by Sue Johnson.</t>
  </si>
  <si>
    <t>Cambridge, MA : Blackwell Science, c1997.</t>
  </si>
  <si>
    <t>56080833:eng</t>
  </si>
  <si>
    <t>34996153</t>
  </si>
  <si>
    <t>991000783719702656</t>
  </si>
  <si>
    <t>2267640250002656</t>
  </si>
  <si>
    <t>9780632040766</t>
  </si>
  <si>
    <t>30001004071033</t>
  </si>
  <si>
    <t>893815434</t>
  </si>
  <si>
    <t>WY 100 P295 1976</t>
  </si>
  <si>
    <t>0                      WY 0100000P  295         1976</t>
  </si>
  <si>
    <t>Pathways to quality care.</t>
  </si>
  <si>
    <t>NLN pub. no. 20-1636</t>
  </si>
  <si>
    <t>6642278:eng</t>
  </si>
  <si>
    <t>2968286</t>
  </si>
  <si>
    <t>991001384739702656</t>
  </si>
  <si>
    <t>2265631860002656</t>
  </si>
  <si>
    <t>30001000463499</t>
  </si>
  <si>
    <t>893161927</t>
  </si>
  <si>
    <t>WY 100 P297 1988</t>
  </si>
  <si>
    <t>0                      WY 0100000P  297         1988</t>
  </si>
  <si>
    <t>Patient care standards : nursing process, diagnosis, and outcome / Susan Martin Tucker ... [et al.].</t>
  </si>
  <si>
    <t>2008-03-04</t>
  </si>
  <si>
    <t>3943313874:eng</t>
  </si>
  <si>
    <t>16802357</t>
  </si>
  <si>
    <t>991001189519702656</t>
  </si>
  <si>
    <t>2262097650002656</t>
  </si>
  <si>
    <t>9780801651335</t>
  </si>
  <si>
    <t>30001000979015</t>
  </si>
  <si>
    <t>893369182</t>
  </si>
  <si>
    <t>WY 100 P297 1996</t>
  </si>
  <si>
    <t>0                      WY 0100000P  297         1996</t>
  </si>
  <si>
    <t>Patient care standards : collaborative practice planning guides / Susan Martin Tucker ... [et al.].</t>
  </si>
  <si>
    <t>St. Louis, Mo. : Mosby Year Book, c1996.</t>
  </si>
  <si>
    <t>2000-04-22</t>
  </si>
  <si>
    <t>1997-06-04</t>
  </si>
  <si>
    <t>3901555040:eng</t>
  </si>
  <si>
    <t>33838228</t>
  </si>
  <si>
    <t>991001249589702656</t>
  </si>
  <si>
    <t>2259444800002656</t>
  </si>
  <si>
    <t>9780815188568</t>
  </si>
  <si>
    <t>30001003682558</t>
  </si>
  <si>
    <t>893273932</t>
  </si>
  <si>
    <t>WY100 P297 2000</t>
  </si>
  <si>
    <t>0                      WY 0100000P  297         2000</t>
  </si>
  <si>
    <t>Patient care standards : collaborative planning and nursing interventions / Susan Martin Tucker ... [et al.].</t>
  </si>
  <si>
    <t>1881846255:eng</t>
  </si>
  <si>
    <t>42022650</t>
  </si>
  <si>
    <t>991000313279702656</t>
  </si>
  <si>
    <t>2266258290002656</t>
  </si>
  <si>
    <t>9780323009966</t>
  </si>
  <si>
    <t>30001004238764</t>
  </si>
  <si>
    <t>893375468</t>
  </si>
  <si>
    <t>WY 100 P2975 1990</t>
  </si>
  <si>
    <t>0                      WY 0100000P  2975        1990</t>
  </si>
  <si>
    <t>Patient care delivery models / edited by Gloria Gilbert Mayer, Mary Jane Madden, Eunice Lawrenz.</t>
  </si>
  <si>
    <t>2002-09-26</t>
  </si>
  <si>
    <t>1991-09-18</t>
  </si>
  <si>
    <t>22163380:eng</t>
  </si>
  <si>
    <t>20220542</t>
  </si>
  <si>
    <t>991000947389702656</t>
  </si>
  <si>
    <t>2255322140002656</t>
  </si>
  <si>
    <t>9780834200975</t>
  </si>
  <si>
    <t>30001002194159</t>
  </si>
  <si>
    <t>893284165</t>
  </si>
  <si>
    <t>WY 100 P298 1960</t>
  </si>
  <si>
    <t>0                      WY 0100000P  298         1960</t>
  </si>
  <si>
    <t>Patient-centered approaches to nursing / Faye G. Abdellah ... [et al.].</t>
  </si>
  <si>
    <t>New York : Macmillan, c1960.</t>
  </si>
  <si>
    <t>1653674:eng</t>
  </si>
  <si>
    <t>710704</t>
  </si>
  <si>
    <t>991000737179702656</t>
  </si>
  <si>
    <t>2262496480002656</t>
  </si>
  <si>
    <t>30001000042079</t>
  </si>
  <si>
    <t>893450171</t>
  </si>
  <si>
    <t>WY 100 P739 1984</t>
  </si>
  <si>
    <t>0                      WY 0100000P  739         1984</t>
  </si>
  <si>
    <t>Pocket guide to nursing diagnoses / edited by Mi Ja Kim, Gertrude K. McFarland, Audrey M. McLane.</t>
  </si>
  <si>
    <t>351417363:eng</t>
  </si>
  <si>
    <t>10123637</t>
  </si>
  <si>
    <t>991000737069702656</t>
  </si>
  <si>
    <t>2266236250002656</t>
  </si>
  <si>
    <t>9780801626722</t>
  </si>
  <si>
    <t>30001000042046</t>
  </si>
  <si>
    <t>893637254</t>
  </si>
  <si>
    <t>WY 100 P868f 1997</t>
  </si>
  <si>
    <t>0                      WY 0100000P  868f        1997</t>
  </si>
  <si>
    <t>Fundamentals of nursing : concepts, process, and practice / Patricia A. Potter, Anne Griffin Perry.</t>
  </si>
  <si>
    <t>Potter, Patricia Ann.</t>
  </si>
  <si>
    <t>2000-04-27</t>
  </si>
  <si>
    <t>4922000618:eng</t>
  </si>
  <si>
    <t>34663327</t>
  </si>
  <si>
    <t>991000901099702656</t>
  </si>
  <si>
    <t>2262697380002656</t>
  </si>
  <si>
    <t>9780815169093</t>
  </si>
  <si>
    <t>30001004176279</t>
  </si>
  <si>
    <t>893820713</t>
  </si>
  <si>
    <t>WY100 P868f 2005</t>
  </si>
  <si>
    <t>0                      WY 0100000P  868f        2005</t>
  </si>
  <si>
    <t>Fundamentals of nursing / Patricia A. Potter, Anne Griffin Perry.</t>
  </si>
  <si>
    <t>St. Louis, Mo. : Elsevier Mosby, c2005.</t>
  </si>
  <si>
    <t>55686932</t>
  </si>
  <si>
    <t>991001728439702656</t>
  </si>
  <si>
    <t>2256817870002656</t>
  </si>
  <si>
    <t>9780323025867</t>
  </si>
  <si>
    <t>30001005230307</t>
  </si>
  <si>
    <t>893552709</t>
  </si>
  <si>
    <t>WY 100 P886c 2000</t>
  </si>
  <si>
    <t>0                      WY 0100000P  886c        2000</t>
  </si>
  <si>
    <t>Case management : a practical guide to success in managed care / Suzanne K. Powell.</t>
  </si>
  <si>
    <t>Powell, Suzanne K.</t>
  </si>
  <si>
    <t>2003-11-14</t>
  </si>
  <si>
    <t>796302971:eng</t>
  </si>
  <si>
    <t>41982276</t>
  </si>
  <si>
    <t>991001410269702656</t>
  </si>
  <si>
    <t>2261315030002656</t>
  </si>
  <si>
    <t>9780781718837</t>
  </si>
  <si>
    <t>30001003831056</t>
  </si>
  <si>
    <t>893826731</t>
  </si>
  <si>
    <t>WY 100 P886n 1996</t>
  </si>
  <si>
    <t>0                      WY 0100000P  886n        1996</t>
  </si>
  <si>
    <t>Nursing case management : a practical guide to success in managed care / Suzanne K. Powell, in consultation with Patty M. Wekell.</t>
  </si>
  <si>
    <t>Philadelphia : Lippincott₋Raven, c1996.</t>
  </si>
  <si>
    <t>2005-09-26</t>
  </si>
  <si>
    <t>32823979</t>
  </si>
  <si>
    <t>991001557849702656</t>
  </si>
  <si>
    <t>2262085820002656</t>
  </si>
  <si>
    <t>9780397552344</t>
  </si>
  <si>
    <t>30001003669647</t>
  </si>
  <si>
    <t>893826863</t>
  </si>
  <si>
    <t>WY 100 P963 1961</t>
  </si>
  <si>
    <t>0                      WY 0100000P  963         1961</t>
  </si>
  <si>
    <t>A process for identifying essential content in nursing / developed by a Subcommittee on Maternal and Child Nursing Content.</t>
  </si>
  <si>
    <t>New York : National League for Nursing, 1961.</t>
  </si>
  <si>
    <t>NLN pub. no. 15-832</t>
  </si>
  <si>
    <t>6631284:eng</t>
  </si>
  <si>
    <t>2920438</t>
  </si>
  <si>
    <t>991001364419702656</t>
  </si>
  <si>
    <t>2263578470002656</t>
  </si>
  <si>
    <t>30001000461162</t>
  </si>
  <si>
    <t>893741072</t>
  </si>
  <si>
    <t>WY 100 P965 1989</t>
  </si>
  <si>
    <t>0                      WY 0100000P  965         1989</t>
  </si>
  <si>
    <t>Promoting wellness : a nurse's handbook / edited by Patricia A. Swinford, Judith A. Webster.</t>
  </si>
  <si>
    <t>Rockville, Md. : Aspen Publishers, 1989 [1988 printing]</t>
  </si>
  <si>
    <t>1998-11-03</t>
  </si>
  <si>
    <t>867077182:eng</t>
  </si>
  <si>
    <t>18379013</t>
  </si>
  <si>
    <t>991001449839702656</t>
  </si>
  <si>
    <t>2260236620002656</t>
  </si>
  <si>
    <t>9780834200005</t>
  </si>
  <si>
    <t>30001001882598</t>
  </si>
  <si>
    <t>893816425</t>
  </si>
  <si>
    <t>WY 100 P969 1976</t>
  </si>
  <si>
    <t>0                      WY 0100000P  969         1976</t>
  </si>
  <si>
    <t>Providing safe nursing care for ethnic people of color / editors, Marie Foster Branch, Phyllis Perry Paxton ; foreword by Barbara Rhodes.</t>
  </si>
  <si>
    <t>New York : Appleton-Century-Crofts, c1976.</t>
  </si>
  <si>
    <t>4187380:eng</t>
  </si>
  <si>
    <t>2091445</t>
  </si>
  <si>
    <t>991000736979702656</t>
  </si>
  <si>
    <t>2269276090002656</t>
  </si>
  <si>
    <t>9780838579435</t>
  </si>
  <si>
    <t>30001000042020</t>
  </si>
  <si>
    <t>893362945</t>
  </si>
  <si>
    <t>WY 100 P993g 1978</t>
  </si>
  <si>
    <t>0                      WY 0100000P  993g        1978</t>
  </si>
  <si>
    <t>General systems theory applied to nursing / Arlene M. Putt.</t>
  </si>
  <si>
    <t>Putt, Arlene M.</t>
  </si>
  <si>
    <t>Boston : Little, Brown, c1978.</t>
  </si>
  <si>
    <t>1994-03-16</t>
  </si>
  <si>
    <t>448656:eng</t>
  </si>
  <si>
    <t>4291969</t>
  </si>
  <si>
    <t>991000737009702656</t>
  </si>
  <si>
    <t>2270603150002656</t>
  </si>
  <si>
    <t>9780316723008</t>
  </si>
  <si>
    <t>30001000042038</t>
  </si>
  <si>
    <t>893357460</t>
  </si>
  <si>
    <t>WY 100 Q104 1975</t>
  </si>
  <si>
    <t>0                      WY 0100000Q  104         1975</t>
  </si>
  <si>
    <t>Quality assurance : a joint venture : papers presented at an open forum / sponsored by the Council of Baccalaureate and Higher Degree Programs, the Council of Home Health Agencies and Community Health Services, and the Council of Hospital and Related Institutional Nursing Services at the 1975 NLN Convention, New Orleans ; chairperson, Mary Woody.</t>
  </si>
  <si>
    <t>NLN pub. no. 15-1595</t>
  </si>
  <si>
    <t>3943360869:eng</t>
  </si>
  <si>
    <t>14434452</t>
  </si>
  <si>
    <t>991001368999702656</t>
  </si>
  <si>
    <t>2264183000002656</t>
  </si>
  <si>
    <t>30001000461568</t>
  </si>
  <si>
    <t>893451116</t>
  </si>
  <si>
    <t>WY 100 R167a 1984</t>
  </si>
  <si>
    <t>0                      WY 0100000R  167a        1984</t>
  </si>
  <si>
    <t>Adaptation nursing : assessment and intervention / by Beverly J. Rambo.</t>
  </si>
  <si>
    <t>Rambo, Beverly J.</t>
  </si>
  <si>
    <t>Philadelphia, Pa. : Saunders, c1984.</t>
  </si>
  <si>
    <t>1994-12-08</t>
  </si>
  <si>
    <t>375241212:eng</t>
  </si>
  <si>
    <t>9197951</t>
  </si>
  <si>
    <t>991001149129702656</t>
  </si>
  <si>
    <t>2266630040002656</t>
  </si>
  <si>
    <t>9780721610481</t>
  </si>
  <si>
    <t>30001000295370</t>
  </si>
  <si>
    <t>893134289</t>
  </si>
  <si>
    <t>WY 100 R175c 2006</t>
  </si>
  <si>
    <t>0                      WY 0100000R  175c        2006</t>
  </si>
  <si>
    <t>Comprehensive nursing care / Roberta Pavy Ramont, Dolores Maldonado Niedringhaus, Mary Ann Towle.</t>
  </si>
  <si>
    <t>Ramont, Roberta Pavy.</t>
  </si>
  <si>
    <t>Upper Saddle River, N.J. : Pearson Prentice Hall, 2005.</t>
  </si>
  <si>
    <t>2007-01-22</t>
  </si>
  <si>
    <t>872264:eng</t>
  </si>
  <si>
    <t>60245535</t>
  </si>
  <si>
    <t>991000585239702656</t>
  </si>
  <si>
    <t>2269042140002656</t>
  </si>
  <si>
    <t>9780130990884</t>
  </si>
  <si>
    <t>30001005175361</t>
  </si>
  <si>
    <t>893117905</t>
  </si>
  <si>
    <t>WY 100 R188a 1982</t>
  </si>
  <si>
    <t>0                      WY 0100000R  188a        1982</t>
  </si>
  <si>
    <t>Adaptation nursing : the Roy conceptual model applied / Brooke Randell, Mary Tedrow Poush, Joyce Van Landingham.</t>
  </si>
  <si>
    <t>Randell, Brooke.</t>
  </si>
  <si>
    <t>1996-10-24</t>
  </si>
  <si>
    <t>308058993:eng</t>
  </si>
  <si>
    <t>7998406</t>
  </si>
  <si>
    <t>991001149169702656</t>
  </si>
  <si>
    <t>2271108630002656</t>
  </si>
  <si>
    <t>9780801640247</t>
  </si>
  <si>
    <t>30001000295396</t>
  </si>
  <si>
    <t>893740815</t>
  </si>
  <si>
    <t>WY100 R211p 2001</t>
  </si>
  <si>
    <t>0                      WY 0100000R  211p        2001</t>
  </si>
  <si>
    <t>Patient education : principles &amp; practice / Sally H. Rankin, Karen Duffy Stallings.</t>
  </si>
  <si>
    <t>Rankin, Sally H.</t>
  </si>
  <si>
    <t>Philadelphia, PA : Lippincott, c2001.</t>
  </si>
  <si>
    <t>2007-07-08</t>
  </si>
  <si>
    <t>22665325:eng</t>
  </si>
  <si>
    <t>44979687</t>
  </si>
  <si>
    <t>991001713389702656</t>
  </si>
  <si>
    <t>2267068930002656</t>
  </si>
  <si>
    <t>9780781720229</t>
  </si>
  <si>
    <t>30001004237550</t>
  </si>
  <si>
    <t>893285012</t>
  </si>
  <si>
    <t>WY100 R211p 2005</t>
  </si>
  <si>
    <t>0                      WY 0100000R  211p        2005</t>
  </si>
  <si>
    <t>Patient education in health and illness / Sally H. Rankin, Karen Duffy Stallings, Fran London.</t>
  </si>
  <si>
    <t>2006-09-06</t>
  </si>
  <si>
    <t>2005-01-21</t>
  </si>
  <si>
    <t>2260986714:eng</t>
  </si>
  <si>
    <t>55634046</t>
  </si>
  <si>
    <t>991001732189702656</t>
  </si>
  <si>
    <t>2267665540002656</t>
  </si>
  <si>
    <t>9780781748490</t>
  </si>
  <si>
    <t>30001004926624</t>
  </si>
  <si>
    <t>893652123</t>
  </si>
  <si>
    <t>WY 100 R287 1993</t>
  </si>
  <si>
    <t>0                      WY 0100000R  287         1993</t>
  </si>
  <si>
    <t>Readings in family nursing / edited by Gail D. Wegner, Rinda J. Alexander.</t>
  </si>
  <si>
    <t>1994-07-23</t>
  </si>
  <si>
    <t>1993-02-25</t>
  </si>
  <si>
    <t>355451686:eng</t>
  </si>
  <si>
    <t>27144027</t>
  </si>
  <si>
    <t>991001431499702656</t>
  </si>
  <si>
    <t>2255101370002656</t>
  </si>
  <si>
    <t>9780397550333</t>
  </si>
  <si>
    <t>30001002529362</t>
  </si>
  <si>
    <t>893465517</t>
  </si>
  <si>
    <t>WY 100 R318c 1983</t>
  </si>
  <si>
    <t>0                      WY 0100000R  318c        1983</t>
  </si>
  <si>
    <t>Concepts and case studies in nursing : a life cycle approach / Gertrude T. Redmond, Frances Ouellette.</t>
  </si>
  <si>
    <t>Redmond, Gertrude T.</t>
  </si>
  <si>
    <t>416990:eng</t>
  </si>
  <si>
    <t>8429838</t>
  </si>
  <si>
    <t>991001149269702656</t>
  </si>
  <si>
    <t>2268848980002656</t>
  </si>
  <si>
    <t>9780201062076</t>
  </si>
  <si>
    <t>30001000295412</t>
  </si>
  <si>
    <t>893369144</t>
  </si>
  <si>
    <t>WY 100 R627w 1982 v.1</t>
  </si>
  <si>
    <t>0                      WY 0100000R  627w        1982                                        v.1</t>
  </si>
  <si>
    <t>The well adult / by Angelina Frantz.</t>
  </si>
  <si>
    <t>Frantz, Angelina.</t>
  </si>
  <si>
    <t>Oradell, NJ : Medical Economics Books, c1982.</t>
  </si>
  <si>
    <t>RN nursing assessment series ; v. 1</t>
  </si>
  <si>
    <t>3375406809:eng</t>
  </si>
  <si>
    <t>8280326</t>
  </si>
  <si>
    <t>991001149339702656</t>
  </si>
  <si>
    <t>2267954020002656</t>
  </si>
  <si>
    <t>9780874892819</t>
  </si>
  <si>
    <t>30001000295446</t>
  </si>
  <si>
    <t>893541060</t>
  </si>
  <si>
    <t>WY 100 S428t 1990</t>
  </si>
  <si>
    <t>0                      WY 0100000S  428t        1990</t>
  </si>
  <si>
    <t>Telephone assessment : with protocols for nursing practice / Mary F. Scott, Kate Parker Packard.</t>
  </si>
  <si>
    <t>Scott, Mary F.</t>
  </si>
  <si>
    <t>1996-12-10</t>
  </si>
  <si>
    <t>21482215:eng</t>
  </si>
  <si>
    <t>19922596</t>
  </si>
  <si>
    <t>991001361109702656</t>
  </si>
  <si>
    <t>2261457140002656</t>
  </si>
  <si>
    <t>9780721680231</t>
  </si>
  <si>
    <t>30001001796723</t>
  </si>
  <si>
    <t>893364030</t>
  </si>
  <si>
    <t>WY 100 S578 1985</t>
  </si>
  <si>
    <t>0                      WY 0100000S  578         1985</t>
  </si>
  <si>
    <t>Signs and symptoms in nursing : interpretation and management / edited by Margaret Meier Jacobs and Wilma Geels ; 22 contributors.</t>
  </si>
  <si>
    <t>836669349:eng</t>
  </si>
  <si>
    <t>10878363</t>
  </si>
  <si>
    <t>991001149469702656</t>
  </si>
  <si>
    <t>2255814820002656</t>
  </si>
  <si>
    <t>9780397543915</t>
  </si>
  <si>
    <t>30001000295487</t>
  </si>
  <si>
    <t>893369145</t>
  </si>
  <si>
    <t>WY 100 S659c 1992</t>
  </si>
  <si>
    <t>0                      WY 0100000S  659c        1992</t>
  </si>
  <si>
    <t>Clinical nursing skills : nursing process model, basic to advanced skills / Sandra F. Smith, Donna J. Duell.</t>
  </si>
  <si>
    <t>1998-09-15</t>
  </si>
  <si>
    <t>1992-06-11</t>
  </si>
  <si>
    <t>9721703:eng</t>
  </si>
  <si>
    <t>24667696</t>
  </si>
  <si>
    <t>991001307619702656</t>
  </si>
  <si>
    <t>2255792560002656</t>
  </si>
  <si>
    <t>9780838513354</t>
  </si>
  <si>
    <t>30001002414375</t>
  </si>
  <si>
    <t>893552346</t>
  </si>
  <si>
    <t>WY 100 S844n 1979</t>
  </si>
  <si>
    <t>0                      WY 0100000S  844n        1979</t>
  </si>
  <si>
    <t>Nursing theory : analysis, application, evaluation / Barbara J. Stevens.</t>
  </si>
  <si>
    <t>1996-10-14</t>
  </si>
  <si>
    <t>4623696</t>
  </si>
  <si>
    <t>991001149729702656</t>
  </si>
  <si>
    <t>2256853100002656</t>
  </si>
  <si>
    <t>9780316089890</t>
  </si>
  <si>
    <t>30001000295552</t>
  </si>
  <si>
    <t>893727289</t>
  </si>
  <si>
    <t>WY 100 S949c 1999</t>
  </si>
  <si>
    <t>0                      WY 0100000S  949c        1999</t>
  </si>
  <si>
    <t>Creating nursing's future : issues, opportunities, and challenges / Eleanor J. Sullivan.</t>
  </si>
  <si>
    <t>Sullivan, Eleanor J., 1938-</t>
  </si>
  <si>
    <t>1999-02-05</t>
  </si>
  <si>
    <t>837000649:eng</t>
  </si>
  <si>
    <t>39982644</t>
  </si>
  <si>
    <t>991001572089702656</t>
  </si>
  <si>
    <t>2258009970002656</t>
  </si>
  <si>
    <t>9780323002394</t>
  </si>
  <si>
    <t>30001004159101</t>
  </si>
  <si>
    <t>893821349</t>
  </si>
  <si>
    <t>WY 100 S957f 1989</t>
  </si>
  <si>
    <t>0                      WY 0100000S  957f        1989</t>
  </si>
  <si>
    <t>Fundamentals of nursing : with clinical procedures / Mary C. Sundberg.</t>
  </si>
  <si>
    <t>Sundberg, Mary C.</t>
  </si>
  <si>
    <t>1995-06-21</t>
  </si>
  <si>
    <t>1780204184:eng</t>
  </si>
  <si>
    <t>19067513</t>
  </si>
  <si>
    <t>991001313039702656</t>
  </si>
  <si>
    <t>2256521160002656</t>
  </si>
  <si>
    <t>9780867204223</t>
  </si>
  <si>
    <t>30001001751595</t>
  </si>
  <si>
    <t>893651962</t>
  </si>
  <si>
    <t>WY 100 T247 2005</t>
  </si>
  <si>
    <t>0                      WY 0100000T  247         2005</t>
  </si>
  <si>
    <t>Taylor's clinical nursing skills : a nursing process approach / [edited by] Pamela Evans-Smith.</t>
  </si>
  <si>
    <t>2007-06-28</t>
  </si>
  <si>
    <t>2007-06-12</t>
  </si>
  <si>
    <t>866628577:eng</t>
  </si>
  <si>
    <t>54906932</t>
  </si>
  <si>
    <t>991000632319702656</t>
  </si>
  <si>
    <t>2257827330002656</t>
  </si>
  <si>
    <t>9780781751384</t>
  </si>
  <si>
    <t>30001005218633</t>
  </si>
  <si>
    <t>893830846</t>
  </si>
  <si>
    <t>WY 100 T427n 1983</t>
  </si>
  <si>
    <t>0                      WY 0100000T  427n        1983</t>
  </si>
  <si>
    <t>Nursing models, analysis and evaluation / Janice A. Thibodeau.</t>
  </si>
  <si>
    <t>Thibodeau, Janice A.</t>
  </si>
  <si>
    <t>Monterey, Calif. : Wadsworth Health Sciences Division, c1983.</t>
  </si>
  <si>
    <t>1993-10-11</t>
  </si>
  <si>
    <t>375237342:eng</t>
  </si>
  <si>
    <t>8431291</t>
  </si>
  <si>
    <t>991001149839702656</t>
  </si>
  <si>
    <t>2271457650002656</t>
  </si>
  <si>
    <t>9780534011499</t>
  </si>
  <si>
    <t>30001000295610</t>
  </si>
  <si>
    <t>893560886</t>
  </si>
  <si>
    <t>WY100 T583e 2005</t>
  </si>
  <si>
    <t>0                      WY 0100000T  583e        2005</t>
  </si>
  <si>
    <t>Essentials of nursing : care of adults and children / Barbara K. Timby, Nancy E. Smith.</t>
  </si>
  <si>
    <t>Timby, Barbara Kuhn.</t>
  </si>
  <si>
    <t>2005-04-07</t>
  </si>
  <si>
    <t>2906718836:eng</t>
  </si>
  <si>
    <t>54111890</t>
  </si>
  <si>
    <t>991000435529702656</t>
  </si>
  <si>
    <t>2270333640002656</t>
  </si>
  <si>
    <t>9780781750981</t>
  </si>
  <si>
    <t>30001004929180</t>
  </si>
  <si>
    <t>893553569</t>
  </si>
  <si>
    <t>WY100 T583f 1996</t>
  </si>
  <si>
    <t>0                      WY 0100000T  583f        1996</t>
  </si>
  <si>
    <t>Fundamental skills and concepts in patient care / Barbara Kuhn Timby.</t>
  </si>
  <si>
    <t>Philadelphia : Lippinicott, c1996.</t>
  </si>
  <si>
    <t>2384729:eng</t>
  </si>
  <si>
    <t>33013497</t>
  </si>
  <si>
    <t>991001230749702656</t>
  </si>
  <si>
    <t>2254943860002656</t>
  </si>
  <si>
    <t>9780397551682</t>
  </si>
  <si>
    <t>30001003672682</t>
  </si>
  <si>
    <t>893121289</t>
  </si>
  <si>
    <t>WY 100 T583f 2005</t>
  </si>
  <si>
    <t>0                      WY 0100000T  583f        2005</t>
  </si>
  <si>
    <t>Fundamental nursing skills and concepts / Barbara Kuhn Timby.</t>
  </si>
  <si>
    <t>2006-04-26</t>
  </si>
  <si>
    <t>1049934:eng</t>
  </si>
  <si>
    <t>54677698</t>
  </si>
  <si>
    <t>991000390819702656</t>
  </si>
  <si>
    <t>2270012460002656</t>
  </si>
  <si>
    <t>9780781747363</t>
  </si>
  <si>
    <t>30001004922870</t>
  </si>
  <si>
    <t>893817067</t>
  </si>
  <si>
    <t>WY 100 T737 1989</t>
  </si>
  <si>
    <t>0                      WY 0100000T  737         1989</t>
  </si>
  <si>
    <t>Toward a science of family nursing / edited by Catherine L. Gilliss ... [et al.].</t>
  </si>
  <si>
    <t>Menlo Park, Calif. : Addison-Wesley Pub. Co., Health Sciences Division, c1989 [1988 printing].</t>
  </si>
  <si>
    <t>1996-08-24</t>
  </si>
  <si>
    <t>1989-02-07</t>
  </si>
  <si>
    <t>16710358:eng</t>
  </si>
  <si>
    <t>17875218</t>
  </si>
  <si>
    <t>991001118289702656</t>
  </si>
  <si>
    <t>2262913320002656</t>
  </si>
  <si>
    <t>9780201142389</t>
  </si>
  <si>
    <t>30001001613894</t>
  </si>
  <si>
    <t>893736224</t>
  </si>
  <si>
    <t>WY100 U548 2003</t>
  </si>
  <si>
    <t>0                      WY 0100000U  548         2003</t>
  </si>
  <si>
    <t>Understanding medical-surgical nursing / [edited by] Linda S. Williams, Paula D. Hopper.</t>
  </si>
  <si>
    <t>Philadelphia : F.A. Davis Co., c2003.</t>
  </si>
  <si>
    <t>2003-06-17</t>
  </si>
  <si>
    <t>2003-06-16</t>
  </si>
  <si>
    <t>1077482988:eng</t>
  </si>
  <si>
    <t>51731191</t>
  </si>
  <si>
    <t>991000351059702656</t>
  </si>
  <si>
    <t>2255654500002656</t>
  </si>
  <si>
    <t>9780803610378</t>
  </si>
  <si>
    <t>30001004504827</t>
  </si>
  <si>
    <t>893354238</t>
  </si>
  <si>
    <t>WY 100 U58n 1973</t>
  </si>
  <si>
    <t>0                      WY 0100000U  58n         1973</t>
  </si>
  <si>
    <t>Nursing procedure manual / prepared by the Nursing Procedure Committee, Nursing Service, University of California ; H. Joyce A. Terrien, chairman.</t>
  </si>
  <si>
    <t>University of California, San Francisco. School of Nursing. Nursing Procedure Committee.</t>
  </si>
  <si>
    <t>-- San Francisco : Nursing Service, University of Calif., 1973.</t>
  </si>
  <si>
    <t>1994-06-15</t>
  </si>
  <si>
    <t>2309501:eng</t>
  </si>
  <si>
    <t>1380969</t>
  </si>
  <si>
    <t>991001144329702656</t>
  </si>
  <si>
    <t>2260501840002656</t>
  </si>
  <si>
    <t>30001000291437</t>
  </si>
  <si>
    <t>893460310</t>
  </si>
  <si>
    <t>WY 100 W185n 1967</t>
  </si>
  <si>
    <t>0                      WY 0100000W  185n        1967</t>
  </si>
  <si>
    <t>Nursing and ritualistic practice [by] Virginia H. Walker.</t>
  </si>
  <si>
    <t>Walker, Virginia H.</t>
  </si>
  <si>
    <t>New York, Macmillan [1967]</t>
  </si>
  <si>
    <t>2002-10-21</t>
  </si>
  <si>
    <t>2115971:eng</t>
  </si>
  <si>
    <t>1220734</t>
  </si>
  <si>
    <t>991001150019702656</t>
  </si>
  <si>
    <t>2259998070002656</t>
  </si>
  <si>
    <t>30001000295644</t>
  </si>
  <si>
    <t>893831948</t>
  </si>
  <si>
    <t>WY100 W3395c 2005</t>
  </si>
  <si>
    <t>0                      WY 0100000W  3395c       2005</t>
  </si>
  <si>
    <t>Caring science as sacred science / Jean Watson.</t>
  </si>
  <si>
    <t>Watson, Jean, 1940-</t>
  </si>
  <si>
    <t>2006-12-13</t>
  </si>
  <si>
    <t>2004-11-03</t>
  </si>
  <si>
    <t>782807:eng</t>
  </si>
  <si>
    <t>54365455</t>
  </si>
  <si>
    <t>991000406709702656</t>
  </si>
  <si>
    <t>2258229470002656</t>
  </si>
  <si>
    <t>9780803611696</t>
  </si>
  <si>
    <t>30001004924678</t>
  </si>
  <si>
    <t>893109517</t>
  </si>
  <si>
    <t>WY 100 W585fa 2005</t>
  </si>
  <si>
    <t>0                      WY 0100000W  585fa       2005</t>
  </si>
  <si>
    <t>Foundations of nursing / Lois White.</t>
  </si>
  <si>
    <t>Clifton Park, NY : Thomas-Delmar Learning, c2005.</t>
  </si>
  <si>
    <t>1042314:eng</t>
  </si>
  <si>
    <t>55511476</t>
  </si>
  <si>
    <t>991000393219702656</t>
  </si>
  <si>
    <t>2269374810002656</t>
  </si>
  <si>
    <t>9781401826925</t>
  </si>
  <si>
    <t>30001004922938</t>
  </si>
  <si>
    <t>893264206</t>
  </si>
  <si>
    <t>WY 100 W686 2007 V.1-2</t>
  </si>
  <si>
    <t>0                      WY 0100000W  686         2007                                        V.1-2</t>
  </si>
  <si>
    <t>Fundamentals of nursing : theory, concepts &amp; applications / Judith M. Wilkinson, Karen Van Leuven.</t>
  </si>
  <si>
    <t>Wilkinson, Judith M., 1946-</t>
  </si>
  <si>
    <t>Philadelphia : F.A. Davis Co., c2007.</t>
  </si>
  <si>
    <t>2008-10-03</t>
  </si>
  <si>
    <t>2008-10-02</t>
  </si>
  <si>
    <t>4794528522:eng</t>
  </si>
  <si>
    <t>69423184</t>
  </si>
  <si>
    <t>991001322269702656</t>
  </si>
  <si>
    <t>2265486260002656</t>
  </si>
  <si>
    <t>9780803611979</t>
  </si>
  <si>
    <t>30001005372521</t>
  </si>
  <si>
    <t>893465406</t>
  </si>
  <si>
    <t>30001005372463</t>
  </si>
  <si>
    <t>893465407</t>
  </si>
  <si>
    <t>WY 100 W686f 2007 Chklist</t>
  </si>
  <si>
    <t>0                      WY 0100000W  686f        2007                                        Chklist</t>
  </si>
  <si>
    <t>Procedure checklists for Fundamentals of nursing / Judith M. Wilkinson, Karen Van Leuven.</t>
  </si>
  <si>
    <t>72717886</t>
  </si>
  <si>
    <t>991001794919702656</t>
  </si>
  <si>
    <t>2260177070002656</t>
  </si>
  <si>
    <t>9780803614734</t>
  </si>
  <si>
    <t>30001005372406</t>
  </si>
  <si>
    <t>893370061</t>
  </si>
  <si>
    <t>WY 100 W724u 1998</t>
  </si>
  <si>
    <t>0                      WY 0100000W  724u        1998</t>
  </si>
  <si>
    <t>Understanding medical-surgical nursing / Linda S. Williams, Paula D. Hopper.</t>
  </si>
  <si>
    <t>Williams, Linda S. (Linda Sue), 1954-</t>
  </si>
  <si>
    <t>Philadelphia : F.A. Davis Co., c1999.</t>
  </si>
  <si>
    <t>40339598</t>
  </si>
  <si>
    <t>991001572269702656</t>
  </si>
  <si>
    <t>2262080930002656</t>
  </si>
  <si>
    <t>9780803603516</t>
  </si>
  <si>
    <t>30001004070290</t>
  </si>
  <si>
    <t>893541522</t>
  </si>
  <si>
    <t>WY 100 W951n 1994</t>
  </si>
  <si>
    <t>0                      WY 0100000W  951n        1994</t>
  </si>
  <si>
    <t>Nurses and families : a guide to family assessment and intervention / Lorraine M. Wright, Maureen Leahey.</t>
  </si>
  <si>
    <t>3</t>
  </si>
  <si>
    <t>1995-09-06</t>
  </si>
  <si>
    <t>1994-09-13</t>
  </si>
  <si>
    <t>39456102:eng</t>
  </si>
  <si>
    <t>29474558</t>
  </si>
  <si>
    <t>991000679979702656</t>
  </si>
  <si>
    <t>2271091210002656</t>
  </si>
  <si>
    <t>9780803696051</t>
  </si>
  <si>
    <t>30001002697193</t>
  </si>
  <si>
    <t>893726486</t>
  </si>
  <si>
    <t>WY 100 Y95n 1987</t>
  </si>
  <si>
    <t>0                      WY 0100000Y  95n         1987</t>
  </si>
  <si>
    <t>The nursing process : assessing, planning, implementing, evaluating / Helen Yura, Mary B. Walsh ; with a foreword by Nellie Garzon.</t>
  </si>
  <si>
    <t>1996-02-28</t>
  </si>
  <si>
    <t>1988-02-27</t>
  </si>
  <si>
    <t>16003979</t>
  </si>
  <si>
    <t>991000986549702656</t>
  </si>
  <si>
    <t>2261482770002656</t>
  </si>
  <si>
    <t>9780838570418</t>
  </si>
  <si>
    <t>30001000885907</t>
  </si>
  <si>
    <t>893540887</t>
  </si>
  <si>
    <t>WY 100.3 H434 1978</t>
  </si>
  <si>
    <t>0                      WY 0100300H  434         1978</t>
  </si>
  <si>
    <t>Health care in the 1980s : who provides? : who plans? : who pays?</t>
  </si>
  <si>
    <t>NLN pub. no. 52-1755</t>
  </si>
  <si>
    <t>18855759:eng</t>
  </si>
  <si>
    <t>5674553</t>
  </si>
  <si>
    <t>991001517319702656</t>
  </si>
  <si>
    <t>2268733480002656</t>
  </si>
  <si>
    <t>30001000600173</t>
  </si>
  <si>
    <t>893369435</t>
  </si>
  <si>
    <t>WY 100.3 T355 1979</t>
  </si>
  <si>
    <t>0                      WY 0100300T  355         1979</t>
  </si>
  <si>
    <t>Textbook of human sexuality for nurses / Robert C. Kolodny ... [et al.].</t>
  </si>
  <si>
    <t>1992-10-11</t>
  </si>
  <si>
    <t>54296137:eng</t>
  </si>
  <si>
    <t>5000242</t>
  </si>
  <si>
    <t>991001149879702656</t>
  </si>
  <si>
    <t>2265001770002656</t>
  </si>
  <si>
    <t>9780316501552</t>
  </si>
  <si>
    <t>30001000295602</t>
  </si>
  <si>
    <t>893632765</t>
  </si>
  <si>
    <t>WY100.4 C294 2007</t>
  </si>
  <si>
    <t>0                      WY 0100400C  294         2007</t>
  </si>
  <si>
    <t>Understanding the nursing process : concept mapping and care planning for students / Lynda Juall Carpenito-Moyet.</t>
  </si>
  <si>
    <t>866275363:eng</t>
  </si>
  <si>
    <t>62109953</t>
  </si>
  <si>
    <t>991001753239702656</t>
  </si>
  <si>
    <t>2264989320002656</t>
  </si>
  <si>
    <t>9780781759694</t>
  </si>
  <si>
    <t>30001004919819</t>
  </si>
  <si>
    <t>893741429</t>
  </si>
  <si>
    <t>WY 100.4 C641 1997</t>
  </si>
  <si>
    <t>0                      WY 0100400C  641         1997</t>
  </si>
  <si>
    <t>1998-06-16</t>
  </si>
  <si>
    <t>35325257</t>
  </si>
  <si>
    <t>991000901449702656</t>
  </si>
  <si>
    <t>2259853320002656</t>
  </si>
  <si>
    <t>9780803601772</t>
  </si>
  <si>
    <t>30001004176543</t>
  </si>
  <si>
    <t>893831713</t>
  </si>
  <si>
    <t>WY100.4 C641 2002</t>
  </si>
  <si>
    <t>0                      WY 0100400C  641         2002</t>
  </si>
  <si>
    <t>Philadelphia : F.A. Davis Co., c2002.</t>
  </si>
  <si>
    <t>2005-06-07</t>
  </si>
  <si>
    <t>2002-08-20</t>
  </si>
  <si>
    <t>47844332</t>
  </si>
  <si>
    <t>991000327899702656</t>
  </si>
  <si>
    <t>2260810990002656</t>
  </si>
  <si>
    <t>9780803609136</t>
  </si>
  <si>
    <t>30001004441558</t>
  </si>
  <si>
    <t>893452025</t>
  </si>
  <si>
    <t>WY 100.4 C879 2007</t>
  </si>
  <si>
    <t>0                      WY 0100400C  879         2007</t>
  </si>
  <si>
    <t>Cox's clinical applications of nursing diagnosis : adult, child, women's, mental health, gerontic, and home health considerations / Susan A. Newfield ... [et al.].</t>
  </si>
  <si>
    <t>Philadelphia : F.A. Davis Company, c2007.</t>
  </si>
  <si>
    <t>3855844263:eng</t>
  </si>
  <si>
    <t>85814171</t>
  </si>
  <si>
    <t>991001751249702656</t>
  </si>
  <si>
    <t>2264406130002656</t>
  </si>
  <si>
    <t>9780803616554</t>
  </si>
  <si>
    <t>30001005230125</t>
  </si>
  <si>
    <t>893834817</t>
  </si>
  <si>
    <t>WY 100.4 D158h 2007</t>
  </si>
  <si>
    <t>0                      WY 0100400D  158h        2007</t>
  </si>
  <si>
    <t>Health &amp; physical assessment in nursing / Donita D'Amico, Colleen Barbarito.</t>
  </si>
  <si>
    <t>D'Amico, Donita.</t>
  </si>
  <si>
    <t>Upper Saddle River, N.J. : Pearson Education, c2007.</t>
  </si>
  <si>
    <t>2010-08-24</t>
  </si>
  <si>
    <t>2007-07-31</t>
  </si>
  <si>
    <t>48537711:eng</t>
  </si>
  <si>
    <t>60590141</t>
  </si>
  <si>
    <t>991001750849702656</t>
  </si>
  <si>
    <t>2272341890002656</t>
  </si>
  <si>
    <t>9780130493736</t>
  </si>
  <si>
    <t>30001005218005</t>
  </si>
  <si>
    <t>893364800</t>
  </si>
  <si>
    <t>WY100.4 H433 2006</t>
  </si>
  <si>
    <t>0                      WY 0100400H  433         2006</t>
  </si>
  <si>
    <t>Health assessment &amp; physical examination / [edited by] Mary Ellen Zator Estes.</t>
  </si>
  <si>
    <t>2005-09-28</t>
  </si>
  <si>
    <t>4924899054:eng</t>
  </si>
  <si>
    <t>60393388</t>
  </si>
  <si>
    <t>991000445049702656</t>
  </si>
  <si>
    <t>2263156070002656</t>
  </si>
  <si>
    <t>9781401872069</t>
  </si>
  <si>
    <t>30001004913952</t>
  </si>
  <si>
    <t>893123157</t>
  </si>
  <si>
    <t>WY100.4 H434 2002</t>
  </si>
  <si>
    <t>0                      WY 0100400H  434         2002</t>
  </si>
  <si>
    <t>Health assessment &amp; physical examination / Mary Ellen Zator Estes.</t>
  </si>
  <si>
    <t>Estes, Mary Ellen Zator.</t>
  </si>
  <si>
    <t>Albany, N.Y. : Delmar/Thomson Learning, c2002.</t>
  </si>
  <si>
    <t>2003-09-11</t>
  </si>
  <si>
    <t>47023703</t>
  </si>
  <si>
    <t>991000298859702656</t>
  </si>
  <si>
    <t>2257027830002656</t>
  </si>
  <si>
    <t>9780766824102</t>
  </si>
  <si>
    <t>30001004560308</t>
  </si>
  <si>
    <t>893269333</t>
  </si>
  <si>
    <t>WY 100.4 M983h 1997</t>
  </si>
  <si>
    <t>0                      WY 0100400M  983h        1997</t>
  </si>
  <si>
    <t>Health assessment &amp; promotion strategies through the life span / Ruth Beckmann Murray, Judith Proctor Zentner.</t>
  </si>
  <si>
    <t>2001-02-12</t>
  </si>
  <si>
    <t>3856508567:eng</t>
  </si>
  <si>
    <t>34776054</t>
  </si>
  <si>
    <t>991001551749702656</t>
  </si>
  <si>
    <t>2260411030002656</t>
  </si>
  <si>
    <t>9780838569870</t>
  </si>
  <si>
    <t>30001003443589</t>
  </si>
  <si>
    <t>893546813</t>
  </si>
  <si>
    <t>WY 100.4 N974 1997</t>
  </si>
  <si>
    <t>0                      WY 0100400N  974         1997</t>
  </si>
  <si>
    <t>2005-02-16</t>
  </si>
  <si>
    <t>36291676</t>
  </si>
  <si>
    <t>991001560399702656</t>
  </si>
  <si>
    <t>2255727620002656</t>
  </si>
  <si>
    <t>9780815170266</t>
  </si>
  <si>
    <t>30001003670744</t>
  </si>
  <si>
    <t>893541510</t>
  </si>
  <si>
    <t>WY 100.4 P476c 1999</t>
  </si>
  <si>
    <t>0                      WY 0100400P  476c        1999</t>
  </si>
  <si>
    <t>Clinical reasoning : the art and science of critical and creative thinking / Daniel J. Pesut, JoAnne Herman.</t>
  </si>
  <si>
    <t>Pesut, Daniel J.</t>
  </si>
  <si>
    <t>Albany : Delmar, c1999.</t>
  </si>
  <si>
    <t>2007-11-04</t>
  </si>
  <si>
    <t>1999-08-31</t>
  </si>
  <si>
    <t>1024885:eng</t>
  </si>
  <si>
    <t>39914299</t>
  </si>
  <si>
    <t>991000797589702656</t>
  </si>
  <si>
    <t>2262712320002656</t>
  </si>
  <si>
    <t>9780827378698</t>
  </si>
  <si>
    <t>30001004080133</t>
  </si>
  <si>
    <t>893557227</t>
  </si>
  <si>
    <t>WY 100.4 W374h 1998</t>
  </si>
  <si>
    <t>0                      WY 0100400W  374h        1998</t>
  </si>
  <si>
    <t>Health assessment in nursing / Janet Weber, Jane Kelley.</t>
  </si>
  <si>
    <t>Weber, Janet.</t>
  </si>
  <si>
    <t>Lippincott's learning system</t>
  </si>
  <si>
    <t>1999-04-09</t>
  </si>
  <si>
    <t>1999-04-08</t>
  </si>
  <si>
    <t>766909:eng</t>
  </si>
  <si>
    <t>37031263</t>
  </si>
  <si>
    <t>991001572809702656</t>
  </si>
  <si>
    <t>2255072160002656</t>
  </si>
  <si>
    <t>9780397553259</t>
  </si>
  <si>
    <t>30001004071090</t>
  </si>
  <si>
    <t>893816512</t>
  </si>
  <si>
    <t>WY100.4 W753H 2001</t>
  </si>
  <si>
    <t>0                      WY 0100400W  753H        2001</t>
  </si>
  <si>
    <t>Health assessment for nursing practice / Susan F. Wilson, Jean Foret Giddens.</t>
  </si>
  <si>
    <t>Wilson, Susan Fickertt.</t>
  </si>
  <si>
    <t>2002-05-07</t>
  </si>
  <si>
    <t>2001-06-06</t>
  </si>
  <si>
    <t>2558890037:eng</t>
  </si>
  <si>
    <t>46928927</t>
  </si>
  <si>
    <t>991001705619702656</t>
  </si>
  <si>
    <t>2263587950002656</t>
  </si>
  <si>
    <t>9780323008761</t>
  </si>
  <si>
    <t>30001004233799</t>
  </si>
  <si>
    <t>893649350</t>
  </si>
  <si>
    <t>WY 100.5 B463n 1973</t>
  </si>
  <si>
    <t>0                      WY 0100500B  463n        1973</t>
  </si>
  <si>
    <t>The nursing audit ... a necessity : how shall it be done?</t>
  </si>
  <si>
    <t>New York : Council of Hospital and Related Institutional Nursing Services, National League for Nursing, c1973.</t>
  </si>
  <si>
    <t>NLN pub. no. 20-1501</t>
  </si>
  <si>
    <t>1656286:eng</t>
  </si>
  <si>
    <t>811594</t>
  </si>
  <si>
    <t>991001384379702656</t>
  </si>
  <si>
    <t>2255763090002656</t>
  </si>
  <si>
    <t>30001000463408</t>
  </si>
  <si>
    <t>893358524</t>
  </si>
  <si>
    <t>WY 100.5 F528d 1991</t>
  </si>
  <si>
    <t>0                      WY 0100500F  528d        1991</t>
  </si>
  <si>
    <t>Documenting care : communication--the nursing process and documentation standards / Frances Talaska Fischbach.</t>
  </si>
  <si>
    <t>Fischbach, Frances Talaska.</t>
  </si>
  <si>
    <t>Philadelphia : Davis, c1991.</t>
  </si>
  <si>
    <t>2007-03-13</t>
  </si>
  <si>
    <t>1991-09-16</t>
  </si>
  <si>
    <t>23993613:eng</t>
  </si>
  <si>
    <t>22706137</t>
  </si>
  <si>
    <t>991001014689702656</t>
  </si>
  <si>
    <t>2257521550002656</t>
  </si>
  <si>
    <t>9780803635616</t>
  </si>
  <si>
    <t>30001002240499</t>
  </si>
  <si>
    <t>893540937</t>
  </si>
  <si>
    <t>WY 100.5 I19 1985</t>
  </si>
  <si>
    <t>0                      WY 0100500I  19          1985</t>
  </si>
  <si>
    <t>Identification of the nursing minimum data set / Harriet H. Werley, Norma M. Lang, editors.</t>
  </si>
  <si>
    <t>New York : Springer Pub. Co., c1988.</t>
  </si>
  <si>
    <t>1991-10-16</t>
  </si>
  <si>
    <t>356767653:eng</t>
  </si>
  <si>
    <t>16950127</t>
  </si>
  <si>
    <t>991001248909702656</t>
  </si>
  <si>
    <t>2261002380002656</t>
  </si>
  <si>
    <t>9780826153401</t>
  </si>
  <si>
    <t>30001001678384</t>
  </si>
  <si>
    <t>893743688</t>
  </si>
  <si>
    <t>WY 100.5 I97n 1999</t>
  </si>
  <si>
    <t>0                      WY 0100500I  97n         1999</t>
  </si>
  <si>
    <t>Nursing documentation : a nursing process approach / Patricia W. Iyer, Nancy H. Camp.</t>
  </si>
  <si>
    <t>Iyer, Patricia W.</t>
  </si>
  <si>
    <t>2002-02-04</t>
  </si>
  <si>
    <t>1999-09-03</t>
  </si>
  <si>
    <t>815107137:eng</t>
  </si>
  <si>
    <t>40180621</t>
  </si>
  <si>
    <t>991000797689702656</t>
  </si>
  <si>
    <t>2262585120002656</t>
  </si>
  <si>
    <t>9780323002233</t>
  </si>
  <si>
    <t>30001004080117</t>
  </si>
  <si>
    <t>893735804</t>
  </si>
  <si>
    <t>WY 100.5 M744 1991</t>
  </si>
  <si>
    <t>0                      WY 0100500M  744         1991</t>
  </si>
  <si>
    <t>Monitoring and evaluation in nursing / edited by Patricia Schroeder.</t>
  </si>
  <si>
    <t>The Encyclopedia of nursing care quality ; v. 3.</t>
  </si>
  <si>
    <t>24042409:eng</t>
  </si>
  <si>
    <t>22956338</t>
  </si>
  <si>
    <t>991001470479702656</t>
  </si>
  <si>
    <t>2260512620002656</t>
  </si>
  <si>
    <t>9780834202177</t>
  </si>
  <si>
    <t>30001002563031</t>
  </si>
  <si>
    <t>893268540</t>
  </si>
  <si>
    <t>WY 100.5 S359w 1983</t>
  </si>
  <si>
    <t>0                      WY 0100500S  359w        1983</t>
  </si>
  <si>
    <t>Writing skills for nurses : a practical text/workbook / Trudy Schneller and Christine Godwin.</t>
  </si>
  <si>
    <t>Schneller, Trudy.</t>
  </si>
  <si>
    <t>Reston, Va. : Reston Pub. Co., c1983.</t>
  </si>
  <si>
    <t>10279590:eng</t>
  </si>
  <si>
    <t>9154629</t>
  </si>
  <si>
    <t>991001150169702656</t>
  </si>
  <si>
    <t>2266536460002656</t>
  </si>
  <si>
    <t>9780835987981</t>
  </si>
  <si>
    <t>30001000295743</t>
  </si>
  <si>
    <t>893268141</t>
  </si>
  <si>
    <t>WY 100.5 V256 1982</t>
  </si>
  <si>
    <t>0                      WY 0100500V  256         1982</t>
  </si>
  <si>
    <t>Introduction to charting / developed by Helen Van Hoozer, Lavonne Ruther and Martha Craft.</t>
  </si>
  <si>
    <t>Van Hoozer, Helen L.</t>
  </si>
  <si>
    <t>Philadelphia : Lippincott , c1982.</t>
  </si>
  <si>
    <t>1993-08-13</t>
  </si>
  <si>
    <t>471054:eng</t>
  </si>
  <si>
    <t>8424738</t>
  </si>
  <si>
    <t>991001150219702656</t>
  </si>
  <si>
    <t>2258103220002656</t>
  </si>
  <si>
    <t>9780397544004</t>
  </si>
  <si>
    <t>30001000295750</t>
  </si>
  <si>
    <t>893826489</t>
  </si>
  <si>
    <t>WY 101 A244 1996</t>
  </si>
  <si>
    <t>0                      WY 0101000A  244         1996</t>
  </si>
  <si>
    <t>Advanced nursing practice : an integrative approach / [edited by] Ann B. Hamric, Judith A. Spross, Charlene M. Hanson.</t>
  </si>
  <si>
    <t>Philadelphia : W.B. Saunders Co., c1996.</t>
  </si>
  <si>
    <t>2003-03-17</t>
  </si>
  <si>
    <t>836911253:eng</t>
  </si>
  <si>
    <t>34286737</t>
  </si>
  <si>
    <t>991000852769702656</t>
  </si>
  <si>
    <t>2261289940002656</t>
  </si>
  <si>
    <t>9780721658940</t>
  </si>
  <si>
    <t>30001003474238</t>
  </si>
  <si>
    <t>893815795</t>
  </si>
  <si>
    <t>WY101 C761 2008</t>
  </si>
  <si>
    <t>0                      WY 0101000C  761         2008</t>
  </si>
  <si>
    <t>Contemporary nursing : issues, trends, &amp; management / [edited by] Barbara Cherry, Susan R. Jacob.</t>
  </si>
  <si>
    <t>St. Louis, Mo. : Mosby Elsevier, c2008.</t>
  </si>
  <si>
    <t>Ed. 4.</t>
  </si>
  <si>
    <t>2008-05-30</t>
  </si>
  <si>
    <t>2008-04-15</t>
  </si>
  <si>
    <t>36984651:eng</t>
  </si>
  <si>
    <t>156812147</t>
  </si>
  <si>
    <t>991001756549702656</t>
  </si>
  <si>
    <t>2265004440002656</t>
  </si>
  <si>
    <t>9780323052177</t>
  </si>
  <si>
    <t>30001005292026</t>
  </si>
  <si>
    <t>893279603</t>
  </si>
  <si>
    <t>WY 101 G227e 1989</t>
  </si>
  <si>
    <t>0                      WY 0101000G  227e        1989</t>
  </si>
  <si>
    <t>The effects of primary versus team nursing on quality of patient care and impact on nursing staff and costs : a five year study / by Kathryn G. Gardner.</t>
  </si>
  <si>
    <t>Gardner, Kathryn G.</t>
  </si>
  <si>
    <t>Rochester, New York : Rochester General Hospital, 1989.</t>
  </si>
  <si>
    <t>1990-03-22</t>
  </si>
  <si>
    <t>23268101:eng</t>
  </si>
  <si>
    <t>21278597</t>
  </si>
  <si>
    <t>991001447609702656</t>
  </si>
  <si>
    <t>2268398860002656</t>
  </si>
  <si>
    <t>30001001881178</t>
  </si>
  <si>
    <t>893832199</t>
  </si>
  <si>
    <t>WY101 H232a 2000</t>
  </si>
  <si>
    <t>0                      WY 0101000H  232a        2000</t>
  </si>
  <si>
    <t>Advanced nursing practice : an integrative approach / Ann B. Hamric, Judith A. Spross, Charlene M. Hanson.</t>
  </si>
  <si>
    <t>Hamric, Ann B.</t>
  </si>
  <si>
    <t>Philadelphia : W.B. Saunders Co., c2000.</t>
  </si>
  <si>
    <t>2002-01-09</t>
  </si>
  <si>
    <t>43854107</t>
  </si>
  <si>
    <t>991001711089702656</t>
  </si>
  <si>
    <t>2272555570002656</t>
  </si>
  <si>
    <t>9780721686325</t>
  </si>
  <si>
    <t>30001004236172</t>
  </si>
  <si>
    <t>893451459</t>
  </si>
  <si>
    <t>WY101 H232a 2005</t>
  </si>
  <si>
    <t>0                      WY 0101000H  232a        2005</t>
  </si>
  <si>
    <t>Advanced practice nursing : an integrative approach / Ann B. Hamric, Judith A. Spross, Charlene M. Hanson.</t>
  </si>
  <si>
    <t>St. Louis : Saunders, c2005.</t>
  </si>
  <si>
    <t>2005-01-13</t>
  </si>
  <si>
    <t>4916898151:eng</t>
  </si>
  <si>
    <t>54686581</t>
  </si>
  <si>
    <t>991000422559702656</t>
  </si>
  <si>
    <t>2262676840002656</t>
  </si>
  <si>
    <t>9780721603308</t>
  </si>
  <si>
    <t>30001004926293</t>
  </si>
  <si>
    <t>893633868</t>
  </si>
  <si>
    <t>WY 101 H393n 1998</t>
  </si>
  <si>
    <t>0                      WY 0101000H  393n        1998</t>
  </si>
  <si>
    <t>Nurse-social worker collaboration in managed care : a model of community case management / Joellen W. Hawkins, Nancy W. Veeder, Carole W. Pearce.</t>
  </si>
  <si>
    <t>Hawkins, Joellen Watson.</t>
  </si>
  <si>
    <t>New York : Springer Pub. Co., c1998.</t>
  </si>
  <si>
    <t>629196:eng</t>
  </si>
  <si>
    <t>37179497</t>
  </si>
  <si>
    <t>991000901029702656</t>
  </si>
  <si>
    <t>2256561430002656</t>
  </si>
  <si>
    <t>9780826198303</t>
  </si>
  <si>
    <t>30001004176238</t>
  </si>
  <si>
    <t>893632455</t>
  </si>
  <si>
    <t>WY 101 L439f 1982</t>
  </si>
  <si>
    <t>0                      WY 0101000L  439f        1982</t>
  </si>
  <si>
    <t>Families at risk : primary prevention in nursing practice / Maribelle Bryde Leavitt.</t>
  </si>
  <si>
    <t>Leavitt, Maribelle Bryde.</t>
  </si>
  <si>
    <t>Boston, Mass. : Little, Brown, c1982.</t>
  </si>
  <si>
    <t>1991-07-29</t>
  </si>
  <si>
    <t>307987943:eng</t>
  </si>
  <si>
    <t>8501222</t>
  </si>
  <si>
    <t>991000736859702656</t>
  </si>
  <si>
    <t>2263130710002656</t>
  </si>
  <si>
    <t>30001000041956</t>
  </si>
  <si>
    <t>893726628</t>
  </si>
  <si>
    <t>WY 101 L496 1998</t>
  </si>
  <si>
    <t>0                      WY 0101000L  496         1998</t>
  </si>
  <si>
    <t>Legal nurse consulting : principles and practice / American Association of Legal Nurse Consultants ; edited by Julie Brewer Bogart ; associate editors, Shirley Cantwell Davis ... [et al.].</t>
  </si>
  <si>
    <t>Boca Raton [Fla.] : CRC Press, c1998.</t>
  </si>
  <si>
    <t>474986835:eng</t>
  </si>
  <si>
    <t>38016685</t>
  </si>
  <si>
    <t>991001338379702656</t>
  </si>
  <si>
    <t>2266861310002656</t>
  </si>
  <si>
    <t>9781574441239</t>
  </si>
  <si>
    <t>30001003790922</t>
  </si>
  <si>
    <t>893557851</t>
  </si>
  <si>
    <t>WY 101 M268d 1987</t>
  </si>
  <si>
    <t>0                      WY 0101000M  268d        1987</t>
  </si>
  <si>
    <t>Decision making in emergency nursing / Mary E. Mancini.</t>
  </si>
  <si>
    <t>Mancini, Mary E.</t>
  </si>
  <si>
    <t>Philadelphia, PA : B.C. Decker ; St. Louis, MO : Distributed by Mosby, c1987.</t>
  </si>
  <si>
    <t>Decision making series</t>
  </si>
  <si>
    <t>11201614:eng</t>
  </si>
  <si>
    <t>16016659</t>
  </si>
  <si>
    <t>991001527629702656</t>
  </si>
  <si>
    <t>2258504410002656</t>
  </si>
  <si>
    <t>9781556640032</t>
  </si>
  <si>
    <t>30001000620288</t>
  </si>
  <si>
    <t>893643667</t>
  </si>
  <si>
    <t>WY 101 M358p 1979</t>
  </si>
  <si>
    <t>0                      WY 0101000M  358p        1979</t>
  </si>
  <si>
    <t>Primary nursing : a model for individualized care / Gwen Marram, Margaret W. Barrett, Em Olivia Bevis.</t>
  </si>
  <si>
    <t>Van Servellen, Gwen, 1942-</t>
  </si>
  <si>
    <t>St. Louis : Mosby, 1979.</t>
  </si>
  <si>
    <t>1990-11-11</t>
  </si>
  <si>
    <t>836619720:eng</t>
  </si>
  <si>
    <t>4591624</t>
  </si>
  <si>
    <t>991000736899702656</t>
  </si>
  <si>
    <t>2265793220002656</t>
  </si>
  <si>
    <t>9780801631252</t>
  </si>
  <si>
    <t>30001000041964</t>
  </si>
  <si>
    <t>893454792</t>
  </si>
  <si>
    <t>WY 101 N277s 1967</t>
  </si>
  <si>
    <t>0                      WY 0101000N  277s        1967</t>
  </si>
  <si>
    <t>The shifting scene - structure for strength : papers presented at the first conference and at meetings held jointly with the Council of Public Health Nursing Services, Las Vegas, Nevada, November 14-16, 1967.</t>
  </si>
  <si>
    <t>NLN pub. no. 15-1316</t>
  </si>
  <si>
    <t>5395103011:eng</t>
  </si>
  <si>
    <t>432784</t>
  </si>
  <si>
    <t>991001367919702656</t>
  </si>
  <si>
    <t>2255185580002656</t>
  </si>
  <si>
    <t>30001000461352</t>
  </si>
  <si>
    <t>893832123</t>
  </si>
  <si>
    <t>WY 101 N974 1989</t>
  </si>
  <si>
    <t>0                      WY 0101000N  974         1989</t>
  </si>
  <si>
    <t>Nursing centers : meeting the demand for quality health care.</t>
  </si>
  <si>
    <t>NLN pub. no. 21-2311.</t>
  </si>
  <si>
    <t>1993-04-14</t>
  </si>
  <si>
    <t>24655051:eng</t>
  </si>
  <si>
    <t>22546762</t>
  </si>
  <si>
    <t>991001386309702656</t>
  </si>
  <si>
    <t>2258867880002656</t>
  </si>
  <si>
    <t>9780887374722</t>
  </si>
  <si>
    <t>30001001799834</t>
  </si>
  <si>
    <t>893279030</t>
  </si>
  <si>
    <t>WY 101 P467 1982</t>
  </si>
  <si>
    <t>0                      WY 0101000P  467         1982</t>
  </si>
  <si>
    <t>Perspectives in primary nursing : professional practice environments / edited by Barbara J. Brown.</t>
  </si>
  <si>
    <t>30037068:eng</t>
  </si>
  <si>
    <t>8052882</t>
  </si>
  <si>
    <t>991001150439702656</t>
  </si>
  <si>
    <t>2259577230002656</t>
  </si>
  <si>
    <t>9780894436833</t>
  </si>
  <si>
    <t>30001000295867</t>
  </si>
  <si>
    <t>893541061</t>
  </si>
  <si>
    <t>WY 101 P951 1981</t>
  </si>
  <si>
    <t>0                      WY 0101000P  951         1981</t>
  </si>
  <si>
    <t>Primary care : a contemporary nursing perspective / edited by Ingeborg G. Mauksch.</t>
  </si>
  <si>
    <t>427183488:eng</t>
  </si>
  <si>
    <t>7462527</t>
  </si>
  <si>
    <t>991001150499702656</t>
  </si>
  <si>
    <t>2255226060002656</t>
  </si>
  <si>
    <t>9780808913924</t>
  </si>
  <si>
    <t>30001000295875</t>
  </si>
  <si>
    <t>893736271</t>
  </si>
  <si>
    <t>WY 101 S938o 1989</t>
  </si>
  <si>
    <t>0                      WY 0101000S  938o        1989</t>
  </si>
  <si>
    <t>On specialization in nursing : toward a new empowerment / Margretta M. Styles.</t>
  </si>
  <si>
    <t>Kansas City, Mo. : American Nursesʼ Foundation, c1989.</t>
  </si>
  <si>
    <t>ANA pub ; no. NP-75</t>
  </si>
  <si>
    <t>255778656:eng</t>
  </si>
  <si>
    <t>19869358</t>
  </si>
  <si>
    <t>991000217869702656</t>
  </si>
  <si>
    <t>2272449150002656</t>
  </si>
  <si>
    <t>30001001750308</t>
  </si>
  <si>
    <t>893547522</t>
  </si>
  <si>
    <t>WY 101 Z27p 1980</t>
  </si>
  <si>
    <t>0                      WY 0101000Z  27p         1980</t>
  </si>
  <si>
    <t>Primary nursing : development and management / Karen S. Zander.</t>
  </si>
  <si>
    <t>Zander, Karen S.</t>
  </si>
  <si>
    <t>Germantown, Md. : Aspen Systems Corp., c1980.</t>
  </si>
  <si>
    <t>Aspen publication</t>
  </si>
  <si>
    <t>551513:eng</t>
  </si>
  <si>
    <t>5942846</t>
  </si>
  <si>
    <t>991001150629702656</t>
  </si>
  <si>
    <t>2267587230002656</t>
  </si>
  <si>
    <t>9780894431708</t>
  </si>
  <si>
    <t>30001000295891</t>
  </si>
  <si>
    <t>893455515</t>
  </si>
  <si>
    <t>WY 105 A376m 1991</t>
  </si>
  <si>
    <t>0                      WY 0105000A  376m        1991</t>
  </si>
  <si>
    <t>Management styles and corporate culture / G. Rumay Alexander.</t>
  </si>
  <si>
    <t>Alexander, G. Rumay.</t>
  </si>
  <si>
    <t>Nurse managers' bookshelf ; v. 2, no. 3, Sept. 1990</t>
  </si>
  <si>
    <t>1992-05-21</t>
  </si>
  <si>
    <t>24564961:eng</t>
  </si>
  <si>
    <t>23136319</t>
  </si>
  <si>
    <t>991001035199702656</t>
  </si>
  <si>
    <t>2260393410002656</t>
  </si>
  <si>
    <t>9780683065350</t>
  </si>
  <si>
    <t>30001002244608</t>
  </si>
  <si>
    <t>893816055</t>
  </si>
  <si>
    <t>WY 105 A477n 1990</t>
  </si>
  <si>
    <t>0                      WY 0105000A  477n        1990</t>
  </si>
  <si>
    <t>The nurse's guide to marketing / by Ruth R. Alward and Caroline Camuñas.</t>
  </si>
  <si>
    <t>Alward, Ruth R.</t>
  </si>
  <si>
    <t>Albany, NY : Delmar Publishers, c1990.</t>
  </si>
  <si>
    <t>1994-08-01</t>
  </si>
  <si>
    <t>1990-11-15</t>
  </si>
  <si>
    <t>23713473:eng</t>
  </si>
  <si>
    <t>21442886</t>
  </si>
  <si>
    <t>991000780419702656</t>
  </si>
  <si>
    <t>2257147110002656</t>
  </si>
  <si>
    <t>9780827342033</t>
  </si>
  <si>
    <t>30001002064105</t>
  </si>
  <si>
    <t>893726786</t>
  </si>
  <si>
    <t>WY 105 B154d 1975</t>
  </si>
  <si>
    <t>0                      WY 0105000B  154d        1975</t>
  </si>
  <si>
    <t>Decision making in nursing : tools for change / June T. Bailey, Karen E. Claus ; with 63 ill., including 29 drawings by Bee Walters.</t>
  </si>
  <si>
    <t>Bailey, June T.</t>
  </si>
  <si>
    <t>Saint Louis : C. V. Mosby Co., 1975.</t>
  </si>
  <si>
    <t>2000-02-15</t>
  </si>
  <si>
    <t>307793313:eng</t>
  </si>
  <si>
    <t>1104290</t>
  </si>
  <si>
    <t>991000486189702656</t>
  </si>
  <si>
    <t>2256389020002656</t>
  </si>
  <si>
    <t>9780801604225</t>
  </si>
  <si>
    <t>30001002680769</t>
  </si>
  <si>
    <t>893137771</t>
  </si>
  <si>
    <t>WY 105 B263e 1989</t>
  </si>
  <si>
    <t>0                      WY 0105000B  263e        1989</t>
  </si>
  <si>
    <t>Essentials of nursing management : concepts and context of practice / Barbara Stevens Barnum, Catherine O. Mallard.</t>
  </si>
  <si>
    <t>2001-09-18</t>
  </si>
  <si>
    <t>205252704:eng</t>
  </si>
  <si>
    <t>18521939</t>
  </si>
  <si>
    <t>991001310619702656</t>
  </si>
  <si>
    <t>2271533030002656</t>
  </si>
  <si>
    <t>9780834200180</t>
  </si>
  <si>
    <t>30001001750738</t>
  </si>
  <si>
    <t>893546565</t>
  </si>
  <si>
    <t>WY 105 B397g 1992</t>
  </si>
  <si>
    <t>0                      WY 0105000B  397g        1992</t>
  </si>
  <si>
    <t>A guide to redesigning nursing practice patterns / Joanne Shultz Beckman, Lillian M. Simms ; with contributions by Marla A. Erbin-Roesemann and Kim L. Christopher.</t>
  </si>
  <si>
    <t>Beckman, Joanne Shultz.</t>
  </si>
  <si>
    <t>Ann Arbor, Mich. : Health Administration Press, c1992.</t>
  </si>
  <si>
    <t>26534586:eng</t>
  </si>
  <si>
    <t>24468178</t>
  </si>
  <si>
    <t>991001349829702656</t>
  </si>
  <si>
    <t>2271161490002656</t>
  </si>
  <si>
    <t>9780910701754</t>
  </si>
  <si>
    <t>30001002459214</t>
  </si>
  <si>
    <t>893546608</t>
  </si>
  <si>
    <t>WY 105 B636g 1981</t>
  </si>
  <si>
    <t>0                      WY 0105000B  636g        1981</t>
  </si>
  <si>
    <t>Grid approaches for managerial leadership in nursing / Robert R. Blake, Jane Srygley Mouton, Mildred Tapper.</t>
  </si>
  <si>
    <t>Blake, Robert R. (Robert Rogers), 1918-2004.</t>
  </si>
  <si>
    <t>1992-04-28</t>
  </si>
  <si>
    <t>500068557:eng</t>
  </si>
  <si>
    <t>6707692</t>
  </si>
  <si>
    <t>991001150829702656</t>
  </si>
  <si>
    <t>2257698430002656</t>
  </si>
  <si>
    <t>9780801606960</t>
  </si>
  <si>
    <t>30001000296030</t>
  </si>
  <si>
    <t>893148908</t>
  </si>
  <si>
    <t>WY 105 C337 1990</t>
  </si>
  <si>
    <t>0                      WY 0105000C  337         1990</t>
  </si>
  <si>
    <t>Case studies in nursing management : practice, theory, and research / [edited by] Ann Marriner-Tomey.</t>
  </si>
  <si>
    <t>905398000:eng</t>
  </si>
  <si>
    <t>20594079</t>
  </si>
  <si>
    <t>991001451369702656</t>
  </si>
  <si>
    <t>2267478600002656</t>
  </si>
  <si>
    <t>9780801658488</t>
  </si>
  <si>
    <t>30001001883091</t>
  </si>
  <si>
    <t>893451220</t>
  </si>
  <si>
    <t>WY 105 C456 1989</t>
  </si>
  <si>
    <t>0                      WY 0105000C  456         1989</t>
  </si>
  <si>
    <t>Changing organizational structures / editor, Marion Johnson.</t>
  </si>
  <si>
    <t>Redwood City, Calif. : Addison-Wesley Pub. Co., c1989.</t>
  </si>
  <si>
    <t>Series on nursing administration, 0895-4364 ; v. 2</t>
  </si>
  <si>
    <t>1990-08-31</t>
  </si>
  <si>
    <t>1104267153:eng</t>
  </si>
  <si>
    <t>20897257</t>
  </si>
  <si>
    <t>991001454029702656</t>
  </si>
  <si>
    <t>2267719320002656</t>
  </si>
  <si>
    <t>9780201129281</t>
  </si>
  <si>
    <t>30001001884297</t>
  </si>
  <si>
    <t>893816431</t>
  </si>
  <si>
    <t>WY 105 C592n 1994</t>
  </si>
  <si>
    <t>0                      WY 0105000C  592n        1994</t>
  </si>
  <si>
    <t>The Nurse as group leader / Carolyn Chambers Clark.</t>
  </si>
  <si>
    <t>New York : Springer Pub. Co., c1994.</t>
  </si>
  <si>
    <t>Springer series on the teaching of nursing ; v. 3</t>
  </si>
  <si>
    <t>2002-03-07</t>
  </si>
  <si>
    <t>7023111:eng</t>
  </si>
  <si>
    <t>29847018</t>
  </si>
  <si>
    <t>991000677269702656</t>
  </si>
  <si>
    <t>2265818100002656</t>
  </si>
  <si>
    <t>9780826123336</t>
  </si>
  <si>
    <t>30001002696690</t>
  </si>
  <si>
    <t>893545491</t>
  </si>
  <si>
    <t>WY 105 C762 1982</t>
  </si>
  <si>
    <t>0                      WY 0105000C  762         1982</t>
  </si>
  <si>
    <t>Contemporary leadership behavior : selected readings / edited by Eleanor C. Hein, M. Jean Nicholson.</t>
  </si>
  <si>
    <t>Boston : Little, Brown, c1982.</t>
  </si>
  <si>
    <t>1992-03-22</t>
  </si>
  <si>
    <t>796281615:eng</t>
  </si>
  <si>
    <t>9008103</t>
  </si>
  <si>
    <t>991000736669702656</t>
  </si>
  <si>
    <t>2255265850002656</t>
  </si>
  <si>
    <t>9780316354479</t>
  </si>
  <si>
    <t>30001000041865</t>
  </si>
  <si>
    <t>893278051</t>
  </si>
  <si>
    <t>WY 105 C9758 1988</t>
  </si>
  <si>
    <t>0                      WY 0105000C  9758        1988</t>
  </si>
  <si>
    <t>Current strategies for nurse administrators / edited by Mary K. Stull, SueEllen Pinkerton.</t>
  </si>
  <si>
    <t>1998-11-21</t>
  </si>
  <si>
    <t>430822358:eng</t>
  </si>
  <si>
    <t>16525150</t>
  </si>
  <si>
    <t>991001177339702656</t>
  </si>
  <si>
    <t>2267311290002656</t>
  </si>
  <si>
    <t>9780871898784</t>
  </si>
  <si>
    <t>30001000976193</t>
  </si>
  <si>
    <t>893278840</t>
  </si>
  <si>
    <t>WY 105 D489 1973</t>
  </si>
  <si>
    <t>0                      WY 0105000D  489         1973</t>
  </si>
  <si>
    <t>Developing strategies to effect change : presentations at the 1973 Forum for Nursing Service Administrators in the West.</t>
  </si>
  <si>
    <t>NLN pub. no. 52-1537</t>
  </si>
  <si>
    <t>1151028135:eng</t>
  </si>
  <si>
    <t>1365543</t>
  </si>
  <si>
    <t>991001516099702656</t>
  </si>
  <si>
    <t>2267997390002656</t>
  </si>
  <si>
    <t>30001000600017</t>
  </si>
  <si>
    <t>893643658</t>
  </si>
  <si>
    <t>WY 105 D582 1989</t>
  </si>
  <si>
    <t>0                      WY 0105000D  582         1989</t>
  </si>
  <si>
    <t>Dimensions of nursing administration : theory, research, education, practice / edited by Beverly Henry ... [et al.].</t>
  </si>
  <si>
    <t>Boston : Blackwell Scientific Publications, c1989.</t>
  </si>
  <si>
    <t>1997-09-09</t>
  </si>
  <si>
    <t>894510751:eng</t>
  </si>
  <si>
    <t>18413580</t>
  </si>
  <si>
    <t>991001250439702656</t>
  </si>
  <si>
    <t>2258688010002656</t>
  </si>
  <si>
    <t>9780865420519</t>
  </si>
  <si>
    <t>30001001678756</t>
  </si>
  <si>
    <t>893649009</t>
  </si>
  <si>
    <t>WY 105 D737e 1992</t>
  </si>
  <si>
    <t>0                      WY 0105000D  737e        1992</t>
  </si>
  <si>
    <t>The effective nurse : leader and manager / Laura Mae Douglass.</t>
  </si>
  <si>
    <t>Douglass, Laura Mae.</t>
  </si>
  <si>
    <t>1992-05-05</t>
  </si>
  <si>
    <t>1992-02-13</t>
  </si>
  <si>
    <t>20629787:eng</t>
  </si>
  <si>
    <t>23651135</t>
  </si>
  <si>
    <t>991001033269702656</t>
  </si>
  <si>
    <t>2262953500002656</t>
  </si>
  <si>
    <t>9780801663208</t>
  </si>
  <si>
    <t>30001002244236</t>
  </si>
  <si>
    <t>893731614</t>
  </si>
  <si>
    <t>WY 105 E27 1978</t>
  </si>
  <si>
    <t>0                      WY 0105000E  27          1978</t>
  </si>
  <si>
    <t>Effective boardmanship : hiring and evaluating the agency administrator.</t>
  </si>
  <si>
    <t>NLN pub. no. 21-1742</t>
  </si>
  <si>
    <t>3770329752:eng</t>
  </si>
  <si>
    <t>5196575</t>
  </si>
  <si>
    <t>991001386869702656</t>
  </si>
  <si>
    <t>2258783560002656</t>
  </si>
  <si>
    <t>30001000463929</t>
  </si>
  <si>
    <t>893149131</t>
  </si>
  <si>
    <t>WY 105 E275 1992</t>
  </si>
  <si>
    <t>0                      WY 0105000E  275         1992</t>
  </si>
  <si>
    <t>Effective management in nursing / [edited by] Eleanor J. Sullivan, Phillip J. Decker.</t>
  </si>
  <si>
    <t>Redwood City, Calif. : Addison-Wesley Nursing, c1992.</t>
  </si>
  <si>
    <t>1992-08-06</t>
  </si>
  <si>
    <t>3855266224:eng</t>
  </si>
  <si>
    <t>24247161</t>
  </si>
  <si>
    <t>991001338759702656</t>
  </si>
  <si>
    <t>2262072620002656</t>
  </si>
  <si>
    <t>9780805378627</t>
  </si>
  <si>
    <t>30001002455063</t>
  </si>
  <si>
    <t>893736505</t>
  </si>
  <si>
    <t>WY 105 F532a 1984</t>
  </si>
  <si>
    <t>0                      WY 0105000F  532a        1984</t>
  </si>
  <si>
    <t>Administrator's handbook for community health and home care services / Carolyn W. Fish.</t>
  </si>
  <si>
    <t>Fish, Carolyn W.</t>
  </si>
  <si>
    <t>[Rev. ed.]</t>
  </si>
  <si>
    <t>Pub. ; no. 21-1943</t>
  </si>
  <si>
    <t>1989-12-02</t>
  </si>
  <si>
    <t>1883124243:eng</t>
  </si>
  <si>
    <t>10700351</t>
  </si>
  <si>
    <t>991001151089702656</t>
  </si>
  <si>
    <t>2260895920002656</t>
  </si>
  <si>
    <t>9780887370663</t>
  </si>
  <si>
    <t>30001000296170</t>
  </si>
  <si>
    <t>893736272</t>
  </si>
  <si>
    <t>WY 105 G394 1978</t>
  </si>
  <si>
    <t>0                      WY 0105000G  394         1978</t>
  </si>
  <si>
    <t>Getting our act together : presentations from the March 1978 Forum for Nursing Service Administrators in the West / sponsored by the Western Regional Assembly of Constituent Leagues.</t>
  </si>
  <si>
    <t>NLN pub. no. 52-1805</t>
  </si>
  <si>
    <t>1154094211:eng</t>
  </si>
  <si>
    <t>5863650</t>
  </si>
  <si>
    <t>991001517409702656</t>
  </si>
  <si>
    <t>2260970070002656</t>
  </si>
  <si>
    <t>30001000600199</t>
  </si>
  <si>
    <t>893374668</t>
  </si>
  <si>
    <t>WY105 G874L 2003</t>
  </si>
  <si>
    <t>0                      WY 0105000G  874L        2003</t>
  </si>
  <si>
    <t>Leadership and management in nursing / Mary Ellen Grohar-Murray, Helen R. DiCroce.</t>
  </si>
  <si>
    <t>Grohar-Murray, Mary Ellen.</t>
  </si>
  <si>
    <t>Upper Saddle River, N.J. : Prentice Hall, 2003.</t>
  </si>
  <si>
    <t>1118673:eng</t>
  </si>
  <si>
    <t>48773783</t>
  </si>
  <si>
    <t>991001723099702656</t>
  </si>
  <si>
    <t>2267477370002656</t>
  </si>
  <si>
    <t>9780130617774</t>
  </si>
  <si>
    <t>30001004501328</t>
  </si>
  <si>
    <t>893121792</t>
  </si>
  <si>
    <t>WY105 G8785n 2005</t>
  </si>
  <si>
    <t>0                      WY 0105000G  8785n       2005</t>
  </si>
  <si>
    <t>The new leadership challenge : creating the future of nursing / Sheila C. Grossman, Theresa M. Valiga.</t>
  </si>
  <si>
    <t>Grossman, Sheila.</t>
  </si>
  <si>
    <t>Philadelphia : F.A. Davis, c2005.</t>
  </si>
  <si>
    <t>2006-06-13</t>
  </si>
  <si>
    <t>2005-09-27</t>
  </si>
  <si>
    <t>797219262:eng</t>
  </si>
  <si>
    <t>57682434</t>
  </si>
  <si>
    <t>991000444819702656</t>
  </si>
  <si>
    <t>2267844630002656</t>
  </si>
  <si>
    <t>9780803612587</t>
  </si>
  <si>
    <t>30001004913978</t>
  </si>
  <si>
    <t>893280009</t>
  </si>
  <si>
    <t>WY 105 G946 1977</t>
  </si>
  <si>
    <t>0                      WY 0105000G  946         1977</t>
  </si>
  <si>
    <t>A Guide for nurse managers / edited by Elizabeth Raybould ; foreword by I. C. S. Brown.</t>
  </si>
  <si>
    <t>Oxford : Blackwell Scientific ; Philadelphia : Distributed in the U.S.A. by J. B. Lippincott, 1977.</t>
  </si>
  <si>
    <t>12026204:eng</t>
  </si>
  <si>
    <t>3687180</t>
  </si>
  <si>
    <t>991001151279702656</t>
  </si>
  <si>
    <t>2262329580002656</t>
  </si>
  <si>
    <t>9780632000951</t>
  </si>
  <si>
    <t>30001000296238</t>
  </si>
  <si>
    <t>893727291</t>
  </si>
  <si>
    <t>WY 105 G974L 1997</t>
  </si>
  <si>
    <t>0                      WY 0105000G  974L        1997</t>
  </si>
  <si>
    <t>2003-04-27</t>
  </si>
  <si>
    <t>35159234</t>
  </si>
  <si>
    <t>991000784159702656</t>
  </si>
  <si>
    <t>2262349480002656</t>
  </si>
  <si>
    <t>9780838556467</t>
  </si>
  <si>
    <t>30001004071165</t>
  </si>
  <si>
    <t>893273133</t>
  </si>
  <si>
    <t>WY 105 H251c 2004</t>
  </si>
  <si>
    <t>0                      WY 0105000H  251c        2004</t>
  </si>
  <si>
    <t>Clinical delegation skills / Ruth I. Hansten, Marilynn Jackson.</t>
  </si>
  <si>
    <t>Hansten, Ruth I.</t>
  </si>
  <si>
    <t>Sudbury, Mass. : Jones and Bartlett Publishers, c2004.</t>
  </si>
  <si>
    <t>758399:eng</t>
  </si>
  <si>
    <t>53179028</t>
  </si>
  <si>
    <t>991001729659702656</t>
  </si>
  <si>
    <t>2261566450002656</t>
  </si>
  <si>
    <t>9780763733261</t>
  </si>
  <si>
    <t>30001004841021</t>
  </si>
  <si>
    <t>893134774</t>
  </si>
  <si>
    <t>WY 105 H432 1953</t>
  </si>
  <si>
    <t>0                      WY 0105000H  432         1953</t>
  </si>
  <si>
    <t>The head nurse at work.</t>
  </si>
  <si>
    <t>New York : Dept. of Hospital Nursing, National League for Nursing, 1953.</t>
  </si>
  <si>
    <t>135896506:eng</t>
  </si>
  <si>
    <t>2560478</t>
  </si>
  <si>
    <t>991001517979702656</t>
  </si>
  <si>
    <t>2259331420002656</t>
  </si>
  <si>
    <t>30001000600330</t>
  </si>
  <si>
    <t>893552590</t>
  </si>
  <si>
    <t>WY 105 H737i 1987</t>
  </si>
  <si>
    <t>0                      WY 0105000H  737i        1987</t>
  </si>
  <si>
    <t>Introduction to leadership and management in nursing / Mary Louise Holle, Mary Elizabeth Blatchley.</t>
  </si>
  <si>
    <t>Holle, Mary Louise.</t>
  </si>
  <si>
    <t>Boston : Jones &amp; Bartlett Publishers, c1987.</t>
  </si>
  <si>
    <t>1988-09-22</t>
  </si>
  <si>
    <t>510199:eng</t>
  </si>
  <si>
    <t>14128081</t>
  </si>
  <si>
    <t>991001264779702656</t>
  </si>
  <si>
    <t>2271448290002656</t>
  </si>
  <si>
    <t>9780867203806</t>
  </si>
  <si>
    <t>30001000352437</t>
  </si>
  <si>
    <t>893731796</t>
  </si>
  <si>
    <t>WY 105 I19 1978</t>
  </si>
  <si>
    <t>0                      WY 0105000I  19          1978</t>
  </si>
  <si>
    <t>Identifying problems in the motivation, performance, and retention of nursing staff : presentations from the October 1978 Forum for Nursing Service Administrators in the West / sponsored by the Western Regional Assembly of Constituent Leagues for Nursing.</t>
  </si>
  <si>
    <t>NLN pub. no. 52-1802</t>
  </si>
  <si>
    <t>19790490:eng</t>
  </si>
  <si>
    <t>5863666</t>
  </si>
  <si>
    <t>991001517219702656</t>
  </si>
  <si>
    <t>2261007920002656</t>
  </si>
  <si>
    <t>30001000600132</t>
  </si>
  <si>
    <t>893279172</t>
  </si>
  <si>
    <t>WY 105 K96m 1990</t>
  </si>
  <si>
    <t>0                      WY 0105000K  96m         1990</t>
  </si>
  <si>
    <t>Marketing strategies for nurse managers : a guide for developing and implementing a nursing marketing plan / Vi Kunkle.</t>
  </si>
  <si>
    <t>Kunkle, Vi.</t>
  </si>
  <si>
    <t>Rockville, Md. : Aspen Publishers, 1990.</t>
  </si>
  <si>
    <t>1991-09-06</t>
  </si>
  <si>
    <t>21422395:eng</t>
  </si>
  <si>
    <t>20169714</t>
  </si>
  <si>
    <t>991001451329702656</t>
  </si>
  <si>
    <t>2257427480002656</t>
  </si>
  <si>
    <t>9780834201101</t>
  </si>
  <si>
    <t>30001001883075</t>
  </si>
  <si>
    <t>893364163</t>
  </si>
  <si>
    <t>WY 105 L123 1975</t>
  </si>
  <si>
    <t>0                      WY 0105000L  123         1975</t>
  </si>
  <si>
    <t>Labor-management issues in the health care field.</t>
  </si>
  <si>
    <t>NLN pub. no. 21-1624</t>
  </si>
  <si>
    <t>6538537:eng</t>
  </si>
  <si>
    <t>2913613</t>
  </si>
  <si>
    <t>991001370069702656</t>
  </si>
  <si>
    <t>2265295180002656</t>
  </si>
  <si>
    <t>30001000461659</t>
  </si>
  <si>
    <t>893134495</t>
  </si>
  <si>
    <t>WY 105 L4325 1995</t>
  </si>
  <si>
    <t>0                      WY 0105000L  4325        1995</t>
  </si>
  <si>
    <t>Leading and managing in nursing / [edited by] Patricia S. Yoder Wise.</t>
  </si>
  <si>
    <t>61966992:eng</t>
  </si>
  <si>
    <t>31288496</t>
  </si>
  <si>
    <t>991001403829702656</t>
  </si>
  <si>
    <t>2260366680002656</t>
  </si>
  <si>
    <t>9780815192442</t>
  </si>
  <si>
    <t>30001003149319</t>
  </si>
  <si>
    <t>893736543</t>
  </si>
  <si>
    <t>WY 105 L4325 1999</t>
  </si>
  <si>
    <t>0                      WY 0105000L  4325        1999</t>
  </si>
  <si>
    <t>Leading and managing in nursing / [edited by] Patricia S. Yoder-Wise.</t>
  </si>
  <si>
    <t>St. Louis, Mo. : Mosby, c1999.</t>
  </si>
  <si>
    <t>2004-02-18</t>
  </si>
  <si>
    <t>1999-05-04</t>
  </si>
  <si>
    <t>39539848</t>
  </si>
  <si>
    <t>991000784929702656</t>
  </si>
  <si>
    <t>2260466130002656</t>
  </si>
  <si>
    <t>9781556644016</t>
  </si>
  <si>
    <t>30001004072601</t>
  </si>
  <si>
    <t>893642539</t>
  </si>
  <si>
    <t>WY 105 L433 1979</t>
  </si>
  <si>
    <t>0                      WY 0105000L  433         1979</t>
  </si>
  <si>
    <t>Leadership in nursing / edited by Marjorie Beyers.</t>
  </si>
  <si>
    <t>The Management anthology series: Theme 2, Management functions</t>
  </si>
  <si>
    <t>1992-10-19</t>
  </si>
  <si>
    <t>54352912:eng</t>
  </si>
  <si>
    <t>5781817</t>
  </si>
  <si>
    <t>991000736479702656</t>
  </si>
  <si>
    <t>2267537390002656</t>
  </si>
  <si>
    <t>9780913654569</t>
  </si>
  <si>
    <t>30001000041741</t>
  </si>
  <si>
    <t>893278050</t>
  </si>
  <si>
    <t>WY105 L434 2003</t>
  </si>
  <si>
    <t>0                      WY 0105000L  434         2003</t>
  </si>
  <si>
    <t>2008-04-04</t>
  </si>
  <si>
    <t>2003-01-24</t>
  </si>
  <si>
    <t>50518951</t>
  </si>
  <si>
    <t>991000337549702656</t>
  </si>
  <si>
    <t>2269860130002656</t>
  </si>
  <si>
    <t>9780323016322</t>
  </si>
  <si>
    <t>30001004501344</t>
  </si>
  <si>
    <t>893547720</t>
  </si>
  <si>
    <t>WY 105 L674p 1976</t>
  </si>
  <si>
    <t>0                      WY 0105000L  674p        1976</t>
  </si>
  <si>
    <t>Planning patient care / Lucile Lewis.</t>
  </si>
  <si>
    <t>Lewis, Lucile.</t>
  </si>
  <si>
    <t>Dubuque, Iowa : W.C. Brown Co., c1976.</t>
  </si>
  <si>
    <t>1244951:eng</t>
  </si>
  <si>
    <t>2398107</t>
  </si>
  <si>
    <t>991001151439702656</t>
  </si>
  <si>
    <t>2257862520002656</t>
  </si>
  <si>
    <t>9780697055408</t>
  </si>
  <si>
    <t>30001000296337</t>
  </si>
  <si>
    <t>893552187</t>
  </si>
  <si>
    <t>WY 105 L82p 1986</t>
  </si>
  <si>
    <t>0                      WY 0105000L  82p         1986</t>
  </si>
  <si>
    <t>Professional education and practice of nurse administrators/directors of nursing in long-term care (phase II) / by Mary P. Lodge and Fern Pietraschke.</t>
  </si>
  <si>
    <t>Kansas City, Mo. : American Nurses' Foundation, c1986.</t>
  </si>
  <si>
    <t>ANA pub ; no. FD-29</t>
  </si>
  <si>
    <t>2007-09-26</t>
  </si>
  <si>
    <t>1987-12-08</t>
  </si>
  <si>
    <t>7465302:eng</t>
  </si>
  <si>
    <t>13777900</t>
  </si>
  <si>
    <t>991001520019702656</t>
  </si>
  <si>
    <t>2268664530002656</t>
  </si>
  <si>
    <t>30001000602294</t>
  </si>
  <si>
    <t>893369440</t>
  </si>
  <si>
    <t>WY 105 L863g 1979</t>
  </si>
  <si>
    <t>0                      WY 0105000L  863g        1979</t>
  </si>
  <si>
    <t>Group process for nurses / Maxine E. Loomis.</t>
  </si>
  <si>
    <t>Loomis, Maxine E.</t>
  </si>
  <si>
    <t>1991-09-22</t>
  </si>
  <si>
    <t>14948862:eng</t>
  </si>
  <si>
    <t>4549564</t>
  </si>
  <si>
    <t>991001151489702656</t>
  </si>
  <si>
    <t>2272675270002656</t>
  </si>
  <si>
    <t>9780801630378</t>
  </si>
  <si>
    <t>30001000296352</t>
  </si>
  <si>
    <t>893736273</t>
  </si>
  <si>
    <t>WY 105 M143n 1984</t>
  </si>
  <si>
    <t>0                      WY 0105000M  143n        1984</t>
  </si>
  <si>
    <t>Nursing leadership and management : contemporary strategies / Gertrude K. McFarland, H. Skipton Leonard, Martha M. Morris.</t>
  </si>
  <si>
    <t>McFarland, Gertrude K., 1941-</t>
  </si>
  <si>
    <t>New York : Wiley, c1984.</t>
  </si>
  <si>
    <t>836628670:eng</t>
  </si>
  <si>
    <t>9894587</t>
  </si>
  <si>
    <t>991001151519702656</t>
  </si>
  <si>
    <t>2262764930002656</t>
  </si>
  <si>
    <t>9780471090977</t>
  </si>
  <si>
    <t>30001000296378</t>
  </si>
  <si>
    <t>893560887</t>
  </si>
  <si>
    <t>WY 105 M268 1977</t>
  </si>
  <si>
    <t>0                      WY 0105000M  268         1977</t>
  </si>
  <si>
    <t>Management perspectives : (I'm not sure but that's my problem).</t>
  </si>
  <si>
    <t>NLN pub. no. 52-1767</t>
  </si>
  <si>
    <t>5615491892:eng</t>
  </si>
  <si>
    <t>5709523</t>
  </si>
  <si>
    <t>991001517129702656</t>
  </si>
  <si>
    <t>2260298660002656</t>
  </si>
  <si>
    <t>30001000600116</t>
  </si>
  <si>
    <t>893633161</t>
  </si>
  <si>
    <t>WY 105 M2683 1983</t>
  </si>
  <si>
    <t>0                      WY 0105000M  2683        1983</t>
  </si>
  <si>
    <t>Management systems for nursing service staffing / edited by Robert L. Hanson ; contributors, American Hospital Association ... [et al.].</t>
  </si>
  <si>
    <t>1993-06-23</t>
  </si>
  <si>
    <t>42985404:eng</t>
  </si>
  <si>
    <t>9442426</t>
  </si>
  <si>
    <t>991001151749702656</t>
  </si>
  <si>
    <t>2263602450002656</t>
  </si>
  <si>
    <t>9780894438431</t>
  </si>
  <si>
    <t>30001000296451</t>
  </si>
  <si>
    <t>893740819</t>
  </si>
  <si>
    <t>WY 105 M357L 2006</t>
  </si>
  <si>
    <t>0                      WY 0105000M  357L        2006</t>
  </si>
  <si>
    <t>Leadership roles and management functions in nursing : theory and application / Bessie L. Marquis, Carol J. Huston.</t>
  </si>
  <si>
    <t>Marquis, Bessie L.</t>
  </si>
  <si>
    <t>2010-09-28</t>
  </si>
  <si>
    <t>1118677:eng</t>
  </si>
  <si>
    <t>56956477</t>
  </si>
  <si>
    <t>991001747499702656</t>
  </si>
  <si>
    <t>2261848040002656</t>
  </si>
  <si>
    <t>9780781795944</t>
  </si>
  <si>
    <t>30001005366754</t>
  </si>
  <si>
    <t>893558323</t>
  </si>
  <si>
    <t>WY 105 M358n 1997</t>
  </si>
  <si>
    <t>0                      WY 0105000M  358n        1997</t>
  </si>
  <si>
    <t>The nurse manager's survival guide : practical answers to everyday problems / T.M. Marrelli ; with assistance from Lynda S. Hilliard.</t>
  </si>
  <si>
    <t>679666:eng</t>
  </si>
  <si>
    <t>36008442</t>
  </si>
  <si>
    <t>991000784089702656</t>
  </si>
  <si>
    <t>2259095960002656</t>
  </si>
  <si>
    <t>9780815156727</t>
  </si>
  <si>
    <t>30001004071157</t>
  </si>
  <si>
    <t>893831227</t>
  </si>
  <si>
    <t>WY 105 M359g 1988</t>
  </si>
  <si>
    <t>0                      WY 0105000M  359g        1988</t>
  </si>
  <si>
    <t>Guide to nursing management / Ann Marriner-Tomey.</t>
  </si>
  <si>
    <t>Marriner-Tomey, Ann, 1943-</t>
  </si>
  <si>
    <t>3901067239:eng</t>
  </si>
  <si>
    <t>15661352</t>
  </si>
  <si>
    <t>991001346689702656</t>
  </si>
  <si>
    <t>2259822790002656</t>
  </si>
  <si>
    <t>9780801632075</t>
  </si>
  <si>
    <t>30001002457465</t>
  </si>
  <si>
    <t>893455712</t>
  </si>
  <si>
    <t>WY 105 M359g 2000</t>
  </si>
  <si>
    <t>0                      WY 0105000M  359g        2000</t>
  </si>
  <si>
    <t>Guide to nursing management and leadership / Ann Marriner-Tomey.</t>
  </si>
  <si>
    <t>2908949560:eng</t>
  </si>
  <si>
    <t>43441718</t>
  </si>
  <si>
    <t>991000277569702656</t>
  </si>
  <si>
    <t>2270065180002656</t>
  </si>
  <si>
    <t>9780323010665</t>
  </si>
  <si>
    <t>30001003941723</t>
  </si>
  <si>
    <t>893628974</t>
  </si>
  <si>
    <t>WY 105 M359g 2004</t>
  </si>
  <si>
    <t>0                      WY 0105000M  359g        2004</t>
  </si>
  <si>
    <t>2010-06-21</t>
  </si>
  <si>
    <t>53139570</t>
  </si>
  <si>
    <t>991001729739702656</t>
  </si>
  <si>
    <t>2265801630002656</t>
  </si>
  <si>
    <t>9780323028646</t>
  </si>
  <si>
    <t>30001004920932</t>
  </si>
  <si>
    <t>893727858</t>
  </si>
  <si>
    <t>WY 105 M496p 1982</t>
  </si>
  <si>
    <t>0                      WY 0105000M  496p        1982</t>
  </si>
  <si>
    <t>Patient teaching : theories, techniques, and strategies / Jean Stone Megenity, Jack Megenity.</t>
  </si>
  <si>
    <t>Megenity, Jean Stone, 1927-</t>
  </si>
  <si>
    <t>Bowie, Md. : R.J. Brady, c1982.</t>
  </si>
  <si>
    <t>2001-10-29</t>
  </si>
  <si>
    <t>497752256:eng</t>
  </si>
  <si>
    <t>7837753</t>
  </si>
  <si>
    <t>991001151599702656</t>
  </si>
  <si>
    <t>2257014820002656</t>
  </si>
  <si>
    <t>9780893030520</t>
  </si>
  <si>
    <t>30001000296402</t>
  </si>
  <si>
    <t>893820991</t>
  </si>
  <si>
    <t>WY 105 M918 1976</t>
  </si>
  <si>
    <t>0                      WY 0105000M  918         1976</t>
  </si>
  <si>
    <t>Motivating personnel &amp; managing conflict : a reader consisting of twelve articles / especially selected by the Journal of nursing administration editorial staff.</t>
  </si>
  <si>
    <t>Wakefield, MA : Contemporary Pub., c1976.</t>
  </si>
  <si>
    <t>Contemporary nursing resource book</t>
  </si>
  <si>
    <t>1992-02-26</t>
  </si>
  <si>
    <t>5886927:eng</t>
  </si>
  <si>
    <t>2684568</t>
  </si>
  <si>
    <t>991001151819702656</t>
  </si>
  <si>
    <t>2265491620002656</t>
  </si>
  <si>
    <t>9780913654354</t>
  </si>
  <si>
    <t>30001000296477</t>
  </si>
  <si>
    <t>893148909</t>
  </si>
  <si>
    <t>WY 105 N532n 2002</t>
  </si>
  <si>
    <t>0                      WY 0105000N  532n        2002</t>
  </si>
  <si>
    <t>Nursing leadership in the organized delivery system for the acute care setting / Robin Purdy Newhouse, Mary Etta Mills.</t>
  </si>
  <si>
    <t>Newhouse, Robin Purdy.</t>
  </si>
  <si>
    <t>Washington, D.C. : American Nurses Pub., c2002.</t>
  </si>
  <si>
    <t>ANA pub ; no. ODS22</t>
  </si>
  <si>
    <t>2003-04-17</t>
  </si>
  <si>
    <t>998776:eng</t>
  </si>
  <si>
    <t>50554794</t>
  </si>
  <si>
    <t>991000345309702656</t>
  </si>
  <si>
    <t>2256020940002656</t>
  </si>
  <si>
    <t>9781558102033</t>
  </si>
  <si>
    <t>30001004632636</t>
  </si>
  <si>
    <t>893553440</t>
  </si>
  <si>
    <t>WY 105 N9734 1980</t>
  </si>
  <si>
    <t>0                      WY 0105000N  9734        1980</t>
  </si>
  <si>
    <t>Nursing administration handbook / [compiled by] Howard S. Rowland and Beatrice L. Rowland.</t>
  </si>
  <si>
    <t>Germantown, Md. : Aspen Systems Corp., 1980.</t>
  </si>
  <si>
    <t>1991-03-12</t>
  </si>
  <si>
    <t>426599935:eng</t>
  </si>
  <si>
    <t>6086344</t>
  </si>
  <si>
    <t>991001151839702656</t>
  </si>
  <si>
    <t>2257612250002656</t>
  </si>
  <si>
    <t>9780894432750</t>
  </si>
  <si>
    <t>30001000296519</t>
  </si>
  <si>
    <t>893134291</t>
  </si>
  <si>
    <t>WY 105 N9737 1985</t>
  </si>
  <si>
    <t>0                      WY 0105000N  9737        1985</t>
  </si>
  <si>
    <t>Nursing administration handbook / edited by Howard S. Rowland, Beatrice L. Rowland.</t>
  </si>
  <si>
    <t>12724876</t>
  </si>
  <si>
    <t>991001151879702656</t>
  </si>
  <si>
    <t>2256848160002656</t>
  </si>
  <si>
    <t>9780871892294</t>
  </si>
  <si>
    <t>30001000296527</t>
  </si>
  <si>
    <t>893552188</t>
  </si>
  <si>
    <t>WY 105 N974 1988</t>
  </si>
  <si>
    <t>0                      WY 0105000N  974         1988</t>
  </si>
  <si>
    <t>Nursing case management / American Nurses' Association.</t>
  </si>
  <si>
    <t>1994-11-14</t>
  </si>
  <si>
    <t>3943681689:eng</t>
  </si>
  <si>
    <t>23901795</t>
  </si>
  <si>
    <t>991000759999702656</t>
  </si>
  <si>
    <t>2272219070002656</t>
  </si>
  <si>
    <t>30001001392101</t>
  </si>
  <si>
    <t>893540433</t>
  </si>
  <si>
    <t>WY 105 N9743 1978</t>
  </si>
  <si>
    <t>0                      WY 0105000N  9743        1978</t>
  </si>
  <si>
    <t>Nursing administration : present and future.</t>
  </si>
  <si>
    <t>NLN pub. no.20-1739</t>
  </si>
  <si>
    <t>15136542:eng</t>
  </si>
  <si>
    <t>5051586</t>
  </si>
  <si>
    <t>991001385109702656</t>
  </si>
  <si>
    <t>2268523340002656</t>
  </si>
  <si>
    <t>30001000463564</t>
  </si>
  <si>
    <t>893369341</t>
  </si>
  <si>
    <t>WY 105 N97479 1996</t>
  </si>
  <si>
    <t>0                      WY 0105000N  97479       1996</t>
  </si>
  <si>
    <t>Nursing management in the new paradigm / [edited by] Catherine E. Loveridge and Susan H. Cummings.</t>
  </si>
  <si>
    <t>1998-03-19</t>
  </si>
  <si>
    <t>474197835:eng</t>
  </si>
  <si>
    <t>33077398</t>
  </si>
  <si>
    <t>991001552799702656</t>
  </si>
  <si>
    <t>2254751130002656</t>
  </si>
  <si>
    <t>9780834206205</t>
  </si>
  <si>
    <t>30001003474857</t>
  </si>
  <si>
    <t>893284899</t>
  </si>
  <si>
    <t>WY 105 NU553L 1989 v.1,no.1</t>
  </si>
  <si>
    <t>0                      WY 0105000NU 553L        1989                                        v.1,no.1</t>
  </si>
  <si>
    <t>Recruitment and retention / editorial advisory board, Karen G. Barnes ... [et al.] ; managing editor, Susan M. Glover ; [associate editor, Marjorie Kidd Keating].</t>
  </si>
  <si>
    <t>V. 1,NO. 1</t>
  </si>
  <si>
    <t>Baltimore : Williams &amp; Wilkins, c1989.</t>
  </si>
  <si>
    <t>Nurse managers' bookshelf ; vol. 1, no. 1 (Mar. 1989)</t>
  </si>
  <si>
    <t>55402627:eng</t>
  </si>
  <si>
    <t>22665874</t>
  </si>
  <si>
    <t>991001780929702656</t>
  </si>
  <si>
    <t>2256743910002656</t>
  </si>
  <si>
    <t>9780683065282</t>
  </si>
  <si>
    <t>30001002244707</t>
  </si>
  <si>
    <t>893633387</t>
  </si>
  <si>
    <t>WY 105 NU553L 1989 v.1,no.2</t>
  </si>
  <si>
    <t>0                      WY 0105000NU 553L        1989                                        v.1,no.2</t>
  </si>
  <si>
    <t>Performance evaluations / Editorial Advisory Board, Karen G. Barnes ... [et al.] ; managing editor, Susan M. Glover.</t>
  </si>
  <si>
    <t>V. 1,NO. 2</t>
  </si>
  <si>
    <t>Nurse managers' bookshelf ; v. 1, no. 2</t>
  </si>
  <si>
    <t>1993-03-07</t>
  </si>
  <si>
    <t>22073801:eng</t>
  </si>
  <si>
    <t>20407841</t>
  </si>
  <si>
    <t>991001035609702656</t>
  </si>
  <si>
    <t>2255580400002656</t>
  </si>
  <si>
    <t>9780683065299</t>
  </si>
  <si>
    <t>30001002244681</t>
  </si>
  <si>
    <t>893736162</t>
  </si>
  <si>
    <t>WY 105 NU553L 1989 v.1,no.3</t>
  </si>
  <si>
    <t>0                      WY 0105000NU 553L        1989                                        v.1,no.3</t>
  </si>
  <si>
    <t>Communicating like a manager / Rebecca S. Weinfeld, Edith M. Donohue.</t>
  </si>
  <si>
    <t>V. 1,NO. 3</t>
  </si>
  <si>
    <t>Weinfeld, Rebecca S.</t>
  </si>
  <si>
    <t>Nurse managers' bookshelf ; v. 1, no. 3 (Sept. 1989)</t>
  </si>
  <si>
    <t>21331556:eng</t>
  </si>
  <si>
    <t>20013222</t>
  </si>
  <si>
    <t>991001780849702656</t>
  </si>
  <si>
    <t>2262121070002656</t>
  </si>
  <si>
    <t>9780683065305</t>
  </si>
  <si>
    <t>30001002244665</t>
  </si>
  <si>
    <t>893279663</t>
  </si>
  <si>
    <t>WY 105 NU553L 1989 v.1,no.4</t>
  </si>
  <si>
    <t>0                      WY 0105000NU 553L        1989                                        v.1,no.4</t>
  </si>
  <si>
    <t>Team building / Ann Marie T. Brooks.</t>
  </si>
  <si>
    <t>V. 1,NO. 4</t>
  </si>
  <si>
    <t>Brooks, Ann Marie T., 1947-</t>
  </si>
  <si>
    <t>Nurse managers' bookshelf ; v. 1, no. 4</t>
  </si>
  <si>
    <t>2001-04-23</t>
  </si>
  <si>
    <t>22744476:eng</t>
  </si>
  <si>
    <t>21043024</t>
  </si>
  <si>
    <t>991001780889702656</t>
  </si>
  <si>
    <t>2269070610002656</t>
  </si>
  <si>
    <t>9780683065312</t>
  </si>
  <si>
    <t>30001002244640</t>
  </si>
  <si>
    <t>893827083</t>
  </si>
  <si>
    <t>WY 105 O45w 1986</t>
  </si>
  <si>
    <t>0                      WY 0105000O  45w         1986</t>
  </si>
  <si>
    <t>Winning strategies for nursing managers / Joan G. O'Leary, Sharon Tarrant Wendelgass, Helen Eckman Zimmerman.</t>
  </si>
  <si>
    <t>O'Leary, Joan G.</t>
  </si>
  <si>
    <t>5844647:eng</t>
  </si>
  <si>
    <t>13184303</t>
  </si>
  <si>
    <t>991001151919702656</t>
  </si>
  <si>
    <t>2266372280002656</t>
  </si>
  <si>
    <t>9780397545414</t>
  </si>
  <si>
    <t>30001000296535</t>
  </si>
  <si>
    <t>893541062</t>
  </si>
  <si>
    <t>WY 105 O58 1978</t>
  </si>
  <si>
    <t>0                      WY 0105000O  58          1978</t>
  </si>
  <si>
    <t>One step beyond : shock or reality? : Presentations from the October 1976 and March 1977 Forums for Nursing Service Administrators in the West / sponsored by the Western Regional Assembly of Constituent Leagues.</t>
  </si>
  <si>
    <t>NLN pub. no. 52-1724</t>
  </si>
  <si>
    <t>13991208:eng</t>
  </si>
  <si>
    <t>6143913</t>
  </si>
  <si>
    <t>991001517029702656</t>
  </si>
  <si>
    <t>2260042860002656</t>
  </si>
  <si>
    <t>30001000600090</t>
  </si>
  <si>
    <t>893546787</t>
  </si>
  <si>
    <t>WY 105 O71 1970</t>
  </si>
  <si>
    <t>0                      WY 0105000O  71          1970</t>
  </si>
  <si>
    <t>The use of managerial tools in evaluating and improving the quality of nursing care : a survey of selected hospitals in New Jersey.</t>
  </si>
  <si>
    <t>Orleans, Donald.</t>
  </si>
  <si>
    <t>New York : National League for Nursing, 1970.</t>
  </si>
  <si>
    <t>League exchange ; no. 92</t>
  </si>
  <si>
    <t>1246837:eng</t>
  </si>
  <si>
    <t>123500</t>
  </si>
  <si>
    <t>991001384199702656</t>
  </si>
  <si>
    <t>2263580470002656</t>
  </si>
  <si>
    <t>30001000463382</t>
  </si>
  <si>
    <t>893727525</t>
  </si>
  <si>
    <t>WY 105 O86f 1979</t>
  </si>
  <si>
    <t>0                      WY 0105000O  86f         1979</t>
  </si>
  <si>
    <t>Financial management of department of nursing services / [Richard J. Oszustowicz].</t>
  </si>
  <si>
    <t>Oszustowicz, Richard J.</t>
  </si>
  <si>
    <t>NLN pub. no. 20-1798</t>
  </si>
  <si>
    <t>21464011:eng</t>
  </si>
  <si>
    <t>6223951</t>
  </si>
  <si>
    <t>991001385709702656</t>
  </si>
  <si>
    <t>2271991670002656</t>
  </si>
  <si>
    <t>30001000463671</t>
  </si>
  <si>
    <t>893460509</t>
  </si>
  <si>
    <t>WY 105 P298 1980</t>
  </si>
  <si>
    <t>0                      WY 0105000P  298         1980</t>
  </si>
  <si>
    <t>Patient care standards / Susan Martin Tucker ... [et al.].</t>
  </si>
  <si>
    <t>1990-12-12</t>
  </si>
  <si>
    <t>5725796</t>
  </si>
  <si>
    <t>991001152049702656</t>
  </si>
  <si>
    <t>2255495110002656</t>
  </si>
  <si>
    <t>9780801651229</t>
  </si>
  <si>
    <t>30001000296618</t>
  </si>
  <si>
    <t>893560888</t>
  </si>
  <si>
    <t>WY 105 P712 1983</t>
  </si>
  <si>
    <t>0                      WY 0105000P  712         1983</t>
  </si>
  <si>
    <t>Planning, strategies for nurse managers / edited by Janet M. Kraegel.</t>
  </si>
  <si>
    <t>43699073:eng</t>
  </si>
  <si>
    <t>9533546</t>
  </si>
  <si>
    <t>991001152089702656</t>
  </si>
  <si>
    <t>2267216250002656</t>
  </si>
  <si>
    <t>9780894438813</t>
  </si>
  <si>
    <t>30001000296626</t>
  </si>
  <si>
    <t>893727292</t>
  </si>
  <si>
    <t>WY 105 P849c 1986</t>
  </si>
  <si>
    <t>0                      WY 0105000P  849c        1986</t>
  </si>
  <si>
    <t>Creative nursing administration : participative management into the 21st century / Tim Porter-O'Grady.</t>
  </si>
  <si>
    <t>2007-04-01</t>
  </si>
  <si>
    <t>429889319:eng</t>
  </si>
  <si>
    <t>12695687</t>
  </si>
  <si>
    <t>991001152129702656</t>
  </si>
  <si>
    <t>2264949340002656</t>
  </si>
  <si>
    <t>9780871892645</t>
  </si>
  <si>
    <t>30001000296659</t>
  </si>
  <si>
    <t>893643264</t>
  </si>
  <si>
    <t>WY 105 Q1 1974</t>
  </si>
  <si>
    <t>0                      WY 0105000Q  1           1974</t>
  </si>
  <si>
    <t>Quality assessment and patient care : presentations at the fall 1974 Forum for Nursing Service Administrators in the West, held at San Francisco, California.</t>
  </si>
  <si>
    <t>NLN pub. no. 52-1572</t>
  </si>
  <si>
    <t>1151051028:eng</t>
  </si>
  <si>
    <t>3053077</t>
  </si>
  <si>
    <t>991001516199702656</t>
  </si>
  <si>
    <t>2265742180002656</t>
  </si>
  <si>
    <t>30001000600033</t>
  </si>
  <si>
    <t>893826832</t>
  </si>
  <si>
    <t>WY 105 Q5 1966</t>
  </si>
  <si>
    <t>0                      WY 0105000Q  5           1966</t>
  </si>
  <si>
    <t>Quest for quality : a self evaluation guide to patient care / prepared by the Committee on Quality of Patient Care, Department of Hospital Nursing.</t>
  </si>
  <si>
    <t>New York : National League for Nursing, 1966.</t>
  </si>
  <si>
    <t>NLN pub. no. 20-1212</t>
  </si>
  <si>
    <t>1990-05-07</t>
  </si>
  <si>
    <t>4020065569:eng</t>
  </si>
  <si>
    <t>1399858</t>
  </si>
  <si>
    <t>991001384009702656</t>
  </si>
  <si>
    <t>2264031240002656</t>
  </si>
  <si>
    <t>30001000463317</t>
  </si>
  <si>
    <t>893451123</t>
  </si>
  <si>
    <t>WY 105 R211p 1983</t>
  </si>
  <si>
    <t>0                      WY 0105000R  211p        1983</t>
  </si>
  <si>
    <t>Patient education : issues, principles, and guidelines / Sally H. Rankin, Karen L. Duffy, with a contribution from Diane Shea Pravikoff.</t>
  </si>
  <si>
    <t>Philadelphia : J.B. Lippincott, c1983.</t>
  </si>
  <si>
    <t>1998-12-02</t>
  </si>
  <si>
    <t>3859688034:eng</t>
  </si>
  <si>
    <t>9084369</t>
  </si>
  <si>
    <t>991001152179702656</t>
  </si>
  <si>
    <t>2256486440002656</t>
  </si>
  <si>
    <t>9780397543984</t>
  </si>
  <si>
    <t>30001000296675</t>
  </si>
  <si>
    <t>893731707</t>
  </si>
  <si>
    <t>WY 105 R744 1977</t>
  </si>
  <si>
    <t>0                      WY 0105000R  744         1977</t>
  </si>
  <si>
    <t>Role expectations : nurse administrators, governing boards, chief executive officers.</t>
  </si>
  <si>
    <t>NLN pub. no. 20-1693</t>
  </si>
  <si>
    <t>1994-09-16</t>
  </si>
  <si>
    <t>14685428:eng</t>
  </si>
  <si>
    <t>4468347</t>
  </si>
  <si>
    <t>991001448089702656</t>
  </si>
  <si>
    <t>2255649010002656</t>
  </si>
  <si>
    <t>30001001881434</t>
  </si>
  <si>
    <t>893451215</t>
  </si>
  <si>
    <t>WY 105 R745 1976</t>
  </si>
  <si>
    <t>0                      WY 0105000R  745         1976</t>
  </si>
  <si>
    <t>The Role of the director of nursing service.</t>
  </si>
  <si>
    <t>NLN pub. no. 20-1646</t>
  </si>
  <si>
    <t>6189749:eng</t>
  </si>
  <si>
    <t>2738971</t>
  </si>
  <si>
    <t>991001384779702656</t>
  </si>
  <si>
    <t>2266484150002656</t>
  </si>
  <si>
    <t>30001000463507</t>
  </si>
  <si>
    <t>893727526</t>
  </si>
  <si>
    <t>WY 105 S465 1967</t>
  </si>
  <si>
    <t>0                      WY 0105000S  465         1967</t>
  </si>
  <si>
    <t>A self-evaluation guide for nursing services in hospitals and related institutions.</t>
  </si>
  <si>
    <t>NLN pub. no. 20-1291</t>
  </si>
  <si>
    <t>8077093:eng</t>
  </si>
  <si>
    <t>14503531</t>
  </si>
  <si>
    <t>991001384129702656</t>
  </si>
  <si>
    <t>2270255550002656</t>
  </si>
  <si>
    <t>30001000463358</t>
  </si>
  <si>
    <t>893374489</t>
  </si>
  <si>
    <t>WY 105 S844f 1983</t>
  </si>
  <si>
    <t>0                      WY 0105000S  844f        1983</t>
  </si>
  <si>
    <t>First-line patient care management / Barbara J. Stevens.</t>
  </si>
  <si>
    <t>3133600154:eng</t>
  </si>
  <si>
    <t>8708951</t>
  </si>
  <si>
    <t>991001083419702656</t>
  </si>
  <si>
    <t>2272536170002656</t>
  </si>
  <si>
    <t>9780894438455</t>
  </si>
  <si>
    <t>30001000258071</t>
  </si>
  <si>
    <t>893450857</t>
  </si>
  <si>
    <t>WY 105 S846m 1978</t>
  </si>
  <si>
    <t>0                      WY 0105000S  846m        1978</t>
  </si>
  <si>
    <t>Management and leadership in nursing / Warren F. Stevens.</t>
  </si>
  <si>
    <t>Stevens, Warren F.</t>
  </si>
  <si>
    <t>406534:eng</t>
  </si>
  <si>
    <t>3017247</t>
  </si>
  <si>
    <t>991000736449702656</t>
  </si>
  <si>
    <t>2269874420002656</t>
  </si>
  <si>
    <t>9780070612600</t>
  </si>
  <si>
    <t>30001000041725</t>
  </si>
  <si>
    <t>893373549</t>
  </si>
  <si>
    <t>WY 105 S949ea 1997</t>
  </si>
  <si>
    <t>0                      WY 0105000S  949ea       1997</t>
  </si>
  <si>
    <t>Effective leadership and management in nursing / Eleanor J. Sullivan, Phillip J. Decker.</t>
  </si>
  <si>
    <t>Menlo Park, Calif. : Addison-Wesley Nursing, c1997.</t>
  </si>
  <si>
    <t>2003-01-17</t>
  </si>
  <si>
    <t>1997-08-25</t>
  </si>
  <si>
    <t>658151:eng</t>
  </si>
  <si>
    <t>34663380</t>
  </si>
  <si>
    <t>991001263379702656</t>
  </si>
  <si>
    <t>2262663750002656</t>
  </si>
  <si>
    <t>9780805378672</t>
  </si>
  <si>
    <t>30001003691815</t>
  </si>
  <si>
    <t>893369271</t>
  </si>
  <si>
    <t>WY 105 S972i 1999</t>
  </si>
  <si>
    <t>0                      WY 0105000S  972i        1999</t>
  </si>
  <si>
    <t>Introductory management and leadership for nurses : an interactive text / Russell C. Swansburg, Richard J. Swansburg.</t>
  </si>
  <si>
    <t>Swansburg, Russell C.</t>
  </si>
  <si>
    <t>Sudbury, Mass. : Jones &amp; Bartlett Publishers, c1999.</t>
  </si>
  <si>
    <t>2010-02-03</t>
  </si>
  <si>
    <t>799895021:eng</t>
  </si>
  <si>
    <t>38976563</t>
  </si>
  <si>
    <t>991001573799702656</t>
  </si>
  <si>
    <t>2263273180002656</t>
  </si>
  <si>
    <t>9780763706401</t>
  </si>
  <si>
    <t>30001004010536</t>
  </si>
  <si>
    <t>893643719</t>
  </si>
  <si>
    <t>WY 105 S972m 1990</t>
  </si>
  <si>
    <t>0                      WY 0105000S  972m        1990</t>
  </si>
  <si>
    <t>Management and leadership for nurse managers / Russell C. Swansburg.</t>
  </si>
  <si>
    <t>Boston : Jones and Bartlett Publishers, c1990.</t>
  </si>
  <si>
    <t>Jones and Bartlett series in nursing</t>
  </si>
  <si>
    <t>22030789:eng</t>
  </si>
  <si>
    <t>20852952</t>
  </si>
  <si>
    <t>991001453159702656</t>
  </si>
  <si>
    <t>2264876060002656</t>
  </si>
  <si>
    <t>9780867204391</t>
  </si>
  <si>
    <t>30001001883927</t>
  </si>
  <si>
    <t>893816430</t>
  </si>
  <si>
    <t>WY105 T253 1992</t>
  </si>
  <si>
    <t>0                      WY 0105000T  253         1992</t>
  </si>
  <si>
    <t>Teaching in nursing practice : a professional model / Nancy I. Whitman ... [et al.].</t>
  </si>
  <si>
    <t>2001-11-13</t>
  </si>
  <si>
    <t>836877420:eng</t>
  </si>
  <si>
    <t>25411261</t>
  </si>
  <si>
    <t>991001194929702656</t>
  </si>
  <si>
    <t>2255441140002656</t>
  </si>
  <si>
    <t>9780838588246</t>
  </si>
  <si>
    <t>30001002984252</t>
  </si>
  <si>
    <t>893134333</t>
  </si>
  <si>
    <t>WY 105 W747b 1992</t>
  </si>
  <si>
    <t>0                      WY 0105000W  747b        1992</t>
  </si>
  <si>
    <t>Building new nursing organizations : visions and realities / Cathleen Krueger Wilson.</t>
  </si>
  <si>
    <t>Wilson, Cathleen Krueger.</t>
  </si>
  <si>
    <t>25091369:eng</t>
  </si>
  <si>
    <t>24065620</t>
  </si>
  <si>
    <t>991001479169702656</t>
  </si>
  <si>
    <t>2264166790002656</t>
  </si>
  <si>
    <t>9780834203075</t>
  </si>
  <si>
    <t>30001002564914</t>
  </si>
  <si>
    <t>893546744</t>
  </si>
  <si>
    <t>WY 105 Y95n 1981</t>
  </si>
  <si>
    <t>0                      WY 0105000Y  95n         1981</t>
  </si>
  <si>
    <t>Nursing leadership : theory and process / Helen Yura, Dorothy Ozimek, Mary B. Walsh.</t>
  </si>
  <si>
    <t>2452698536:eng</t>
  </si>
  <si>
    <t>6016313</t>
  </si>
  <si>
    <t>991001083489702656</t>
  </si>
  <si>
    <t>2269515370002656</t>
  </si>
  <si>
    <t>9780838570289</t>
  </si>
  <si>
    <t>30001000258105</t>
  </si>
  <si>
    <t>893450858</t>
  </si>
  <si>
    <t>WY106 A425c 2005</t>
  </si>
  <si>
    <t>0                      WY 0106000A  425c        2005</t>
  </si>
  <si>
    <t>Community health nursing : promoting and protecting the public's health / Judith Ann Allender, Barbara Walton Spradley.</t>
  </si>
  <si>
    <t>Allender, Judith Ann.</t>
  </si>
  <si>
    <t>2867990823:eng</t>
  </si>
  <si>
    <t>54907013</t>
  </si>
  <si>
    <t>991000393179702656</t>
  </si>
  <si>
    <t>2258108050002656</t>
  </si>
  <si>
    <t>9780781744492</t>
  </si>
  <si>
    <t>30001004922920</t>
  </si>
  <si>
    <t>893279974</t>
  </si>
  <si>
    <t>WY 106 A512c 1980</t>
  </si>
  <si>
    <t>0                      WY 0106000A  512c        1980</t>
  </si>
  <si>
    <t>A conceptual model of community health nursing / America Nurses' Association, Division of Community Health Nursing.</t>
  </si>
  <si>
    <t>Kansas City, Mo. : American Nurses' Assn, c1980.</t>
  </si>
  <si>
    <t>ANA pub ; no. CH-10 2M 5/80</t>
  </si>
  <si>
    <t>23450558:eng</t>
  </si>
  <si>
    <t>6648173</t>
  </si>
  <si>
    <t>991001521519702656</t>
  </si>
  <si>
    <t>2268796090002656</t>
  </si>
  <si>
    <t>30001000602930</t>
  </si>
  <si>
    <t>893162100</t>
  </si>
  <si>
    <t>WY 106 A546ca 1996</t>
  </si>
  <si>
    <t>0                      WY 0106000A  546ca       1996</t>
  </si>
  <si>
    <t>Community as partner : theory and practice in nursing / Elizabeth T. Anderson, Judith McFarlane.</t>
  </si>
  <si>
    <t>Anderson, Elizabeth T.</t>
  </si>
  <si>
    <t>Philadelphia : J.B. Lippincott, c1996.</t>
  </si>
  <si>
    <t>2000-04-25</t>
  </si>
  <si>
    <t>9946277:eng</t>
  </si>
  <si>
    <t>32431830</t>
  </si>
  <si>
    <t>991001552949702656</t>
  </si>
  <si>
    <t>2256987830002656</t>
  </si>
  <si>
    <t>9780397550883</t>
  </si>
  <si>
    <t>30001003474865</t>
  </si>
  <si>
    <t>893638441</t>
  </si>
  <si>
    <t>WY 106 A546ca 2000</t>
  </si>
  <si>
    <t>0                      WY 0106000A  546ca       2000</t>
  </si>
  <si>
    <t>Philadelphia : Lippincott Williams &amp; Wilkins, c2000.</t>
  </si>
  <si>
    <t>2003-09-23</t>
  </si>
  <si>
    <t>43286684</t>
  </si>
  <si>
    <t>991000276089702656</t>
  </si>
  <si>
    <t>2258460050002656</t>
  </si>
  <si>
    <t>9780781721257</t>
  </si>
  <si>
    <t>30001003942085</t>
  </si>
  <si>
    <t>893451926</t>
  </si>
  <si>
    <t>WY 106 A546ca 2004</t>
  </si>
  <si>
    <t>0                      WY 0106000A  546ca       2004</t>
  </si>
  <si>
    <t>52381865</t>
  </si>
  <si>
    <t>991000584459702656</t>
  </si>
  <si>
    <t>2256715520002656</t>
  </si>
  <si>
    <t>9780781744546</t>
  </si>
  <si>
    <t>30001005175304</t>
  </si>
  <si>
    <t>893819332</t>
  </si>
  <si>
    <t>WY106 A546ca 2008</t>
  </si>
  <si>
    <t>0                      WY 0106000A  546ca       2008</t>
  </si>
  <si>
    <t>Philadelphia : Lippincott Williams &amp; Wilkins, c2008.</t>
  </si>
  <si>
    <t>2007-02-19</t>
  </si>
  <si>
    <t>2007-02-02</t>
  </si>
  <si>
    <t>71350537</t>
  </si>
  <si>
    <t>991001747349702656</t>
  </si>
  <si>
    <t>2271223810002656</t>
  </si>
  <si>
    <t>9780781786430</t>
  </si>
  <si>
    <t>30001005212230</t>
  </si>
  <si>
    <t>893821651</t>
  </si>
  <si>
    <t>WY 106 C265c 1991</t>
  </si>
  <si>
    <t>0                      WY 0106000C  265c        1991</t>
  </si>
  <si>
    <t>Comprehensive family and community health nursing / Susan Clemen-Stone, Diane Gerber Eigsti, Sandra L. McGuire.</t>
  </si>
  <si>
    <t>Clemen-Stone, Susan.</t>
  </si>
  <si>
    <t>3855424266:eng</t>
  </si>
  <si>
    <t>22422677</t>
  </si>
  <si>
    <t>991000827979702656</t>
  </si>
  <si>
    <t>2265222130002656</t>
  </si>
  <si>
    <t>9780801660689</t>
  </si>
  <si>
    <t>30001002089854</t>
  </si>
  <si>
    <t>893273292</t>
  </si>
  <si>
    <t>WY106 C277 2005</t>
  </si>
  <si>
    <t>0                      WY 0106000C  277         2005</t>
  </si>
  <si>
    <t>Caring for the vulnerable : perspectives in nursing theory, practice, and research / editor, Mary de Chesnay.</t>
  </si>
  <si>
    <t>Sudbury, Mass. : Jones and Bartlett, c2005.</t>
  </si>
  <si>
    <t>2009-10-12</t>
  </si>
  <si>
    <t>2005-01-28</t>
  </si>
  <si>
    <t>792437565:eng</t>
  </si>
  <si>
    <t>54906892</t>
  </si>
  <si>
    <t>991000425279702656</t>
  </si>
  <si>
    <t>2257357450002656</t>
  </si>
  <si>
    <t>9780763747640</t>
  </si>
  <si>
    <t>30001004926491</t>
  </si>
  <si>
    <t>893456679</t>
  </si>
  <si>
    <t>WY 106 C592m 1978</t>
  </si>
  <si>
    <t>0                      WY 0106000C  592m        1978</t>
  </si>
  <si>
    <t>Mental health aspects of community health nursing / Carolyn Chambers Clark.</t>
  </si>
  <si>
    <t>-- New York : McGraw-Hill, c1978.</t>
  </si>
  <si>
    <t>1991-09-29</t>
  </si>
  <si>
    <t>1989-09-19</t>
  </si>
  <si>
    <t>13355743:eng</t>
  </si>
  <si>
    <t>3845363</t>
  </si>
  <si>
    <t>991001324599702656</t>
  </si>
  <si>
    <t>2262789510002656</t>
  </si>
  <si>
    <t>9780070111509</t>
  </si>
  <si>
    <t>30001001754383</t>
  </si>
  <si>
    <t>893460472</t>
  </si>
  <si>
    <t>WY 106 C594ca 2003</t>
  </si>
  <si>
    <t>0                      WY 0106000C  594ca       2003</t>
  </si>
  <si>
    <t>Community health nursing : caring for populations / Mary Jo Clark.</t>
  </si>
  <si>
    <t>Clark, Mary Jo Dummer.</t>
  </si>
  <si>
    <t>3944049389:eng</t>
  </si>
  <si>
    <t>48551123</t>
  </si>
  <si>
    <t>991001729869702656</t>
  </si>
  <si>
    <t>2265610090002656</t>
  </si>
  <si>
    <t>9780130941497</t>
  </si>
  <si>
    <t>30001004840882</t>
  </si>
  <si>
    <t>893274430</t>
  </si>
  <si>
    <t>WY 106 C625c 1995</t>
  </si>
  <si>
    <t>0                      WY 0106000C  625c        1995</t>
  </si>
  <si>
    <t>Comprehensive community health nursing : family, aggregate, &amp; community practice / Susan Clemen-Stone, Diane Gerber Eigsti, Sandra L. McGuire.</t>
  </si>
  <si>
    <t>1996-06-25</t>
  </si>
  <si>
    <t>2636814:eng</t>
  </si>
  <si>
    <t>31909904</t>
  </si>
  <si>
    <t>991001507649702656</t>
  </si>
  <si>
    <t>2269229040002656</t>
  </si>
  <si>
    <t>9780801679407</t>
  </si>
  <si>
    <t>30001003264910</t>
  </si>
  <si>
    <t>893832247</t>
  </si>
  <si>
    <t>WY 106 C625c 1998</t>
  </si>
  <si>
    <t>0                      WY 0106000C  625c        1998</t>
  </si>
  <si>
    <t>Comprehensive community health nursing : family, aggregate, &amp; community practice / Susan Clemen-Stone, Sandra L. McGuire, Diane Gerber Eigsti ; with contributions by Ella M. Brooks.</t>
  </si>
  <si>
    <t>2001-10-02</t>
  </si>
  <si>
    <t>1998-01-26</t>
  </si>
  <si>
    <t>37640450</t>
  </si>
  <si>
    <t>991001295479702656</t>
  </si>
  <si>
    <t>2269106210002656</t>
  </si>
  <si>
    <t>9780815113249</t>
  </si>
  <si>
    <t>30001003741826</t>
  </si>
  <si>
    <t>893731853</t>
  </si>
  <si>
    <t>WY106 C7332 2004</t>
  </si>
  <si>
    <t>0                      WY 0106000C  7332        2004</t>
  </si>
  <si>
    <t>Community &amp; public health nursing / [edited by] Marcia Stanhope, Jeanette Lancaster.</t>
  </si>
  <si>
    <t>2007-02-13</t>
  </si>
  <si>
    <t>2004-01-08</t>
  </si>
  <si>
    <t>374497759:eng</t>
  </si>
  <si>
    <t>52738702</t>
  </si>
  <si>
    <t>991001725169702656</t>
  </si>
  <si>
    <t>2272784970002656</t>
  </si>
  <si>
    <t>9780323022408</t>
  </si>
  <si>
    <t>30001004508182</t>
  </si>
  <si>
    <t>893285022</t>
  </si>
  <si>
    <t>WY 106 C7334 1988</t>
  </si>
  <si>
    <t>0                      WY 0106000C  7334        1988</t>
  </si>
  <si>
    <t>Community as client : application of the nursing process / [edited by] Elizabeth T. Anderson, Judith M. McFarlane ; with 11 contributors.</t>
  </si>
  <si>
    <t>New York : Lippincott, c1988.</t>
  </si>
  <si>
    <t>1992-01-31</t>
  </si>
  <si>
    <t>1988-05-09</t>
  </si>
  <si>
    <t>337634752:eng</t>
  </si>
  <si>
    <t>16088427</t>
  </si>
  <si>
    <t>991001189179702656</t>
  </si>
  <si>
    <t>2263786560002656</t>
  </si>
  <si>
    <t>9780397545643</t>
  </si>
  <si>
    <t>30001000978884</t>
  </si>
  <si>
    <t>893632797</t>
  </si>
  <si>
    <t>WY 106 C7335 1986</t>
  </si>
  <si>
    <t>0                      WY 0106000C  7335        1986</t>
  </si>
  <si>
    <t>Community-based nursing services : innovative models / American Nurses' Association, Council of Community Health Nurses.</t>
  </si>
  <si>
    <t>Kansas City, Mo. (2420 Pershing Road, Kansas City 64108) : The Association, c1986.</t>
  </si>
  <si>
    <t>ANA pub ; no. CH-13</t>
  </si>
  <si>
    <t>1998-09-11</t>
  </si>
  <si>
    <t>927523505:eng</t>
  </si>
  <si>
    <t>13126171</t>
  </si>
  <si>
    <t>991001521549702656</t>
  </si>
  <si>
    <t>2271422090002656</t>
  </si>
  <si>
    <t>30001000602971</t>
  </si>
  <si>
    <t>893121587</t>
  </si>
  <si>
    <t>WY106 C734289 2003</t>
  </si>
  <si>
    <t>0                      WY 0106000C  734289      2003</t>
  </si>
  <si>
    <t>Community health nursing : caring in action / Janice E. Hitchcock, Phyllis E. Schubert, Sue A. Thomas.</t>
  </si>
  <si>
    <t>Hitchcock, Janice E.</t>
  </si>
  <si>
    <t>Clifton Park, NY : Thomson/Delmar Learning, c2003.</t>
  </si>
  <si>
    <t>2003-07-15</t>
  </si>
  <si>
    <t>894530043:eng</t>
  </si>
  <si>
    <t>48176830</t>
  </si>
  <si>
    <t>991000352959702656</t>
  </si>
  <si>
    <t>2256214250002656</t>
  </si>
  <si>
    <t>9780766834972</t>
  </si>
  <si>
    <t>30001004505121</t>
  </si>
  <si>
    <t>893136755</t>
  </si>
  <si>
    <t>WY 106 C7345 1978</t>
  </si>
  <si>
    <t>0                      WY 0106000C  7345        1978</t>
  </si>
  <si>
    <t>Community health : today and tomorrow.</t>
  </si>
  <si>
    <t>NLN pub. no. 52-1768</t>
  </si>
  <si>
    <t>15233909:eng</t>
  </si>
  <si>
    <t>5673679</t>
  </si>
  <si>
    <t>991001517159702656</t>
  </si>
  <si>
    <t>2264433280002656</t>
  </si>
  <si>
    <t>30001000600124</t>
  </si>
  <si>
    <t>893652055</t>
  </si>
  <si>
    <t>WY 106 C7347 1985</t>
  </si>
  <si>
    <t>0                      WY 0106000C  7347        1985</t>
  </si>
  <si>
    <t>Community health nursing : keeping the public healthy / [edited by] Linda L. Jarvis.</t>
  </si>
  <si>
    <t>Philadelphia : Davis, c1985.</t>
  </si>
  <si>
    <t>1998-04-28</t>
  </si>
  <si>
    <t>836681297:eng</t>
  </si>
  <si>
    <t>11262213</t>
  </si>
  <si>
    <t>991001291349702656</t>
  </si>
  <si>
    <t>2255257580002656</t>
  </si>
  <si>
    <t>9780803649262</t>
  </si>
  <si>
    <t>30001000398257</t>
  </si>
  <si>
    <t>893740970</t>
  </si>
  <si>
    <t>WY 106 C734n 1979</t>
  </si>
  <si>
    <t>0                      WY 0106000C  734n        1979</t>
  </si>
  <si>
    <t>Community health nursing : education and practice.</t>
  </si>
  <si>
    <t>NLN pub. no. 52-1834</t>
  </si>
  <si>
    <t>1990-07-08</t>
  </si>
  <si>
    <t>4160557368:eng</t>
  </si>
  <si>
    <t>7737636</t>
  </si>
  <si>
    <t>991001517579702656</t>
  </si>
  <si>
    <t>2272383410002656</t>
  </si>
  <si>
    <t>30001000600249</t>
  </si>
  <si>
    <t>893727724</t>
  </si>
  <si>
    <t>WY 106 C735 1985</t>
  </si>
  <si>
    <t>0                      WY 0106000C  735         1985</t>
  </si>
  <si>
    <t>Community health nursing / [edited by] Sarah Ellen Archer, Ruth P. Fleshman.</t>
  </si>
  <si>
    <t>Monterey, Calif. : Wadsworth Health Sciences, c1985.</t>
  </si>
  <si>
    <t>1994-02-22</t>
  </si>
  <si>
    <t>8612034:eng</t>
  </si>
  <si>
    <t>11550658</t>
  </si>
  <si>
    <t>991000736309702656</t>
  </si>
  <si>
    <t>2259009230002656</t>
  </si>
  <si>
    <t>9780534043445</t>
  </si>
  <si>
    <t>30001000041659</t>
  </si>
  <si>
    <t>893464598</t>
  </si>
  <si>
    <t>WY106 C7353 2001</t>
  </si>
  <si>
    <t>0                      WY 0106000C  7353        2001</t>
  </si>
  <si>
    <t>Community health nursing : caring for the public's health / [edited by] Karen Saucier Lundy, Sharyn Janes.</t>
  </si>
  <si>
    <t>Sudbury, MA : Jones and Bartlett, c2001.</t>
  </si>
  <si>
    <t>2016</t>
  </si>
  <si>
    <t>2009-11-13</t>
  </si>
  <si>
    <t>2004-02-23</t>
  </si>
  <si>
    <t>988301562:eng</t>
  </si>
  <si>
    <t>46387561</t>
  </si>
  <si>
    <t>991000366399702656</t>
  </si>
  <si>
    <t>2271727560002656</t>
  </si>
  <si>
    <t>9780763707064</t>
  </si>
  <si>
    <t>30001004509388</t>
  </si>
  <si>
    <t>893461434</t>
  </si>
  <si>
    <t>WY 106 C7356 1992</t>
  </si>
  <si>
    <t>0                      WY 0106000C  7356        1992</t>
  </si>
  <si>
    <t>Community health nursing : process and practice for promoting health / [edited by] Marcia Stanhope, Jeanett Lancaster.</t>
  </si>
  <si>
    <t>1996-09-14</t>
  </si>
  <si>
    <t>1992-01-13</t>
  </si>
  <si>
    <t>3855573444:eng</t>
  </si>
  <si>
    <t>24246419</t>
  </si>
  <si>
    <t>991001026989702656</t>
  </si>
  <si>
    <t>2271904280002656</t>
  </si>
  <si>
    <t>9780801647741</t>
  </si>
  <si>
    <t>30001002242917</t>
  </si>
  <si>
    <t>893358149</t>
  </si>
  <si>
    <t>WY 106 C7356 1996</t>
  </si>
  <si>
    <t>0                      WY 0106000C  7356        1996</t>
  </si>
  <si>
    <t>Community health nursing : promoting health of aggregates, families, and individuals / [edited by] Marcia Stanhope, Jeanette Lancaster.</t>
  </si>
  <si>
    <t>889672481:eng</t>
  </si>
  <si>
    <t>33440531</t>
  </si>
  <si>
    <t>991001551189702656</t>
  </si>
  <si>
    <t>2265949440002656</t>
  </si>
  <si>
    <t>9780815181422</t>
  </si>
  <si>
    <t>30001003441666</t>
  </si>
  <si>
    <t>893832303</t>
  </si>
  <si>
    <t>WY 106 C73564 1995</t>
  </si>
  <si>
    <t>0                      WY 0106000C  73564       1995</t>
  </si>
  <si>
    <t>Community health nursing : theory and practice / [editors], Claudia M. Smith, Frances A. Maurer.</t>
  </si>
  <si>
    <t>Philadelphia : W.B. Saunders, c1995.</t>
  </si>
  <si>
    <t>1997-09-18</t>
  </si>
  <si>
    <t>1996-01-12</t>
  </si>
  <si>
    <t>836886647:eng</t>
  </si>
  <si>
    <t>30669915</t>
  </si>
  <si>
    <t>991001501379702656</t>
  </si>
  <si>
    <t>2269178720002656</t>
  </si>
  <si>
    <t>9780721627427</t>
  </si>
  <si>
    <t>30001003262633</t>
  </si>
  <si>
    <t>893821258</t>
  </si>
  <si>
    <t>WY 106 C855s 1986</t>
  </si>
  <si>
    <t>0                      WY 0106000C  855s        1986</t>
  </si>
  <si>
    <t>Standards of community health nursing practice.</t>
  </si>
  <si>
    <t>Council of Community Health Nurses (American Nurses Association)</t>
  </si>
  <si>
    <t>Kansas City, Mo. (2420 Pershing Rd., Kansas City 64108) : American Nurses' Association, Council of Community Health Nurses, c1986.</t>
  </si>
  <si>
    <t>ANA pub ; no. CH-2</t>
  </si>
  <si>
    <t>1990-11-09</t>
  </si>
  <si>
    <t>3855428781:eng</t>
  </si>
  <si>
    <t>13269370</t>
  </si>
  <si>
    <t>991001519239702656</t>
  </si>
  <si>
    <t>2261859620002656</t>
  </si>
  <si>
    <t>30001000602062</t>
  </si>
  <si>
    <t>893638405</t>
  </si>
  <si>
    <t>WY 106 D598 1984</t>
  </si>
  <si>
    <t>0                      WY 0106000D  598         1984</t>
  </si>
  <si>
    <t>Directions in community health nursing / Judith Ann Sullivan, editor.</t>
  </si>
  <si>
    <t>Oxford : Boston : Blackwell Scientific Publications ; St. Louis, Mo. : Blackwell Mosby Book Distributors, c1984.</t>
  </si>
  <si>
    <t>1989-09-26</t>
  </si>
  <si>
    <t>3027088:eng</t>
  </si>
  <si>
    <t>10017994</t>
  </si>
  <si>
    <t>991001083769702656</t>
  </si>
  <si>
    <t>2269606840002656</t>
  </si>
  <si>
    <t>9780865420045</t>
  </si>
  <si>
    <t>30001000258196</t>
  </si>
  <si>
    <t>893287211</t>
  </si>
  <si>
    <t>WY 106 F1977 1986</t>
  </si>
  <si>
    <t>0                      WY 0106000F  1977        1986</t>
  </si>
  <si>
    <t>Family-centered nursing in the community / [edited by] Barbara Bryan Logan, Cecilia E. Dawkins.</t>
  </si>
  <si>
    <t>Menlo Park, Calif. : Addison-Wesley, Health Sciences Division, c1986.</t>
  </si>
  <si>
    <t>1994-12-01</t>
  </si>
  <si>
    <t>355446556:eng</t>
  </si>
  <si>
    <t>12972928</t>
  </si>
  <si>
    <t>991001083799702656</t>
  </si>
  <si>
    <t>2270437680002656</t>
  </si>
  <si>
    <t>9780201126846</t>
  </si>
  <si>
    <t>30001000258246</t>
  </si>
  <si>
    <t>893121149</t>
  </si>
  <si>
    <t>WY 106 F855c 1981</t>
  </si>
  <si>
    <t>0                      WY 0106000F  855c        1981</t>
  </si>
  <si>
    <t>Community health nursing practice / Ruth B. Freeman, Janet Heinrich.</t>
  </si>
  <si>
    <t>Freeman, Ruth B.</t>
  </si>
  <si>
    <t>Philadelphia : Saunders, c1981.</t>
  </si>
  <si>
    <t>1993-10-19</t>
  </si>
  <si>
    <t>448068:eng</t>
  </si>
  <si>
    <t>7173797</t>
  </si>
  <si>
    <t>991001325689702656</t>
  </si>
  <si>
    <t>2255463980002656</t>
  </si>
  <si>
    <t>9780721638775</t>
  </si>
  <si>
    <t>30001001754417</t>
  </si>
  <si>
    <t>893541259</t>
  </si>
  <si>
    <t>WY 106 H234c 1979</t>
  </si>
  <si>
    <t>0                      WY 0106000H  234c        1979</t>
  </si>
  <si>
    <t>Community health assessment : a conceptual tool kit / Effie S. Hanchett.</t>
  </si>
  <si>
    <t>Hanchett, Effie S.</t>
  </si>
  <si>
    <t>2003-08-05</t>
  </si>
  <si>
    <t>32555043:eng</t>
  </si>
  <si>
    <t>4136112</t>
  </si>
  <si>
    <t>991001083849702656</t>
  </si>
  <si>
    <t>2258095510002656</t>
  </si>
  <si>
    <t>9780471347767</t>
  </si>
  <si>
    <t>30001000258261</t>
  </si>
  <si>
    <t>893278674</t>
  </si>
  <si>
    <t>WY 106 H234n 1988</t>
  </si>
  <si>
    <t>0                      WY 0106000H  234n        1988</t>
  </si>
  <si>
    <t>Nursing frameworks &amp; community as client : bridging the gap / Effie S. Hanchett.</t>
  </si>
  <si>
    <t>2000-12-02</t>
  </si>
  <si>
    <t>422926531:eng</t>
  </si>
  <si>
    <t>17918549</t>
  </si>
  <si>
    <t>991001315519702656</t>
  </si>
  <si>
    <t>2257079690002656</t>
  </si>
  <si>
    <t>9780838570135</t>
  </si>
  <si>
    <t>30001001752668</t>
  </si>
  <si>
    <t>893740993</t>
  </si>
  <si>
    <t>WY 106 H485c 1991</t>
  </si>
  <si>
    <t>0                      WY 0106000H  485c        1991</t>
  </si>
  <si>
    <t>Community health nursing : theory and practice / Carl O. Helvie.</t>
  </si>
  <si>
    <t>Helvie, Carl O.</t>
  </si>
  <si>
    <t>New York : Springer Pub. Co., c1991.</t>
  </si>
  <si>
    <t>3863767327:eng</t>
  </si>
  <si>
    <t>20995284</t>
  </si>
  <si>
    <t>991000827939702656</t>
  </si>
  <si>
    <t>2272527110002656</t>
  </si>
  <si>
    <t>9780826165503</t>
  </si>
  <si>
    <t>30001002089813</t>
  </si>
  <si>
    <t>893368672</t>
  </si>
  <si>
    <t>WY 106 H637c 1985</t>
  </si>
  <si>
    <t>0                      WY 0106000H  637c        1985</t>
  </si>
  <si>
    <t>Community as a client : assessment and diagnosis / by Zana Rae Higgs, Dorothy Dell Gustafson.</t>
  </si>
  <si>
    <t>Higgs, Zana Rae, 1940-</t>
  </si>
  <si>
    <t>Philadelphia : F.A. Davis, c1985.</t>
  </si>
  <si>
    <t>3874148:eng</t>
  </si>
  <si>
    <t>11262241</t>
  </si>
  <si>
    <t>991000736259702656</t>
  </si>
  <si>
    <t>2265872650002656</t>
  </si>
  <si>
    <t>9780803646285</t>
  </si>
  <si>
    <t>30001000041618</t>
  </si>
  <si>
    <t>893450170</t>
  </si>
  <si>
    <t>WY106 H946i 2005</t>
  </si>
  <si>
    <t>0                      WY 0106000H  946i        2005</t>
  </si>
  <si>
    <t>Introduction to community-based nursing / Roberta Hunt.</t>
  </si>
  <si>
    <t>Hunt, Roberta.</t>
  </si>
  <si>
    <t>2007-02-05</t>
  </si>
  <si>
    <t>2004-10-08</t>
  </si>
  <si>
    <t>14263813:eng</t>
  </si>
  <si>
    <t>55228216</t>
  </si>
  <si>
    <t>991000399829702656</t>
  </si>
  <si>
    <t>2270456790002656</t>
  </si>
  <si>
    <t>9780781745055</t>
  </si>
  <si>
    <t>30001004923845</t>
  </si>
  <si>
    <t>893279981</t>
  </si>
  <si>
    <t>WY 106 J38k 1981</t>
  </si>
  <si>
    <t>0                      WY 0106000J  38k         1981</t>
  </si>
  <si>
    <t>Keeping the public healthy : community health nursing / Linda L. Jarvis.</t>
  </si>
  <si>
    <t>Jarvis, Linda L.</t>
  </si>
  <si>
    <t>6421256</t>
  </si>
  <si>
    <t>991001083969702656</t>
  </si>
  <si>
    <t>2270548050002656</t>
  </si>
  <si>
    <t>9780803649255</t>
  </si>
  <si>
    <t>30001000258295</t>
  </si>
  <si>
    <t>893369088</t>
  </si>
  <si>
    <t>WY106 M381o 1992</t>
  </si>
  <si>
    <t>0                      WY 0106000M  381o        1992</t>
  </si>
  <si>
    <t>The Omaha system : applications for community health nursing / Karen S. Martin, Nancy J. Scheet.</t>
  </si>
  <si>
    <t>Martin, Karen S.</t>
  </si>
  <si>
    <t>Philadelphia : Saunders, c1992.</t>
  </si>
  <si>
    <t>2007-06-20</t>
  </si>
  <si>
    <t>1992-01-17</t>
  </si>
  <si>
    <t>836865045:eng</t>
  </si>
  <si>
    <t>23732076</t>
  </si>
  <si>
    <t>991001027479702656</t>
  </si>
  <si>
    <t>2267850450002656</t>
  </si>
  <si>
    <t>9780721661261</t>
  </si>
  <si>
    <t>30001002242990</t>
  </si>
  <si>
    <t>893465127</t>
  </si>
  <si>
    <t>WY 106 N974 1987</t>
  </si>
  <si>
    <t>0                      WY 0106000N  974         1987</t>
  </si>
  <si>
    <t>Nursing practice in the 21st century : papers presented at the forum "Nursing Practice in the 21st Century", September 20-23, 1988 [sic] / cosponsored by the American Nurses' Foundation, Inc. and the Annenberg Center for Health Sciences of the Eisenhower Medical Center.</t>
  </si>
  <si>
    <t>Kansas City, Mo. : American Nurses' Foundation, c1988.</t>
  </si>
  <si>
    <t>1988-09-17</t>
  </si>
  <si>
    <t>475752651:eng</t>
  </si>
  <si>
    <t>18343500</t>
  </si>
  <si>
    <t>991001423559702656</t>
  </si>
  <si>
    <t>2272175150002656</t>
  </si>
  <si>
    <t>30001001183302</t>
  </si>
  <si>
    <t>893268487</t>
  </si>
  <si>
    <t>WY 106 N97552 1992</t>
  </si>
  <si>
    <t>0                      WY 0106000N  97552       1992</t>
  </si>
  <si>
    <t>Nursing in the community / [edited by] Mary Jo Clark.</t>
  </si>
  <si>
    <t>1995-03-17</t>
  </si>
  <si>
    <t>1992-02-19</t>
  </si>
  <si>
    <t>4451767997:eng</t>
  </si>
  <si>
    <t>24667688</t>
  </si>
  <si>
    <t>991001032789702656</t>
  </si>
  <si>
    <t>2255809960002656</t>
  </si>
  <si>
    <t>9780838513620</t>
  </si>
  <si>
    <t>30001002244145</t>
  </si>
  <si>
    <t>893632674</t>
  </si>
  <si>
    <t>WY 106 N97553 1990</t>
  </si>
  <si>
    <t>0                      WY 0106000N  97553       1990</t>
  </si>
  <si>
    <t>Nursing in the community / [edited by] Bonnie Bullough, Vern Bullough.</t>
  </si>
  <si>
    <t>423070482:eng</t>
  </si>
  <si>
    <t>20637594</t>
  </si>
  <si>
    <t>991001472159702656</t>
  </si>
  <si>
    <t>2266128570002656</t>
  </si>
  <si>
    <t>9780801660658</t>
  </si>
  <si>
    <t>30001002563171</t>
  </si>
  <si>
    <t>893465564</t>
  </si>
  <si>
    <t>WY 106 N9756 1991</t>
  </si>
  <si>
    <t>0                      WY 0106000N  9756        1991</t>
  </si>
  <si>
    <t>Nursing process and practice in the community / [edited by] Joan M. Cookfair.</t>
  </si>
  <si>
    <t>St. Louis : Mosby Year Book, c1991.</t>
  </si>
  <si>
    <t>24558466:eng</t>
  </si>
  <si>
    <t>22491278</t>
  </si>
  <si>
    <t>991001472279702656</t>
  </si>
  <si>
    <t>2256711510002656</t>
  </si>
  <si>
    <t>9780801625817</t>
  </si>
  <si>
    <t>30001002563197</t>
  </si>
  <si>
    <t>893149246</t>
  </si>
  <si>
    <t>WY 106 P246 1990</t>
  </si>
  <si>
    <t>0                      WY 0106000P  246         1990</t>
  </si>
  <si>
    <t>Parish nursing : the developing practice / edited by Phyllis Ann Solari-Twadell, Anne Marie Djupe, Mary Ann McDermott.</t>
  </si>
  <si>
    <t>Park Ridge, Ill. : National Parish Nurse Resource Center, Lutheran General Health Care System, c1990.</t>
  </si>
  <si>
    <t>2003-05-23</t>
  </si>
  <si>
    <t>1992-10-23</t>
  </si>
  <si>
    <t>24660830:eng</t>
  </si>
  <si>
    <t>23142063</t>
  </si>
  <si>
    <t>991001346579702656</t>
  </si>
  <si>
    <t>2262562800002656</t>
  </si>
  <si>
    <t>9780962762505</t>
  </si>
  <si>
    <t>30001002457416</t>
  </si>
  <si>
    <t>893821135</t>
  </si>
  <si>
    <t>WY 106 P467 1991</t>
  </si>
  <si>
    <t>0                      WY 0106000P  467         1991</t>
  </si>
  <si>
    <t>Perspectives in family and community health / [edited by] Karen A. Saucier.</t>
  </si>
  <si>
    <t>Saint Louis : Mosby, c1991.</t>
  </si>
  <si>
    <t>2001-10-01</t>
  </si>
  <si>
    <t>24565563:eng</t>
  </si>
  <si>
    <t>29594433</t>
  </si>
  <si>
    <t>991000828019702656</t>
  </si>
  <si>
    <t>2270694840002656</t>
  </si>
  <si>
    <t>9780801643385</t>
  </si>
  <si>
    <t>30001002089839</t>
  </si>
  <si>
    <t>893632248</t>
  </si>
  <si>
    <t>WY 106 P976 1978</t>
  </si>
  <si>
    <t>0                      WY 0106000P  976         1978</t>
  </si>
  <si>
    <t>Publicity for your community health agency / Division of Home Health Agencies and Community Health Services.</t>
  </si>
  <si>
    <t>NLN pub. no. 21-1748</t>
  </si>
  <si>
    <t>3858033187:eng</t>
  </si>
  <si>
    <t>4369032</t>
  </si>
  <si>
    <t>991001387049702656</t>
  </si>
  <si>
    <t>2266817580002656</t>
  </si>
  <si>
    <t>30001000463960</t>
  </si>
  <si>
    <t>893374494</t>
  </si>
  <si>
    <t>WY 106 R582b 1988</t>
  </si>
  <si>
    <t>0                      WY 0106000R  582b        1988</t>
  </si>
  <si>
    <t>Basic community and home care nursing / Mary K. Ringsven, Barbara M. Jorenby.</t>
  </si>
  <si>
    <t>Ringsven, Mary K., 1940-</t>
  </si>
  <si>
    <t>Albany, N.Y. : Delmar Publishers, c1988.</t>
  </si>
  <si>
    <t>1990-10-03</t>
  </si>
  <si>
    <t>9750220:eng</t>
  </si>
  <si>
    <t>15550092</t>
  </si>
  <si>
    <t>991000766829702656</t>
  </si>
  <si>
    <t>2268866080002656</t>
  </si>
  <si>
    <t>9780827329690</t>
  </si>
  <si>
    <t>30001002061127</t>
  </si>
  <si>
    <t>893740172</t>
  </si>
  <si>
    <t>WY 106 S766c 1990</t>
  </si>
  <si>
    <t>0                      WY 0106000S  766c        1990</t>
  </si>
  <si>
    <t>Community health nursing : concepts and practice / Barbara Walton Spradley.</t>
  </si>
  <si>
    <t>Spradley, Barbara Walton.</t>
  </si>
  <si>
    <t>Glenview, Ill. : Scott, Foresman/Little, Brown Higher Education, c1990.</t>
  </si>
  <si>
    <t>1997-01-14</t>
  </si>
  <si>
    <t>4223906:eng</t>
  </si>
  <si>
    <t>20560221</t>
  </si>
  <si>
    <t>991001450599702656</t>
  </si>
  <si>
    <t>2267712700002656</t>
  </si>
  <si>
    <t>9780673398055</t>
  </si>
  <si>
    <t>30001001882804</t>
  </si>
  <si>
    <t>893134583</t>
  </si>
  <si>
    <t>WY 106 S972c 1993</t>
  </si>
  <si>
    <t>0                      WY 0106000S  972c        1993</t>
  </si>
  <si>
    <t>Community health nursing : promoting the health of aggregates / Janice M. Swanson, Mary Albrecht.</t>
  </si>
  <si>
    <t>Swanson, Janice M.</t>
  </si>
  <si>
    <t>Philadelphia : Saunders, c1993.</t>
  </si>
  <si>
    <t>2002-11-26</t>
  </si>
  <si>
    <t>3857434556:eng</t>
  </si>
  <si>
    <t>27035765</t>
  </si>
  <si>
    <t>991001501149702656</t>
  </si>
  <si>
    <t>2270323590002656</t>
  </si>
  <si>
    <t>9780721613123</t>
  </si>
  <si>
    <t>30001003262617</t>
  </si>
  <si>
    <t>893816472</t>
  </si>
  <si>
    <t>WY 106 S972c 1997</t>
  </si>
  <si>
    <t>0                      WY 0106000S  972c        1997</t>
  </si>
  <si>
    <t>Community health nursing : promoting the health of aggregates / [edited by] Janice M. Swanson, Mary A. Nies.</t>
  </si>
  <si>
    <t>1997-11-11</t>
  </si>
  <si>
    <t>35209380</t>
  </si>
  <si>
    <t>991001792469702656</t>
  </si>
  <si>
    <t>2270783490002656</t>
  </si>
  <si>
    <t>9780721661674</t>
  </si>
  <si>
    <t>30001003691823</t>
  </si>
  <si>
    <t>893461157</t>
  </si>
  <si>
    <t>WY 106 T948c 1988</t>
  </si>
  <si>
    <t>0                      WY 0106000T  948c        1988</t>
  </si>
  <si>
    <t>Community health nursing : an epidemiologic perspective through the nursing process / Joan G. Turner, Katherine H. Chavigny ; drawings by Stephen Kass.</t>
  </si>
  <si>
    <t>Turner, Joan G.</t>
  </si>
  <si>
    <t>1991-08-21</t>
  </si>
  <si>
    <t>1988-07-06</t>
  </si>
  <si>
    <t>233930974:eng</t>
  </si>
  <si>
    <t>16471067</t>
  </si>
  <si>
    <t>991001416789702656</t>
  </si>
  <si>
    <t>2262443320002656</t>
  </si>
  <si>
    <t>9780397546589</t>
  </si>
  <si>
    <t>30001001181017</t>
  </si>
  <si>
    <t>893652014</t>
  </si>
  <si>
    <t>WY107 A563t 2003</t>
  </si>
  <si>
    <t>0                      WY 0107000A  563t        2003</t>
  </si>
  <si>
    <t>Transcultural concepts in nursing care / Margaret M. Andrews, Joyceen S. Boyle ; Canadian editor, Tracy Jean Carr.</t>
  </si>
  <si>
    <t>Andrews, Margaret M.</t>
  </si>
  <si>
    <t>2003-05-29</t>
  </si>
  <si>
    <t>49942650</t>
  </si>
  <si>
    <t>991000348059702656</t>
  </si>
  <si>
    <t>2272353650002656</t>
  </si>
  <si>
    <t>9780781736800</t>
  </si>
  <si>
    <t>30001004504363</t>
  </si>
  <si>
    <t>893737251</t>
  </si>
  <si>
    <t>WY 107 A568t 1995</t>
  </si>
  <si>
    <t>0                      WY 0107000A  568t        1995</t>
  </si>
  <si>
    <t>Transcultural concepts in nursing care / Margaret M. Andrews, Joyceen S. Boyle.</t>
  </si>
  <si>
    <t>1995-06-29</t>
  </si>
  <si>
    <t>30778826</t>
  </si>
  <si>
    <t>991001402649702656</t>
  </si>
  <si>
    <t>2271890480002656</t>
  </si>
  <si>
    <t>9780397551156</t>
  </si>
  <si>
    <t>30001003148881</t>
  </si>
  <si>
    <t>893377228</t>
  </si>
  <si>
    <t>WY 107 A568t 1999</t>
  </si>
  <si>
    <t>0                      WY 0107000A  568t        1999</t>
  </si>
  <si>
    <t>2004-04-13</t>
  </si>
  <si>
    <t>1999-09-02</t>
  </si>
  <si>
    <t>38486309</t>
  </si>
  <si>
    <t>991001573299702656</t>
  </si>
  <si>
    <t>2271804760002656</t>
  </si>
  <si>
    <t>9780781710381</t>
  </si>
  <si>
    <t>30001004080067</t>
  </si>
  <si>
    <t>893826883</t>
  </si>
  <si>
    <t>WY107 C9678 2006</t>
  </si>
  <si>
    <t>0                      WY 0107000C  9678        2006</t>
  </si>
  <si>
    <t>Culture care diversity and universality : a worldwide nursing theory / [edited by] Madeleine M. Leininger, Marilyn R. McFarland.</t>
  </si>
  <si>
    <t>Sudbury, MA : Jones and Bartlett, c2006.</t>
  </si>
  <si>
    <t>2006-04-24</t>
  </si>
  <si>
    <t>61309321</t>
  </si>
  <si>
    <t>991001738869702656</t>
  </si>
  <si>
    <t>2257581340002656</t>
  </si>
  <si>
    <t>9780763734374</t>
  </si>
  <si>
    <t>30001005127081</t>
  </si>
  <si>
    <t>893162267</t>
  </si>
  <si>
    <t>WY107 C968 2005</t>
  </si>
  <si>
    <t>0                      WY 0107000C  968         2005</t>
  </si>
  <si>
    <t>Culture &amp; clinical care / edited by Juliene G. Lipson, Suzanne L. Dibble.</t>
  </si>
  <si>
    <t>San Francisco, CA : UCSF Nursing Press, c2005.</t>
  </si>
  <si>
    <t>2008-01-28</t>
  </si>
  <si>
    <t>2007-03-21</t>
  </si>
  <si>
    <t>988480:eng</t>
  </si>
  <si>
    <t>60449008</t>
  </si>
  <si>
    <t>991001748859702656</t>
  </si>
  <si>
    <t>2264489120002656</t>
  </si>
  <si>
    <t>9780943671222</t>
  </si>
  <si>
    <t>30001005169752</t>
  </si>
  <si>
    <t>893649440</t>
  </si>
  <si>
    <t>WY107 D245 2003</t>
  </si>
  <si>
    <t>0                      WY 0107000D  245         2003</t>
  </si>
  <si>
    <t>Pocket guide to cultural health assessment / Carolyn Erickson D'Avanzo.</t>
  </si>
  <si>
    <t>D'Avanzo, Carolyn Erickson.</t>
  </si>
  <si>
    <t>Mosby's pocket guide series</t>
  </si>
  <si>
    <t>2010-03-08</t>
  </si>
  <si>
    <t>1004871:eng</t>
  </si>
  <si>
    <t>51671991</t>
  </si>
  <si>
    <t>991000345799702656</t>
  </si>
  <si>
    <t>2262064270002656</t>
  </si>
  <si>
    <t>9780323018586</t>
  </si>
  <si>
    <t>30001004504231</t>
  </si>
  <si>
    <t>893461407</t>
  </si>
  <si>
    <t>WY 107 M967t 2005</t>
  </si>
  <si>
    <t>0                      WY 0107000M  967t        2005</t>
  </si>
  <si>
    <t>Transcultural communication in nursing / Cora C. Muñoz, Joan Luckmann.</t>
  </si>
  <si>
    <t>Muñoz, Cora C.</t>
  </si>
  <si>
    <t>Clifton Park, NY : Thomson/Delmar Learning, c2005.</t>
  </si>
  <si>
    <t>23510950:eng</t>
  </si>
  <si>
    <t>55587645</t>
  </si>
  <si>
    <t>991001735749702656</t>
  </si>
  <si>
    <t>2260438970002656</t>
  </si>
  <si>
    <t>9780766848771</t>
  </si>
  <si>
    <t>30001004914414</t>
  </si>
  <si>
    <t>893649404</t>
  </si>
  <si>
    <t>WY107 T7725 2004</t>
  </si>
  <si>
    <t>0                      WY 0107000T  7725        2004</t>
  </si>
  <si>
    <t>Transcultural nursing : assessment &amp; intervention / [edited by] Joyce Newman Giger, Ruth Elaine Davidhizar.</t>
  </si>
  <si>
    <t>2010-09-16</t>
  </si>
  <si>
    <t>2003-12-12</t>
  </si>
  <si>
    <t>52520326</t>
  </si>
  <si>
    <t>991001724919702656</t>
  </si>
  <si>
    <t>2269778950002656</t>
  </si>
  <si>
    <t>9780323022958</t>
  </si>
  <si>
    <t>30001004508026</t>
  </si>
  <si>
    <t>893274428</t>
  </si>
  <si>
    <t>WY 108 I59 1967</t>
  </si>
  <si>
    <t>0                      WY 0108000I  59          1967</t>
  </si>
  <si>
    <t>Inservice education in public health nursing.</t>
  </si>
  <si>
    <t>New York : Council of Public Health Nursing Services, National League for Nursing, 1967.</t>
  </si>
  <si>
    <t>NLN pub. no. 21-1300</t>
  </si>
  <si>
    <t>500283336:eng</t>
  </si>
  <si>
    <t>3090555</t>
  </si>
  <si>
    <t>991001386069702656</t>
  </si>
  <si>
    <t>2260419540002656</t>
  </si>
  <si>
    <t>30001000463747</t>
  </si>
  <si>
    <t>893649149</t>
  </si>
  <si>
    <t>WY 108 P964 1954</t>
  </si>
  <si>
    <t>0                      WY 0108000P  964         1954</t>
  </si>
  <si>
    <t>Progress report on combination services in public health nursing.</t>
  </si>
  <si>
    <t>New York : Dept. of Public Health Nursing, National League for Nursing, 1955.</t>
  </si>
  <si>
    <t>2436781:eng</t>
  </si>
  <si>
    <t>1575028</t>
  </si>
  <si>
    <t>991001518259702656</t>
  </si>
  <si>
    <t>2264732280002656</t>
  </si>
  <si>
    <t>30001000600413</t>
  </si>
  <si>
    <t>893274228</t>
  </si>
  <si>
    <t>WY 108 P976 2000</t>
  </si>
  <si>
    <t>0                      WY 0108000P  976         2000</t>
  </si>
  <si>
    <t>Public health nursing : a partner for healthy populations / Association of State and Territorial Directors of Nursing.</t>
  </si>
  <si>
    <t>Washington, DC : American Nurses Association, c2000.</t>
  </si>
  <si>
    <t>ANA Pub. no. 9912HP 2000</t>
  </si>
  <si>
    <t>2003-05-20</t>
  </si>
  <si>
    <t>475896588:eng</t>
  </si>
  <si>
    <t>43286706</t>
  </si>
  <si>
    <t>991000347249702656</t>
  </si>
  <si>
    <t>2258335710002656</t>
  </si>
  <si>
    <t>30001004189447</t>
  </si>
  <si>
    <t>893728316</t>
  </si>
  <si>
    <t>WY 108 R287 1991</t>
  </si>
  <si>
    <t>0                      WY 0108000R  287         1991</t>
  </si>
  <si>
    <t>Readings in community health nursing / edited by Barbara Walton Spradley.</t>
  </si>
  <si>
    <t>3901065116:eng</t>
  </si>
  <si>
    <t>22910569</t>
  </si>
  <si>
    <t>991000934669702656</t>
  </si>
  <si>
    <t>2271582300002656</t>
  </si>
  <si>
    <t>9780397548569</t>
  </si>
  <si>
    <t>30001002190454</t>
  </si>
  <si>
    <t>893557425</t>
  </si>
  <si>
    <t>WY 108 R948 1991</t>
  </si>
  <si>
    <t>0                      WY 0108000R  948         1991</t>
  </si>
  <si>
    <t>Rural nursing / edited by Angeline Bushy.</t>
  </si>
  <si>
    <t>Newbury Park, Calif. : Sage Publications, c1991.</t>
  </si>
  <si>
    <t>1991-07-24</t>
  </si>
  <si>
    <t>9463351477:eng</t>
  </si>
  <si>
    <t>23014655</t>
  </si>
  <si>
    <t>991000942289702656</t>
  </si>
  <si>
    <t>2266051710002656</t>
  </si>
  <si>
    <t>9780803938359</t>
  </si>
  <si>
    <t>30001002192856</t>
  </si>
  <si>
    <t>893148728</t>
  </si>
  <si>
    <t>30001002192872</t>
  </si>
  <si>
    <t>893121041</t>
  </si>
  <si>
    <t>WY 108 S797 1976</t>
  </si>
  <si>
    <t>0                      WY 0108000S  797         1976</t>
  </si>
  <si>
    <t>State of the art in management information systems for public health/community health agencies : report of the conference.</t>
  </si>
  <si>
    <t>NLN pub. no. 21-1637</t>
  </si>
  <si>
    <t>3855497310:eng</t>
  </si>
  <si>
    <t>14384918</t>
  </si>
  <si>
    <t>991001386409702656</t>
  </si>
  <si>
    <t>2262689850002656</t>
  </si>
  <si>
    <t>30001000463846</t>
  </si>
  <si>
    <t>893743762</t>
  </si>
  <si>
    <t>WY 108 W476n 1963</t>
  </si>
  <si>
    <t>0                      WY 0108000W  476n        1963</t>
  </si>
  <si>
    <t>Nursing service without walls : a call to action to all communities coast to coast / by Edith Wensley.</t>
  </si>
  <si>
    <t>Wensley, Edith Elizabeth, 1906-</t>
  </si>
  <si>
    <t>New York : Dept. of Hospital Nursing and Dept. of Public Health Nursing, National League for Nursing, c1963.</t>
  </si>
  <si>
    <t>NLN pub. no. 11-1058</t>
  </si>
  <si>
    <t>4088454:eng</t>
  </si>
  <si>
    <t>2167576</t>
  </si>
  <si>
    <t>991001360859702656</t>
  </si>
  <si>
    <t>2270658890002656</t>
  </si>
  <si>
    <t>30001000460636</t>
  </si>
  <si>
    <t>893727506</t>
  </si>
  <si>
    <t>WY 113 T198s 1983</t>
  </si>
  <si>
    <t>0                      WY 0113000T  198s        1983</t>
  </si>
  <si>
    <t>Standards of school nursing practice.</t>
  </si>
  <si>
    <t>Task Force on Standards of School Nursing Practice (U.S.)</t>
  </si>
  <si>
    <t>Kansas City, Mo. (2420 Pershing Rd., Kansas City, Mo. 64108) : American Nurses' Association, c1983.</t>
  </si>
  <si>
    <t>ANA pub ; no. NP-66</t>
  </si>
  <si>
    <t>998656:eng</t>
  </si>
  <si>
    <t>20754788</t>
  </si>
  <si>
    <t>991001518989702656</t>
  </si>
  <si>
    <t>2256809950002656</t>
  </si>
  <si>
    <t>30001000601932</t>
  </si>
  <si>
    <t>893732134</t>
  </si>
  <si>
    <t>WY 113 W852s 1981</t>
  </si>
  <si>
    <t>0                      WY 0113000W  852s        1981</t>
  </si>
  <si>
    <t>School nursing : a framework for practice / Susan J. Wold.</t>
  </si>
  <si>
    <t>Wold, Susan J.</t>
  </si>
  <si>
    <t>1987-10-23</t>
  </si>
  <si>
    <t>451331:eng</t>
  </si>
  <si>
    <t>7203279</t>
  </si>
  <si>
    <t>991000735999702656</t>
  </si>
  <si>
    <t>2269616630002656</t>
  </si>
  <si>
    <t>9780801656118</t>
  </si>
  <si>
    <t>30001000041410</t>
  </si>
  <si>
    <t>893743241</t>
  </si>
  <si>
    <t>WY 115 A5128s 1986</t>
  </si>
  <si>
    <t>0                      WY 0115000A  5128s       1986</t>
  </si>
  <si>
    <t>Standards of home health nursing practice.</t>
  </si>
  <si>
    <t>American Nurses Association. Task Force to Develop Standards of Nursing Practice for Home Health Care.</t>
  </si>
  <si>
    <t>Kansas City, Mo. (2420 Pershing Road, Kansas City 64108) : American Nurses' Association, c1986.</t>
  </si>
  <si>
    <t>ANA pub ; no. CH-14</t>
  </si>
  <si>
    <t>8535268:eng</t>
  </si>
  <si>
    <t>15016269</t>
  </si>
  <si>
    <t>991001519169702656</t>
  </si>
  <si>
    <t>2264178300002656</t>
  </si>
  <si>
    <t>30001000602039</t>
  </si>
  <si>
    <t>893736676</t>
  </si>
  <si>
    <t>WY 115 B413h 1989</t>
  </si>
  <si>
    <t>0                      WY 0115000B  413h        1989</t>
  </si>
  <si>
    <t>Home health nursing : nursing diagnoses &amp; care plans / Carol A. Bedrosian.</t>
  </si>
  <si>
    <t>Bedrosian, Carol A.</t>
  </si>
  <si>
    <t>1992-10-27</t>
  </si>
  <si>
    <t>16689738:eng</t>
  </si>
  <si>
    <t>18072812</t>
  </si>
  <si>
    <t>991001252009702656</t>
  </si>
  <si>
    <t>2254745430002656</t>
  </si>
  <si>
    <t>9780838538425</t>
  </si>
  <si>
    <t>30001001679192</t>
  </si>
  <si>
    <t>893161803</t>
  </si>
  <si>
    <t>WY 115 B849h 1978</t>
  </si>
  <si>
    <t>0                      WY 0115000B  849h        1978</t>
  </si>
  <si>
    <t>Home health care for the aged : how to help older people stay in their own homes and out of institutions / Philip W. Brickner.</t>
  </si>
  <si>
    <t>Brickner, Philip W., 1928-2014.</t>
  </si>
  <si>
    <t>New York : Appleton-Century-Crofts, c1978.</t>
  </si>
  <si>
    <t>1988-08-23</t>
  </si>
  <si>
    <t>905506195:eng</t>
  </si>
  <si>
    <t>3892727</t>
  </si>
  <si>
    <t>991000736039702656</t>
  </si>
  <si>
    <t>2272339840002656</t>
  </si>
  <si>
    <t>9780838538098</t>
  </si>
  <si>
    <t>30001000041402</t>
  </si>
  <si>
    <t>893357451</t>
  </si>
  <si>
    <t>WY 115 B858 1995</t>
  </si>
  <si>
    <t>0                      WY 0115000B  858         1995</t>
  </si>
  <si>
    <t>Bringing the hospital home : ethical and social implications of high-tech home care / edited by John D. Arras.</t>
  </si>
  <si>
    <t>Baltimore : Johns Hopkins University, c1995.</t>
  </si>
  <si>
    <t>2000-02-04</t>
  </si>
  <si>
    <t>836892807:eng</t>
  </si>
  <si>
    <t>32205669</t>
  </si>
  <si>
    <t>991000836079702656</t>
  </si>
  <si>
    <t>2270023230002656</t>
  </si>
  <si>
    <t>9780801849909</t>
  </si>
  <si>
    <t>30001003441849</t>
  </si>
  <si>
    <t>893363249</t>
  </si>
  <si>
    <t>WY 115 C636 1989</t>
  </si>
  <si>
    <t>0                      WY 0115000C  636         1989</t>
  </si>
  <si>
    <t>Client studies in home health care nursing / edited by Corrinne Strandell.</t>
  </si>
  <si>
    <t>1993-01-31</t>
  </si>
  <si>
    <t>17731220:eng</t>
  </si>
  <si>
    <t>18378903</t>
  </si>
  <si>
    <t>991001361289702656</t>
  </si>
  <si>
    <t>2262651060002656</t>
  </si>
  <si>
    <t>9780871897961</t>
  </si>
  <si>
    <t>30001001796764</t>
  </si>
  <si>
    <t>893134491</t>
  </si>
  <si>
    <t>WY 115 C797 1993</t>
  </si>
  <si>
    <t>0                      WY 0115000C  797         1993</t>
  </si>
  <si>
    <t>Core curriculum for home health care nursing / edited by Kathy J. Morgan, Sandra L. McClain.</t>
  </si>
  <si>
    <t>Gaitherburg, Md. : Aspen Publishers, c1993.</t>
  </si>
  <si>
    <t>1996-05-16</t>
  </si>
  <si>
    <t>55699982:eng</t>
  </si>
  <si>
    <t>27936900</t>
  </si>
  <si>
    <t>991001485159702656</t>
  </si>
  <si>
    <t>2259378500002656</t>
  </si>
  <si>
    <t>9780834203792</t>
  </si>
  <si>
    <t>30001002579060</t>
  </si>
  <si>
    <t>893821248</t>
  </si>
  <si>
    <t>WY 115 D659c 1990</t>
  </si>
  <si>
    <t>0                      WY 0115000D  659c        1990</t>
  </si>
  <si>
    <t>Community and home health care plans / Marion B. Dolan.</t>
  </si>
  <si>
    <t>Dolan, Marion B.</t>
  </si>
  <si>
    <t>Springhouse, Pa. : Springhouse Corp., c1990.</t>
  </si>
  <si>
    <t>21993564:eng</t>
  </si>
  <si>
    <t>20353849</t>
  </si>
  <si>
    <t>991001473939702656</t>
  </si>
  <si>
    <t>2270774140002656</t>
  </si>
  <si>
    <t>9780874342253</t>
  </si>
  <si>
    <t>30001002563296</t>
  </si>
  <si>
    <t>893451237</t>
  </si>
  <si>
    <t>WY 115 E26c 1989</t>
  </si>
  <si>
    <t>0                      WY 0115000E  26c         1989</t>
  </si>
  <si>
    <t>Case studies in home health : problem families, problem agencies / Mary Ann Walsh Eells.</t>
  </si>
  <si>
    <t>Eells, Mary Ann Walsh.</t>
  </si>
  <si>
    <t>Nursing case studies</t>
  </si>
  <si>
    <t>17926660:eng</t>
  </si>
  <si>
    <t>18683183</t>
  </si>
  <si>
    <t>991001361029702656</t>
  </si>
  <si>
    <t>2266203760002656</t>
  </si>
  <si>
    <t>9780683027518</t>
  </si>
  <si>
    <t>30001001796707</t>
  </si>
  <si>
    <t>893557901</t>
  </si>
  <si>
    <t>WY 115 E96 1978</t>
  </si>
  <si>
    <t>0                      WY 0115000E  96          1978</t>
  </si>
  <si>
    <t>Extended hours for home health services.</t>
  </si>
  <si>
    <t>NLN pub. no. 21-1746</t>
  </si>
  <si>
    <t>22508426:eng</t>
  </si>
  <si>
    <t>6485884</t>
  </si>
  <si>
    <t>991001386909702656</t>
  </si>
  <si>
    <t>2272055510002656</t>
  </si>
  <si>
    <t>30001000463945</t>
  </si>
  <si>
    <t>893284739</t>
  </si>
  <si>
    <t>WY 115 G696h 1987</t>
  </si>
  <si>
    <t>0                      WY 0115000G  696h        1987</t>
  </si>
  <si>
    <t>Home health nursing care plans / E. Joyce Gould, Joan Wargo.</t>
  </si>
  <si>
    <t>Gould, E. Joyce.</t>
  </si>
  <si>
    <t>1995-12-01</t>
  </si>
  <si>
    <t>3855554444:eng</t>
  </si>
  <si>
    <t>15108360</t>
  </si>
  <si>
    <t>991001266999702656</t>
  </si>
  <si>
    <t>2257804080002656</t>
  </si>
  <si>
    <t>9780871896322</t>
  </si>
  <si>
    <t>30001000353674</t>
  </si>
  <si>
    <t>893552286</t>
  </si>
  <si>
    <t>WY 115 H126e 1990</t>
  </si>
  <si>
    <t>0                      WY 0115000H  126e        1990</t>
  </si>
  <si>
    <t>Ethical and legal issues in home health care / by Amy Marie Haddad, Marshall B. Kapp.</t>
  </si>
  <si>
    <t>Haddad, Amy Marie.</t>
  </si>
  <si>
    <t>2007-03-12</t>
  </si>
  <si>
    <t>311803115:eng</t>
  </si>
  <si>
    <t>21949784</t>
  </si>
  <si>
    <t>991000766109702656</t>
  </si>
  <si>
    <t>2257447470002656</t>
  </si>
  <si>
    <t>9780838522776</t>
  </si>
  <si>
    <t>30001002061036</t>
  </si>
  <si>
    <t>893454839</t>
  </si>
  <si>
    <t>WY115 H126h 1987</t>
  </si>
  <si>
    <t>0                      WY 0115000H  126h        1987</t>
  </si>
  <si>
    <t>High tech home care : a practical guide / Amy Marie Haddad.</t>
  </si>
  <si>
    <t>4421152416:eng</t>
  </si>
  <si>
    <t>15489673</t>
  </si>
  <si>
    <t>991001528509702656</t>
  </si>
  <si>
    <t>2265207370002656</t>
  </si>
  <si>
    <t>9780871896476</t>
  </si>
  <si>
    <t>30001000620726</t>
  </si>
  <si>
    <t>893358694</t>
  </si>
  <si>
    <t>WY 115 H236 1997</t>
  </si>
  <si>
    <t>0                      WY 0115000H  236         1997</t>
  </si>
  <si>
    <t>Handbook of home health care administration / [edited by] Marilyn D. Harris.</t>
  </si>
  <si>
    <t>2010-02-01</t>
  </si>
  <si>
    <t>55806514:eng</t>
  </si>
  <si>
    <t>36510779</t>
  </si>
  <si>
    <t>991001135549702656</t>
  </si>
  <si>
    <t>2269074970002656</t>
  </si>
  <si>
    <t>9780834209183</t>
  </si>
  <si>
    <t>30001003626241</t>
  </si>
  <si>
    <t>893643250</t>
  </si>
  <si>
    <t>WY 115 H251n 1999</t>
  </si>
  <si>
    <t>0                      WY 0115000H  251n        1999</t>
  </si>
  <si>
    <t>Home care nursing delegation skills : a handbook for practice / Ruth I. Hansten, Marilynn J. Washburn, Virginia Kenyon.</t>
  </si>
  <si>
    <t>Gaithersburg, Md. : Aspen Publishers, c1999.</t>
  </si>
  <si>
    <t>1999-05-07</t>
  </si>
  <si>
    <t>476236677:eng</t>
  </si>
  <si>
    <t>39982639</t>
  </si>
  <si>
    <t>991001567669702656</t>
  </si>
  <si>
    <t>2258007850002656</t>
  </si>
  <si>
    <t>9780834212336</t>
  </si>
  <si>
    <t>30001004073393</t>
  </si>
  <si>
    <t>893274299</t>
  </si>
  <si>
    <t>WY 115 H7642 1999</t>
  </si>
  <si>
    <t>0                      WY 0115000H  7642        1999</t>
  </si>
  <si>
    <t>Home care of the elderly / [edited by] Sheryl Mara Zang, Judith A. Allender.</t>
  </si>
  <si>
    <t>2002-06-13</t>
  </si>
  <si>
    <t>42613986:eng</t>
  </si>
  <si>
    <t>39094238</t>
  </si>
  <si>
    <t>991000313939702656</t>
  </si>
  <si>
    <t>2271519140002656</t>
  </si>
  <si>
    <t>9780781715423</t>
  </si>
  <si>
    <t>30001004238954</t>
  </si>
  <si>
    <t>893728267</t>
  </si>
  <si>
    <t>WY 115 H765 1997</t>
  </si>
  <si>
    <t>0                      WY 0115000H  765         1997</t>
  </si>
  <si>
    <t>Home health care : principles and practices / editors, John S. Spratt, Rhonda L. Hawley, Robert E. Hoye.</t>
  </si>
  <si>
    <t>Delray Beach, Florida : GR/St. Lucie Press, c1997.</t>
  </si>
  <si>
    <t>2002-11-19</t>
  </si>
  <si>
    <t>1997-03-21</t>
  </si>
  <si>
    <t>40135576:eng</t>
  </si>
  <si>
    <t>35657356</t>
  </si>
  <si>
    <t>991000837959702656</t>
  </si>
  <si>
    <t>2255657730002656</t>
  </si>
  <si>
    <t>9781884015939</t>
  </si>
  <si>
    <t>30001003442565</t>
  </si>
  <si>
    <t>893278319</t>
  </si>
  <si>
    <t>WY 115 H7655 1977</t>
  </si>
  <si>
    <t>0                      WY 0115000H  7655        1977</t>
  </si>
  <si>
    <t>Home health care : a discussion paper / Intra-Departmental HHC Policy Working Group, U. S. Dept. of Health, Education, and Welfare.</t>
  </si>
  <si>
    <t>League exchange ; no. 113</t>
  </si>
  <si>
    <t>1151093780:eng</t>
  </si>
  <si>
    <t>14385566</t>
  </si>
  <si>
    <t>991001386679702656</t>
  </si>
  <si>
    <t>2269143410002656</t>
  </si>
  <si>
    <t>30001000463903</t>
  </si>
  <si>
    <t>893541315</t>
  </si>
  <si>
    <t>WY 115 H7657 1992</t>
  </si>
  <si>
    <t>0                      WY 0115000H  7657        1992</t>
  </si>
  <si>
    <t>Home health nursing practice : concepts &amp; application / [edited by] Robyn Rice.</t>
  </si>
  <si>
    <t>2003-02-23</t>
  </si>
  <si>
    <t>1993-03-02</t>
  </si>
  <si>
    <t>836999642:eng</t>
  </si>
  <si>
    <t>24793617</t>
  </si>
  <si>
    <t>991001431689702656</t>
  </si>
  <si>
    <t>2258393450002656</t>
  </si>
  <si>
    <t>9780801641039</t>
  </si>
  <si>
    <t>30001002529453</t>
  </si>
  <si>
    <t>893741119</t>
  </si>
  <si>
    <t>WY 115 I61 1992</t>
  </si>
  <si>
    <t>0                      WY 0115000I  61          1992</t>
  </si>
  <si>
    <t>Intensive homecare / edited by Michael M. Rothkopf, Jeffrey Askanazi.</t>
  </si>
  <si>
    <t>Baltimore : Williams &amp; Wilkins, c1992.</t>
  </si>
  <si>
    <t>1992-08-10</t>
  </si>
  <si>
    <t>354472262:eng</t>
  </si>
  <si>
    <t>24143108</t>
  </si>
  <si>
    <t>991001307299702656</t>
  </si>
  <si>
    <t>2266218010002656</t>
  </si>
  <si>
    <t>9780683073898</t>
  </si>
  <si>
    <t>30001002414219</t>
  </si>
  <si>
    <t>893821113</t>
  </si>
  <si>
    <t>WY 115 J13p 1988</t>
  </si>
  <si>
    <t>0                      WY 0115000J  13p         1988</t>
  </si>
  <si>
    <t>Patient education in home care : a practical guide to effective teaching and documentation / Janet E. Jackson, Elizabeth A. Johnson.</t>
  </si>
  <si>
    <t>Jackson, Janet E.</t>
  </si>
  <si>
    <t>1992-01-08</t>
  </si>
  <si>
    <t>1988-06-01</t>
  </si>
  <si>
    <t>254856966:eng</t>
  </si>
  <si>
    <t>17547227</t>
  </si>
  <si>
    <t>991001414739702656</t>
  </si>
  <si>
    <t>2265366710002656</t>
  </si>
  <si>
    <t>9780871897695</t>
  </si>
  <si>
    <t>30001001180159</t>
  </si>
  <si>
    <t>893736553</t>
  </si>
  <si>
    <t>WY 115 K25h 1988</t>
  </si>
  <si>
    <t>0                      WY 0115000K  25h         1988</t>
  </si>
  <si>
    <t>Home health care nursing : concepts and practice / Sarah B. Keating, Glenda B. Kelman.</t>
  </si>
  <si>
    <t>Keating, Sarah B.</t>
  </si>
  <si>
    <t>1990-07-20</t>
  </si>
  <si>
    <t>1988-08-10</t>
  </si>
  <si>
    <t>9971653:eng</t>
  </si>
  <si>
    <t>15659625</t>
  </si>
  <si>
    <t>991001421879702656</t>
  </si>
  <si>
    <t>2270404680002656</t>
  </si>
  <si>
    <t>9780397546039</t>
  </si>
  <si>
    <t>30001001182536</t>
  </si>
  <si>
    <t>893287410</t>
  </si>
  <si>
    <t>WY 115 M515q 1989</t>
  </si>
  <si>
    <t>0                      WY 0115000M  515q        1989</t>
  </si>
  <si>
    <t>Quality assurance for home health care / Claire Gavin Meisenheimer.</t>
  </si>
  <si>
    <t>Meisenheimer, Claire Gavin.</t>
  </si>
  <si>
    <t>17487608:eng</t>
  </si>
  <si>
    <t>18464116</t>
  </si>
  <si>
    <t>991001346829702656</t>
  </si>
  <si>
    <t>2269019310002656</t>
  </si>
  <si>
    <t>9780834200265</t>
  </si>
  <si>
    <t>30001002457507</t>
  </si>
  <si>
    <t>893279007</t>
  </si>
  <si>
    <t>WY 115 M613c 1989</t>
  </si>
  <si>
    <t>0                      WY 0115000M  613c        1989</t>
  </si>
  <si>
    <t>Client teaching guides for home health care / Donna Meyers.</t>
  </si>
  <si>
    <t>Meyers, Donna.</t>
  </si>
  <si>
    <t>630684:eng</t>
  </si>
  <si>
    <t>18715874</t>
  </si>
  <si>
    <t>991001355699702656</t>
  </si>
  <si>
    <t>2263538990002656</t>
  </si>
  <si>
    <t>9780834200357</t>
  </si>
  <si>
    <t>30001001795949</t>
  </si>
  <si>
    <t>893268399</t>
  </si>
  <si>
    <t>WY 115 M965h 1983</t>
  </si>
  <si>
    <t>0                      WY 0115000M  965h        1983</t>
  </si>
  <si>
    <t>Home care controversy : too little, too late, too costly / Mary O. Mundinger.</t>
  </si>
  <si>
    <t>Mundinger, Mary O'Neil.</t>
  </si>
  <si>
    <t>1995-11-08</t>
  </si>
  <si>
    <t>427965580:eng</t>
  </si>
  <si>
    <t>9622319</t>
  </si>
  <si>
    <t>991001084149702656</t>
  </si>
  <si>
    <t>2269163090002656</t>
  </si>
  <si>
    <t>9780894438837</t>
  </si>
  <si>
    <t>30001000258477</t>
  </si>
  <si>
    <t>893369089</t>
  </si>
  <si>
    <t>WY 115 N2775s 1989</t>
  </si>
  <si>
    <t>0                      WY 0115000N  2775s       1989</t>
  </si>
  <si>
    <t>Standards of excellence for home care organizations / editors, Maria K. Mitchell, Judith Lloyd Storfjell ; Community Health Accreditation Program, Inc. (CHAP).</t>
  </si>
  <si>
    <t>National League for Nursing. Community Health Accreditation Program.</t>
  </si>
  <si>
    <t>NLN pub. no. 21-2327.</t>
  </si>
  <si>
    <t>476107565:eng</t>
  </si>
  <si>
    <t>22665887</t>
  </si>
  <si>
    <t>991001446459702656</t>
  </si>
  <si>
    <t>2266358020002656</t>
  </si>
  <si>
    <t>9780887374098</t>
  </si>
  <si>
    <t>30001001880600</t>
  </si>
  <si>
    <t>893274185</t>
  </si>
  <si>
    <t>WY 115 N9735 1988</t>
  </si>
  <si>
    <t>0                      WY 0115000N  9735        1988</t>
  </si>
  <si>
    <t>Nursing care planning guides for home health care / edited by Mary Caturia Jennings.</t>
  </si>
  <si>
    <t>Baltimore, Md. : Williams &amp; Wilkins, c1988.</t>
  </si>
  <si>
    <t>1989-01-26</t>
  </si>
  <si>
    <t>16517760:eng</t>
  </si>
  <si>
    <t>17917823</t>
  </si>
  <si>
    <t>991001114949702656</t>
  </si>
  <si>
    <t>2257079260002656</t>
  </si>
  <si>
    <t>9780683044003</t>
  </si>
  <si>
    <t>30001001613035</t>
  </si>
  <si>
    <t>893134263</t>
  </si>
  <si>
    <t>WY 115 P766 1980</t>
  </si>
  <si>
    <t>0                      WY 0115000P  766         1980</t>
  </si>
  <si>
    <t>Policies and procedures for NLN/APHA accreditation of home health agencies and community nursing services / cosponsored by the Council of Home Health Agencies and Community Health Services, National League for Nursing, and the American Public Health Association.</t>
  </si>
  <si>
    <t>NLN pub. no. 21-1612</t>
  </si>
  <si>
    <t>3859599206:eng</t>
  </si>
  <si>
    <t>7008709</t>
  </si>
  <si>
    <t>991001384669702656</t>
  </si>
  <si>
    <t>2255509350002656</t>
  </si>
  <si>
    <t>30001000463473</t>
  </si>
  <si>
    <t>893460508</t>
  </si>
  <si>
    <t>WY 115 P952 1987</t>
  </si>
  <si>
    <t>0                      WY 0115000P  952         1987</t>
  </si>
  <si>
    <t>Primary care in the home / [edited by] Lawrence H. Bernstein, Anthony J. Grieco, Mary K. Dete.</t>
  </si>
  <si>
    <t>Philadelphia : Lippincott, c1987.</t>
  </si>
  <si>
    <t>438939842:eng</t>
  </si>
  <si>
    <t>14128077</t>
  </si>
  <si>
    <t>991001264929702656</t>
  </si>
  <si>
    <t>2262238810002656</t>
  </si>
  <si>
    <t>30001000352460</t>
  </si>
  <si>
    <t>893374404</t>
  </si>
  <si>
    <t>WY 115 R473i 1999</t>
  </si>
  <si>
    <t>0                      WY 0115000R  473i        1999</t>
  </si>
  <si>
    <t>Infection control in home care / Emily Rhinehart, Mary M. Friedman.</t>
  </si>
  <si>
    <t>Rhinehart, Emily.</t>
  </si>
  <si>
    <t>2000-11-03</t>
  </si>
  <si>
    <t>1999-09-21</t>
  </si>
  <si>
    <t>23451090:eng</t>
  </si>
  <si>
    <t>40452931</t>
  </si>
  <si>
    <t>991000759209702656</t>
  </si>
  <si>
    <t>2264351340002656</t>
  </si>
  <si>
    <t>9780834211438</t>
  </si>
  <si>
    <t>30001004063915</t>
  </si>
  <si>
    <t>893731169</t>
  </si>
  <si>
    <t>WY115 R495h 2001</t>
  </si>
  <si>
    <t>0                      WY 0115000R  495h        2001</t>
  </si>
  <si>
    <t>Home care nursing practice : concepts and application / Robyn Rice.</t>
  </si>
  <si>
    <t>Rice, Robyn.</t>
  </si>
  <si>
    <t>St. Louis, Mo. : Mosby, c2001.</t>
  </si>
  <si>
    <t>876713:eng</t>
  </si>
  <si>
    <t>45002115</t>
  </si>
  <si>
    <t>991000348389702656</t>
  </si>
  <si>
    <t>2272302210002656</t>
  </si>
  <si>
    <t>9780323011075</t>
  </si>
  <si>
    <t>30001004504421</t>
  </si>
  <si>
    <t>893827412</t>
  </si>
  <si>
    <t>WY 115 R543h 1978</t>
  </si>
  <si>
    <t>0                      WY 0115000R  543h        1978</t>
  </si>
  <si>
    <t>A home health agency's approach to marketing / by Andrew J. Riddell.</t>
  </si>
  <si>
    <t>Riddell, Andrew J.</t>
  </si>
  <si>
    <t>NLN pub. no. 21-1744</t>
  </si>
  <si>
    <t>14730576:eng</t>
  </si>
  <si>
    <t>4335713</t>
  </si>
  <si>
    <t>991001387009702656</t>
  </si>
  <si>
    <t>2265259660002656</t>
  </si>
  <si>
    <t>30001000463952</t>
  </si>
  <si>
    <t>893287371</t>
  </si>
  <si>
    <t>WY115 R815hp 1989</t>
  </si>
  <si>
    <t>0                      WY 0115000R  815hp       1989</t>
  </si>
  <si>
    <t>Home care : patient and family instructions / Deborah K. Zastocki, Christine A. Rovinski.</t>
  </si>
  <si>
    <t>Rovinski-Wagner, Christine.</t>
  </si>
  <si>
    <t>Philadelphia : W.B. Saunders Co., c1989.</t>
  </si>
  <si>
    <t>2002-03-12</t>
  </si>
  <si>
    <t>1989-10-26</t>
  </si>
  <si>
    <t>17461643:eng</t>
  </si>
  <si>
    <t>18561138</t>
  </si>
  <si>
    <t>991001360499702656</t>
  </si>
  <si>
    <t>2272807330002656</t>
  </si>
  <si>
    <t>9780721625041</t>
  </si>
  <si>
    <t>30001001796574</t>
  </si>
  <si>
    <t>893279018</t>
  </si>
  <si>
    <t>WY115 R875h 1989</t>
  </si>
  <si>
    <t>0                      WY 0115000R  875h        1989</t>
  </si>
  <si>
    <t>Home care : a technical manual for the professional nurse / Christine A. Rovinski, Deborah K. Zastocki.</t>
  </si>
  <si>
    <t>2001-05-12</t>
  </si>
  <si>
    <t>3372591836:eng</t>
  </si>
  <si>
    <t>18378702</t>
  </si>
  <si>
    <t>991001360449702656</t>
  </si>
  <si>
    <t>2258730290002656</t>
  </si>
  <si>
    <t>9780721624495</t>
  </si>
  <si>
    <t>30001001796558</t>
  </si>
  <si>
    <t>893451108</t>
  </si>
  <si>
    <t>WY 115 S628m 1979</t>
  </si>
  <si>
    <t>0                      WY 0115000S  628m        1979</t>
  </si>
  <si>
    <t>Marketing community health services / Patricia Skinner.</t>
  </si>
  <si>
    <t>Skinner, Patricia.</t>
  </si>
  <si>
    <t>League exchange ; no. 121</t>
  </si>
  <si>
    <t>15055154:eng</t>
  </si>
  <si>
    <t>4732359</t>
  </si>
  <si>
    <t>991001387099702656</t>
  </si>
  <si>
    <t>2262285770002656</t>
  </si>
  <si>
    <t>30001000463978</t>
  </si>
  <si>
    <t>893541316</t>
  </si>
  <si>
    <t>WY 115 S755h 1987</t>
  </si>
  <si>
    <t>0                      WY 0115000S  755h        1987</t>
  </si>
  <si>
    <t>Home health care / Allen D. Spiegel.</t>
  </si>
  <si>
    <t>Spiegel, Allen D.</t>
  </si>
  <si>
    <t>Owings Mills, MD : National Health Pub., c1987.</t>
  </si>
  <si>
    <t>5173250:eng</t>
  </si>
  <si>
    <t>15539592</t>
  </si>
  <si>
    <t>991001361259702656</t>
  </si>
  <si>
    <t>2263542340002656</t>
  </si>
  <si>
    <t>9780932500632</t>
  </si>
  <si>
    <t>30001001796749</t>
  </si>
  <si>
    <t>893161914</t>
  </si>
  <si>
    <t>WY 115 T134h 1986</t>
  </si>
  <si>
    <t>0                      WY 0115000T  134h        1986</t>
  </si>
  <si>
    <t>Home nursing : basic rehabilitation care of adults / Frances Taira.</t>
  </si>
  <si>
    <t>Taira, Frances.</t>
  </si>
  <si>
    <t>Lancaster : Technomic Pub. Co., c1986.</t>
  </si>
  <si>
    <t>1991-11-10</t>
  </si>
  <si>
    <t>294292852:eng</t>
  </si>
  <si>
    <t>13312016</t>
  </si>
  <si>
    <t>991001202279702656</t>
  </si>
  <si>
    <t>2269606510002656</t>
  </si>
  <si>
    <t>9780877624226</t>
  </si>
  <si>
    <t>30001000317299</t>
  </si>
  <si>
    <t>893467846</t>
  </si>
  <si>
    <t>WY 115 W225m 1987</t>
  </si>
  <si>
    <t>0                      WY 0115000W  225m        1987</t>
  </si>
  <si>
    <t>Manual of home health care nursing / Joleen Walsh, Carol Batten Persons, Lynn Wieck.</t>
  </si>
  <si>
    <t>Walsh, Joleen.</t>
  </si>
  <si>
    <t>1987-11-17</t>
  </si>
  <si>
    <t>7199543:eng</t>
  </si>
  <si>
    <t>14067643</t>
  </si>
  <si>
    <t>991001530479702656</t>
  </si>
  <si>
    <t>2256785590002656</t>
  </si>
  <si>
    <t>9780397546169</t>
  </si>
  <si>
    <t>30001000621369</t>
  </si>
  <si>
    <t>893736688</t>
  </si>
  <si>
    <t>WY 115 W319h 1990</t>
  </si>
  <si>
    <t>0                      WY 0115000W  319h        1990</t>
  </si>
  <si>
    <t>Home visiting : procedures for helping families / Barbara Hanna Wasik, Donna M. Bryant, Claudia M. Lyons ; foreword by Richard N. Roberts.</t>
  </si>
  <si>
    <t>Wasik, Barbara Hanna.</t>
  </si>
  <si>
    <t>Newbury Park, Calif. : Sage Publications, c1990.</t>
  </si>
  <si>
    <t>1997-02-20</t>
  </si>
  <si>
    <t>1992-08-21</t>
  </si>
  <si>
    <t>22496595:eng</t>
  </si>
  <si>
    <t>20530668</t>
  </si>
  <si>
    <t>991001340649702656</t>
  </si>
  <si>
    <t>2271556180002656</t>
  </si>
  <si>
    <t>9780803935419</t>
  </si>
  <si>
    <t>30001002455576</t>
  </si>
  <si>
    <t>893149103</t>
  </si>
  <si>
    <t>WY 115 W629 1976</t>
  </si>
  <si>
    <t>0                      WY 0115000W  629         1976</t>
  </si>
  <si>
    <t>Why experiment with health care delivery?</t>
  </si>
  <si>
    <t>NLN pub. no. 21-1651</t>
  </si>
  <si>
    <t>5971614:eng</t>
  </si>
  <si>
    <t>2801798</t>
  </si>
  <si>
    <t>991001386639702656</t>
  </si>
  <si>
    <t>2261813070002656</t>
  </si>
  <si>
    <t>30001000463879</t>
  </si>
  <si>
    <t>893465449</t>
  </si>
  <si>
    <t>WY125 A425c 2001</t>
  </si>
  <si>
    <t>0                      WY 0125000A  425c        2001</t>
  </si>
  <si>
    <t>The changing shape of nursing practice : the role of nurses in the hospital division of labour / Davina Allen.</t>
  </si>
  <si>
    <t>Allen, Davina, 1963-</t>
  </si>
  <si>
    <t>London ; New York : Routledge, 2001.</t>
  </si>
  <si>
    <t>793844196:eng</t>
  </si>
  <si>
    <t>43936768</t>
  </si>
  <si>
    <t>991000319469702656</t>
  </si>
  <si>
    <t>2257873180002656</t>
  </si>
  <si>
    <t>9780415216487</t>
  </si>
  <si>
    <t>30001004239598</t>
  </si>
  <si>
    <t>893359438</t>
  </si>
  <si>
    <t>WY 125 B344e 1966</t>
  </si>
  <si>
    <t>0                      WY 0125000B  344e        1966</t>
  </si>
  <si>
    <t>An experimental in-service program for implementing team nursing / by Annabel Bernice Bauer.</t>
  </si>
  <si>
    <t>Bauer, Annabel Bernice.</t>
  </si>
  <si>
    <t>League Exchange ; no. 75</t>
  </si>
  <si>
    <t>1780537424:eng</t>
  </si>
  <si>
    <t>1925807</t>
  </si>
  <si>
    <t>991001384039702656</t>
  </si>
  <si>
    <t>2263316610002656</t>
  </si>
  <si>
    <t>30001000463325</t>
  </si>
  <si>
    <t>893364042</t>
  </si>
  <si>
    <t>WY 125 B658 1962</t>
  </si>
  <si>
    <t>0                      WY 0125000B  658         1962</t>
  </si>
  <si>
    <t>Blueprint for progress in hospital nursing : proceedings of the 1962 regional conferences / sponsored by the Department of Hospital Nursing, National League for Nursing, and the Regional Councils of State Leagues for Nursing.</t>
  </si>
  <si>
    <t>New York : Department of Hospital Nursing, National League for Nursing, 1963.</t>
  </si>
  <si>
    <t>NLN pub. no. 20-1084</t>
  </si>
  <si>
    <t>4020108874:eng</t>
  </si>
  <si>
    <t>1687575</t>
  </si>
  <si>
    <t>991001383859702656</t>
  </si>
  <si>
    <t>2270172100002656</t>
  </si>
  <si>
    <t>30001000463283</t>
  </si>
  <si>
    <t>893731963</t>
  </si>
  <si>
    <t>WY 125 B966 1982</t>
  </si>
  <si>
    <t>0                      WY 0125000B  966         1982</t>
  </si>
  <si>
    <t>Burnout in the nursing profession : coping strategies, causes, and costs / [edited by] Edwina A. McConnell.</t>
  </si>
  <si>
    <t>1994-12-03</t>
  </si>
  <si>
    <t>894520084:eng</t>
  </si>
  <si>
    <t>7946387</t>
  </si>
  <si>
    <t>991001084229702656</t>
  </si>
  <si>
    <t>2264068120002656</t>
  </si>
  <si>
    <t>9780801632235</t>
  </si>
  <si>
    <t>30001000258485</t>
  </si>
  <si>
    <t>893148850</t>
  </si>
  <si>
    <t>WY 125 C976 1990</t>
  </si>
  <si>
    <t>0                      WY 0125000C  976         1990</t>
  </si>
  <si>
    <t>Current issues and perspectives on differentiated practice / American Organization of Nurse Executives.</t>
  </si>
  <si>
    <t>1991-12-17</t>
  </si>
  <si>
    <t>1990-07-05</t>
  </si>
  <si>
    <t>55330923:eng</t>
  </si>
  <si>
    <t>23838499</t>
  </si>
  <si>
    <t>991001450779702656</t>
  </si>
  <si>
    <t>2270284770002656</t>
  </si>
  <si>
    <t>9780872585355</t>
  </si>
  <si>
    <t>30001001882853</t>
  </si>
  <si>
    <t>893460613</t>
  </si>
  <si>
    <t>WY 125 D252a 1974 Suppl.</t>
  </si>
  <si>
    <t>0                      WY 0125000D  252a        1974                                        Suppl.</t>
  </si>
  <si>
    <t>The associate degree practitioner and nursing service needs : [by Grace E. Davidson] : supplement / Eva Jean Law.</t>
  </si>
  <si>
    <t>Law, Eva Jean.</t>
  </si>
  <si>
    <t>New York : Council of Hospital and Related Institutional Nursing Services, National League for Nursing, c1974.</t>
  </si>
  <si>
    <t>NLN pub. no. 20-1504S</t>
  </si>
  <si>
    <t>1839007:eng</t>
  </si>
  <si>
    <t>14427253</t>
  </si>
  <si>
    <t>991001384539702656</t>
  </si>
  <si>
    <t>2267767160002656</t>
  </si>
  <si>
    <t>30001000463432</t>
  </si>
  <si>
    <t>893816343</t>
  </si>
  <si>
    <t>WY 125 F716u 1965</t>
  </si>
  <si>
    <t>0                      WY 0125000F  716u        1965</t>
  </si>
  <si>
    <t>The utilization of associate degree nursing graduates in general hospitals.</t>
  </si>
  <si>
    <t>Forest, Betty Lucille.</t>
  </si>
  <si>
    <t>New York : National League for Nursing, Dept. of Associate Degree Programs, 1968 [c1965]</t>
  </si>
  <si>
    <t>League exchange ; no. 82</t>
  </si>
  <si>
    <t>1296107:eng</t>
  </si>
  <si>
    <t>138918</t>
  </si>
  <si>
    <t>991001387559702656</t>
  </si>
  <si>
    <t>2258264550002656</t>
  </si>
  <si>
    <t>30001000464083</t>
  </si>
  <si>
    <t>893467937</t>
  </si>
  <si>
    <t>WY 125 G946 1961</t>
  </si>
  <si>
    <t>0                      WY 0125000G  946         1961</t>
  </si>
  <si>
    <t>Guide for leadership in team nursing / by Helen G. Beltran ... [et al.].</t>
  </si>
  <si>
    <t>League exchange ; no. 54</t>
  </si>
  <si>
    <t>53946354:eng</t>
  </si>
  <si>
    <t>21486575</t>
  </si>
  <si>
    <t>991001383639702656</t>
  </si>
  <si>
    <t>2263990460002656</t>
  </si>
  <si>
    <t>30001000463242</t>
  </si>
  <si>
    <t>893727524</t>
  </si>
  <si>
    <t>WY 125 M196 1983</t>
  </si>
  <si>
    <t>0                      WY 0125000M  196         1983</t>
  </si>
  <si>
    <t>Magnet hospitals : attraction and retention of professional nurses / Task Force on Nursing Practice in Hospitals, American Academy of Nursing.</t>
  </si>
  <si>
    <t>ANA. G-160</t>
  </si>
  <si>
    <t>1989-03-13</t>
  </si>
  <si>
    <t>364214081:eng</t>
  </si>
  <si>
    <t>9393045</t>
  </si>
  <si>
    <t>991001084339702656</t>
  </si>
  <si>
    <t>2266048010002656</t>
  </si>
  <si>
    <t>30001000258543</t>
  </si>
  <si>
    <t>893148851</t>
  </si>
  <si>
    <t>WY 125 N277b 1964</t>
  </si>
  <si>
    <t>0                      WY 0125000N  277b        1964</t>
  </si>
  <si>
    <t>Blueprint for action in hospital nursing : proceedings of the 1964 regional conferences sponsored by the Department of Hospital Nursing, National League for Nursing, and the Regional Councils of State Leagues for Nursing.</t>
  </si>
  <si>
    <t>National League for Nursing. Department of Hospital Nursing.</t>
  </si>
  <si>
    <t>New York : National League for Nursing, c1964.</t>
  </si>
  <si>
    <t>NLN pub. no. 20-1164</t>
  </si>
  <si>
    <t>16911458:eng</t>
  </si>
  <si>
    <t>5144179</t>
  </si>
  <si>
    <t>991001361769702656</t>
  </si>
  <si>
    <t>2260943620002656</t>
  </si>
  <si>
    <t>30001000460875</t>
  </si>
  <si>
    <t>893834651</t>
  </si>
  <si>
    <t>WY125 N277c 1965</t>
  </si>
  <si>
    <t>0                      WY 0125000N  277c        1965</t>
  </si>
  <si>
    <t>Criteria for evaluating a hospital department of nursing service / National League for Nursing, Dept. of Hospital Nursing.</t>
  </si>
  <si>
    <t>New York : National League for Nursing, c1965.</t>
  </si>
  <si>
    <t>NLN pub. no. 20-1168</t>
  </si>
  <si>
    <t>23647564:eng</t>
  </si>
  <si>
    <t>6706904</t>
  </si>
  <si>
    <t>991001383839702656</t>
  </si>
  <si>
    <t>2257226330002656</t>
  </si>
  <si>
    <t>30001000463291</t>
  </si>
  <si>
    <t>893633007</t>
  </si>
  <si>
    <t>WY 125 N974 1964</t>
  </si>
  <si>
    <t>0                      WY 0125000N  974         1964</t>
  </si>
  <si>
    <t>The Nurse consultant and hospital nursing service : papers presented at the conference held in Chicago, Illinois, May 18-21, 1964.</t>
  </si>
  <si>
    <t>New York : National League for Nursing, 1965.</t>
  </si>
  <si>
    <t xml:space="preserve">jo </t>
  </si>
  <si>
    <t>NLN pub. no. 20-1184</t>
  </si>
  <si>
    <t>42765267:eng</t>
  </si>
  <si>
    <t>7494322</t>
  </si>
  <si>
    <t>991001383969702656</t>
  </si>
  <si>
    <t>2271265850002656</t>
  </si>
  <si>
    <t>30001000463309</t>
  </si>
  <si>
    <t>893465445</t>
  </si>
  <si>
    <t>WY 125 O89t 1963</t>
  </si>
  <si>
    <t>0                      WY 0125000O  89t         1963</t>
  </si>
  <si>
    <t>To make a good assignment / by Laura Jean Ott.</t>
  </si>
  <si>
    <t>Ott, Laura Jean.</t>
  </si>
  <si>
    <t>New York : National League for Nursing, 1963.</t>
  </si>
  <si>
    <t>League exchange ; no. [63]</t>
  </si>
  <si>
    <t>1780537220:eng</t>
  </si>
  <si>
    <t>3937961</t>
  </si>
  <si>
    <t>991001383799702656</t>
  </si>
  <si>
    <t>2264916570002656</t>
  </si>
  <si>
    <t>30001000463275</t>
  </si>
  <si>
    <t>893161926</t>
  </si>
  <si>
    <t>WY 125 Q15 1985</t>
  </si>
  <si>
    <t>0                      WY 0125000Q  15          1985</t>
  </si>
  <si>
    <t>1991-10-25</t>
  </si>
  <si>
    <t>991001019849702656</t>
  </si>
  <si>
    <t>2261795930002656</t>
  </si>
  <si>
    <t>30001002241406</t>
  </si>
  <si>
    <t>893377055</t>
  </si>
  <si>
    <t>WY 125 S465 1962</t>
  </si>
  <si>
    <t>0                      WY 0125000S  465         1962</t>
  </si>
  <si>
    <t>Self-evaluation guide for hospital nursing service, medication safety / Department of Hospital Nursing, National League for Nursing.</t>
  </si>
  <si>
    <t>NLN pub. no. 20-1017</t>
  </si>
  <si>
    <t>4163190407:eng</t>
  </si>
  <si>
    <t>2304047</t>
  </si>
  <si>
    <t>991001383669702656</t>
  </si>
  <si>
    <t>2262688880002656</t>
  </si>
  <si>
    <t>30001000463267</t>
  </si>
  <si>
    <t>893369340</t>
  </si>
  <si>
    <t>WY 125 W629 1974</t>
  </si>
  <si>
    <t>0                      WY 0125000W  629         1974</t>
  </si>
  <si>
    <t>Who is taking care of the patient? : papers presented at the eighth annual meeting of the Council of Hospital and Related Institutional Nursing Services held October 3-4, 1974 at Philadelphia, Pa.</t>
  </si>
  <si>
    <t>NLN pub. no. 20-1557</t>
  </si>
  <si>
    <t>315328294:eng</t>
  </si>
  <si>
    <t>1365360</t>
  </si>
  <si>
    <t>991001384569702656</t>
  </si>
  <si>
    <t>2268735960002656</t>
  </si>
  <si>
    <t>30001000463457</t>
  </si>
  <si>
    <t>893557921</t>
  </si>
  <si>
    <t>WY 127 A975n 1988</t>
  </si>
  <si>
    <t>0                      WY 0127000A  975n        1988</t>
  </si>
  <si>
    <t>Nurses in private practice : characteristics, organizational arrangements, and reimbursement policy / Myrtle K. Aydelotte, Mary A. Hardy, Kathryn L. Hope.</t>
  </si>
  <si>
    <t>Aydelotte, Myrtle K. (Myrtle Kitchell)</t>
  </si>
  <si>
    <t>Kansas City, Mo. : American Nurses' Foundation, Inc., c1988.</t>
  </si>
  <si>
    <t>2005-04-03</t>
  </si>
  <si>
    <t>444771924:eng</t>
  </si>
  <si>
    <t>18343461</t>
  </si>
  <si>
    <t>991001423599702656</t>
  </si>
  <si>
    <t>2272200750002656</t>
  </si>
  <si>
    <t>30001001183351</t>
  </si>
  <si>
    <t>893727554</t>
  </si>
  <si>
    <t>WY 128 A5128s 1987</t>
  </si>
  <si>
    <t>0                      WY 0128000A  5128s       1987</t>
  </si>
  <si>
    <t>Standards of practice for the primary health care nurse practitioner / American Nurses' Association.</t>
  </si>
  <si>
    <t>American Nurses Association. Task Force on Standards of Practice for Primary Health Care Nurse Practitioners.</t>
  </si>
  <si>
    <t>Kansas City, Mo. (2420 Pershing Rd, Kansas City 64108) : American Nurses' Association, c1987.</t>
  </si>
  <si>
    <t>ANA pub ; no. NP-71</t>
  </si>
  <si>
    <t>1997-01-31</t>
  </si>
  <si>
    <t>3855607695:eng</t>
  </si>
  <si>
    <t>15697048</t>
  </si>
  <si>
    <t>991001528339702656</t>
  </si>
  <si>
    <t>2264065700002656</t>
  </si>
  <si>
    <t>30001000620643</t>
  </si>
  <si>
    <t>893741222</t>
  </si>
  <si>
    <t>WY 128 B944n 1999</t>
  </si>
  <si>
    <t>0                      WY 0128000B  944n        1999</t>
  </si>
  <si>
    <t>Nurse practitioner's business practice and legal guide / Carolyn Buppert.</t>
  </si>
  <si>
    <t>Buppert, Carolyn.</t>
  </si>
  <si>
    <t>758403:eng</t>
  </si>
  <si>
    <t>39658252</t>
  </si>
  <si>
    <t>991001338219702656</t>
  </si>
  <si>
    <t>2265840030002656</t>
  </si>
  <si>
    <t>9780834211858</t>
  </si>
  <si>
    <t>30001003790864</t>
  </si>
  <si>
    <t>893358488</t>
  </si>
  <si>
    <t>WY 128 C6385 1990</t>
  </si>
  <si>
    <t>0                      WY 0128000C  6385        1990</t>
  </si>
  <si>
    <t>The Clinical nurse specialist : implementation and impact / editors, Patricia S.A. Sparacino, Diane M. Cooper, Pamela A. Minarik.</t>
  </si>
  <si>
    <t>1991-07-26</t>
  </si>
  <si>
    <t>836887039:eng</t>
  </si>
  <si>
    <t>19517334</t>
  </si>
  <si>
    <t>991000944309702656</t>
  </si>
  <si>
    <t>2264298300002656</t>
  </si>
  <si>
    <t>9780838512784</t>
  </si>
  <si>
    <t>30001002193326</t>
  </si>
  <si>
    <t>893287131</t>
  </si>
  <si>
    <t>WY 128 C639 1989</t>
  </si>
  <si>
    <t>0                      WY 0128000C  639         1989</t>
  </si>
  <si>
    <t>The Clinical nurse specialist in theory and practice / edited by Ann B. Hamric, Judith A. Spross.</t>
  </si>
  <si>
    <t>1994-11-30</t>
  </si>
  <si>
    <t>372821168:eng</t>
  </si>
  <si>
    <t>18557615</t>
  </si>
  <si>
    <t>991000682559702656</t>
  </si>
  <si>
    <t>2264037360002656</t>
  </si>
  <si>
    <t>9780721644868</t>
  </si>
  <si>
    <t>30001002698001</t>
  </si>
  <si>
    <t>893362789</t>
  </si>
  <si>
    <t>WY 128 F341p 1997</t>
  </si>
  <si>
    <t>0                      WY 0128000F  341p        1997</t>
  </si>
  <si>
    <t>Practice guidelines for family nurse practitioners / Karen Fenstermacher, Barbara Toni Hudson.</t>
  </si>
  <si>
    <t>Fenstermacher, Karen.</t>
  </si>
  <si>
    <t>2001-04-22</t>
  </si>
  <si>
    <t>1998-01-14</t>
  </si>
  <si>
    <t>4161048323:eng</t>
  </si>
  <si>
    <t>35836748</t>
  </si>
  <si>
    <t>991001226819702656</t>
  </si>
  <si>
    <t>2259948730002656</t>
  </si>
  <si>
    <t>9780721668611</t>
  </si>
  <si>
    <t>30001003669621</t>
  </si>
  <si>
    <t>893638126</t>
  </si>
  <si>
    <t>WY128 F341p 2000</t>
  </si>
  <si>
    <t>0                      WY 0128000F  341p        2000</t>
  </si>
  <si>
    <t>Philadelphia, Pa. : W.B.Saunders, c2000.</t>
  </si>
  <si>
    <t>2004-04-05</t>
  </si>
  <si>
    <t>2002-02-28</t>
  </si>
  <si>
    <t>42598322</t>
  </si>
  <si>
    <t>991001709899702656</t>
  </si>
  <si>
    <t>2259149610002656</t>
  </si>
  <si>
    <t>9780721686967</t>
  </si>
  <si>
    <t>30001004236925</t>
  </si>
  <si>
    <t>893832385</t>
  </si>
  <si>
    <t>WY 128 J79p 1986</t>
  </si>
  <si>
    <t>0                      WY 0128000J  79p         1986</t>
  </si>
  <si>
    <t>Psychiatric and mental health clinical nurse specialists : distribution and utilization.</t>
  </si>
  <si>
    <t>Jones, Susan L.</t>
  </si>
  <si>
    <t>Kansas City, Mo. : American Nurses' Association, c1986.</t>
  </si>
  <si>
    <t>ANA pub ; no. PMH-8</t>
  </si>
  <si>
    <t>2007-01-16</t>
  </si>
  <si>
    <t>8831497:eng</t>
  </si>
  <si>
    <t>14283461</t>
  </si>
  <si>
    <t>991000216349702656</t>
  </si>
  <si>
    <t>2263990670002656</t>
  </si>
  <si>
    <t>30001000602278</t>
  </si>
  <si>
    <t>893279844</t>
  </si>
  <si>
    <t>WY 128 K79c 1978</t>
  </si>
  <si>
    <t>0                      WY 0128000K  79c         1978</t>
  </si>
  <si>
    <t>The case for consultation in nursing : designs for professional practice / Mary F. Kohnke.</t>
  </si>
  <si>
    <t>New York : Wiley, c1978.</t>
  </si>
  <si>
    <t>9419193:eng</t>
  </si>
  <si>
    <t>3310297</t>
  </si>
  <si>
    <t>991001084599702656</t>
  </si>
  <si>
    <t>2271701890002656</t>
  </si>
  <si>
    <t>9780471497929</t>
  </si>
  <si>
    <t>30001000258626</t>
  </si>
  <si>
    <t>893121151</t>
  </si>
  <si>
    <t>WY 128 N973 1980</t>
  </si>
  <si>
    <t>0                      WY 0128000N  973         1980</t>
  </si>
  <si>
    <t>Nurse practitioners, a review of the literature, 1965-1979 : a project / cosponsored by the Council of Primary Health Care Nurse Practitioners, American Nurses' Association, and by the National Association of Pediatric Nurse Associates and Practitioners ; editors, Barbara H. Dunn, Marilyn A. Chard.</t>
  </si>
  <si>
    <t>Kansas City, Mo. : American Nurses' Association, c1980.</t>
  </si>
  <si>
    <t>ANA pub ; no. NP-62</t>
  </si>
  <si>
    <t>1991-08-04</t>
  </si>
  <si>
    <t>26126481:eng</t>
  </si>
  <si>
    <t>7275736</t>
  </si>
  <si>
    <t>991001520279702656</t>
  </si>
  <si>
    <t>2263658730002656</t>
  </si>
  <si>
    <t>30001000602419</t>
  </si>
  <si>
    <t>893736677</t>
  </si>
  <si>
    <t>WY 128 O99w 1975</t>
  </si>
  <si>
    <t>0                      WY 0128000O  99w         1975</t>
  </si>
  <si>
    <t>Who is the nurse practitioner? / Dorothy Ozimek, Helen Yura.</t>
  </si>
  <si>
    <t>New York : Dept. of Baccalaureate and Higher Degree Programs, National League for Nursing, 1975.</t>
  </si>
  <si>
    <t>NLN pub. no. 15-1555</t>
  </si>
  <si>
    <t>1991-08-08</t>
  </si>
  <si>
    <t>2351315:eng</t>
  </si>
  <si>
    <t>1471745</t>
  </si>
  <si>
    <t>991001368709702656</t>
  </si>
  <si>
    <t>2255530660002656</t>
  </si>
  <si>
    <t>30001000461535</t>
  </si>
  <si>
    <t>893731948</t>
  </si>
  <si>
    <t>WY 128 P123c 1971</t>
  </si>
  <si>
    <t>0                      WY 0128000P  123c        1971</t>
  </si>
  <si>
    <t>The clinical nurse specialist : an experiment in role effectiveness and role development : final project report / prepared by Geraldine V. Padilla, Veronica E. Baker, William G. Crary ; Rachel Ayers, principal investigator.</t>
  </si>
  <si>
    <t>Padilla, Geraldine V.</t>
  </si>
  <si>
    <t>Duarte, Calif. : City of Hope Medical Center, 1971.</t>
  </si>
  <si>
    <t>31389105:eng</t>
  </si>
  <si>
    <t>6625255</t>
  </si>
  <si>
    <t>991001084739702656</t>
  </si>
  <si>
    <t>2255583020002656</t>
  </si>
  <si>
    <t>30001000258659</t>
  </si>
  <si>
    <t>893637989</t>
  </si>
  <si>
    <t>WY 128 R746 1986</t>
  </si>
  <si>
    <t>0                      WY 0128000R  746         1986</t>
  </si>
  <si>
    <t>The Role of the clinical nurse specialist / [developed by the Council of Clinical Nurse Specialists, American Nurses' Association].</t>
  </si>
  <si>
    <t>ANA pub ; no. NP-70</t>
  </si>
  <si>
    <t>3768985605:eng</t>
  </si>
  <si>
    <t>20756946</t>
  </si>
  <si>
    <t>991001519669702656</t>
  </si>
  <si>
    <t>2272278050002656</t>
  </si>
  <si>
    <t>30001000602203</t>
  </si>
  <si>
    <t>893816491</t>
  </si>
  <si>
    <t>WY 128 S422 1985</t>
  </si>
  <si>
    <t>0                      WY 0128000S  422         1985</t>
  </si>
  <si>
    <t>The Scope of practice of the primary health care nurse practitioner / American Nurses' Association, Council of Primary Health Care Nurse Practitioners.</t>
  </si>
  <si>
    <t>Kansas City, Mo. (2420 Pershing Rd., Kansas City 64108) : American Nurses' Association, c1985.</t>
  </si>
  <si>
    <t>ANA pub ; no. NP-61</t>
  </si>
  <si>
    <t>5609042:eng</t>
  </si>
  <si>
    <t>12972940</t>
  </si>
  <si>
    <t>991001329459702656</t>
  </si>
  <si>
    <t>2256085620002656</t>
  </si>
  <si>
    <t>30001000421968</t>
  </si>
  <si>
    <t>893374445</t>
  </si>
  <si>
    <t>WY 128 S764c 2002</t>
  </si>
  <si>
    <t>0                      WY 0128000S  764c        2002</t>
  </si>
  <si>
    <t>Critical practice management strategies for nurse practitioners / Susan Sportsman, Linda Hawley.</t>
  </si>
  <si>
    <t>Sportsman, Susan.</t>
  </si>
  <si>
    <t>Washington D.C. : American Nurses Association, 2002.</t>
  </si>
  <si>
    <t>ANA pub ; no. CPM22</t>
  </si>
  <si>
    <t>2003-01-09</t>
  </si>
  <si>
    <t>6042199:eng</t>
  </si>
  <si>
    <t>50554320</t>
  </si>
  <si>
    <t>991000334179702656</t>
  </si>
  <si>
    <t>2255927990002656</t>
  </si>
  <si>
    <t>9781558102040</t>
  </si>
  <si>
    <t>30001004603629</t>
  </si>
  <si>
    <t>893122996</t>
  </si>
  <si>
    <t>WY 128 Y42d 1981</t>
  </si>
  <si>
    <t>0                      WY 0128000Y  42d         1981</t>
  </si>
  <si>
    <t>Delivering primary health care : nurse practitioners at work / Michael J. Ydidia.</t>
  </si>
  <si>
    <t>Yedidia, Michael J., 1946-</t>
  </si>
  <si>
    <t>Boston : Auburn House Pub. Co., c1981.</t>
  </si>
  <si>
    <t>1993-08-14</t>
  </si>
  <si>
    <t>512434:eng</t>
  </si>
  <si>
    <t>7275939</t>
  </si>
  <si>
    <t>991001084849702656</t>
  </si>
  <si>
    <t>2270713560002656</t>
  </si>
  <si>
    <t>9780865690752</t>
  </si>
  <si>
    <t>30001000258691</t>
  </si>
  <si>
    <t>893369091</t>
  </si>
  <si>
    <t>WY 128 Z19c 1976</t>
  </si>
  <si>
    <t>0                      WY 0128000Z  19c         1976</t>
  </si>
  <si>
    <t>Creative Health Services : a model for group nursing practice / Rothlyn Zahourek, Dolores M. Leone, Frank J. Lang.</t>
  </si>
  <si>
    <t>Zahourek, Rothlyn P., 1943-</t>
  </si>
  <si>
    <t>Saint Louis : Mosby, 1976.</t>
  </si>
  <si>
    <t>4796104:eng</t>
  </si>
  <si>
    <t>2298135</t>
  </si>
  <si>
    <t>991001084889702656</t>
  </si>
  <si>
    <t>2266108570002656</t>
  </si>
  <si>
    <t>9780801656736</t>
  </si>
  <si>
    <t>30001000258709</t>
  </si>
  <si>
    <t>893284368</t>
  </si>
  <si>
    <t>WY 141 B879oa 1981</t>
  </si>
  <si>
    <t>0                      WY 0141000B  879oa       1981</t>
  </si>
  <si>
    <t>Occupational health nursing : principles and practices / Mary Louise Brown.</t>
  </si>
  <si>
    <t>Brown, Mary Louise, 1916-</t>
  </si>
  <si>
    <t>New York : Springer Pub. Co., c1981.</t>
  </si>
  <si>
    <t>1993-11-19</t>
  </si>
  <si>
    <t>493041:eng</t>
  </si>
  <si>
    <t>6649076</t>
  </si>
  <si>
    <t>991001084939702656</t>
  </si>
  <si>
    <t>2265926650002656</t>
  </si>
  <si>
    <t>9780826122506</t>
  </si>
  <si>
    <t>30001000258741</t>
  </si>
  <si>
    <t>893148852</t>
  </si>
  <si>
    <t>WY 141 R724o 1994</t>
  </si>
  <si>
    <t>0                      WY 0141000R  724o        1994</t>
  </si>
  <si>
    <t>Occupational health nursing : concepts and practice / Bonnie Rogers.</t>
  </si>
  <si>
    <t>Rogers, Bonnie.</t>
  </si>
  <si>
    <t>Philadelphia : W.B. Saunders Co., c1994.</t>
  </si>
  <si>
    <t>1994-05-12</t>
  </si>
  <si>
    <t>1994-05-05</t>
  </si>
  <si>
    <t>476598608:eng</t>
  </si>
  <si>
    <t>29564197</t>
  </si>
  <si>
    <t>991001196289702656</t>
  </si>
  <si>
    <t>2255648680002656</t>
  </si>
  <si>
    <t>9780721675886</t>
  </si>
  <si>
    <t>30001002984658</t>
  </si>
  <si>
    <t>893643300</t>
  </si>
  <si>
    <t>WY141 R724ob 2003</t>
  </si>
  <si>
    <t>0                      WY 0141000R  724ob       2003</t>
  </si>
  <si>
    <t>Occupational and environmental health nursing : concepts and practice / Bonnie Rogers.</t>
  </si>
  <si>
    <t>51172315</t>
  </si>
  <si>
    <t>991001723329702656</t>
  </si>
  <si>
    <t>2263920060002656</t>
  </si>
  <si>
    <t>9780721685113</t>
  </si>
  <si>
    <t>30001004505006</t>
  </si>
  <si>
    <t>893643780</t>
  </si>
  <si>
    <t>WY 145 S422 1998</t>
  </si>
  <si>
    <t>0                      WY 0145000S  422         1998</t>
  </si>
  <si>
    <t>Scope and standards of parish nursing practice / Health Ministries Association, American Nurses' Association ; [developed by the Practice and Education Committee of the Health Ministries Association].</t>
  </si>
  <si>
    <t>Washington, DC : American Nurses Pub., c1998.</t>
  </si>
  <si>
    <t>2004-05-11</t>
  </si>
  <si>
    <t>41819063:eng</t>
  </si>
  <si>
    <t>39116679</t>
  </si>
  <si>
    <t>991000269969702656</t>
  </si>
  <si>
    <t>2260940000002656</t>
  </si>
  <si>
    <t>30001004176840</t>
  </si>
  <si>
    <t>893628966</t>
  </si>
  <si>
    <t>WY 150 A958q 1989</t>
  </si>
  <si>
    <t>0                      WY 0150000A  958q        1989</t>
  </si>
  <si>
    <t>Quality assurance in rehabilitation nursing : a practical guide / Adrianne E. Avillion, Barbara B. Mirgon.</t>
  </si>
  <si>
    <t>Avillion, Adrianne E.</t>
  </si>
  <si>
    <t>1989-10-21</t>
  </si>
  <si>
    <t>19407730:eng</t>
  </si>
  <si>
    <t>18948003</t>
  </si>
  <si>
    <t>991001355389702656</t>
  </si>
  <si>
    <t>2256576930002656</t>
  </si>
  <si>
    <t>9780834200531</t>
  </si>
  <si>
    <t>30001001795865</t>
  </si>
  <si>
    <t>893121430</t>
  </si>
  <si>
    <t>WY 150 B686s 1985</t>
  </si>
  <si>
    <t>0                      WY 0150000B  686s        1985</t>
  </si>
  <si>
    <t>Stomal therapy : a guide for nurses, practitioners and patients / E.L. Bokey &amp; Robyn Shell.</t>
  </si>
  <si>
    <t>Bokey, E. L. (E. Leslie), 1946-</t>
  </si>
  <si>
    <t>Sydney : New York : Pergamon Press, c1985</t>
  </si>
  <si>
    <t>1995-09-10</t>
  </si>
  <si>
    <t>8209703:eng</t>
  </si>
  <si>
    <t>14905509</t>
  </si>
  <si>
    <t>991001085049702656</t>
  </si>
  <si>
    <t>2269365600002656</t>
  </si>
  <si>
    <t>9780080298627</t>
  </si>
  <si>
    <t>30001000258816</t>
  </si>
  <si>
    <t>893740734</t>
  </si>
  <si>
    <t>WY 150 B8972 1992</t>
  </si>
  <si>
    <t>0                      WY 0150000B  8972        1992</t>
  </si>
  <si>
    <t>Brunner and Suddarth's textbook of medical-surgical nursing.</t>
  </si>
  <si>
    <t>7th ed. / [edited by] Suzanne C. Smeltzer, Brenda G. Bare, with 39 contributors.</t>
  </si>
  <si>
    <t>1998-03-26</t>
  </si>
  <si>
    <t>1992-03-18</t>
  </si>
  <si>
    <t>476875372:eng</t>
  </si>
  <si>
    <t>24668594</t>
  </si>
  <si>
    <t>991000842429702656</t>
  </si>
  <si>
    <t>2261624260002656</t>
  </si>
  <si>
    <t>9780397547975</t>
  </si>
  <si>
    <t>30001002119917</t>
  </si>
  <si>
    <t>893161339</t>
  </si>
  <si>
    <t>WY 150 B8972 2000</t>
  </si>
  <si>
    <t>0                      WY 0150000B  8972        2000</t>
  </si>
  <si>
    <t>Brunner and Suddarth's textbook of medical-surgical nursing / [edited by] Suzanne C. Smeltzer, Brenda G. Bare.</t>
  </si>
  <si>
    <t>2000-05-10</t>
  </si>
  <si>
    <t>2002-02-25</t>
  </si>
  <si>
    <t>41573060</t>
  </si>
  <si>
    <t>991001443169702656</t>
  </si>
  <si>
    <t>2260904660002656</t>
  </si>
  <si>
    <t>9780781715751</t>
  </si>
  <si>
    <t>30001003883834</t>
  </si>
  <si>
    <t>893364162</t>
  </si>
  <si>
    <t>30001003883818</t>
  </si>
  <si>
    <t>893369403</t>
  </si>
  <si>
    <t>WY150 B8972 2004</t>
  </si>
  <si>
    <t>0                      WY 0150000B  8972        2004</t>
  </si>
  <si>
    <t>Brunner &amp; Suddarth's textbook of medical-surgical nursing.</t>
  </si>
  <si>
    <t>10th ed. / [edited by] Suzanne C. Smeltzer, Brenda G. Bare ; and more than 50 contributors.</t>
  </si>
  <si>
    <t>51922578</t>
  </si>
  <si>
    <t>991000369659702656</t>
  </si>
  <si>
    <t>2260514020002656</t>
  </si>
  <si>
    <t>9780781731935</t>
  </si>
  <si>
    <t>30001004506764</t>
  </si>
  <si>
    <t>893553460</t>
  </si>
  <si>
    <t>30001004506756</t>
  </si>
  <si>
    <t>893547767</t>
  </si>
  <si>
    <t>WY 150 B8972 2004 Suppl.</t>
  </si>
  <si>
    <t>0                      WY 0150000B  8972        2004                                        Suppl.</t>
  </si>
  <si>
    <t>Study guide to accompany Brunner and Suddarth's textbook of medical-surgical nursing / Mary Jo Boyer.</t>
  </si>
  <si>
    <t>Boyer, Mary Jo.</t>
  </si>
  <si>
    <t>Philadelphia, Pa. : Lippincott Williams &amp; Wilkins, c2004.</t>
  </si>
  <si>
    <t>2007-06-22</t>
  </si>
  <si>
    <t>2866010725:eng</t>
  </si>
  <si>
    <t>53180013</t>
  </si>
  <si>
    <t>991000634299702656</t>
  </si>
  <si>
    <t>2257739970002656</t>
  </si>
  <si>
    <t>9780781732154</t>
  </si>
  <si>
    <t>30001005218443</t>
  </si>
  <si>
    <t>893459533</t>
  </si>
  <si>
    <t>WY 150 B897t 1984</t>
  </si>
  <si>
    <t>0                      WY 0150000B  897t        1984</t>
  </si>
  <si>
    <t>Textbook of medical-surgical nursing / Lillian Sholtis Brunner, Doris Smith Suddarth.</t>
  </si>
  <si>
    <t>5th ed. / with special assistance from Brenda G. Bare ; with 32 contributors.</t>
  </si>
  <si>
    <t>1991-11-17</t>
  </si>
  <si>
    <t>4020627199:eng</t>
  </si>
  <si>
    <t>9852253</t>
  </si>
  <si>
    <t>991000735939702656</t>
  </si>
  <si>
    <t>2255130720002656</t>
  </si>
  <si>
    <t>9780397544196</t>
  </si>
  <si>
    <t>30001000041360</t>
  </si>
  <si>
    <t>893459768</t>
  </si>
  <si>
    <t>WY 150 C188n 1984</t>
  </si>
  <si>
    <t>0                      WY 0150000C  188n        1984</t>
  </si>
  <si>
    <t>Nursing care of victims of family violence / by Jacquelyn Campbell and Janice Humphreys.</t>
  </si>
  <si>
    <t>Campbell, Jacquelyn.</t>
  </si>
  <si>
    <t>2002-09-06</t>
  </si>
  <si>
    <t>24767294:eng</t>
  </si>
  <si>
    <t>9682756</t>
  </si>
  <si>
    <t>991001085129702656</t>
  </si>
  <si>
    <t>2262518400002656</t>
  </si>
  <si>
    <t>9780835950428</t>
  </si>
  <si>
    <t>30001000258832</t>
  </si>
  <si>
    <t>893546360</t>
  </si>
  <si>
    <t>WY 150 C737 1981</t>
  </si>
  <si>
    <t>0                      WY 0150000C  737         1981</t>
  </si>
  <si>
    <t>Comprehensive rehabilitation nursing / Edited by Nancy Martin, Nancye B. Holt, Dorothy Hicks.</t>
  </si>
  <si>
    <t>1990-06-13</t>
  </si>
  <si>
    <t>355431978:eng</t>
  </si>
  <si>
    <t>6195738</t>
  </si>
  <si>
    <t>991001085159702656</t>
  </si>
  <si>
    <t>2257041810002656</t>
  </si>
  <si>
    <t>9780070406117</t>
  </si>
  <si>
    <t>30001000258840</t>
  </si>
  <si>
    <t>893727224</t>
  </si>
  <si>
    <t>WY 150 C968 1998</t>
  </si>
  <si>
    <t>0                      WY 0150000C  968         1998</t>
  </si>
  <si>
    <t>Culturally competent assessment for family violence / American Nurses Association.</t>
  </si>
  <si>
    <t>ANA pub. no. 9804NP 1/M</t>
  </si>
  <si>
    <t>998737:eng</t>
  </si>
  <si>
    <t>38752930</t>
  </si>
  <si>
    <t>991000269229702656</t>
  </si>
  <si>
    <t>2269244380002656</t>
  </si>
  <si>
    <t>9781558101401</t>
  </si>
  <si>
    <t>30001003803345</t>
  </si>
  <si>
    <t>893136015</t>
  </si>
  <si>
    <t>WY 150 D489 1994</t>
  </si>
  <si>
    <t>0                      WY 0150000D  489         1994</t>
  </si>
  <si>
    <t>Developing knowledge for practice : challenges and opportunities.</t>
  </si>
  <si>
    <t>Bethseda, Md. : ill.</t>
  </si>
  <si>
    <t>National nursing research agenda</t>
  </si>
  <si>
    <t>1994-09-07</t>
  </si>
  <si>
    <t>5091128034:eng</t>
  </si>
  <si>
    <t>31426998</t>
  </si>
  <si>
    <t>991000677059702656</t>
  </si>
  <si>
    <t>2261522430002656</t>
  </si>
  <si>
    <t>30001002696641</t>
  </si>
  <si>
    <t>893560392</t>
  </si>
  <si>
    <t>WY 150 D521e 1998</t>
  </si>
  <si>
    <t>0                      WY 0150000D  521e        1998</t>
  </si>
  <si>
    <t>Essentials of medical-surgical nursing / Susan C. deWit.</t>
  </si>
  <si>
    <t>1998-02-26</t>
  </si>
  <si>
    <t>2559346365:eng</t>
  </si>
  <si>
    <t>37480729</t>
  </si>
  <si>
    <t>991001306399702656</t>
  </si>
  <si>
    <t>2268099470002656</t>
  </si>
  <si>
    <t>9780721669205</t>
  </si>
  <si>
    <t>30001003749910</t>
  </si>
  <si>
    <t>893451067</t>
  </si>
  <si>
    <t>WY 150 E36n 1984</t>
  </si>
  <si>
    <t>0                      WY 0150000E  36n         1984</t>
  </si>
  <si>
    <t>The nurse's 1984-85 guide to drug therapy : drug profiles for patient care / Laurel A. Eisenhauer, Michael C. Gerald.</t>
  </si>
  <si>
    <t>Eisenhauer, Laurel A.</t>
  </si>
  <si>
    <t>43093574:eng</t>
  </si>
  <si>
    <t>9392948</t>
  </si>
  <si>
    <t>991001085309702656</t>
  </si>
  <si>
    <t>2263553880002656</t>
  </si>
  <si>
    <t>9780136274636</t>
  </si>
  <si>
    <t>30001000258949</t>
  </si>
  <si>
    <t>893121152</t>
  </si>
  <si>
    <t>WY 150 E515 1985</t>
  </si>
  <si>
    <t>0                      WY 0150000E  515         1985</t>
  </si>
  <si>
    <t>Emergencies.</t>
  </si>
  <si>
    <t>Nurse's reference library</t>
  </si>
  <si>
    <t>54660682:eng</t>
  </si>
  <si>
    <t>11090102</t>
  </si>
  <si>
    <t>991000843159702656</t>
  </si>
  <si>
    <t>2260464370002656</t>
  </si>
  <si>
    <t>9780916730857</t>
  </si>
  <si>
    <t>30001000785701</t>
  </si>
  <si>
    <t>893735933</t>
  </si>
  <si>
    <t>WY 150 I595a 1998</t>
  </si>
  <si>
    <t>0                      WY 0150000I  595a        1998</t>
  </si>
  <si>
    <t>Statement on the scope and standards of genetics nursing practice / International Society of Nurses in Genetics, American Nurses Association.</t>
  </si>
  <si>
    <t>International Society of Nurses in Genetics.</t>
  </si>
  <si>
    <t>42612758:eng</t>
  </si>
  <si>
    <t>39094203</t>
  </si>
  <si>
    <t>991000269889702656</t>
  </si>
  <si>
    <t>2271456860002656</t>
  </si>
  <si>
    <t>30001004176808</t>
  </si>
  <si>
    <t>893811288</t>
  </si>
  <si>
    <t>WY 150 K16w 1981</t>
  </si>
  <si>
    <t>0                      WY 0150000K  16w         1981</t>
  </si>
  <si>
    <t>The well family : a developmental approach to assessment / Judith H. Kandzari, Joan R. Howard with Martha S. Rock.</t>
  </si>
  <si>
    <t>Kandzari, Judith H.</t>
  </si>
  <si>
    <t>196194292:eng</t>
  </si>
  <si>
    <t>8083869</t>
  </si>
  <si>
    <t>991000735839702656</t>
  </si>
  <si>
    <t>2271951860002656</t>
  </si>
  <si>
    <t>30001000041345</t>
  </si>
  <si>
    <t>893743240</t>
  </si>
  <si>
    <t>WY 150 L9412 1993</t>
  </si>
  <si>
    <t>0                      WY 0150000L  9412        1993</t>
  </si>
  <si>
    <t>Luckmann and Sorensen's medical-surgical nursing : a psychophysiologic approach.</t>
  </si>
  <si>
    <t>Philadelphia : W.B. Saunders Co., c1993.</t>
  </si>
  <si>
    <t>4th ed. / [edited by] Joyce M. Black, Esther Matassarin-Jacobs.</t>
  </si>
  <si>
    <t>1999-04-29</t>
  </si>
  <si>
    <t>1993-08-05</t>
  </si>
  <si>
    <t>836732810:eng</t>
  </si>
  <si>
    <t>27849087</t>
  </si>
  <si>
    <t>991001480169702656</t>
  </si>
  <si>
    <t>2267004630002656</t>
  </si>
  <si>
    <t>9780721635064</t>
  </si>
  <si>
    <t>30001002568626</t>
  </si>
  <si>
    <t>893377294</t>
  </si>
  <si>
    <t>WY 150 L9412P 1993</t>
  </si>
  <si>
    <t>0                      WY 0150000L  9412P       1993</t>
  </si>
  <si>
    <t>Black and Matassarin-Jacobs pocket companion for Luckmann and Sorensen's medical-surgical nursing : a psychophysiologic approach, 4th edition / Mary K. Palandri, Catherine Rollman Sorrentino.</t>
  </si>
  <si>
    <t>Palandri, Mary K.</t>
  </si>
  <si>
    <t>1998-04-07</t>
  </si>
  <si>
    <t>36835956:eng</t>
  </si>
  <si>
    <t>32589693</t>
  </si>
  <si>
    <t>991001336079702656</t>
  </si>
  <si>
    <t>2271711900002656</t>
  </si>
  <si>
    <t>9780721649641</t>
  </si>
  <si>
    <t>30001003111038</t>
  </si>
  <si>
    <t>893451091</t>
  </si>
  <si>
    <t>WY 150 M478p 1989</t>
  </si>
  <si>
    <t>0                      WY 0150000M  478p        1989</t>
  </si>
  <si>
    <t>Pain : clinical manual for nursing practice / Margo McCaffery, Alexandra Beebe.</t>
  </si>
  <si>
    <t>McCaffery, Margo.</t>
  </si>
  <si>
    <t>1999-11-21</t>
  </si>
  <si>
    <t>4160047018:eng</t>
  </si>
  <si>
    <t>19124445</t>
  </si>
  <si>
    <t>991001448799702656</t>
  </si>
  <si>
    <t>2269076480002656</t>
  </si>
  <si>
    <t>9780801632488</t>
  </si>
  <si>
    <t>30001001882028</t>
  </si>
  <si>
    <t>893460610</t>
  </si>
  <si>
    <t>WY 150 M489 1975</t>
  </si>
  <si>
    <t>0                      WY 0150000M  489         1975</t>
  </si>
  <si>
    <t>Medical-surgical nursing / Kathleen Newton Shafer ... [et al.].</t>
  </si>
  <si>
    <t>Shafer, Kathleen Newton.</t>
  </si>
  <si>
    <t>Saint Louis : Mosby, 1975.</t>
  </si>
  <si>
    <t>451289:eng</t>
  </si>
  <si>
    <t>1379228</t>
  </si>
  <si>
    <t>991001085529702656</t>
  </si>
  <si>
    <t>2256577650002656</t>
  </si>
  <si>
    <t>9780801645167</t>
  </si>
  <si>
    <t>30001000259020</t>
  </si>
  <si>
    <t>893284372</t>
  </si>
  <si>
    <t>WY 150 M4893 1982</t>
  </si>
  <si>
    <t>0                      WY 0150000M  4893        1982</t>
  </si>
  <si>
    <t>Medical-surgical nursing, a conceptual approach / [edited by] Dorothy A. Jones, Claire Ford Dunbar, Mary Marmoll Jirovec.</t>
  </si>
  <si>
    <t>836683524:eng</t>
  </si>
  <si>
    <t>8133463</t>
  </si>
  <si>
    <t>991000735429702656</t>
  </si>
  <si>
    <t>2265494950002656</t>
  </si>
  <si>
    <t>9780070327870</t>
  </si>
  <si>
    <t>30001000041238</t>
  </si>
  <si>
    <t>893551396</t>
  </si>
  <si>
    <t>WY 150 M48933 1989</t>
  </si>
  <si>
    <t>0                      WY 0150000M  48933       1989</t>
  </si>
  <si>
    <t>Medical-surgical nursing : a nursing process approach / edited by Barbara C. Long, Wilma J. Phipps.</t>
  </si>
  <si>
    <t>1995-11-16</t>
  </si>
  <si>
    <t>4794544774:eng</t>
  </si>
  <si>
    <t>18191537</t>
  </si>
  <si>
    <t>991001250969702656</t>
  </si>
  <si>
    <t>2263435440002656</t>
  </si>
  <si>
    <t>9780801632464</t>
  </si>
  <si>
    <t>30001001678905</t>
  </si>
  <si>
    <t>893374394</t>
  </si>
  <si>
    <t>WY 150 M4894 1994</t>
  </si>
  <si>
    <t>0                      WY 0150000M  4894        1994</t>
  </si>
  <si>
    <t>Medical-surgical nursing : concepts and clinical practice / edited by Wilma J. Phipps ... [et al.].</t>
  </si>
  <si>
    <t>St. Louis : Mosby, 1994.</t>
  </si>
  <si>
    <t>1999-01-23</t>
  </si>
  <si>
    <t>1995-02-06</t>
  </si>
  <si>
    <t>9846428997:eng</t>
  </si>
  <si>
    <t>31287981</t>
  </si>
  <si>
    <t>991000686519702656</t>
  </si>
  <si>
    <t>2258325970002656</t>
  </si>
  <si>
    <t>9780801678882</t>
  </si>
  <si>
    <t>30001002699173</t>
  </si>
  <si>
    <t>893459692</t>
  </si>
  <si>
    <t>WY150 M489cc 2007</t>
  </si>
  <si>
    <t>0                      WY 0150000M  489cc       2007</t>
  </si>
  <si>
    <t>Clinical companion, Medical-surgical nursing / prepared by Patricia Graber O'Brien ... [et al.].</t>
  </si>
  <si>
    <t>St. Louis, Mo. : Mosby Elsevier, c2007.</t>
  </si>
  <si>
    <t>2010-03-05</t>
  </si>
  <si>
    <t>2010-03-04</t>
  </si>
  <si>
    <t>865138295:eng</t>
  </si>
  <si>
    <t>143171695</t>
  </si>
  <si>
    <t>991001576709702656</t>
  </si>
  <si>
    <t>2266300080002656</t>
  </si>
  <si>
    <t>9780323036894</t>
  </si>
  <si>
    <t>30001005364320</t>
  </si>
  <si>
    <t>893121653</t>
  </si>
  <si>
    <t>WY 150 M587 1988</t>
  </si>
  <si>
    <t>0                      WY 0150000M  587         1988</t>
  </si>
  <si>
    <t>Metabolic problems.</t>
  </si>
  <si>
    <t>NurseReview</t>
  </si>
  <si>
    <t>1989-06-23</t>
  </si>
  <si>
    <t>13076724:eng</t>
  </si>
  <si>
    <t>16950591</t>
  </si>
  <si>
    <t>991001308429702656</t>
  </si>
  <si>
    <t>2262903930002656</t>
  </si>
  <si>
    <t>9780874341850</t>
  </si>
  <si>
    <t>30001001750084</t>
  </si>
  <si>
    <t>893369312</t>
  </si>
  <si>
    <t>WY 150 M592n 1983</t>
  </si>
  <si>
    <t>0                      WY 0150000M  592n        1983</t>
  </si>
  <si>
    <t>Nurses' handbook of fluid balance / Norma Milligan Metheny, W.D. Snively, Jr., with 7 additional contributors.</t>
  </si>
  <si>
    <t>Metheny, Norma Milligan.</t>
  </si>
  <si>
    <t>Philadelphia : Lippincott, c1983.</t>
  </si>
  <si>
    <t>1323343:eng</t>
  </si>
  <si>
    <t>8762796</t>
  </si>
  <si>
    <t>991000735679702656</t>
  </si>
  <si>
    <t>2265303400002656</t>
  </si>
  <si>
    <t>9780397543816</t>
  </si>
  <si>
    <t>30001000041303</t>
  </si>
  <si>
    <t>893731010</t>
  </si>
  <si>
    <t>WY 150 N97145 1993</t>
  </si>
  <si>
    <t>0                      WY 0150000N  97145       1993</t>
  </si>
  <si>
    <t>Nursing care of survivors of family violence / [edited by] Jacquelyn Campbell, Janice Humphreys.</t>
  </si>
  <si>
    <t>1996-01-25</t>
  </si>
  <si>
    <t>476472511:eng</t>
  </si>
  <si>
    <t>26769084</t>
  </si>
  <si>
    <t>991001503529702656</t>
  </si>
  <si>
    <t>2267409770002656</t>
  </si>
  <si>
    <t>9780801663789</t>
  </si>
  <si>
    <t>30001003263268</t>
  </si>
  <si>
    <t>893149290</t>
  </si>
  <si>
    <t>WY 150 N9715 1988</t>
  </si>
  <si>
    <t>0                      WY 0150000N  9715        1988</t>
  </si>
  <si>
    <t>Nursing care of the person with AIDS/ARC / edited by Angie Lewis.</t>
  </si>
  <si>
    <t>Aspen series in medical surgical nursing</t>
  </si>
  <si>
    <t>1996-08-04</t>
  </si>
  <si>
    <t>16764251:eng</t>
  </si>
  <si>
    <t>17733000</t>
  </si>
  <si>
    <t>991001315299702656</t>
  </si>
  <si>
    <t>2258019970002656</t>
  </si>
  <si>
    <t>9780871897749</t>
  </si>
  <si>
    <t>30001001752601</t>
  </si>
  <si>
    <t>893821118</t>
  </si>
  <si>
    <t>WY 150 N973 1982</t>
  </si>
  <si>
    <t>0                      WY 0150000N  973         1982</t>
  </si>
  <si>
    <t>Nursing care planning guides for medical-surgical care / Margo Creighton Neal ... [et al.].</t>
  </si>
  <si>
    <t>Pacific Palisades, CA : Nurseco, c1982.</t>
  </si>
  <si>
    <t>3132327769:eng</t>
  </si>
  <si>
    <t>7999107</t>
  </si>
  <si>
    <t>991001085709702656</t>
  </si>
  <si>
    <t>2271256230002656</t>
  </si>
  <si>
    <t>9780935236231</t>
  </si>
  <si>
    <t>30001000259178</t>
  </si>
  <si>
    <t>893374243</t>
  </si>
  <si>
    <t>WY 150 N974 1982</t>
  </si>
  <si>
    <t>0                      WY 0150000N  974         1982</t>
  </si>
  <si>
    <t>Nursing skills for clinical practice / edited by Beverly J. Rambo and Lucile A. Wood.</t>
  </si>
  <si>
    <t>Philadelphia : Saunders, c1982.</t>
  </si>
  <si>
    <t>3rd ed. / new revisions by Ruth Ann Barmetter.</t>
  </si>
  <si>
    <t>355433256:eng</t>
  </si>
  <si>
    <t>7550964</t>
  </si>
  <si>
    <t>991001085749702656</t>
  </si>
  <si>
    <t>2271864360002656</t>
  </si>
  <si>
    <t>9780721674582</t>
  </si>
  <si>
    <t>30001000259236</t>
  </si>
  <si>
    <t>893268044</t>
  </si>
  <si>
    <t>WY 150 O68 1991</t>
  </si>
  <si>
    <t>0                      WY 0150000O  68          1991</t>
  </si>
  <si>
    <t>Organ and tissue transplantation : nursing care from procurement through rehabilitation / M.K. Gaedeke Norris and Mary Anne House.</t>
  </si>
  <si>
    <t>Gaedeke, M. K., 1955-</t>
  </si>
  <si>
    <t>2003-07-02</t>
  </si>
  <si>
    <t>476080139:eng</t>
  </si>
  <si>
    <t>22706146</t>
  </si>
  <si>
    <t>991001476869702656</t>
  </si>
  <si>
    <t>2257513870002656</t>
  </si>
  <si>
    <t>9780803665873</t>
  </si>
  <si>
    <t>30001002563593</t>
  </si>
  <si>
    <t>893552541</t>
  </si>
  <si>
    <t>WY 150 P467 1991</t>
  </si>
  <si>
    <t>0                      WY 0150000P  467         1991</t>
  </si>
  <si>
    <t>The Person with AIDS : nursing perspectives / Jerry D. Durham, Felissa L. Cohen, editors.</t>
  </si>
  <si>
    <t>3901097610:eng</t>
  </si>
  <si>
    <t>23080903</t>
  </si>
  <si>
    <t>991000827049702656</t>
  </si>
  <si>
    <t>2258365040002656</t>
  </si>
  <si>
    <t>9780826156310</t>
  </si>
  <si>
    <t>30001002089201</t>
  </si>
  <si>
    <t>893726929</t>
  </si>
  <si>
    <t>WY 150 P578 1982</t>
  </si>
  <si>
    <t>0                      WY 0150000P  578         1982</t>
  </si>
  <si>
    <t>Physical assessment skills for nursing practice / edited by Josephine M. Sana, Richard D. Judge.</t>
  </si>
  <si>
    <t>1995-02-09</t>
  </si>
  <si>
    <t>430570263:eng</t>
  </si>
  <si>
    <t>8428063</t>
  </si>
  <si>
    <t>991000735579702656</t>
  </si>
  <si>
    <t>2269295260002656</t>
  </si>
  <si>
    <t>9780316769976</t>
  </si>
  <si>
    <t>30001000041261</t>
  </si>
  <si>
    <t>893464597</t>
  </si>
  <si>
    <t>WY 150 P957 1990</t>
  </si>
  <si>
    <t>0                      WY 0150000P  957         1990</t>
  </si>
  <si>
    <t>Principles and practice of adult health nursing / edited by Patricia Gauntlett Beare, Judith L. Myers.</t>
  </si>
  <si>
    <t>1997-10-29</t>
  </si>
  <si>
    <t>375446713:eng</t>
  </si>
  <si>
    <t>20723605</t>
  </si>
  <si>
    <t>991000943549702656</t>
  </si>
  <si>
    <t>2264698810002656</t>
  </si>
  <si>
    <t>9780801603860</t>
  </si>
  <si>
    <t>30001002193185</t>
  </si>
  <si>
    <t>893134109</t>
  </si>
  <si>
    <t>WY 150 P969 1980</t>
  </si>
  <si>
    <t>0                      WY 0150000P  969         1980</t>
  </si>
  <si>
    <t>Providing early mobility.</t>
  </si>
  <si>
    <t>1994-01-31</t>
  </si>
  <si>
    <t>54406625:eng</t>
  </si>
  <si>
    <t>6889036</t>
  </si>
  <si>
    <t>991001086359702656</t>
  </si>
  <si>
    <t>2269310190002656</t>
  </si>
  <si>
    <t>9780916730277</t>
  </si>
  <si>
    <t>30001000259558</t>
  </si>
  <si>
    <t>893648872</t>
  </si>
  <si>
    <t>WY150 R345 1996</t>
  </si>
  <si>
    <t>0                      WY 0150000R  345         1996</t>
  </si>
  <si>
    <t>Rehabilitation nursing : process and application / [edited by] Shirley P. Hoeman.</t>
  </si>
  <si>
    <t>33986898:eng</t>
  </si>
  <si>
    <t>31819634</t>
  </si>
  <si>
    <t>991001503089702656</t>
  </si>
  <si>
    <t>2259804410002656</t>
  </si>
  <si>
    <t>9780801677663</t>
  </si>
  <si>
    <t>30001003263177</t>
  </si>
  <si>
    <t>893460654</t>
  </si>
  <si>
    <t>WY 150 R345 2002</t>
  </si>
  <si>
    <t>0                      WY 0150000R  345         2002</t>
  </si>
  <si>
    <t>Rehabilitation nursing : process, application, &amp; outcomes / [edited by] Shirley P. Hoeman.</t>
  </si>
  <si>
    <t>2006-01-17</t>
  </si>
  <si>
    <t>2005-12-15</t>
  </si>
  <si>
    <t>47290036</t>
  </si>
  <si>
    <t>991000423489702656</t>
  </si>
  <si>
    <t>2264614980002656</t>
  </si>
  <si>
    <t>9780323011907</t>
  </si>
  <si>
    <t>30001004912509</t>
  </si>
  <si>
    <t>893452095</t>
  </si>
  <si>
    <t>WY 150 S283m 1995</t>
  </si>
  <si>
    <t>0                      WY 0150000S  283m        1995</t>
  </si>
  <si>
    <t>Managing genetic information : implications for nursing practice / Colleen Scanlon and Wendy Fibison.</t>
  </si>
  <si>
    <t>Scanlon, Colleen.</t>
  </si>
  <si>
    <t>ANA pub ; no. NP-102</t>
  </si>
  <si>
    <t>930450180:eng</t>
  </si>
  <si>
    <t>32188889</t>
  </si>
  <si>
    <t>991000253639702656</t>
  </si>
  <si>
    <t>2267122320002656</t>
  </si>
  <si>
    <t>9781558101111</t>
  </si>
  <si>
    <t>30001003205301</t>
  </si>
  <si>
    <t>893542067</t>
  </si>
  <si>
    <t>WY 150 S846f 2004</t>
  </si>
  <si>
    <t>0                      WY 0150000S  846f        2004</t>
  </si>
  <si>
    <t>Forensic nurse : the new role of the nurse in law enforcement / Serita Stevens with the assistance of members of the International Association of Forensic Nurses.</t>
  </si>
  <si>
    <t>Stevens, Serita, 1949-</t>
  </si>
  <si>
    <t>New York : Thomas Dunne Books, 2004.</t>
  </si>
  <si>
    <t>2005-07-17</t>
  </si>
  <si>
    <t>2005-07-14</t>
  </si>
  <si>
    <t>364857565:eng</t>
  </si>
  <si>
    <t>54500857</t>
  </si>
  <si>
    <t>991000440979702656</t>
  </si>
  <si>
    <t>2266414990002656</t>
  </si>
  <si>
    <t>9780312251994</t>
  </si>
  <si>
    <t>30001005000452</t>
  </si>
  <si>
    <t>893109659</t>
  </si>
  <si>
    <t>WY 150 T473c 1982</t>
  </si>
  <si>
    <t>0                      WY 0150000T  473c        1982</t>
  </si>
  <si>
    <t>Comprehensive triage : a manual for developing and implementing a nursing care system / June Thompson, Joyce Dains.</t>
  </si>
  <si>
    <t>Thompson, June D.</t>
  </si>
  <si>
    <t>1989-04-21</t>
  </si>
  <si>
    <t>1988-04-25</t>
  </si>
  <si>
    <t>427615167:eng</t>
  </si>
  <si>
    <t>7875415</t>
  </si>
  <si>
    <t>991000735139702656</t>
  </si>
  <si>
    <t>2266183780002656</t>
  </si>
  <si>
    <t>9780835909044</t>
  </si>
  <si>
    <t>30001000041188</t>
  </si>
  <si>
    <t>893545725</t>
  </si>
  <si>
    <t>WY150 T583i 2003</t>
  </si>
  <si>
    <t>0                      WY 0150000T  583i        2003</t>
  </si>
  <si>
    <t>Introductory medical-surgical nursing / Barbara K. Timby, Nancy E. Smith [editors].</t>
  </si>
  <si>
    <t>Philadelphia : Lippincott William &amp; Wilkins, c2003.</t>
  </si>
  <si>
    <t>2003-06-06</t>
  </si>
  <si>
    <t>4917228973:eng</t>
  </si>
  <si>
    <t>49712784</t>
  </si>
  <si>
    <t>991000349399702656</t>
  </si>
  <si>
    <t>2267951350002656</t>
  </si>
  <si>
    <t>9780781735537</t>
  </si>
  <si>
    <t>30001004501385</t>
  </si>
  <si>
    <t>893633816</t>
  </si>
  <si>
    <t>WY150 T583i 2006</t>
  </si>
  <si>
    <t>0                      WY 0150000T  583i        2006</t>
  </si>
  <si>
    <t>Introductory medical-surgical nursing / Barbara K. Timby, Nancy E. Smith.</t>
  </si>
  <si>
    <t>2008-11-03</t>
  </si>
  <si>
    <t>61351658</t>
  </si>
  <si>
    <t>991001738229702656</t>
  </si>
  <si>
    <t>2258847290002656</t>
  </si>
  <si>
    <t>9780781780322</t>
  </si>
  <si>
    <t>30001005127057</t>
  </si>
  <si>
    <t>893274432</t>
  </si>
  <si>
    <t>WY 150 U85 1980</t>
  </si>
  <si>
    <t>0                      WY 0150000U  85          1980</t>
  </si>
  <si>
    <t>Using monitors.</t>
  </si>
  <si>
    <t>426661734:eng</t>
  </si>
  <si>
    <t>6666623</t>
  </si>
  <si>
    <t>991001086029702656</t>
  </si>
  <si>
    <t>2260509100002656</t>
  </si>
  <si>
    <t>9780916730260</t>
  </si>
  <si>
    <t>30001000259400</t>
  </si>
  <si>
    <t>893450860</t>
  </si>
  <si>
    <t>WY 150.5 R345 1998</t>
  </si>
  <si>
    <t>0                      WY 0150500R  345         1998</t>
  </si>
  <si>
    <t>Rehabilitation nursing practice / edited by Patricia A. Chin, Darlene N. Finocchiaro, Anita Rosebrough.</t>
  </si>
  <si>
    <t>New York : McGraw-Hill, Health Professions Division, c1998.</t>
  </si>
  <si>
    <t>1999-08-10</t>
  </si>
  <si>
    <t>364690698:eng</t>
  </si>
  <si>
    <t>38236234</t>
  </si>
  <si>
    <t>991001572979702656</t>
  </si>
  <si>
    <t>2267048970002656</t>
  </si>
  <si>
    <t>9780071054829</t>
  </si>
  <si>
    <t>30001004071231</t>
  </si>
  <si>
    <t>893369491</t>
  </si>
  <si>
    <t>WY 152 A549c 1981</t>
  </si>
  <si>
    <t>0                      WY 0152000A  549c        1981</t>
  </si>
  <si>
    <t>Chronic health problems : concepts and application / [compiled by] Sandra VanDam Anderson, Eleanor E. Bauwens.</t>
  </si>
  <si>
    <t>451159:eng</t>
  </si>
  <si>
    <t>7178838</t>
  </si>
  <si>
    <t>991001086209702656</t>
  </si>
  <si>
    <t>2267608490002656</t>
  </si>
  <si>
    <t>9780801601996</t>
  </si>
  <si>
    <t>30001000259483</t>
  </si>
  <si>
    <t>893552110</t>
  </si>
  <si>
    <t>WY 152 A849 1988</t>
  </si>
  <si>
    <t>0                      WY 0152000A  849         1988</t>
  </si>
  <si>
    <t>Associate degree nursing and the nursing home.</t>
  </si>
  <si>
    <t>NLN pub. no. 15-2241.</t>
  </si>
  <si>
    <t>1994-07-11</t>
  </si>
  <si>
    <t>22374436:eng</t>
  </si>
  <si>
    <t>20491756</t>
  </si>
  <si>
    <t>991001114639702656</t>
  </si>
  <si>
    <t>2264583360002656</t>
  </si>
  <si>
    <t>9780887374234</t>
  </si>
  <si>
    <t>30001001612995</t>
  </si>
  <si>
    <t>893278733</t>
  </si>
  <si>
    <t>WY 152 B369m 1998</t>
  </si>
  <si>
    <t>0                      WY 0152000B  369m        1998</t>
  </si>
  <si>
    <t>Measurements for long-term care : a guidebook for nurses / Sarah R. Beaton &amp; Susan A. Voge.</t>
  </si>
  <si>
    <t>Beaton, Sarah Reese.</t>
  </si>
  <si>
    <t>837004859:eng</t>
  </si>
  <si>
    <t>37666367</t>
  </si>
  <si>
    <t>991000598309702656</t>
  </si>
  <si>
    <t>2272270120002656</t>
  </si>
  <si>
    <t>9780803953888</t>
  </si>
  <si>
    <t>30001004015949</t>
  </si>
  <si>
    <t>893824780</t>
  </si>
  <si>
    <t>WY 152 B835ca 1987</t>
  </si>
  <si>
    <t>0                      WY 0152000B  835ca       1987</t>
  </si>
  <si>
    <t>Caring for older adults : basic nursing skills and concepts / Joan Carson Breitung.</t>
  </si>
  <si>
    <t>Breitung, Joan Carson.</t>
  </si>
  <si>
    <t>9061850:eng</t>
  </si>
  <si>
    <t>14692111</t>
  </si>
  <si>
    <t>991000587009702656</t>
  </si>
  <si>
    <t>2257602660002656</t>
  </si>
  <si>
    <t>9780721615769</t>
  </si>
  <si>
    <t>30001000005100</t>
  </si>
  <si>
    <t>893453958</t>
  </si>
  <si>
    <t>WY 152 B959g 1992</t>
  </si>
  <si>
    <t>0                      WY 0152000B  959g        1992</t>
  </si>
  <si>
    <t>Gerontologic nursing : care of the frail elderly / Mary M. Burke, Mary B. Walsh.</t>
  </si>
  <si>
    <t>Burke, Mary M.</t>
  </si>
  <si>
    <t>1996-01-16</t>
  </si>
  <si>
    <t>836914508:eng</t>
  </si>
  <si>
    <t>24545983</t>
  </si>
  <si>
    <t>991001472419702656</t>
  </si>
  <si>
    <t>2264600490002656</t>
  </si>
  <si>
    <t>9780801658846</t>
  </si>
  <si>
    <t>30001002563239</t>
  </si>
  <si>
    <t>893134608</t>
  </si>
  <si>
    <t>WY 152 B967p 1980</t>
  </si>
  <si>
    <t>0                      WY 0152000B  967p        1980</t>
  </si>
  <si>
    <t>Psychosocial nursing care of the aged / edited by Irene Mortenson Burnside.</t>
  </si>
  <si>
    <t>1994-06-03</t>
  </si>
  <si>
    <t>1408314:eng</t>
  </si>
  <si>
    <t>4933469</t>
  </si>
  <si>
    <t>991000734989702656</t>
  </si>
  <si>
    <t>2269172810002656</t>
  </si>
  <si>
    <t>9780070092105</t>
  </si>
  <si>
    <t>30001000041162</t>
  </si>
  <si>
    <t>893459767</t>
  </si>
  <si>
    <t>WY 152 C271 1981</t>
  </si>
  <si>
    <t>0                      WY 0152000C  271         1981</t>
  </si>
  <si>
    <t>Care of the aging / edited by Laurel Archer Copp.</t>
  </si>
  <si>
    <t>Edinburgh ; New York : Churchill Livingstone, 1981.</t>
  </si>
  <si>
    <t>Recent advances in nursing, ISSN 0144-6592 ; 2</t>
  </si>
  <si>
    <t>1990-03-18</t>
  </si>
  <si>
    <t>1987-12-21</t>
  </si>
  <si>
    <t>482369:eng</t>
  </si>
  <si>
    <t>7552268</t>
  </si>
  <si>
    <t>991000863879702656</t>
  </si>
  <si>
    <t>2255949380002656</t>
  </si>
  <si>
    <t>9780443021879</t>
  </si>
  <si>
    <t>30001000143745</t>
  </si>
  <si>
    <t>893450564</t>
  </si>
  <si>
    <t>WY 152 C277 1972</t>
  </si>
  <si>
    <t>0                      WY 0152000C  277         1972</t>
  </si>
  <si>
    <t>Caring for and caring about elderly people : a guide to the rehabilitative approach / Editor: Janet M. Long.</t>
  </si>
  <si>
    <t>Rochester, N.Y. : Rochester Regional Medical Program and the Univ. of Rochester School of Nursing, 1972.</t>
  </si>
  <si>
    <t>[1st ed.</t>
  </si>
  <si>
    <t>4020069053:eng</t>
  </si>
  <si>
    <t>14427755</t>
  </si>
  <si>
    <t>991001339299702656</t>
  </si>
  <si>
    <t>2265507970002656</t>
  </si>
  <si>
    <t>30001002455097</t>
  </si>
  <si>
    <t>893284708</t>
  </si>
  <si>
    <t>WY 152 C27723 1990</t>
  </si>
  <si>
    <t>0                      WY 0152000C  27723       1990</t>
  </si>
  <si>
    <t>Caring for the elderly in diverse care settings / [edited by] Charlotte Eliopoulos.</t>
  </si>
  <si>
    <t>Philadelphia : Lippincott, c1990.</t>
  </si>
  <si>
    <t>1993-11-14</t>
  </si>
  <si>
    <t>21388633:eng</t>
  </si>
  <si>
    <t>20167883</t>
  </si>
  <si>
    <t>991001472449702656</t>
  </si>
  <si>
    <t>2270447850002656</t>
  </si>
  <si>
    <t>9780397546718</t>
  </si>
  <si>
    <t>30001002563254</t>
  </si>
  <si>
    <t>893460622</t>
  </si>
  <si>
    <t>WY 152 C293p 1981</t>
  </si>
  <si>
    <t>0                      WY 0152000C  293p        1981</t>
  </si>
  <si>
    <t>Physical assessment of the gerontologic client / Rosine Carotenuto, John Bullock.</t>
  </si>
  <si>
    <t>Carotenuto, Rosine.</t>
  </si>
  <si>
    <t>22316299:eng</t>
  </si>
  <si>
    <t>6378479</t>
  </si>
  <si>
    <t>991000863959702656</t>
  </si>
  <si>
    <t>2267405540002656</t>
  </si>
  <si>
    <t>9780803616806</t>
  </si>
  <si>
    <t>30001000143752</t>
  </si>
  <si>
    <t>893357895</t>
  </si>
  <si>
    <t>WY 152 C319n 1988</t>
  </si>
  <si>
    <t>0                      WY 0152000C  319n        1988</t>
  </si>
  <si>
    <t>A nurse's guide to caring for elders / Mary Carroll, L. Jane Brue.</t>
  </si>
  <si>
    <t>Carroll, Mary, R.N.</t>
  </si>
  <si>
    <t>1990-01-24</t>
  </si>
  <si>
    <t>1988-04-16</t>
  </si>
  <si>
    <t>967391:eng</t>
  </si>
  <si>
    <t>16802231</t>
  </si>
  <si>
    <t>991001186059702656</t>
  </si>
  <si>
    <t>2263254750002656</t>
  </si>
  <si>
    <t>9780826155207</t>
  </si>
  <si>
    <t>30001000977951</t>
  </si>
  <si>
    <t>893557674</t>
  </si>
  <si>
    <t>WY 152 C518c 1991</t>
  </si>
  <si>
    <t>0                      WY 0152000C  518c        1991</t>
  </si>
  <si>
    <t>Clinical gerontological nursing : a guide to advanced practice / W. Carole Chenitz, Joyce Takano Stone, Sally A. Salisbury.</t>
  </si>
  <si>
    <t>Chenitz, W. Carole, 1946-</t>
  </si>
  <si>
    <t>Philadelphia : Saunders, c1991.</t>
  </si>
  <si>
    <t>1991-12-02</t>
  </si>
  <si>
    <t>837061211:eng</t>
  </si>
  <si>
    <t>21517429</t>
  </si>
  <si>
    <t>991000950179702656</t>
  </si>
  <si>
    <t>2268336160002656</t>
  </si>
  <si>
    <t>9780721622996</t>
  </si>
  <si>
    <t>30001002194795</t>
  </si>
  <si>
    <t>893834500</t>
  </si>
  <si>
    <t>WY 152 C536 1987</t>
  </si>
  <si>
    <t>0                      WY 0152000C  536         1987</t>
  </si>
  <si>
    <t>Children with chronic conditions : nursing in a family and community context / edited by Marion H. Rose, Robin B. Thomas.</t>
  </si>
  <si>
    <t>Orlando : Grune &amp; Stratton, c1987.</t>
  </si>
  <si>
    <t>1991-11-05</t>
  </si>
  <si>
    <t>1987-10-16</t>
  </si>
  <si>
    <t>836700297:eng</t>
  </si>
  <si>
    <t>15019016</t>
  </si>
  <si>
    <t>991000766039702656</t>
  </si>
  <si>
    <t>2264219210002656</t>
  </si>
  <si>
    <t>9780808918479</t>
  </si>
  <si>
    <t>30001000057051</t>
  </si>
  <si>
    <t>893283729</t>
  </si>
  <si>
    <t>WY 152 C5576 1992</t>
  </si>
  <si>
    <t>0                      WY 0152000C  5576        1992</t>
  </si>
  <si>
    <t>The Chronic illness trajectory framework : the Corbin and Strauss nursing model / Pierre Woog, editor.</t>
  </si>
  <si>
    <t>1992-05-18</t>
  </si>
  <si>
    <t>1992-03-10</t>
  </si>
  <si>
    <t>55519341:eng</t>
  </si>
  <si>
    <t>24671433</t>
  </si>
  <si>
    <t>991000946589702656</t>
  </si>
  <si>
    <t>2261605120002656</t>
  </si>
  <si>
    <t>9780826180001</t>
  </si>
  <si>
    <t>30001002193938</t>
  </si>
  <si>
    <t>893167969</t>
  </si>
  <si>
    <t>WY 152 C934 1980</t>
  </si>
  <si>
    <t>0                      WY 0152000C  934         1980</t>
  </si>
  <si>
    <t>Criteria for departments of nursing in long-term care settings : a guide for self-appraisal / Division of Hospital and Long-Term Care Nursing Services.</t>
  </si>
  <si>
    <t>NLN pub. no. 20-1830</t>
  </si>
  <si>
    <t>3861319953:eng</t>
  </si>
  <si>
    <t>7694507</t>
  </si>
  <si>
    <t>991001385209702656</t>
  </si>
  <si>
    <t>2271846520002656</t>
  </si>
  <si>
    <t>30001000463614</t>
  </si>
  <si>
    <t>893832130</t>
  </si>
  <si>
    <t>WY 152 C934 1992</t>
  </si>
  <si>
    <t>0                      WY 0152000C  934         1992</t>
  </si>
  <si>
    <t>Critical care nursing of the elderly / Terry T. Fulmer, Mary K. Walker, editors.</t>
  </si>
  <si>
    <t>Springer series on geriatric nursing</t>
  </si>
  <si>
    <t>364471397:eng</t>
  </si>
  <si>
    <t>23584695</t>
  </si>
  <si>
    <t>991001479219702656</t>
  </si>
  <si>
    <t>2255282090002656</t>
  </si>
  <si>
    <t>9780826170507</t>
  </si>
  <si>
    <t>30001002564955</t>
  </si>
  <si>
    <t>893369421</t>
  </si>
  <si>
    <t>WY 152 D582c 1983</t>
  </si>
  <si>
    <t>0                      WY 0152000D  582c        1983</t>
  </si>
  <si>
    <t>Chronic illness across the life span / Margaret Dimond, Susan Lynn Jones.</t>
  </si>
  <si>
    <t>Dimond, Margaret.</t>
  </si>
  <si>
    <t>1991-12-20</t>
  </si>
  <si>
    <t>43005051:eng</t>
  </si>
  <si>
    <t>8590597</t>
  </si>
  <si>
    <t>991000864019702656</t>
  </si>
  <si>
    <t>2255326820002656</t>
  </si>
  <si>
    <t>9780838511220</t>
  </si>
  <si>
    <t>30001000143786</t>
  </si>
  <si>
    <t>893820677</t>
  </si>
  <si>
    <t>WY152 E13g 1999</t>
  </si>
  <si>
    <t>0                      WY 0152000E  13g         1999</t>
  </si>
  <si>
    <t>Gerontological rehabilitation nursing / Kristen L. Easton.</t>
  </si>
  <si>
    <t>Easton, Kristen L.</t>
  </si>
  <si>
    <t>2707900:eng</t>
  </si>
  <si>
    <t>39811643</t>
  </si>
  <si>
    <t>991000319019702656</t>
  </si>
  <si>
    <t>2269963880002656</t>
  </si>
  <si>
    <t>9780721663449</t>
  </si>
  <si>
    <t>30001004239762</t>
  </si>
  <si>
    <t>893537056</t>
  </si>
  <si>
    <t>WY152 E16g 2001</t>
  </si>
  <si>
    <t>0                      WY 0152000E  16g         2001</t>
  </si>
  <si>
    <t>Geriatric nursing &amp; healthy aging / Priscilla Ebersole, Patricia Hess.</t>
  </si>
  <si>
    <t>Ebersole, Priscilla.</t>
  </si>
  <si>
    <t>St. Louis ; London : Mosby, 2001.</t>
  </si>
  <si>
    <t>46889923:eng</t>
  </si>
  <si>
    <t>47027874</t>
  </si>
  <si>
    <t>991000318909702656</t>
  </si>
  <si>
    <t>2259688450002656</t>
  </si>
  <si>
    <t>9780323010627</t>
  </si>
  <si>
    <t>30001004239713</t>
  </si>
  <si>
    <t>893264116</t>
  </si>
  <si>
    <t>WY 152 E16g 2005</t>
  </si>
  <si>
    <t>0                      WY 0152000E  16g         2005</t>
  </si>
  <si>
    <t>Gerontological nursing &amp; healthy aging / Priscilla Ebersole ... [et al.].</t>
  </si>
  <si>
    <t>2010-11-05</t>
  </si>
  <si>
    <t>2010-10-26</t>
  </si>
  <si>
    <t>3805382820:eng</t>
  </si>
  <si>
    <t>57565241</t>
  </si>
  <si>
    <t>991000062159702656</t>
  </si>
  <si>
    <t>2257601160002656</t>
  </si>
  <si>
    <t>9780323031653</t>
  </si>
  <si>
    <t>30001005430907</t>
  </si>
  <si>
    <t>893638764</t>
  </si>
  <si>
    <t>WY 152 E16t 1990</t>
  </si>
  <si>
    <t>0                      WY 0152000E  16t         1990</t>
  </si>
  <si>
    <t>Toward healthy aging : human needs and nursing response / Priscilla Ebersole, Patricia Hess.</t>
  </si>
  <si>
    <t>1995-06-07</t>
  </si>
  <si>
    <t>172487:eng</t>
  </si>
  <si>
    <t>20352071</t>
  </si>
  <si>
    <t>991001452379702656</t>
  </si>
  <si>
    <t>2264507250002656</t>
  </si>
  <si>
    <t>9780801628672</t>
  </si>
  <si>
    <t>30001001883562</t>
  </si>
  <si>
    <t>893279120</t>
  </si>
  <si>
    <t>WY 152 E16t 1994</t>
  </si>
  <si>
    <t>0                      WY 0152000E  16t         1994</t>
  </si>
  <si>
    <t>1999-04-19</t>
  </si>
  <si>
    <t>1994-01-20</t>
  </si>
  <si>
    <t>29026791</t>
  </si>
  <si>
    <t>991000667789702656</t>
  </si>
  <si>
    <t>2257537760002656</t>
  </si>
  <si>
    <t>9780801668166</t>
  </si>
  <si>
    <t>30001002695221</t>
  </si>
  <si>
    <t>893267138</t>
  </si>
  <si>
    <t>WY152 E16t 1998</t>
  </si>
  <si>
    <t>0                      WY 0152000E  16t         1998</t>
  </si>
  <si>
    <t>37322831</t>
  </si>
  <si>
    <t>991001793569702656</t>
  </si>
  <si>
    <t>2269459800002656</t>
  </si>
  <si>
    <t>9780815128793</t>
  </si>
  <si>
    <t>30001003741834</t>
  </si>
  <si>
    <t>893451778</t>
  </si>
  <si>
    <t>WY 152 E42g 1997</t>
  </si>
  <si>
    <t>0                      WY 0152000E  42g         1997</t>
  </si>
  <si>
    <t>Gerontological nursing / Charlotte Eliopoulos.</t>
  </si>
  <si>
    <t>Eliopoulos, Charlotte.</t>
  </si>
  <si>
    <t>1998-10-16</t>
  </si>
  <si>
    <t>1049895:eng</t>
  </si>
  <si>
    <t>35110160</t>
  </si>
  <si>
    <t>991000839449702656</t>
  </si>
  <si>
    <t>2271782470002656</t>
  </si>
  <si>
    <t>9780397553617</t>
  </si>
  <si>
    <t>30001003443688</t>
  </si>
  <si>
    <t>893825983</t>
  </si>
  <si>
    <t>WY 152 E42ga 1987</t>
  </si>
  <si>
    <t>0                      WY 0152000E  42ga        1987</t>
  </si>
  <si>
    <t>A guide to the nursing of the aging / Charlotte Eliopoulos.</t>
  </si>
  <si>
    <t>Baltimore : Williams &amp; Wilkins, c1987.</t>
  </si>
  <si>
    <t>Clinical nursing diagnosis series</t>
  </si>
  <si>
    <t>10533890:eng</t>
  </si>
  <si>
    <t>15429514</t>
  </si>
  <si>
    <t>991001536429702656</t>
  </si>
  <si>
    <t>2260372790002656</t>
  </si>
  <si>
    <t>9780683095623</t>
  </si>
  <si>
    <t>30001000623126</t>
  </si>
  <si>
    <t>893455913</t>
  </si>
  <si>
    <t>WY 152 E42n 1983</t>
  </si>
  <si>
    <t>0                      WY 0152000E  42n         1983</t>
  </si>
  <si>
    <t>Nursing administration of long-term care / Charlotte Eliopoulos.</t>
  </si>
  <si>
    <t>1992-07-17</t>
  </si>
  <si>
    <t>43045446:eng</t>
  </si>
  <si>
    <t>9557977</t>
  </si>
  <si>
    <t>991000864069702656</t>
  </si>
  <si>
    <t>2267556450002656</t>
  </si>
  <si>
    <t>9780894438783</t>
  </si>
  <si>
    <t>30001000143794</t>
  </si>
  <si>
    <t>893743549</t>
  </si>
  <si>
    <t>WY 152 F183a 1976</t>
  </si>
  <si>
    <t>0                      WY 0152000F  183a        1976</t>
  </si>
  <si>
    <t>Aging patients : a guide for their care / Mary W. Falconer, Michael V. Altamura, Helen Duncan Behnke.</t>
  </si>
  <si>
    <t>Falconer, Mary W.</t>
  </si>
  <si>
    <t>New York : Springer Pub. Co., c1976.</t>
  </si>
  <si>
    <t>1995-11-05</t>
  </si>
  <si>
    <t>493023:eng</t>
  </si>
  <si>
    <t>2372880</t>
  </si>
  <si>
    <t>991000864139702656</t>
  </si>
  <si>
    <t>2255241950002656</t>
  </si>
  <si>
    <t>9780826119704</t>
  </si>
  <si>
    <t>30001000143802</t>
  </si>
  <si>
    <t>893363408</t>
  </si>
  <si>
    <t>WY 152 G3697 1991</t>
  </si>
  <si>
    <t>0                      WY 0152000G  3697        1991</t>
  </si>
  <si>
    <t>Geriatric nursing care plans / edited by Frances F. Rogers-Seidl.</t>
  </si>
  <si>
    <t>1995-11-27</t>
  </si>
  <si>
    <t>3856654370:eng</t>
  </si>
  <si>
    <t>23016645</t>
  </si>
  <si>
    <t>991001014839702656</t>
  </si>
  <si>
    <t>2264644770002656</t>
  </si>
  <si>
    <t>9780801652103</t>
  </si>
  <si>
    <t>30001002240507</t>
  </si>
  <si>
    <t>893546305</t>
  </si>
  <si>
    <t>WY152 G37705 2006</t>
  </si>
  <si>
    <t>0                      WY 0152000G  37705       2006</t>
  </si>
  <si>
    <t>Gerontologic nursing / [edited by] Sue E. Meiner, Annette G. Lueckenotte.</t>
  </si>
  <si>
    <t>St. Louis : Mosby/Elsevier, c2006.</t>
  </si>
  <si>
    <t>2006-03-23</t>
  </si>
  <si>
    <t>17273464:eng</t>
  </si>
  <si>
    <t>63176590</t>
  </si>
  <si>
    <t>991001737829702656</t>
  </si>
  <si>
    <t>2269135690002656</t>
  </si>
  <si>
    <t>9780323031462</t>
  </si>
  <si>
    <t>30001005126422</t>
  </si>
  <si>
    <t>893268724</t>
  </si>
  <si>
    <t>WY 152 G3773 1997</t>
  </si>
  <si>
    <t>0                      WY 0152000G  3773        1997</t>
  </si>
  <si>
    <t>Gerontologic nursing : wholistic care of the older adult / [edited by] Mary M. Burke, Mary B. Walsh.</t>
  </si>
  <si>
    <t>3857462448:eng</t>
  </si>
  <si>
    <t>35249533</t>
  </si>
  <si>
    <t>991000839139702656</t>
  </si>
  <si>
    <t>2256783820002656</t>
  </si>
  <si>
    <t>9780815113317</t>
  </si>
  <si>
    <t>30001003443613</t>
  </si>
  <si>
    <t>893450509</t>
  </si>
  <si>
    <t>WY 152 G3775 1982</t>
  </si>
  <si>
    <t>0                      WY 0152000G  3775        1982</t>
  </si>
  <si>
    <t>Gerontology and geriatric nursing / Sir W. Ferguson Anderson ... [et al.].</t>
  </si>
  <si>
    <t>London : Hodder and Stoughton, c1982.</t>
  </si>
  <si>
    <t>Modern nursing series</t>
  </si>
  <si>
    <t>1989-07-08</t>
  </si>
  <si>
    <t>317912546:eng</t>
  </si>
  <si>
    <t>8764896</t>
  </si>
  <si>
    <t>991000864239702656</t>
  </si>
  <si>
    <t>2265284830002656</t>
  </si>
  <si>
    <t>9780340262528</t>
  </si>
  <si>
    <t>30001000143844</t>
  </si>
  <si>
    <t>893460056</t>
  </si>
  <si>
    <t>WY 152 G37778 1990</t>
  </si>
  <si>
    <t>0                      WY 0152000G  37778       1990</t>
  </si>
  <si>
    <t>Geropsychiatric nursing / edited by Mildred O. Hogstel.</t>
  </si>
  <si>
    <t>1992-10-10</t>
  </si>
  <si>
    <t>55207491:eng</t>
  </si>
  <si>
    <t>19669362</t>
  </si>
  <si>
    <t>991001450739702656</t>
  </si>
  <si>
    <t>2261825660002656</t>
  </si>
  <si>
    <t>9780801633317</t>
  </si>
  <si>
    <t>30001001882861</t>
  </si>
  <si>
    <t>893834681</t>
  </si>
  <si>
    <t>WY 152 G495n 1985</t>
  </si>
  <si>
    <t>0                      WY 0152000G  495n        1985</t>
  </si>
  <si>
    <t>Nursing care of the aging client : promoting healthy adaptation / Evelynn Clark Gioiella, Catherine Waechter Bevil ; contributors, Anne J. Doyle, Elizabeth A. Pennington.</t>
  </si>
  <si>
    <t>Gioiella, Evelynn Clark.</t>
  </si>
  <si>
    <t>1995-12-03</t>
  </si>
  <si>
    <t>3757534:eng</t>
  </si>
  <si>
    <t>10948836</t>
  </si>
  <si>
    <t>991000734749702656</t>
  </si>
  <si>
    <t>2255748950002656</t>
  </si>
  <si>
    <t>9780838570142</t>
  </si>
  <si>
    <t>30001000041121</t>
  </si>
  <si>
    <t>893373547</t>
  </si>
  <si>
    <t>WY 152 G646a 1980</t>
  </si>
  <si>
    <t>0                      WY 0152000G  646a        1980</t>
  </si>
  <si>
    <t>Analysis for action : nursing care of the elderly / Shirley R. Good, Susan S. Rodgers.</t>
  </si>
  <si>
    <t>Good, Shirley Ruth, 1930-</t>
  </si>
  <si>
    <t>Englewood Cliffs, N.J. : Prentice-Hall, c1980.</t>
  </si>
  <si>
    <t>425821903:eng</t>
  </si>
  <si>
    <t>5411191</t>
  </si>
  <si>
    <t>991000176489702656</t>
  </si>
  <si>
    <t>2256376970002656</t>
  </si>
  <si>
    <t>9780130326232</t>
  </si>
  <si>
    <t>30001000143877</t>
  </si>
  <si>
    <t>893135975</t>
  </si>
  <si>
    <t>WY 152 G832a 1984</t>
  </si>
  <si>
    <t>0                      WY 0152000G  832a        1984</t>
  </si>
  <si>
    <t>The aging person : a holistic perspective / Lucille D. Gress, Rose Therese Bahr.</t>
  </si>
  <si>
    <t>Gress, Lucille D.</t>
  </si>
  <si>
    <t>lst ed.</t>
  </si>
  <si>
    <t>1990-07-22</t>
  </si>
  <si>
    <t>19898773:eng</t>
  </si>
  <si>
    <t>9489046</t>
  </si>
  <si>
    <t>991000864289702656</t>
  </si>
  <si>
    <t>2264662960002656</t>
  </si>
  <si>
    <t>9780801620324</t>
  </si>
  <si>
    <t>30001000143885</t>
  </si>
  <si>
    <t>893467690</t>
  </si>
  <si>
    <t>WY 152 G946 1968</t>
  </si>
  <si>
    <t>0                      WY 0152000G  946         1968</t>
  </si>
  <si>
    <t>Guide for assessing nursing services in long term care facilities.</t>
  </si>
  <si>
    <t>New York : National League for Nursing, c1968.</t>
  </si>
  <si>
    <t>NLN pub. no. 20-1341</t>
  </si>
  <si>
    <t>2351166:eng</t>
  </si>
  <si>
    <t>1471687</t>
  </si>
  <si>
    <t>991001384149702656</t>
  </si>
  <si>
    <t>2255479900002656</t>
  </si>
  <si>
    <t>30001000463366</t>
  </si>
  <si>
    <t>893465446</t>
  </si>
  <si>
    <t>WY 152 H434 1984</t>
  </si>
  <si>
    <t>0                      WY 0152000H  434         1984</t>
  </si>
  <si>
    <t>Health assessment of the older adult / editor, Charlotte Eliopoulos.</t>
  </si>
  <si>
    <t>1989-12-22</t>
  </si>
  <si>
    <t>22210274:eng</t>
  </si>
  <si>
    <t>9945016</t>
  </si>
  <si>
    <t>991001531499702656</t>
  </si>
  <si>
    <t>2264820020002656</t>
  </si>
  <si>
    <t>9780201033458</t>
  </si>
  <si>
    <t>30001000621591</t>
  </si>
  <si>
    <t>893460686</t>
  </si>
  <si>
    <t>WY 152 H451n 1982</t>
  </si>
  <si>
    <t>0                      WY 0152000H  451n        1982</t>
  </si>
  <si>
    <t>Nursing care for the dying patient and the family / Winifred Hector and Sarah Whitfield.</t>
  </si>
  <si>
    <t>Hector, Winifred.</t>
  </si>
  <si>
    <t>London : Heinemann Medical Books, c1982.</t>
  </si>
  <si>
    <t>1994-09-08</t>
  </si>
  <si>
    <t>43313741:eng</t>
  </si>
  <si>
    <t>9017285</t>
  </si>
  <si>
    <t>991000864329702656</t>
  </si>
  <si>
    <t>2258027680002656</t>
  </si>
  <si>
    <t>9780433142195</t>
  </si>
  <si>
    <t>30001000143893</t>
  </si>
  <si>
    <t>893357896</t>
  </si>
  <si>
    <t>WY 152 H464a 1998</t>
  </si>
  <si>
    <t>0                      WY 0152000H  464a        1998</t>
  </si>
  <si>
    <t>Assisting in long-term care / Barbara R. Hegner, Esther Caldwell ; contributing author, Joan F. Needham.</t>
  </si>
  <si>
    <t>Hegner, Barbara R.</t>
  </si>
  <si>
    <t>Albany [N.Y.] : Delmar Publishers, c1998.</t>
  </si>
  <si>
    <t>1999-06-15</t>
  </si>
  <si>
    <t>1997-11-14</t>
  </si>
  <si>
    <t>11829283:eng</t>
  </si>
  <si>
    <t>36225478</t>
  </si>
  <si>
    <t>991001140519702656</t>
  </si>
  <si>
    <t>2272467980002656</t>
  </si>
  <si>
    <t>9780827382596</t>
  </si>
  <si>
    <t>30001003629708</t>
  </si>
  <si>
    <t>893161706</t>
  </si>
  <si>
    <t>WY 152 H586u 1977</t>
  </si>
  <si>
    <t>0                      WY 0152000H  586u        1977</t>
  </si>
  <si>
    <t>Understanding the aging patient / Patricia A. Hess ; with Candra Day.</t>
  </si>
  <si>
    <t>Hess, Patricia A., 1938-</t>
  </si>
  <si>
    <t>-- Bowie, Md. : Brady, c1977.</t>
  </si>
  <si>
    <t>6232514:eng</t>
  </si>
  <si>
    <t>2818625</t>
  </si>
  <si>
    <t>991000864419702656</t>
  </si>
  <si>
    <t>2267766730002656</t>
  </si>
  <si>
    <t>9780876187333</t>
  </si>
  <si>
    <t>30001000143919</t>
  </si>
  <si>
    <t>893460057</t>
  </si>
  <si>
    <t>WY 152 H765 1985</t>
  </si>
  <si>
    <t>0                      WY 0152000H  765         1985</t>
  </si>
  <si>
    <t>Home nursing care for the elderly / editor, Mildred O. Hogstel.</t>
  </si>
  <si>
    <t>Bowie, MD : Brady Communications Co., c1985.</t>
  </si>
  <si>
    <t>3975898:eng</t>
  </si>
  <si>
    <t>11469620</t>
  </si>
  <si>
    <t>991000864439702656</t>
  </si>
  <si>
    <t>2272551570002656</t>
  </si>
  <si>
    <t>9780893034986</t>
  </si>
  <si>
    <t>30001000143927</t>
  </si>
  <si>
    <t>893450565</t>
  </si>
  <si>
    <t>WY 152 H784c 1981</t>
  </si>
  <si>
    <t>0                      WY 0152000H  784c        1981</t>
  </si>
  <si>
    <t>Caring for elderly people : understanding and practical help / Susan Hooker.</t>
  </si>
  <si>
    <t>Hooker, Susan.</t>
  </si>
  <si>
    <t>London ; Boston : Routledge &amp; Kegan Paul, c1981.</t>
  </si>
  <si>
    <t>5939776:eng</t>
  </si>
  <si>
    <t>7553814</t>
  </si>
  <si>
    <t>991000864479702656</t>
  </si>
  <si>
    <t>2258935270002656</t>
  </si>
  <si>
    <t>9780710008909</t>
  </si>
  <si>
    <t>30001000143935</t>
  </si>
  <si>
    <t>893460058</t>
  </si>
  <si>
    <t>WY 152 J68n 1990</t>
  </si>
  <si>
    <t>0                      WY 0152000J  68n         1990</t>
  </si>
  <si>
    <t>Nursing and gerontology : status report / Mary Ann Johnson, J. Richard Connelly.</t>
  </si>
  <si>
    <t>Johnson, Mary Ann.</t>
  </si>
  <si>
    <t>Washington, DC (600 Maryland Ave., SW, West Wing 204, Washington 20024) : Association for Gerontology in Higher Education, 1990.</t>
  </si>
  <si>
    <t>1992-05-29</t>
  </si>
  <si>
    <t>3769071372:eng</t>
  </si>
  <si>
    <t>23378647</t>
  </si>
  <si>
    <t>991001305059702656</t>
  </si>
  <si>
    <t>2271119210002656</t>
  </si>
  <si>
    <t>30001002413468</t>
  </si>
  <si>
    <t>893268331</t>
  </si>
  <si>
    <t>WY 152 K32t 1999</t>
  </si>
  <si>
    <t>0                      WY 0152000K  32t         1999</t>
  </si>
  <si>
    <t>Terminal illness : a guide to nursing care / Charles Kemp.</t>
  </si>
  <si>
    <t>Kemp, Charles, 1944-</t>
  </si>
  <si>
    <t>6868401:eng</t>
  </si>
  <si>
    <t>40331081</t>
  </si>
  <si>
    <t>991000789649702656</t>
  </si>
  <si>
    <t>2256415390002656</t>
  </si>
  <si>
    <t>9780781717724</t>
  </si>
  <si>
    <t>30001004075083</t>
  </si>
  <si>
    <t>893167712</t>
  </si>
  <si>
    <t>WY 152 K44 1992</t>
  </si>
  <si>
    <t>0                      WY 0152000K  44          1992</t>
  </si>
  <si>
    <t>Key aspects of elder care : managing falls, incontinence, and cognitive impairment / Sandra G. Funk ... [et al.], editors.</t>
  </si>
  <si>
    <t>967926:eng</t>
  </si>
  <si>
    <t>25369189</t>
  </si>
  <si>
    <t>991001478969702656</t>
  </si>
  <si>
    <t>2258868180002656</t>
  </si>
  <si>
    <t>9780826177209</t>
  </si>
  <si>
    <t>30001002564831</t>
  </si>
  <si>
    <t>893552543</t>
  </si>
  <si>
    <t>WY 152 L622n 1989</t>
  </si>
  <si>
    <t>0                      WY 0152000L  622n        1989</t>
  </si>
  <si>
    <t>Nursing quality assurance in long-term care / Joan LeSage, Diana Young Barhyte.</t>
  </si>
  <si>
    <t>LeSage, Joan.</t>
  </si>
  <si>
    <t>1995-01-13</t>
  </si>
  <si>
    <t>1990-09-18</t>
  </si>
  <si>
    <t>21405847:eng</t>
  </si>
  <si>
    <t>19517302</t>
  </si>
  <si>
    <t>991000884109702656</t>
  </si>
  <si>
    <t>2256254780002656</t>
  </si>
  <si>
    <t>9780834200661</t>
  </si>
  <si>
    <t>30001001489733</t>
  </si>
  <si>
    <t>893167800</t>
  </si>
  <si>
    <t>WY 152 L948g 2000</t>
  </si>
  <si>
    <t>0                      WY 0152000L  948g        2000</t>
  </si>
  <si>
    <t>Gerontologic nursing / [edited by] Annette G. Lueckenotte.</t>
  </si>
  <si>
    <t>43676426</t>
  </si>
  <si>
    <t>991000276549702656</t>
  </si>
  <si>
    <t>2263024160002656</t>
  </si>
  <si>
    <t>9780323007573</t>
  </si>
  <si>
    <t>30001003884345</t>
  </si>
  <si>
    <t>893136034</t>
  </si>
  <si>
    <t>WY 152 M266 1983</t>
  </si>
  <si>
    <t>0                      WY 0152000M  266         1983</t>
  </si>
  <si>
    <t>Management of personnel in long-term care / editor, Mildred O. Hogstel.</t>
  </si>
  <si>
    <t>Bowie, Md. : Brady, c1983.</t>
  </si>
  <si>
    <t>1990-10-08</t>
  </si>
  <si>
    <t>549820:eng</t>
  </si>
  <si>
    <t>8907655</t>
  </si>
  <si>
    <t>991000864659702656</t>
  </si>
  <si>
    <t>2262740930002656</t>
  </si>
  <si>
    <t>9780893032319</t>
  </si>
  <si>
    <t>30001000143992</t>
  </si>
  <si>
    <t>893820678</t>
  </si>
  <si>
    <t>WY 152 M435g 1988</t>
  </si>
  <si>
    <t>0                      WY 0152000M  435g        1988</t>
  </si>
  <si>
    <t>Gerontological nursing : concepts and practice / Mary Ann Matteson, Eleanor S. McConnell.</t>
  </si>
  <si>
    <t>Matteson, Mary Ann.</t>
  </si>
  <si>
    <t>Philadelphia : Saunders, c1988.</t>
  </si>
  <si>
    <t>1996-08-31</t>
  </si>
  <si>
    <t>836666360:eng</t>
  </si>
  <si>
    <t>16224417</t>
  </si>
  <si>
    <t>991001416989702656</t>
  </si>
  <si>
    <t>2267625370002656</t>
  </si>
  <si>
    <t>9780721661834</t>
  </si>
  <si>
    <t>30001001181074</t>
  </si>
  <si>
    <t>893649173</t>
  </si>
  <si>
    <t>WY 152 M563n 1990</t>
  </si>
  <si>
    <t>0                      WY 0152000M  563n        1990</t>
  </si>
  <si>
    <t>Nursing care of older adults : theory and practice / Carol A. Miller.</t>
  </si>
  <si>
    <t>Miller, Carol A.</t>
  </si>
  <si>
    <t>1993-04-25</t>
  </si>
  <si>
    <t>22819049:eng</t>
  </si>
  <si>
    <t>20798629</t>
  </si>
  <si>
    <t>991000820939702656</t>
  </si>
  <si>
    <t>2266229420002656</t>
  </si>
  <si>
    <t>9780673397959</t>
  </si>
  <si>
    <t>30001002087510</t>
  </si>
  <si>
    <t>893167731</t>
  </si>
  <si>
    <t>WY 152 M617h 1980</t>
  </si>
  <si>
    <t>0                      WY 0152000M  617h        1980</t>
  </si>
  <si>
    <t>Health assessment of the older individual / Mathy Doval Mezey, Louise Hartnett Rauckhorst, Shirlee Ann Stokes.</t>
  </si>
  <si>
    <t>Mezey, Mathy Doval.</t>
  </si>
  <si>
    <t>2000-08-29</t>
  </si>
  <si>
    <t>966923:eng</t>
  </si>
  <si>
    <t>5726296</t>
  </si>
  <si>
    <t>991000734339702656</t>
  </si>
  <si>
    <t>2260503360002656</t>
  </si>
  <si>
    <t>9780826129000</t>
  </si>
  <si>
    <t>30001000041105</t>
  </si>
  <si>
    <t>893450168</t>
  </si>
  <si>
    <t>WY 152 M647n 2004</t>
  </si>
  <si>
    <t>0                      WY 0152000M  647n        2004</t>
  </si>
  <si>
    <t>Nursing for wellness in older adults : theory and practice / Carol A. Miller.</t>
  </si>
  <si>
    <t>11088198:eng</t>
  </si>
  <si>
    <t>52638798</t>
  </si>
  <si>
    <t>991000384279702656</t>
  </si>
  <si>
    <t>2267531700002656</t>
  </si>
  <si>
    <t>9780781738088</t>
  </si>
  <si>
    <t>30001004840775</t>
  </si>
  <si>
    <t>893547784</t>
  </si>
  <si>
    <t>WY 152 M648c 1983</t>
  </si>
  <si>
    <t>0                      WY 0152000M  648c        1983</t>
  </si>
  <si>
    <t>Coping with chronic illness : overcoming powerlessness / Judith Fitzgerald Miller.</t>
  </si>
  <si>
    <t>Miller, Judith Fitzgerald.</t>
  </si>
  <si>
    <t>Philadelphia : Davis, c1983.</t>
  </si>
  <si>
    <t>11342898:eng</t>
  </si>
  <si>
    <t>8285407</t>
  </si>
  <si>
    <t>991000864739702656</t>
  </si>
  <si>
    <t>2265275990002656</t>
  </si>
  <si>
    <t>9780803661912</t>
  </si>
  <si>
    <t>30001000144016</t>
  </si>
  <si>
    <t>893820679</t>
  </si>
  <si>
    <t>WY 152 M689 1986</t>
  </si>
  <si>
    <t>0                      WY 0152000M  689         1986</t>
  </si>
  <si>
    <t>Models for long-term care / National League for Nursing.</t>
  </si>
  <si>
    <t>New York : The League, c1987.</t>
  </si>
  <si>
    <t>NLN pub. no. 20-2188</t>
  </si>
  <si>
    <t>423070712:eng</t>
  </si>
  <si>
    <t>18686319</t>
  </si>
  <si>
    <t>991001269579702656</t>
  </si>
  <si>
    <t>2267921110002656</t>
  </si>
  <si>
    <t>9780887373718</t>
  </si>
  <si>
    <t>30001000354474</t>
  </si>
  <si>
    <t>893541173</t>
  </si>
  <si>
    <t>WY 152 M87 1980</t>
  </si>
  <si>
    <t>0                      WY 0152000M  87          1980</t>
  </si>
  <si>
    <t>The nursing process in later maturity / Ruth Beckmann Murray, M. Marilyn Wilson Huelskoetter, Dorothy Lueckerath O'Driscoll.</t>
  </si>
  <si>
    <t>Murray, Ruth, 1922-</t>
  </si>
  <si>
    <t>1991-02-21</t>
  </si>
  <si>
    <t>15263102:eng</t>
  </si>
  <si>
    <t>5101184</t>
  </si>
  <si>
    <t>991000734669702656</t>
  </si>
  <si>
    <t>2259304720002656</t>
  </si>
  <si>
    <t>9780136275701</t>
  </si>
  <si>
    <t>30001000041113</t>
  </si>
  <si>
    <t>893267262</t>
  </si>
  <si>
    <t>WY 152 N552g 1991</t>
  </si>
  <si>
    <t>0                      WY 0152000N  552g        1991</t>
  </si>
  <si>
    <t>Geriatric care plans / Diane Kaschak Newman, Diane A. Smith.</t>
  </si>
  <si>
    <t>Newman, Diane Kaschak.</t>
  </si>
  <si>
    <t>Springhouse, Pa. : Springhouse Corp., c1991.</t>
  </si>
  <si>
    <t>10490716441:eng</t>
  </si>
  <si>
    <t>21560491</t>
  </si>
  <si>
    <t>991000781149702656</t>
  </si>
  <si>
    <t>2262955490002656</t>
  </si>
  <si>
    <t>9780874342635</t>
  </si>
  <si>
    <t>30001002064626</t>
  </si>
  <si>
    <t>893363064</t>
  </si>
  <si>
    <t>WY 152 N974 1981</t>
  </si>
  <si>
    <t>0                      WY 0152000N  974         1981</t>
  </si>
  <si>
    <t>Nursing care of the older adult : in the hospital, nursing home, and community / edited by Mildred O. Hogstel.</t>
  </si>
  <si>
    <t>New York : Wiley Medical, 1981.</t>
  </si>
  <si>
    <t>3856276990:eng</t>
  </si>
  <si>
    <t>6789703</t>
  </si>
  <si>
    <t>991000734249702656</t>
  </si>
  <si>
    <t>2263798710002656</t>
  </si>
  <si>
    <t>9780471060222</t>
  </si>
  <si>
    <t>30001000041097</t>
  </si>
  <si>
    <t>893731009</t>
  </si>
  <si>
    <t>WY 152 N974 1991</t>
  </si>
  <si>
    <t>0                      WY 0152000N  974         1991</t>
  </si>
  <si>
    <t>Nursing diagnoses and interventions for the elderly / [editors] Meridean Maas, Kathleen C. Buckwalter, Mary Hardy.</t>
  </si>
  <si>
    <t>1996-10-15</t>
  </si>
  <si>
    <t>24410349:eng</t>
  </si>
  <si>
    <t>22382975</t>
  </si>
  <si>
    <t>991000819489702656</t>
  </si>
  <si>
    <t>2272026390002656</t>
  </si>
  <si>
    <t>9780201126792</t>
  </si>
  <si>
    <t>30001002087288</t>
  </si>
  <si>
    <t>893363203</t>
  </si>
  <si>
    <t>WY 152 N9742 1988</t>
  </si>
  <si>
    <t>0                      WY 0152000N  9742        1988</t>
  </si>
  <si>
    <t>Nursing and the aged : a self-care approach / [edited by] Irene M. Burnside.</t>
  </si>
  <si>
    <t>New York : McGraw-Hill, c1988.</t>
  </si>
  <si>
    <t>54054278:eng</t>
  </si>
  <si>
    <t>16900799</t>
  </si>
  <si>
    <t>991001346789702656</t>
  </si>
  <si>
    <t>2269837910002656</t>
  </si>
  <si>
    <t>9780070092143</t>
  </si>
  <si>
    <t>30001002457481</t>
  </si>
  <si>
    <t>893826669</t>
  </si>
  <si>
    <t>WY 152 N97435 1990</t>
  </si>
  <si>
    <t>0                      WY 0152000N  97435       1990</t>
  </si>
  <si>
    <t>Nursing care in an aging society / Donna M. Corr, Charles A. Corr, editors.</t>
  </si>
  <si>
    <t>New York : Springer Pub. Co., c1990.</t>
  </si>
  <si>
    <t>433788475:eng</t>
  </si>
  <si>
    <t>21195977</t>
  </si>
  <si>
    <t>991001449339702656</t>
  </si>
  <si>
    <t>2270856320002656</t>
  </si>
  <si>
    <t>9780826166302</t>
  </si>
  <si>
    <t>30001001882333</t>
  </si>
  <si>
    <t>893358620</t>
  </si>
  <si>
    <t>WY 152 N9744 1989</t>
  </si>
  <si>
    <t>0                      WY 0152000N  9744        1989</t>
  </si>
  <si>
    <t>Nursing care of the aged / edited by Karen Kay Esberger, Samuel T. Hughes, Jr.</t>
  </si>
  <si>
    <t>9403452:eng</t>
  </si>
  <si>
    <t>18106431</t>
  </si>
  <si>
    <t>991001252829702656</t>
  </si>
  <si>
    <t>2265146880002656</t>
  </si>
  <si>
    <t>9780838570104</t>
  </si>
  <si>
    <t>30001001679390</t>
  </si>
  <si>
    <t>893268246</t>
  </si>
  <si>
    <t>WY 152 N9745 1988</t>
  </si>
  <si>
    <t>0                      WY 0152000N  9745        1988</t>
  </si>
  <si>
    <t>1995-10-15</t>
  </si>
  <si>
    <t>18909482</t>
  </si>
  <si>
    <t>991001345489702656</t>
  </si>
  <si>
    <t>2256435810002656</t>
  </si>
  <si>
    <t>9780471631491</t>
  </si>
  <si>
    <t>30001002457085</t>
  </si>
  <si>
    <t>893643509</t>
  </si>
  <si>
    <t>WY 152 N974603 1986</t>
  </si>
  <si>
    <t>0                      WY 0152000N  974603      1986</t>
  </si>
  <si>
    <t>Nursing elderly people / [edited by] Sally J. Redfern ; foreword by Dorothy E. Baker.</t>
  </si>
  <si>
    <t>Edinburgh ; New York : Churchill Livingstone, c1986.</t>
  </si>
  <si>
    <t>1991-02-07</t>
  </si>
  <si>
    <t>54724811:eng</t>
  </si>
  <si>
    <t>12286600</t>
  </si>
  <si>
    <t>991000864869702656</t>
  </si>
  <si>
    <t>2256928390002656</t>
  </si>
  <si>
    <t>9780443030840</t>
  </si>
  <si>
    <t>30001000144073</t>
  </si>
  <si>
    <t>893826120</t>
  </si>
  <si>
    <t>WY 152 N974608 1987</t>
  </si>
  <si>
    <t>0                      WY 0152000N  974608      1987</t>
  </si>
  <si>
    <t>Nursing homes and nursing care : lessons from the teaching nursing homes / Mathy D. Mezey, Joan E. Lynaugh, Mary M. Cartier, editors.</t>
  </si>
  <si>
    <t>1992-03-02</t>
  </si>
  <si>
    <t>431169431:eng</t>
  </si>
  <si>
    <t>18560159</t>
  </si>
  <si>
    <t>991001249379702656</t>
  </si>
  <si>
    <t>2270845470002656</t>
  </si>
  <si>
    <t>9780826162106</t>
  </si>
  <si>
    <t>30001001678533</t>
  </si>
  <si>
    <t>893816237</t>
  </si>
  <si>
    <t>WY 152 N9748 1989</t>
  </si>
  <si>
    <t>0                      WY 0152000N  9748        1989</t>
  </si>
  <si>
    <t>Nursing the elderly : a care plan approach / edited by Virginia Burggraf, Mickey Stanley ; with 10 contributors ; medical illustrator, Nancy Meadow ; nurse consultant, Mildred Hogstel ; pharmacist consultant, Carlos Tam.</t>
  </si>
  <si>
    <t>1995-03-16</t>
  </si>
  <si>
    <t>1989-02-17</t>
  </si>
  <si>
    <t>836754199:eng</t>
  </si>
  <si>
    <t>17353647</t>
  </si>
  <si>
    <t>991001121869702656</t>
  </si>
  <si>
    <t>2265430870002656</t>
  </si>
  <si>
    <t>9780397546701</t>
  </si>
  <si>
    <t>30001001614652</t>
  </si>
  <si>
    <t>893284424</t>
  </si>
  <si>
    <t>WY 152 N976 1981</t>
  </si>
  <si>
    <t>0                      WY 0152000N  976         1981</t>
  </si>
  <si>
    <t>Nursing and the aged / Irene Mortenson Burnside.</t>
  </si>
  <si>
    <t>1989-05-05</t>
  </si>
  <si>
    <t>6042961</t>
  </si>
  <si>
    <t>991000734309702656</t>
  </si>
  <si>
    <t>2259463350002656</t>
  </si>
  <si>
    <t>9780070092112</t>
  </si>
  <si>
    <t>30001000041089</t>
  </si>
  <si>
    <t>893740023</t>
  </si>
  <si>
    <t>WY 152 N979 1986</t>
  </si>
  <si>
    <t>0                      WY 0152000N  979         1986</t>
  </si>
  <si>
    <t>Nursing management for the elderly / edited by Doris L. Carnevali, Maxine Patrick ; with 25 contributors.</t>
  </si>
  <si>
    <t>1994-07-20</t>
  </si>
  <si>
    <t>355361631:eng</t>
  </si>
  <si>
    <t>13216176</t>
  </si>
  <si>
    <t>991000734219702656</t>
  </si>
  <si>
    <t>2255307760002656</t>
  </si>
  <si>
    <t>9780397545261</t>
  </si>
  <si>
    <t>30001000041071</t>
  </si>
  <si>
    <t>893373546</t>
  </si>
  <si>
    <t>WY152 O52h 2001</t>
  </si>
  <si>
    <t>0                      WY 0152000O  52h         2001</t>
  </si>
  <si>
    <t>Healing the dying / Melodie Olson.</t>
  </si>
  <si>
    <t>Olson, Melodie.</t>
  </si>
  <si>
    <t>Albany, NY : Delmar, 2001.</t>
  </si>
  <si>
    <t>948973:eng</t>
  </si>
  <si>
    <t>48494935</t>
  </si>
  <si>
    <t>991000302439702656</t>
  </si>
  <si>
    <t>2254791460002656</t>
  </si>
  <si>
    <t>9780766825727</t>
  </si>
  <si>
    <t>30001004236297</t>
  </si>
  <si>
    <t>893264102</t>
  </si>
  <si>
    <t>WY 152 O96 1984</t>
  </si>
  <si>
    <t>0                      WY 0152000O  96          1984</t>
  </si>
  <si>
    <t>Overcoming the bias of ageism in long-term care.</t>
  </si>
  <si>
    <t>NLN pub. no. 20-1975</t>
  </si>
  <si>
    <t>2009-04-23</t>
  </si>
  <si>
    <t>422953765:eng</t>
  </si>
  <si>
    <t>12692314</t>
  </si>
  <si>
    <t>991001385769702656</t>
  </si>
  <si>
    <t>2259012870002656</t>
  </si>
  <si>
    <t>9780887371509</t>
  </si>
  <si>
    <t>30001000463705</t>
  </si>
  <si>
    <t>893741082</t>
  </si>
  <si>
    <t>WY 152 P558n 1956</t>
  </si>
  <si>
    <t>0                      WY 0152000P  558n        1956</t>
  </si>
  <si>
    <t>Nursing aspects in rehabilitation and care of chronically ill / by Elisabeth C. Phillips.</t>
  </si>
  <si>
    <t>Phillips, Elisabeth C.</t>
  </si>
  <si>
    <t>New York : National League for Nursing, Dept. of Public Health Nursing, 1956.</t>
  </si>
  <si>
    <t>1956</t>
  </si>
  <si>
    <t>League exchange ; no. 12</t>
  </si>
  <si>
    <t>2229459:eng</t>
  </si>
  <si>
    <t>1291957</t>
  </si>
  <si>
    <t>991001518159702656</t>
  </si>
  <si>
    <t>2254748090002656</t>
  </si>
  <si>
    <t>30001000600363</t>
  </si>
  <si>
    <t>893268572</t>
  </si>
  <si>
    <t>WY 152 Q1 1992</t>
  </si>
  <si>
    <t>0                      WY 0152000Q  1           1992</t>
  </si>
  <si>
    <t>Quality imperatives in long-term care : the elusive agenda / Ethel L. Mitty, editor.</t>
  </si>
  <si>
    <t>New York : National League for Nursing Press, c1992.</t>
  </si>
  <si>
    <t>NLN pub. no. 41-2440.</t>
  </si>
  <si>
    <t>905107678:eng</t>
  </si>
  <si>
    <t>25660900</t>
  </si>
  <si>
    <t>991000233759702656</t>
  </si>
  <si>
    <t>2269090870002656</t>
  </si>
  <si>
    <t>9780887375361</t>
  </si>
  <si>
    <t>30001002375931</t>
  </si>
  <si>
    <t>893536908</t>
  </si>
  <si>
    <t>WY 152 R434 1994</t>
  </si>
  <si>
    <t>0                      WY 0152000R  434         1994</t>
  </si>
  <si>
    <t>Resources for teaching gerontology / Verle Waters, editor.</t>
  </si>
  <si>
    <t>National League for Nursing publication ; no. 14-2608</t>
  </si>
  <si>
    <t>14475765:eng</t>
  </si>
  <si>
    <t>29960865</t>
  </si>
  <si>
    <t>991000246829702656</t>
  </si>
  <si>
    <t>2268321840002656</t>
  </si>
  <si>
    <t>9780887376054</t>
  </si>
  <si>
    <t>30001002966010</t>
  </si>
  <si>
    <t>893558740</t>
  </si>
  <si>
    <t>WY 152 S381h 1980</t>
  </si>
  <si>
    <t>0                      WY 0152000S  381h        1980</t>
  </si>
  <si>
    <t>Holistic assessment of the healthy aged / Miriam Martin Schrock.</t>
  </si>
  <si>
    <t>Schrock, Miriam Martin.</t>
  </si>
  <si>
    <t>1989-04-30</t>
  </si>
  <si>
    <t>180552570:eng</t>
  </si>
  <si>
    <t>5992416</t>
  </si>
  <si>
    <t>991000734099702656</t>
  </si>
  <si>
    <t>2268470980002656</t>
  </si>
  <si>
    <t>9780471055976</t>
  </si>
  <si>
    <t>30001000041063</t>
  </si>
  <si>
    <t>893459766</t>
  </si>
  <si>
    <t>WY 152 T113g 2006</t>
  </si>
  <si>
    <t>0                      WY 0152000T  113g        2006</t>
  </si>
  <si>
    <t>Gerontological nursing / Patricia A. Tabloski.</t>
  </si>
  <si>
    <t>Tabloski, Patricia A.</t>
  </si>
  <si>
    <t>Upper Saddle River, N.J. : Pearson Prentice Hall, c2006.</t>
  </si>
  <si>
    <t>46268611:eng</t>
  </si>
  <si>
    <t>60414604</t>
  </si>
  <si>
    <t>991001744279702656</t>
  </si>
  <si>
    <t>2258403020002656</t>
  </si>
  <si>
    <t>9780130941558</t>
  </si>
  <si>
    <t>30001005120599</t>
  </si>
  <si>
    <t>893541683</t>
  </si>
  <si>
    <t>WY 152 T216g 1988</t>
  </si>
  <si>
    <t>0                      WY 0152000T  216g        1988</t>
  </si>
  <si>
    <t>Gerontologic nursing : a study and learning tool / Juanita S. Tate, Mary Ann Christ, Faith J. Hohloch.</t>
  </si>
  <si>
    <t>Tate, Juanita S.</t>
  </si>
  <si>
    <t>Springhouse, Pa. : Springhouse Pub. Co., c1988.</t>
  </si>
  <si>
    <t>13080698:eng</t>
  </si>
  <si>
    <t>16950728</t>
  </si>
  <si>
    <t>991001189249702656</t>
  </si>
  <si>
    <t>2269810900002656</t>
  </si>
  <si>
    <t>9780874341164</t>
  </si>
  <si>
    <t>30001000978918</t>
  </si>
  <si>
    <t>893287291</t>
  </si>
  <si>
    <t>WY 152 T2533 1992</t>
  </si>
  <si>
    <t>0                      WY 0152000T  2533        1992</t>
  </si>
  <si>
    <t>Teaching patients with chronic conditions.</t>
  </si>
  <si>
    <t>1997-03-08</t>
  </si>
  <si>
    <t>1992-06-23</t>
  </si>
  <si>
    <t>28035165:eng</t>
  </si>
  <si>
    <t>25316802</t>
  </si>
  <si>
    <t>991001229329702656</t>
  </si>
  <si>
    <t>2268166470002656</t>
  </si>
  <si>
    <t>9780874344974</t>
  </si>
  <si>
    <t>30001002335737</t>
  </si>
  <si>
    <t>893736342</t>
  </si>
  <si>
    <t>WY152 T355 2001</t>
  </si>
  <si>
    <t>0                      WY 0152000T  355         2001</t>
  </si>
  <si>
    <t>Textbook of palliative nursing / edited by Betty R. Ferrell, Nessa Coyle.</t>
  </si>
  <si>
    <t>New York : Oxford University Press, 2001.</t>
  </si>
  <si>
    <t>3755223362:eng</t>
  </si>
  <si>
    <t>44420605</t>
  </si>
  <si>
    <t>991000347519702656</t>
  </si>
  <si>
    <t>2255429770002656</t>
  </si>
  <si>
    <t>9780195135749</t>
  </si>
  <si>
    <t>30001004504389</t>
  </si>
  <si>
    <t>893123007</t>
  </si>
  <si>
    <t>WY 152 T737 1956</t>
  </si>
  <si>
    <t>0                      WY 0152000T  737         1956</t>
  </si>
  <si>
    <t>Toward better nursing care of patients with long-term illness / a project developed by the Cornell University-New York Hospital School of Nursing in cooperation with the National League for Nursing ; under the direction of Edna L. Fritz.</t>
  </si>
  <si>
    <t>8539174:eng</t>
  </si>
  <si>
    <t>14671215</t>
  </si>
  <si>
    <t>991001518459702656</t>
  </si>
  <si>
    <t>2260860580002656</t>
  </si>
  <si>
    <t>30001000600488</t>
  </si>
  <si>
    <t>893821308</t>
  </si>
  <si>
    <t>WY152  W926 2001</t>
  </si>
  <si>
    <t>0                      WY 0152000W  926         2001</t>
  </si>
  <si>
    <t>Working with older people and their families : [key issues in policy and practice] / edited by Mike Nolan, Sue Davies, and Gordon Grant.</t>
  </si>
  <si>
    <t>Buckingham [England] ; Phildelphia, PA : Open University Press, 2001.</t>
  </si>
  <si>
    <t>56588447:eng</t>
  </si>
  <si>
    <t>44868895</t>
  </si>
  <si>
    <t>991000310189702656</t>
  </si>
  <si>
    <t>2258630360002656</t>
  </si>
  <si>
    <t>9780335205608</t>
  </si>
  <si>
    <t>30001004238004</t>
  </si>
  <si>
    <t>893354184</t>
  </si>
  <si>
    <t>WY 152.2 C737 1991</t>
  </si>
  <si>
    <t>0                      WY 0152200C  737         1991</t>
  </si>
  <si>
    <t>Comprehensive cardiac care.</t>
  </si>
  <si>
    <t>7th ed. / edited by Marguerite R. Kinney ... [et al.].</t>
  </si>
  <si>
    <t>2002-07-09</t>
  </si>
  <si>
    <t>3768967238:eng</t>
  </si>
  <si>
    <t>22705958</t>
  </si>
  <si>
    <t>991000932889702656</t>
  </si>
  <si>
    <t>2257557940002656</t>
  </si>
  <si>
    <t>9780801627705</t>
  </si>
  <si>
    <t>30001002190165</t>
  </si>
  <si>
    <t>893551948</t>
  </si>
  <si>
    <t>WY 152.5 A244 1975</t>
  </si>
  <si>
    <t>0                      WY 0152500A  244         1975</t>
  </si>
  <si>
    <t>Advances in cardiovascular nursing / compiled by Andrea B. O'Connor.</t>
  </si>
  <si>
    <t>New York : American Journal of Nursing, c1975.</t>
  </si>
  <si>
    <t>54160317:eng</t>
  </si>
  <si>
    <t>2931099</t>
  </si>
  <si>
    <t>991000865119702656</t>
  </si>
  <si>
    <t>2263222650002656</t>
  </si>
  <si>
    <t>30001000144164</t>
  </si>
  <si>
    <t>893450566</t>
  </si>
  <si>
    <t>WY 152.5 A2441 1985</t>
  </si>
  <si>
    <t>0                      WY 0152500A  2441        1985</t>
  </si>
  <si>
    <t>Advances in cardiovascular nursing / edited by Marilyn Kuhel Douglas, Julie A. Shinn ; [contributors, Marilyn Kuhel Douglas ... et al.].</t>
  </si>
  <si>
    <t>1993-09-01</t>
  </si>
  <si>
    <t>4595535:eng</t>
  </si>
  <si>
    <t>11782867</t>
  </si>
  <si>
    <t>991000865149702656</t>
  </si>
  <si>
    <t>2270632160002656</t>
  </si>
  <si>
    <t>9780871891051</t>
  </si>
  <si>
    <t>30001000144172</t>
  </si>
  <si>
    <t>893540742</t>
  </si>
  <si>
    <t>WY 152.5 A841a 1980</t>
  </si>
  <si>
    <t>0                      WY 0152500A  841a        1980</t>
  </si>
  <si>
    <t>Aortic arch surgery / Mary Jo Aspinall.</t>
  </si>
  <si>
    <t>New York : Appleton-Century-Crofts, c1980.</t>
  </si>
  <si>
    <t>Continuing education in cardiovascular nursing. Series 2, Surgical aspects of cardiovascular disease, nursing intervention ; unit 4</t>
  </si>
  <si>
    <t>502981:eng</t>
  </si>
  <si>
    <t>6486973</t>
  </si>
  <si>
    <t>991000865189702656</t>
  </si>
  <si>
    <t>2272725160002656</t>
  </si>
  <si>
    <t>9780838501719</t>
  </si>
  <si>
    <t>30001000144180</t>
  </si>
  <si>
    <t>893278375</t>
  </si>
  <si>
    <t>WY 152.5 B869p 1991</t>
  </si>
  <si>
    <t>0                      WY 0152500B  869p        1991</t>
  </si>
  <si>
    <t>Promoting stroke recovery : a research-based approach for nurses / Kathryn Schofield Bronstein, Judith M. Popovich, Christina Stewart-Amidei ; illustrations by Lydia Johns.</t>
  </si>
  <si>
    <t>Bronstein, Kathryn Schofield.</t>
  </si>
  <si>
    <t>1996-10-23</t>
  </si>
  <si>
    <t>836725329:eng</t>
  </si>
  <si>
    <t>22183291</t>
  </si>
  <si>
    <t>991000933219702656</t>
  </si>
  <si>
    <t>2258928070002656</t>
  </si>
  <si>
    <t>9780801662294</t>
  </si>
  <si>
    <t>30001002190223</t>
  </si>
  <si>
    <t>893826238</t>
  </si>
  <si>
    <t>WY 152.5 C226c 1990</t>
  </si>
  <si>
    <t>0                      WY 0152500C  226c        1990</t>
  </si>
  <si>
    <t>Cardiovascular disorders / Mary M. Canobbio.</t>
  </si>
  <si>
    <t>Saint Louis : Mosby, c1990.</t>
  </si>
  <si>
    <t>Mosby's clinical nursing series</t>
  </si>
  <si>
    <t>22635431:eng</t>
  </si>
  <si>
    <t>21037002</t>
  </si>
  <si>
    <t>991001767899702656</t>
  </si>
  <si>
    <t>2272521290002656</t>
  </si>
  <si>
    <t>9780801614057</t>
  </si>
  <si>
    <t>30001002087536</t>
  </si>
  <si>
    <t>893652151</t>
  </si>
  <si>
    <t>WY 152.5 C267 1980</t>
  </si>
  <si>
    <t>0                      WY 0152500C  267         1980</t>
  </si>
  <si>
    <t>Cardiology for nurses / [edited by] Nanette Kass Wenger, J. Willis Hurst, Mildred C. McIntyre.</t>
  </si>
  <si>
    <t>1990-01-03</t>
  </si>
  <si>
    <t>18424351:eng</t>
  </si>
  <si>
    <t>5564319</t>
  </si>
  <si>
    <t>991000865259702656</t>
  </si>
  <si>
    <t>2266433640002656</t>
  </si>
  <si>
    <t>30001000144222</t>
  </si>
  <si>
    <t>893727033</t>
  </si>
  <si>
    <t>WY 152.5 C26717 1988</t>
  </si>
  <si>
    <t>0                      WY 0152500C  26717       1988</t>
  </si>
  <si>
    <t>Cardiac critical care nursing / edited by Leslie S. Kern.</t>
  </si>
  <si>
    <t>12795896:eng</t>
  </si>
  <si>
    <t>16646523</t>
  </si>
  <si>
    <t>991001187019702656</t>
  </si>
  <si>
    <t>2260299720002656</t>
  </si>
  <si>
    <t>9780871898807</t>
  </si>
  <si>
    <t>30001000978355</t>
  </si>
  <si>
    <t>893821028</t>
  </si>
  <si>
    <t>WY 152.5 C2672 1989</t>
  </si>
  <si>
    <t>0                      WY 0152500C  2672        1989</t>
  </si>
  <si>
    <t>Cardiac nursing / Sandra L. Underhill ... [et al.] ; with 56 contributors.</t>
  </si>
  <si>
    <t>2002-03-22</t>
  </si>
  <si>
    <t>1992-08-19</t>
  </si>
  <si>
    <t>1078055486:eng</t>
  </si>
  <si>
    <t>19324356</t>
  </si>
  <si>
    <t>991001340059702656</t>
  </si>
  <si>
    <t>2268145470002656</t>
  </si>
  <si>
    <t>9780397546480</t>
  </si>
  <si>
    <t>30001002455287</t>
  </si>
  <si>
    <t>893161905</t>
  </si>
  <si>
    <t>WY 152.5 C2672 2005</t>
  </si>
  <si>
    <t>0                      WY 0152500C  2672        2005</t>
  </si>
  <si>
    <t>Cardiac nursing / [edited by] Susan L. Woods ... [et al.].</t>
  </si>
  <si>
    <t>2010-08-30</t>
  </si>
  <si>
    <t>2005-11-09</t>
  </si>
  <si>
    <t>55138520</t>
  </si>
  <si>
    <t>991001735659702656</t>
  </si>
  <si>
    <t>2263983190002656</t>
  </si>
  <si>
    <t>9780781747189</t>
  </si>
  <si>
    <t>30001004911329</t>
  </si>
  <si>
    <t>893727861</t>
  </si>
  <si>
    <t>WY 152.5 C26724 1991</t>
  </si>
  <si>
    <t>0                      WY 0152500C  26724       1991</t>
  </si>
  <si>
    <t>Cardiac nursing : a clinical management and patient care resource / edited by Sue Wingate.</t>
  </si>
  <si>
    <t>1996-02-20</t>
  </si>
  <si>
    <t>1991-09-17</t>
  </si>
  <si>
    <t>23994648:eng</t>
  </si>
  <si>
    <t>22706202</t>
  </si>
  <si>
    <t>991001014909702656</t>
  </si>
  <si>
    <t>2257533930002656</t>
  </si>
  <si>
    <t>9780834202016</t>
  </si>
  <si>
    <t>30001002240531</t>
  </si>
  <si>
    <t>893377053</t>
  </si>
  <si>
    <t>WY 152.5 C2673 1980</t>
  </si>
  <si>
    <t>0                      WY 0152500C  2673        1980</t>
  </si>
  <si>
    <t>Cardiac rehabilitation : implications for the nurse and other allied health professionals / Paul S. Fardy ... [et al.].</t>
  </si>
  <si>
    <t>21910724:eng</t>
  </si>
  <si>
    <t>6304886</t>
  </si>
  <si>
    <t>991001086409702656</t>
  </si>
  <si>
    <t>2267791050002656</t>
  </si>
  <si>
    <t>9780801616105</t>
  </si>
  <si>
    <t>30001000259566</t>
  </si>
  <si>
    <t>893727227</t>
  </si>
  <si>
    <t>WY 152.5 C552c 1976</t>
  </si>
  <si>
    <t>0                      WY 0152500C  552c        1976</t>
  </si>
  <si>
    <t>Cardiosurgical nursing care : understandings, concepts, and principles for practice / Rita K. Chow.</t>
  </si>
  <si>
    <t>Chow, Rita K.</t>
  </si>
  <si>
    <t>1997-09-28</t>
  </si>
  <si>
    <t>2391086:eng</t>
  </si>
  <si>
    <t>1529090</t>
  </si>
  <si>
    <t>991000865299702656</t>
  </si>
  <si>
    <t>2259653270002656</t>
  </si>
  <si>
    <t>9780826112330</t>
  </si>
  <si>
    <t>30001000144248</t>
  </si>
  <si>
    <t>893287077</t>
  </si>
  <si>
    <t>WY 152.5 C729 1978</t>
  </si>
  <si>
    <t>0                      WY 0152500C  729         1978</t>
  </si>
  <si>
    <t>Combatting cardiovascular diseases skillfully.</t>
  </si>
  <si>
    <t>Horsham, Pa. : Intermed Communications, c1978.</t>
  </si>
  <si>
    <t>1993-01-18</t>
  </si>
  <si>
    <t>54641999:eng</t>
  </si>
  <si>
    <t>4476610</t>
  </si>
  <si>
    <t>991000865339702656</t>
  </si>
  <si>
    <t>2270092780002656</t>
  </si>
  <si>
    <t>9780916730116</t>
  </si>
  <si>
    <t>30001000144255</t>
  </si>
  <si>
    <t>893273419</t>
  </si>
  <si>
    <t>WY 152.5 C735c 1979</t>
  </si>
  <si>
    <t>0                      WY 0152500C  735c        1979</t>
  </si>
  <si>
    <t>Cardiac rehabilitation : a comprehensive nursing approach / Patricia McCall Comoss, E. Ann Smith Burke, Susan Herr Swails.</t>
  </si>
  <si>
    <t>Comoss, Patricia McCall.</t>
  </si>
  <si>
    <t>363447833:eng</t>
  </si>
  <si>
    <t>4933464</t>
  </si>
  <si>
    <t>991000865379702656</t>
  </si>
  <si>
    <t>2269186640002656</t>
  </si>
  <si>
    <t>9780397543229</t>
  </si>
  <si>
    <t>30001000144263</t>
  </si>
  <si>
    <t>893546155</t>
  </si>
  <si>
    <t>WY 152.5 C737 1996</t>
  </si>
  <si>
    <t>0                      WY 0152500C  737         1996</t>
  </si>
  <si>
    <t>Andreoli's comprehensive cardiac care.</t>
  </si>
  <si>
    <t>8th ed. / edited by Marguerite R. Kinney, Donna R. Packa.</t>
  </si>
  <si>
    <t>3863820456:eng</t>
  </si>
  <si>
    <t>32590775</t>
  </si>
  <si>
    <t>991000833359702656</t>
  </si>
  <si>
    <t>2272061970002656</t>
  </si>
  <si>
    <t>9780801678844</t>
  </si>
  <si>
    <t>30001003440197</t>
  </si>
  <si>
    <t>893273367</t>
  </si>
  <si>
    <t>WY 152.5 G297n 1985</t>
  </si>
  <si>
    <t>0                      WY 0152500G  297n        1985</t>
  </si>
  <si>
    <t>Nursing care of the stroke patient : a therapeutic approach, based on Bobath principles / Zena L. Gee, Phyllis M. Passarella.</t>
  </si>
  <si>
    <t>Gee, Zena L.</t>
  </si>
  <si>
    <t>Pittsburgh, PA : AREN-Publications, c1985.</t>
  </si>
  <si>
    <t>1997-02-27</t>
  </si>
  <si>
    <t>934503638:eng</t>
  </si>
  <si>
    <t>13062108</t>
  </si>
  <si>
    <t>991000734049702656</t>
  </si>
  <si>
    <t>2259078330002656</t>
  </si>
  <si>
    <t>30001000041048</t>
  </si>
  <si>
    <t>893357449</t>
  </si>
  <si>
    <t>WY 152.5 H222d</t>
  </si>
  <si>
    <t>0                      WY 0152500H  222d</t>
  </si>
  <si>
    <t>Decision making in the coronary care unit / William P. Hamilton, Mary Ann Lavin.</t>
  </si>
  <si>
    <t>Hamilton, William P., 1936-</t>
  </si>
  <si>
    <t>St. Louis : Mosby, 1976.</t>
  </si>
  <si>
    <t>1991-11-29</t>
  </si>
  <si>
    <t>2287226527:eng</t>
  </si>
  <si>
    <t>2075993</t>
  </si>
  <si>
    <t>991000865409702656</t>
  </si>
  <si>
    <t>2262059450002656</t>
  </si>
  <si>
    <t>9780801620263</t>
  </si>
  <si>
    <t>30001000144305</t>
  </si>
  <si>
    <t>893376977</t>
  </si>
  <si>
    <t>WY 152.5 H816m 2002</t>
  </si>
  <si>
    <t>0                      WY 0152500H  816m        2002</t>
  </si>
  <si>
    <t>Manual of neonatal and paediatric heart disease / Fiona S. Horrox ; illustrations, Guy Heaton.</t>
  </si>
  <si>
    <t>Horrox, Fiona S.</t>
  </si>
  <si>
    <t>London ; Philadelphia : Whurr, 2002.</t>
  </si>
  <si>
    <t>2007-07-09</t>
  </si>
  <si>
    <t>2004-09-03</t>
  </si>
  <si>
    <t>876423:eng</t>
  </si>
  <si>
    <t>48361997</t>
  </si>
  <si>
    <t>991000382909702656</t>
  </si>
  <si>
    <t>2266530590002656</t>
  </si>
  <si>
    <t>9781861562449</t>
  </si>
  <si>
    <t>30001004507259</t>
  </si>
  <si>
    <t>893811452</t>
  </si>
  <si>
    <t>WY 152.5 K53c 1975</t>
  </si>
  <si>
    <t>0                      WY 0152500K  53c         1975</t>
  </si>
  <si>
    <t>Care of the cardiac surgical patient / Ouida M. King.</t>
  </si>
  <si>
    <t>King, Ouida M., 1942-</t>
  </si>
  <si>
    <t>St. Louis : Mosby, 1975.</t>
  </si>
  <si>
    <t>1995-10-21</t>
  </si>
  <si>
    <t>2094061:eng</t>
  </si>
  <si>
    <t>1207308</t>
  </si>
  <si>
    <t>991000865529702656</t>
  </si>
  <si>
    <t>2269318920002656</t>
  </si>
  <si>
    <t>9780801634345</t>
  </si>
  <si>
    <t>30001000144347</t>
  </si>
  <si>
    <t>893551863</t>
  </si>
  <si>
    <t>WY 152.5 M148p 1981</t>
  </si>
  <si>
    <t>0                      WY 0152500M  148p        1981</t>
  </si>
  <si>
    <t>People with cardiac problems : nursing concepts / Wealtha Collins McGurn.</t>
  </si>
  <si>
    <t>McGurn, Wealtha Collins.</t>
  </si>
  <si>
    <t>1993-10-08</t>
  </si>
  <si>
    <t>25160710:eng</t>
  </si>
  <si>
    <t>6943158</t>
  </si>
  <si>
    <t>991000865629702656</t>
  </si>
  <si>
    <t>2257239790002656</t>
  </si>
  <si>
    <t>9780397542499</t>
  </si>
  <si>
    <t>30001000144370</t>
  </si>
  <si>
    <t>893831689</t>
  </si>
  <si>
    <t>WY 152.5 M294 1983</t>
  </si>
  <si>
    <t>0                      WY 0152500M  294         1983</t>
  </si>
  <si>
    <t>Manual of cardiovascular assessment / New York Heart Association ; Sara J. Wells, editor ; Kate Mahoney and Shirlee Stokes, contributing editors.</t>
  </si>
  <si>
    <t>1995-08-30</t>
  </si>
  <si>
    <t>497575:eng</t>
  </si>
  <si>
    <t>9197744</t>
  </si>
  <si>
    <t>991000865669702656</t>
  </si>
  <si>
    <t>2266618100002656</t>
  </si>
  <si>
    <t>9780835942331</t>
  </si>
  <si>
    <t>30001000144388</t>
  </si>
  <si>
    <t>893735982</t>
  </si>
  <si>
    <t>WY 152.5 N974 1984</t>
  </si>
  <si>
    <t>0                      WY 0152500N  974         1984</t>
  </si>
  <si>
    <t>Nursing for cardiovascular health / [edited by] Diane Sadler.</t>
  </si>
  <si>
    <t>Norwalk, CT : Appleton-Century-Crofts, c1984.</t>
  </si>
  <si>
    <t>1990-03-21</t>
  </si>
  <si>
    <t>43738858:eng</t>
  </si>
  <si>
    <t>9683454</t>
  </si>
  <si>
    <t>991000865809702656</t>
  </si>
  <si>
    <t>2269674040002656</t>
  </si>
  <si>
    <t>9780838570241</t>
  </si>
  <si>
    <t>30001000144404</t>
  </si>
  <si>
    <t>893278376</t>
  </si>
  <si>
    <t>WY 152.5 S678s 2004</t>
  </si>
  <si>
    <t>0                      WY 0152500S  678s        2004</t>
  </si>
  <si>
    <t>Scope and standards of vascular nursing practice / Society for Vascular Nursing &amp; American Nurses Association.</t>
  </si>
  <si>
    <t>Society for Vascular Nursing.</t>
  </si>
  <si>
    <t>Washington, DC : American Nurses Association, 2004.</t>
  </si>
  <si>
    <t>ANA pub ; no. 04SSVN</t>
  </si>
  <si>
    <t>2004-07-19</t>
  </si>
  <si>
    <t>998789:eng</t>
  </si>
  <si>
    <t>54818510</t>
  </si>
  <si>
    <t>991000375469702656</t>
  </si>
  <si>
    <t>2268149950002656</t>
  </si>
  <si>
    <t>9781558102217</t>
  </si>
  <si>
    <t>30001004218766</t>
  </si>
  <si>
    <t>893275011</t>
  </si>
  <si>
    <t>WY 152.5 S974c 1989</t>
  </si>
  <si>
    <t>0                      WY 0152500S  974c        1989</t>
  </si>
  <si>
    <t>Clinical electrocardiography for nurses / Hannelore M. Sweetwood.</t>
  </si>
  <si>
    <t>Sweetwood, Hannelore M.</t>
  </si>
  <si>
    <t>1990-10-15</t>
  </si>
  <si>
    <t>17440878:eng</t>
  </si>
  <si>
    <t>18413394</t>
  </si>
  <si>
    <t>991001308339702656</t>
  </si>
  <si>
    <t>2258519600002656</t>
  </si>
  <si>
    <t>9780834200159</t>
  </si>
  <si>
    <t>30001001750100</t>
  </si>
  <si>
    <t>893816291</t>
  </si>
  <si>
    <t>WY152.5 T468ca 2004</t>
  </si>
  <si>
    <t>0                      WY 0152500T  468ca       2004</t>
  </si>
  <si>
    <t>Caring for the coronary patient / David R. Thompson, Rosemary A. Webster, with additional material by Tom Quinn ; foreword by Dame Jenifer Wilson-Barnett.</t>
  </si>
  <si>
    <t>Thompson, David R., 1955-</t>
  </si>
  <si>
    <t>Edinburgh ; New York : Butterworth-Heinemann, 2004.</t>
  </si>
  <si>
    <t>2005-04-29</t>
  </si>
  <si>
    <t>2005-04-28</t>
  </si>
  <si>
    <t>370195836:eng</t>
  </si>
  <si>
    <t>56012245</t>
  </si>
  <si>
    <t>991000437879702656</t>
  </si>
  <si>
    <t>2255351430002656</t>
  </si>
  <si>
    <t>9780750643153</t>
  </si>
  <si>
    <t>30001004929610</t>
  </si>
  <si>
    <t>893447330</t>
  </si>
  <si>
    <t>WY 152.5 T469c 1992</t>
  </si>
  <si>
    <t>0                      WY 0152500T  469c        1992</t>
  </si>
  <si>
    <t>Caring for the coronary patient / David R. Thompson and Rosemary A. Webster.</t>
  </si>
  <si>
    <t>Oxford ; Boston : Butterworth-Heinemann, c1992.</t>
  </si>
  <si>
    <t>1999-10-05</t>
  </si>
  <si>
    <t>25908014</t>
  </si>
  <si>
    <t>991001350459702656</t>
  </si>
  <si>
    <t>2269865940002656</t>
  </si>
  <si>
    <t>9780750603973</t>
  </si>
  <si>
    <t>30001002459354</t>
  </si>
  <si>
    <t>893149112</t>
  </si>
  <si>
    <t>WY 152.5 V331 1999</t>
  </si>
  <si>
    <t>0                      WY 0152500V  331         1999</t>
  </si>
  <si>
    <t>Vascular nursing / [edited by] Victora A. Fahey.</t>
  </si>
  <si>
    <t>55040377:eng</t>
  </si>
  <si>
    <t>39811615</t>
  </si>
  <si>
    <t>991001557609702656</t>
  </si>
  <si>
    <t>2269969130002656</t>
  </si>
  <si>
    <t>9780721676579</t>
  </si>
  <si>
    <t>30001004074821</t>
  </si>
  <si>
    <t>893552637</t>
  </si>
  <si>
    <t>WY152.5 V331 2004</t>
  </si>
  <si>
    <t>0                      WY 0152500V  331         2004</t>
  </si>
  <si>
    <t>Vascular nursing / edited by Victora A. Fahey.</t>
  </si>
  <si>
    <t>St Louis, Mo. : Saunders, c2004.</t>
  </si>
  <si>
    <t>2007-09-04</t>
  </si>
  <si>
    <t>2004-03-25</t>
  </si>
  <si>
    <t>53958693</t>
  </si>
  <si>
    <t>991001726819702656</t>
  </si>
  <si>
    <t>2272783790002656</t>
  </si>
  <si>
    <t>9780721695679</t>
  </si>
  <si>
    <t>30001004509479</t>
  </si>
  <si>
    <t>893162262</t>
  </si>
  <si>
    <t>WY 152.5 Y42c 1986</t>
  </si>
  <si>
    <t>0                      WY 0152500Y  42c         1986</t>
  </si>
  <si>
    <t>Cardiac critical care nursing / Barbara Homer Yee, Susan Lynn Zorb.</t>
  </si>
  <si>
    <t>Yee, Barbara Homer.</t>
  </si>
  <si>
    <t>5292081:eng</t>
  </si>
  <si>
    <t>12344218</t>
  </si>
  <si>
    <t>991001436319702656</t>
  </si>
  <si>
    <t>2271972420002656</t>
  </si>
  <si>
    <t>9780316968713</t>
  </si>
  <si>
    <t>30001000529232</t>
  </si>
  <si>
    <t>893638308</t>
  </si>
  <si>
    <t>WY 153 B632p 1981</t>
  </si>
  <si>
    <t>0                      WY 0153000B  632p        1981</t>
  </si>
  <si>
    <t>Principles of infection and immunity in patient care / C. Caroline Blackwell, D.M. Weir.</t>
  </si>
  <si>
    <t>Blackwell, Caroline.</t>
  </si>
  <si>
    <t>Edinburgh ; New York : Churchill Livingstone, c1981.</t>
  </si>
  <si>
    <t>Churchill Livingstone nursing text</t>
  </si>
  <si>
    <t>1993-02-12</t>
  </si>
  <si>
    <t>4413278778:eng</t>
  </si>
  <si>
    <t>8453456</t>
  </si>
  <si>
    <t>991000865989702656</t>
  </si>
  <si>
    <t>2271435900002656</t>
  </si>
  <si>
    <t>9780443019067</t>
  </si>
  <si>
    <t>30001000144461</t>
  </si>
  <si>
    <t>893450567</t>
  </si>
  <si>
    <t>WY 153 G862i 1991</t>
  </si>
  <si>
    <t>0                      WY 0153000G  862i        1991</t>
  </si>
  <si>
    <t>Infectious diseases / Deanna E. Grimes ; original illustrations by George J. Wassilchenko and Donald P. O'Connor ; original photography by Patrick Watson.</t>
  </si>
  <si>
    <t>Grimes, Deanna E.</t>
  </si>
  <si>
    <t>1991-09-11</t>
  </si>
  <si>
    <t>24231417:eng</t>
  </si>
  <si>
    <t>23016038</t>
  </si>
  <si>
    <t>991001780189702656</t>
  </si>
  <si>
    <t>2261050510002656</t>
  </si>
  <si>
    <t>9780801623455</t>
  </si>
  <si>
    <t>30001002240309</t>
  </si>
  <si>
    <t>893736951</t>
  </si>
  <si>
    <t>WY 153 G979i 1989</t>
  </si>
  <si>
    <t>0                      WY 0153000G  979i        1989</t>
  </si>
  <si>
    <t>Infectious diseases in critical care nursing : prevention and precautions / Inge Gurevich.</t>
  </si>
  <si>
    <t>Gurevich, Inge.</t>
  </si>
  <si>
    <t>1990-01-23</t>
  </si>
  <si>
    <t>427440752:eng</t>
  </si>
  <si>
    <t>20089650</t>
  </si>
  <si>
    <t>991001443539702656</t>
  </si>
  <si>
    <t>2260629960002656</t>
  </si>
  <si>
    <t>9780834200838</t>
  </si>
  <si>
    <t>30001001880014</t>
  </si>
  <si>
    <t>893162012</t>
  </si>
  <si>
    <t>WY 153 N974 1988</t>
  </si>
  <si>
    <t>0                      WY 0153000N  974         1988</t>
  </si>
  <si>
    <t>Nursing and the human immunodeficiency virus : a guide for nursing's response to AIDS / American Nurses' Association.</t>
  </si>
  <si>
    <t>American Nurses' Association: "MS-17 4.5M 6/88"</t>
  </si>
  <si>
    <t>930538683:eng</t>
  </si>
  <si>
    <t>20454896</t>
  </si>
  <si>
    <t>991000760399702656</t>
  </si>
  <si>
    <t>2272219170002656</t>
  </si>
  <si>
    <t>30001001392119</t>
  </si>
  <si>
    <t>893148233</t>
  </si>
  <si>
    <t>WY 153.5 B811h 1999</t>
  </si>
  <si>
    <t>0                      WY 0153500B  811h        1999</t>
  </si>
  <si>
    <t>HIV/AIDS nursing care plans / Lucy Bradley-Springer.</t>
  </si>
  <si>
    <t>Bradley-Springer, Lucy.</t>
  </si>
  <si>
    <t>Englewood, Colo. : Skidmore-Roth Pub. Inc., c1999.</t>
  </si>
  <si>
    <t>2000-04-03</t>
  </si>
  <si>
    <t>1999-04-16</t>
  </si>
  <si>
    <t>34120092:eng</t>
  </si>
  <si>
    <t>42435220</t>
  </si>
  <si>
    <t>991001561809702656</t>
  </si>
  <si>
    <t>2271219820002656</t>
  </si>
  <si>
    <t>9781569300978</t>
  </si>
  <si>
    <t>30001004071819</t>
  </si>
  <si>
    <t>893727767</t>
  </si>
  <si>
    <t>WY 153.5 H675 1999</t>
  </si>
  <si>
    <t>0                      WY 0153500H  675         1999</t>
  </si>
  <si>
    <t>HIV/AIDS : a guide to primary care management / [edited by] Peter J. Ungvarski, Jacquelyn Haak Flaskerud.</t>
  </si>
  <si>
    <t>1999-11-01</t>
  </si>
  <si>
    <t>3943953016:eng</t>
  </si>
  <si>
    <t>39051025</t>
  </si>
  <si>
    <t>991001570749702656</t>
  </si>
  <si>
    <t>2256577210002656</t>
  </si>
  <si>
    <t>9780721673226</t>
  </si>
  <si>
    <t>30001004036077</t>
  </si>
  <si>
    <t>893633216</t>
  </si>
  <si>
    <t>WY 153.5 H676 1998</t>
  </si>
  <si>
    <t>0                      WY 0153500H  676         1998</t>
  </si>
  <si>
    <t>HIV nursing and symptom management / edited by Mary Ropka, Ann Williams.</t>
  </si>
  <si>
    <t>Sudbury, Mass. : Jones and Bartlett, c1998.</t>
  </si>
  <si>
    <t>1998-12-18</t>
  </si>
  <si>
    <t>364725072:eng</t>
  </si>
  <si>
    <t>38528412</t>
  </si>
  <si>
    <t>991001557259702656</t>
  </si>
  <si>
    <t>2266528430002656</t>
  </si>
  <si>
    <t>9780763705442</t>
  </si>
  <si>
    <t>30001004037687</t>
  </si>
  <si>
    <t>893268639</t>
  </si>
  <si>
    <t>WY153.5 K61h 2001</t>
  </si>
  <si>
    <t>0                      WY 0153500K  61h         2001</t>
  </si>
  <si>
    <t>Handbook of HIV/AIDS nursing / Carl A. Kirton ; Dorothy Talotta ; Kenneth Zwolski.</t>
  </si>
  <si>
    <t>Kirton, Carl A.</t>
  </si>
  <si>
    <t>St. Louis : Mosby, 2001.</t>
  </si>
  <si>
    <t>25339617:eng</t>
  </si>
  <si>
    <t>45595802</t>
  </si>
  <si>
    <t>991000318839702656</t>
  </si>
  <si>
    <t>2272339900002656</t>
  </si>
  <si>
    <t>9780323003360</t>
  </si>
  <si>
    <t>30001004239705</t>
  </si>
  <si>
    <t>893732756</t>
  </si>
  <si>
    <t>WY 153.5 P467 2000</t>
  </si>
  <si>
    <t>0                      WY 0153500P  467         2000</t>
  </si>
  <si>
    <t>The person with HIV/AIDS : nursing perspectives / Jerry D. Durham, Felissa R. Lashley, editors.</t>
  </si>
  <si>
    <t>New York : Springer Pub. Co., c2000.</t>
  </si>
  <si>
    <t>864734337:eng</t>
  </si>
  <si>
    <t>41482506</t>
  </si>
  <si>
    <t>991001440009702656</t>
  </si>
  <si>
    <t>2263418870002656</t>
  </si>
  <si>
    <t>9780826112934</t>
  </si>
  <si>
    <t>30001003880483</t>
  </si>
  <si>
    <t>893161992</t>
  </si>
  <si>
    <t>WY154 A171 2000</t>
  </si>
  <si>
    <t>0                      WY 0154000A  171         2000</t>
  </si>
  <si>
    <t>Accident and emergency : theory into practice / edited by Brian Dolan, Lynda Holt.</t>
  </si>
  <si>
    <t>Edinburgh ; New York : Baillière Tindall, 2000.</t>
  </si>
  <si>
    <t>2002-06-26</t>
  </si>
  <si>
    <t>837082982:eng</t>
  </si>
  <si>
    <t>45244070</t>
  </si>
  <si>
    <t>991000318529702656</t>
  </si>
  <si>
    <t>2266561230002656</t>
  </si>
  <si>
    <t>9780702022395</t>
  </si>
  <si>
    <t>30001004442309</t>
  </si>
  <si>
    <t>893264115</t>
  </si>
  <si>
    <t>WY 154 A244 1989</t>
  </si>
  <si>
    <t>0                      WY 0154000A  244         1989</t>
  </si>
  <si>
    <t>Advanced technology in critical care nursing / edited by John M. Clochesy.</t>
  </si>
  <si>
    <t>Aspen series in critical care nursing</t>
  </si>
  <si>
    <t>1989-06-19</t>
  </si>
  <si>
    <t>17990799:eng</t>
  </si>
  <si>
    <t>18442197</t>
  </si>
  <si>
    <t>991001252249702656</t>
  </si>
  <si>
    <t>2259459940002656</t>
  </si>
  <si>
    <t>9780834200234</t>
  </si>
  <si>
    <t>30001001679275</t>
  </si>
  <si>
    <t>893816239</t>
  </si>
  <si>
    <t>WY154 B469c 1999</t>
  </si>
  <si>
    <t>0                      WY 0154000B  469c        1999</t>
  </si>
  <si>
    <t>Clinical wisdom and interventions in critical care : a thinking-in-action approach / Patricia Benner, Patricia Hooper-Kyriakidis, Daphne Stannard.</t>
  </si>
  <si>
    <t>Benner, Patricia E.</t>
  </si>
  <si>
    <t>2010-05-19</t>
  </si>
  <si>
    <t>3901380798:eng</t>
  </si>
  <si>
    <t>38486275</t>
  </si>
  <si>
    <t>991000319879702656</t>
  </si>
  <si>
    <t>2271814500002656</t>
  </si>
  <si>
    <t>9780721675114</t>
  </si>
  <si>
    <t>30001004442374</t>
  </si>
  <si>
    <t>893553416</t>
  </si>
  <si>
    <t>WY 154 B969c 1982</t>
  </si>
  <si>
    <t>0                      WY 0154000B  969c        1982</t>
  </si>
  <si>
    <t>Critical care / Lenette Owens Burrell, Zeb L. Burrell, Jr.</t>
  </si>
  <si>
    <t>Burrell, Lenette Owens.</t>
  </si>
  <si>
    <t>1990-04-03</t>
  </si>
  <si>
    <t>3373080468:eng</t>
  </si>
  <si>
    <t>7740151</t>
  </si>
  <si>
    <t>991000734009702656</t>
  </si>
  <si>
    <t>2264201520002656</t>
  </si>
  <si>
    <t>9780801609060</t>
  </si>
  <si>
    <t>30001000041014</t>
  </si>
  <si>
    <t>893648010</t>
  </si>
  <si>
    <t>WY 154 C732d 2005</t>
  </si>
  <si>
    <t>0                      WY 0154000C  732d        2005</t>
  </si>
  <si>
    <t>Delmar's critical care nursing care plans / Sheree Comer.</t>
  </si>
  <si>
    <t>Comer, Sheree.</t>
  </si>
  <si>
    <t>2010-08-31</t>
  </si>
  <si>
    <t>2006-09-22</t>
  </si>
  <si>
    <t>3901315190:eng</t>
  </si>
  <si>
    <t>52128240</t>
  </si>
  <si>
    <t>991000543839702656</t>
  </si>
  <si>
    <t>2266454920002656</t>
  </si>
  <si>
    <t>9780766859951</t>
  </si>
  <si>
    <t>30001005120300</t>
  </si>
  <si>
    <t>893116156</t>
  </si>
  <si>
    <t>WY 154 C744 1981</t>
  </si>
  <si>
    <t>0                      WY 0154000C  744         1981</t>
  </si>
  <si>
    <t>Concepts common to acute illness : identification and management / edited by Laura K. Hart, Jean L. Reese, Margery O. Fearing.</t>
  </si>
  <si>
    <t>894395909:eng</t>
  </si>
  <si>
    <t>7197110</t>
  </si>
  <si>
    <t>991000866039702656</t>
  </si>
  <si>
    <t>2272006350002656</t>
  </si>
  <si>
    <t>9780801621178</t>
  </si>
  <si>
    <t>30001000144503</t>
  </si>
  <si>
    <t>893148503</t>
  </si>
  <si>
    <t>WY154 C9325 1999</t>
  </si>
  <si>
    <t>0                      WY 0154000C  9325        1999</t>
  </si>
  <si>
    <t>Critical care nursing / Linda Bucher, Sheila Melander.</t>
  </si>
  <si>
    <t>Bucher, Linda.</t>
  </si>
  <si>
    <t>10906262:eng</t>
  </si>
  <si>
    <t>38937445</t>
  </si>
  <si>
    <t>991000318249702656</t>
  </si>
  <si>
    <t>2268628460002656</t>
  </si>
  <si>
    <t>9780721669175</t>
  </si>
  <si>
    <t>30001004442465</t>
  </si>
  <si>
    <t>893447189</t>
  </si>
  <si>
    <t>WY 154 C9328 1990</t>
  </si>
  <si>
    <t>0                      WY 0154000C  9328        1990</t>
  </si>
  <si>
    <t>Critical care nursing : a holistic approach / [edited by] Carolyn M. Hudak, Barbara M. Gallo, Julie J. Benz ; 50 contributors.</t>
  </si>
  <si>
    <t>2002-03-21</t>
  </si>
  <si>
    <t>1990-05-03</t>
  </si>
  <si>
    <t>68537377:eng</t>
  </si>
  <si>
    <t>20015431</t>
  </si>
  <si>
    <t>991001371199702656</t>
  </si>
  <si>
    <t>2259713420002656</t>
  </si>
  <si>
    <t>9780397547432</t>
  </si>
  <si>
    <t>30001001797853</t>
  </si>
  <si>
    <t>893369336</t>
  </si>
  <si>
    <t>WY 154 C9328 1998</t>
  </si>
  <si>
    <t>0                      WY 0154000C  9328        1998</t>
  </si>
  <si>
    <t>Critical care nursing : a holistic approach / [edited by] Carolyn M. Hudak, Barbara M. Gallo, Patricia Gonce Morton.</t>
  </si>
  <si>
    <t>1999-12-08</t>
  </si>
  <si>
    <t>36961388</t>
  </si>
  <si>
    <t>991001226659702656</t>
  </si>
  <si>
    <t>2259195280002656</t>
  </si>
  <si>
    <t>9780781791953</t>
  </si>
  <si>
    <t>30001003669555</t>
  </si>
  <si>
    <t>893736336</t>
  </si>
  <si>
    <t>WY154 C9328 2005</t>
  </si>
  <si>
    <t>0                      WY 0154000C  9328        2005</t>
  </si>
  <si>
    <t>Critical care nursing : a holistic approach / [edited by] Patricia Gonce Morton .. ... [et al.].</t>
  </si>
  <si>
    <t>2005-03-21</t>
  </si>
  <si>
    <t>2005-03-18</t>
  </si>
  <si>
    <t>56192795</t>
  </si>
  <si>
    <t>991000433259702656</t>
  </si>
  <si>
    <t>2264647690002656</t>
  </si>
  <si>
    <t>9780781727594</t>
  </si>
  <si>
    <t>30001004928638</t>
  </si>
  <si>
    <t>893461482</t>
  </si>
  <si>
    <t>WY 154 C93296 1998</t>
  </si>
  <si>
    <t>0                      WY 0154000C  93296       1998</t>
  </si>
  <si>
    <t>Critical care nursing : diagnosis and management / Linda D. Urden ... [et al.].</t>
  </si>
  <si>
    <t>2003-03-24</t>
  </si>
  <si>
    <t>1998-01-23</t>
  </si>
  <si>
    <t>4922094573:eng</t>
  </si>
  <si>
    <t>37442721</t>
  </si>
  <si>
    <t>991001295179702656</t>
  </si>
  <si>
    <t>2262015760002656</t>
  </si>
  <si>
    <t>9780815136927</t>
  </si>
  <si>
    <t>30001003741529</t>
  </si>
  <si>
    <t>893460437</t>
  </si>
  <si>
    <t>WY 154 C93296q 1998</t>
  </si>
  <si>
    <t>0                      WY 0154000C  93296q      1998</t>
  </si>
  <si>
    <t>Quick critical care reference / Susan B. Stillwell.</t>
  </si>
  <si>
    <t>Stillwell, Susan B.</t>
  </si>
  <si>
    <t>2004-08-13</t>
  </si>
  <si>
    <t>3372729350:eng</t>
  </si>
  <si>
    <t>38155710</t>
  </si>
  <si>
    <t>991001294999702656</t>
  </si>
  <si>
    <t>2264722570002656</t>
  </si>
  <si>
    <t>9780815136941</t>
  </si>
  <si>
    <t>30001003741503</t>
  </si>
  <si>
    <t>893284656</t>
  </si>
  <si>
    <t>WY 154 C93332 1993</t>
  </si>
  <si>
    <t>0                      WY 0154000C  93332       1993</t>
  </si>
  <si>
    <t>Critical care nursing / [edited by] John M. Clochesy ... [et al.].</t>
  </si>
  <si>
    <t>1993-01-14</t>
  </si>
  <si>
    <t>55569614:eng</t>
  </si>
  <si>
    <t>25547384</t>
  </si>
  <si>
    <t>991001432569702656</t>
  </si>
  <si>
    <t>2261500460002656</t>
  </si>
  <si>
    <t>9780721628561</t>
  </si>
  <si>
    <t>30001002530022</t>
  </si>
  <si>
    <t>893377243</t>
  </si>
  <si>
    <t>WY 154 C93332 1996</t>
  </si>
  <si>
    <t>0                      WY 0154000C  93332       1996</t>
  </si>
  <si>
    <t>2002-02-05</t>
  </si>
  <si>
    <t>33246751</t>
  </si>
  <si>
    <t>991001806859702656</t>
  </si>
  <si>
    <t>2259425060002656</t>
  </si>
  <si>
    <t>9780721656748</t>
  </si>
  <si>
    <t>30001003441641</t>
  </si>
  <si>
    <t>893728029</t>
  </si>
  <si>
    <t>WY 154 C9335 1987</t>
  </si>
  <si>
    <t>0                      WY 0154000C  9335        1987</t>
  </si>
  <si>
    <t>Critical care procedures and protocols : a nursing process approach / [edited by] Carol Batten Persons ; with 16 contributors.</t>
  </si>
  <si>
    <t>1989-08-15</t>
  </si>
  <si>
    <t>5565499:eng</t>
  </si>
  <si>
    <t>12969826</t>
  </si>
  <si>
    <t>991001313409702656</t>
  </si>
  <si>
    <t>2270507810002656</t>
  </si>
  <si>
    <t>9780397545650</t>
  </si>
  <si>
    <t>30001001751744</t>
  </si>
  <si>
    <t>893740988</t>
  </si>
  <si>
    <t>WY154 C979m 2000</t>
  </si>
  <si>
    <t>0                      WY 0154000C  979m        2000</t>
  </si>
  <si>
    <t>Managing death in the ICU : the transition from cure to comfort / edited by J. Randall Curtis, Gordon D. Rubenfeld.</t>
  </si>
  <si>
    <t>Oxford ; New York : Oxford University Press, 2001.</t>
  </si>
  <si>
    <t>866295081:eng</t>
  </si>
  <si>
    <t>46395078</t>
  </si>
  <si>
    <t>991000320809702656</t>
  </si>
  <si>
    <t>2269445090002656</t>
  </si>
  <si>
    <t>9780195128819</t>
  </si>
  <si>
    <t>30001004442523</t>
  </si>
  <si>
    <t>893732760</t>
  </si>
  <si>
    <t>WY 154 D294 1990</t>
  </si>
  <si>
    <t>0                      WY 0154000D  294         1990</t>
  </si>
  <si>
    <t>Decision making in critical care nursing / [edited by] Susan M. Williams.</t>
  </si>
  <si>
    <t>Toronto ; Philadelphia : B.C. Decker ; St. Louis, Mo. : Sales and distribution, Mosby, c1990.</t>
  </si>
  <si>
    <t>onc</t>
  </si>
  <si>
    <t>Decision making in clinical nursing series</t>
  </si>
  <si>
    <t>52009396:eng</t>
  </si>
  <si>
    <t>22815321</t>
  </si>
  <si>
    <t>991001450929702656</t>
  </si>
  <si>
    <t>2270433670002656</t>
  </si>
  <si>
    <t>9781556641183</t>
  </si>
  <si>
    <t>30001001882929</t>
  </si>
  <si>
    <t>893374596</t>
  </si>
  <si>
    <t>WY 154 D569 1989</t>
  </si>
  <si>
    <t>0                      WY 0154000D  569         1989</t>
  </si>
  <si>
    <t>Difficult diagnoses in critical care nursing / [edited by] Marilyn Sawyer Sommers.</t>
  </si>
  <si>
    <t>1990-06-01</t>
  </si>
  <si>
    <t>17735268:eng</t>
  </si>
  <si>
    <t>18379094</t>
  </si>
  <si>
    <t>991001308139702656</t>
  </si>
  <si>
    <t>2258715330002656</t>
  </si>
  <si>
    <t>9780834200104</t>
  </si>
  <si>
    <t>30001001750027</t>
  </si>
  <si>
    <t>893649085</t>
  </si>
  <si>
    <t>WY 154 E52075s 1995</t>
  </si>
  <si>
    <t>0                      WY 0154000E  52075s      1995</t>
  </si>
  <si>
    <t>Standards of emergency nursing practice / Emergency Nurses Association.</t>
  </si>
  <si>
    <t>Emergency Nurses Association.</t>
  </si>
  <si>
    <t>St. Louis, Mo. : Mosby, c1995.</t>
  </si>
  <si>
    <t>2006-01-13</t>
  </si>
  <si>
    <t>24254638:eng</t>
  </si>
  <si>
    <t>30069824</t>
  </si>
  <si>
    <t>991001506199702656</t>
  </si>
  <si>
    <t>2255760590002656</t>
  </si>
  <si>
    <t>9780815130482</t>
  </si>
  <si>
    <t>30001003264464</t>
  </si>
  <si>
    <t>893643651</t>
  </si>
  <si>
    <t>WY 154 E52302 1990</t>
  </si>
  <si>
    <t>0                      WY 0154000E  52302       1990</t>
  </si>
  <si>
    <t>Emergency nursing : a physiologic and clinical perspective / [edited by] Stephanie Kitt, June Kaiser.</t>
  </si>
  <si>
    <t>1990-01-17</t>
  </si>
  <si>
    <t>793856289:eng</t>
  </si>
  <si>
    <t>19740976</t>
  </si>
  <si>
    <t>991001385599702656</t>
  </si>
  <si>
    <t>2259300700002656</t>
  </si>
  <si>
    <t>9780721623740</t>
  </si>
  <si>
    <t>30001001799669</t>
  </si>
  <si>
    <t>893816345</t>
  </si>
  <si>
    <t>WY 154 E5235 1985</t>
  </si>
  <si>
    <t>0                      WY 0154000E  5235        1985</t>
  </si>
  <si>
    <t>Emergency nursing : principles and practice / [edited by] Susan Budassi Sheehy, Janet Barber.</t>
  </si>
  <si>
    <t>3900997623:eng</t>
  </si>
  <si>
    <t>11134231</t>
  </si>
  <si>
    <t>991000866349702656</t>
  </si>
  <si>
    <t>2265256080002656</t>
  </si>
  <si>
    <t>9780801604553</t>
  </si>
  <si>
    <t>30001000144552</t>
  </si>
  <si>
    <t>893120633</t>
  </si>
  <si>
    <t>WY 154 E786 2000</t>
  </si>
  <si>
    <t>0                      WY 0154000E  786         2000</t>
  </si>
  <si>
    <t>Priorities in critical care nursing / [edited by] Linda D. Urden, Kathleen M. Stacy.</t>
  </si>
  <si>
    <t>350899228:eng</t>
  </si>
  <si>
    <t>43118080</t>
  </si>
  <si>
    <t>991001799909702656</t>
  </si>
  <si>
    <t>2266382160002656</t>
  </si>
  <si>
    <t>9780323010009</t>
  </si>
  <si>
    <t>30001003880426</t>
  </si>
  <si>
    <t>893652167</t>
  </si>
  <si>
    <t>WY 154 F612 1983</t>
  </si>
  <si>
    <t>0                      WY 0154000F  612         1983</t>
  </si>
  <si>
    <t>Quick reference to critical care nursing / Betsy Jones Fletcher ; artwork by Mary S. Jones.</t>
  </si>
  <si>
    <t>Fletcher, Betsy Jones.</t>
  </si>
  <si>
    <t>31170407:eng</t>
  </si>
  <si>
    <t>8283014</t>
  </si>
  <si>
    <t>991000866389702656</t>
  </si>
  <si>
    <t>2268310440002656</t>
  </si>
  <si>
    <t>9780397543670</t>
  </si>
  <si>
    <t>30001000144560</t>
  </si>
  <si>
    <t>893826122</t>
  </si>
  <si>
    <t>WY154 F715 2006</t>
  </si>
  <si>
    <t>0                      WY 0154000F  715         2006</t>
  </si>
  <si>
    <t>Forensic nursing / [edited by] Virginia A. Lynch ; with special contributions by Janet Barber Duval.</t>
  </si>
  <si>
    <t>St. Louis, MO : Elsevier Mosby, c2006.</t>
  </si>
  <si>
    <t>2009-08-24</t>
  </si>
  <si>
    <t>2005-10-27</t>
  </si>
  <si>
    <t>3859367503:eng</t>
  </si>
  <si>
    <t>61162595</t>
  </si>
  <si>
    <t>991001735859702656</t>
  </si>
  <si>
    <t>2269294540002656</t>
  </si>
  <si>
    <t>9780323028264</t>
  </si>
  <si>
    <t>30001004913747</t>
  </si>
  <si>
    <t>893451516</t>
  </si>
  <si>
    <t>WY 154 I615 1986</t>
  </si>
  <si>
    <t>0                      WY 0154000I  615         1986</t>
  </si>
  <si>
    <t>Intervention in emergency nursing : the first 60 minutes / edited by Sharon Blanz Cahill, Marytherese Balskus.</t>
  </si>
  <si>
    <t>1990-10-17</t>
  </si>
  <si>
    <t>433645515:eng</t>
  </si>
  <si>
    <t>13665973</t>
  </si>
  <si>
    <t>991000866539702656</t>
  </si>
  <si>
    <t>2271868150002656</t>
  </si>
  <si>
    <t>9780871893628</t>
  </si>
  <si>
    <t>30001000144701</t>
  </si>
  <si>
    <t>893278377</t>
  </si>
  <si>
    <t>WY 154 I618 2005</t>
  </si>
  <si>
    <t>0                      WY 0154000I  618         2005</t>
  </si>
  <si>
    <t>Introduction to critical care nursing / [edited by] Mary Lou Sole, Deborah G. Klein, Marthe J. Moseley.</t>
  </si>
  <si>
    <t>St. Louis, MO : Elsevier Saunders, c2005.</t>
  </si>
  <si>
    <t>2005-03-03</t>
  </si>
  <si>
    <t>364437641:eng</t>
  </si>
  <si>
    <t>56960322</t>
  </si>
  <si>
    <t>991001732069702656</t>
  </si>
  <si>
    <t>2264954670002656</t>
  </si>
  <si>
    <t>9780721605203</t>
  </si>
  <si>
    <t>30001004928265</t>
  </si>
  <si>
    <t>893649402</t>
  </si>
  <si>
    <t>WY 154 K34c 1985</t>
  </si>
  <si>
    <t>0                      WY 0154000K  34c         1985</t>
  </si>
  <si>
    <t>Critical care nursing : body-mind-spirit / Cornelia Vanderstaay Kenner, Cathie E. Guzzetta, Barbara Montgomery Dossey ; foreword by Frances Storlie.</t>
  </si>
  <si>
    <t>Kenner, Cornelia Vanderstaay.</t>
  </si>
  <si>
    <t>1994-10-26</t>
  </si>
  <si>
    <t>375728588:eng</t>
  </si>
  <si>
    <t>11622857</t>
  </si>
  <si>
    <t>991000817029702656</t>
  </si>
  <si>
    <t>2260838460002656</t>
  </si>
  <si>
    <t>9780316489119</t>
  </si>
  <si>
    <t>30001002086603</t>
  </si>
  <si>
    <t>893820521</t>
  </si>
  <si>
    <t>WY 154 K46h 1997</t>
  </si>
  <si>
    <t>0                      WY 0154000K  46h         1997</t>
  </si>
  <si>
    <t>High acuity nursing / Pamela Stinson Kidd, Kathleen Dorman Wagner.</t>
  </si>
  <si>
    <t>Kidd, Pamela Stinson.</t>
  </si>
  <si>
    <t>2005-06-19</t>
  </si>
  <si>
    <t>984654:eng</t>
  </si>
  <si>
    <t>34514132</t>
  </si>
  <si>
    <t>991001230669702656</t>
  </si>
  <si>
    <t>2255931060002656</t>
  </si>
  <si>
    <t>9780838537435</t>
  </si>
  <si>
    <t>30001003672633</t>
  </si>
  <si>
    <t>893121288</t>
  </si>
  <si>
    <t>WY154 K46h 2006</t>
  </si>
  <si>
    <t>0                      WY 0154000K  46h         2006</t>
  </si>
  <si>
    <t>High acuity nursing High-acuity nursing / Kathleen Dorman Wagner, Karen L. Johnson, Pamela Stinson Kidd. High acuity nursing High-acuity nursing / Kathleen Dorman Wagner, Karen L. Johnson, Pamela Stinson Kidd.</t>
  </si>
  <si>
    <t>Wagner, Kathleen Dorman.</t>
  </si>
  <si>
    <t>Upper Saddle River, N.J. : Pearson Prentice-Hall, c2006.</t>
  </si>
  <si>
    <t>2005-08-31</t>
  </si>
  <si>
    <t>57422191</t>
  </si>
  <si>
    <t>991001735169702656</t>
  </si>
  <si>
    <t>2254737520002656</t>
  </si>
  <si>
    <t>9780131245082</t>
  </si>
  <si>
    <t>30001004910404</t>
  </si>
  <si>
    <t>893149399</t>
  </si>
  <si>
    <t>WY 154 L943p 1984</t>
  </si>
  <si>
    <t>0                      WY 0154000L  943p        1984</t>
  </si>
  <si>
    <t>Postanesthesia nursing : a comprehensive guide / Mary Ellen Luczun ; [contributors, Alan Van Poznak, Gladys Tyson Jones].</t>
  </si>
  <si>
    <t>Luczun, Mary Ellen.</t>
  </si>
  <si>
    <t>1990-11-06</t>
  </si>
  <si>
    <t>430940307:eng</t>
  </si>
  <si>
    <t>10484070</t>
  </si>
  <si>
    <t>991000866639702656</t>
  </si>
  <si>
    <t>2264361560002656</t>
  </si>
  <si>
    <t>9780894438561</t>
  </si>
  <si>
    <t>30001000144743</t>
  </si>
  <si>
    <t>893278378</t>
  </si>
  <si>
    <t>WY 154 M294 1991</t>
  </si>
  <si>
    <t>0                      WY 0154000M  294         1991</t>
  </si>
  <si>
    <t>Manual of critical care : applying nursing diagnoses to adult critical illness / edited by Pamela L. Swearingen, Janet Hicks Keen.</t>
  </si>
  <si>
    <t>2001-09-04</t>
  </si>
  <si>
    <t>836821189:eng</t>
  </si>
  <si>
    <t>23016651</t>
  </si>
  <si>
    <t>991001305599702656</t>
  </si>
  <si>
    <t>2258429340002656</t>
  </si>
  <si>
    <t>9780801650840</t>
  </si>
  <si>
    <t>30001002413682</t>
  </si>
  <si>
    <t>893649083</t>
  </si>
  <si>
    <t>WY 154 M2942 1995</t>
  </si>
  <si>
    <t>0                      WY 0154000M  2942        1995</t>
  </si>
  <si>
    <t>Manual of critical care nursing : nursing interventions and collaborative management / edited by Pamela L. Swearingen, special project editor, Janet Hicks Keen.</t>
  </si>
  <si>
    <t>836945760:eng</t>
  </si>
  <si>
    <t>32694644</t>
  </si>
  <si>
    <t>991001552059702656</t>
  </si>
  <si>
    <t>2267890450002656</t>
  </si>
  <si>
    <t>9780815175001</t>
  </si>
  <si>
    <t>30001003474089</t>
  </si>
  <si>
    <t>893552625</t>
  </si>
  <si>
    <t>WY 154 M825c 1987</t>
  </si>
  <si>
    <t>0                      WY 0154000M  825c        1987</t>
  </si>
  <si>
    <t>Critical care plans : guidelines for patient care / Mary Frances Moorhouse, Alice C. Geissler, Marilynn E. Doenges.</t>
  </si>
  <si>
    <t>Philadelphia, PA : Davis, c1987.</t>
  </si>
  <si>
    <t>1987-09-09</t>
  </si>
  <si>
    <t>232430200:eng</t>
  </si>
  <si>
    <t>15366066</t>
  </si>
  <si>
    <t>991001270069702656</t>
  </si>
  <si>
    <t>2261221970002656</t>
  </si>
  <si>
    <t>9780803663114</t>
  </si>
  <si>
    <t>30001000354649</t>
  </si>
  <si>
    <t>893736385</t>
  </si>
  <si>
    <t>WY 154 N342 1963</t>
  </si>
  <si>
    <t>0                      WY 0154000N  342         1963</t>
  </si>
  <si>
    <t>Disaster nursing preparation : report of a pilot project conducted in four schools of nursing and one hospital nursing service.</t>
  </si>
  <si>
    <t>Neal, Mary V.</t>
  </si>
  <si>
    <t>NLN pub. no. 14-1045</t>
  </si>
  <si>
    <t>2226340:eng</t>
  </si>
  <si>
    <t>1289801</t>
  </si>
  <si>
    <t>991001362109702656</t>
  </si>
  <si>
    <t>2261322020002656</t>
  </si>
  <si>
    <t>30001000460941</t>
  </si>
  <si>
    <t>893364031</t>
  </si>
  <si>
    <t>WY 154 P314e 1984</t>
  </si>
  <si>
    <t>0                      WY 0154000P  314e        1984</t>
  </si>
  <si>
    <t>Emergency nursing : a case study approach / Judith Ord Patrizzi, Maria K. Tackett.</t>
  </si>
  <si>
    <t>Patrizzi, Judith Ord, 1939-</t>
  </si>
  <si>
    <t>Bowie, MD : R.J. Brady, c1984.</t>
  </si>
  <si>
    <t>198980103:eng</t>
  </si>
  <si>
    <t>9944007</t>
  </si>
  <si>
    <t>991000866719702656</t>
  </si>
  <si>
    <t>2264831280002656</t>
  </si>
  <si>
    <t>9780893034283</t>
  </si>
  <si>
    <t>30001000144776</t>
  </si>
  <si>
    <t>893460060</t>
  </si>
  <si>
    <t>WY 154 P8565 1990</t>
  </si>
  <si>
    <t>0                      WY 0154000P  8565        1990</t>
  </si>
  <si>
    <t>Post anesthesia care unit : current practices / editor, Elizabeth A.M. Frost.</t>
  </si>
  <si>
    <t>1990-11-02</t>
  </si>
  <si>
    <t>22239814:eng</t>
  </si>
  <si>
    <t>21162939</t>
  </si>
  <si>
    <t>991000776219702656</t>
  </si>
  <si>
    <t>2271132570002656</t>
  </si>
  <si>
    <t>9780801602047</t>
  </si>
  <si>
    <t>30001002063164</t>
  </si>
  <si>
    <t>893551592</t>
  </si>
  <si>
    <t>WY 154 P895 1998</t>
  </si>
  <si>
    <t>0                      WY 0154000P  895         1998</t>
  </si>
  <si>
    <t>Practice issues for the acute care nurse practitioner / Ruth M. Kleinpell and Mariann R. Piano, editors.</t>
  </si>
  <si>
    <t>New York : Springer Pub., c1998.</t>
  </si>
  <si>
    <t>Springer series on advanced practice nursing</t>
  </si>
  <si>
    <t>2003-04-14</t>
  </si>
  <si>
    <t>476249424:eng</t>
  </si>
  <si>
    <t>39361326</t>
  </si>
  <si>
    <t>991000797969702656</t>
  </si>
  <si>
    <t>2261115620002656</t>
  </si>
  <si>
    <t>9780826112040</t>
  </si>
  <si>
    <t>30001004080273</t>
  </si>
  <si>
    <t>893735805</t>
  </si>
  <si>
    <t>WY 154 P958 2004</t>
  </si>
  <si>
    <t>0                      WY 0154000P  958         2004</t>
  </si>
  <si>
    <t>Priorities in critical care nursing / [edited by] Linda D. Urden, Kathleen M. Stacy, Mary E. Lough.</t>
  </si>
  <si>
    <t>St. Louis : Mosby, 2004.</t>
  </si>
  <si>
    <t>2004-01-20</t>
  </si>
  <si>
    <t>2004-01-19</t>
  </si>
  <si>
    <t>52895257</t>
  </si>
  <si>
    <t>991001725319702656</t>
  </si>
  <si>
    <t>2259539120002656</t>
  </si>
  <si>
    <t>9780323024815</t>
  </si>
  <si>
    <t>30001004508521</t>
  </si>
  <si>
    <t>893121794</t>
  </si>
  <si>
    <t>WY 154 R311 1982</t>
  </si>
  <si>
    <t>0                      WY 0154000R  311         1982</t>
  </si>
  <si>
    <t>Recovery room care : principles and practice, design and equipment, staffing and patient care / edited by Jacob S. Israel and Thomas J. DeKornfeld.</t>
  </si>
  <si>
    <t>Springfield, Ill., : Thomas, c1982.</t>
  </si>
  <si>
    <t>1992-06-14</t>
  </si>
  <si>
    <t>1864496570:eng</t>
  </si>
  <si>
    <t>7653483</t>
  </si>
  <si>
    <t>991000866759702656</t>
  </si>
  <si>
    <t>2270474690002656</t>
  </si>
  <si>
    <t>9780398045722</t>
  </si>
  <si>
    <t>30001000144784</t>
  </si>
  <si>
    <t>893374027</t>
  </si>
  <si>
    <t>WY 154 S541 1998</t>
  </si>
  <si>
    <t>0                      WY 0154000S  541         1998</t>
  </si>
  <si>
    <t>Sheehy's emergency nursing : principles and practice.</t>
  </si>
  <si>
    <t>4th ed. / edited by Lorene Newberry.</t>
  </si>
  <si>
    <t>1999-02-27</t>
  </si>
  <si>
    <t>1997-10-14</t>
  </si>
  <si>
    <t>819627758:eng</t>
  </si>
  <si>
    <t>36995362</t>
  </si>
  <si>
    <t>991001563549702656</t>
  </si>
  <si>
    <t>2262833470002656</t>
  </si>
  <si>
    <t>9780815176787</t>
  </si>
  <si>
    <t>30001003629302</t>
  </si>
  <si>
    <t>893736714</t>
  </si>
  <si>
    <t>WY154 S541 2003</t>
  </si>
  <si>
    <t>0                      WY 0154000S  541         2003</t>
  </si>
  <si>
    <t>5th ed. / edited by Lorene Newberry.</t>
  </si>
  <si>
    <t>50639153</t>
  </si>
  <si>
    <t>991000338679702656</t>
  </si>
  <si>
    <t>2263351470002656</t>
  </si>
  <si>
    <t>9780323016841</t>
  </si>
  <si>
    <t>30001004501633</t>
  </si>
  <si>
    <t>893136747</t>
  </si>
  <si>
    <t>WY 154 S785 1988</t>
  </si>
  <si>
    <t>0                      WY 0154000S  785         1988</t>
  </si>
  <si>
    <t>Standards for critical care / Brenda Crispell Johanson ... [et al.].</t>
  </si>
  <si>
    <t>54381086:eng</t>
  </si>
  <si>
    <t>17621822</t>
  </si>
  <si>
    <t>991001116259702656</t>
  </si>
  <si>
    <t>2261075060002656</t>
  </si>
  <si>
    <t>9780801625695</t>
  </si>
  <si>
    <t>30001001613332</t>
  </si>
  <si>
    <t>893377107</t>
  </si>
  <si>
    <t>WY 154 S847p 1978</t>
  </si>
  <si>
    <t>0                      WY 0154000S  847p        1978</t>
  </si>
  <si>
    <t>A plan for nurse staffing in hospital emergency services / Joanne S. Stevenson, Nancy A. Brunner, Jean Larabee.</t>
  </si>
  <si>
    <t>Stevenson, Joanne S.</t>
  </si>
  <si>
    <t>League exchange ; no. 116</t>
  </si>
  <si>
    <t>12284871:eng</t>
  </si>
  <si>
    <t>3725200</t>
  </si>
  <si>
    <t>991001384879702656</t>
  </si>
  <si>
    <t>2262005450002656</t>
  </si>
  <si>
    <t>30001000463523</t>
  </si>
  <si>
    <t>893268422</t>
  </si>
  <si>
    <t>WY154 T341 2002</t>
  </si>
  <si>
    <t>0                      WY 0154000T  341         2002</t>
  </si>
  <si>
    <t>Thelan's critical care nursing : diagnosis and management / Linda D. Urden, Kathleen M. Stacy, Mary E. Lough.</t>
  </si>
  <si>
    <t>Urden, Linda Diann.</t>
  </si>
  <si>
    <t>2002-05-21</t>
  </si>
  <si>
    <t>3855500840:eng</t>
  </si>
  <si>
    <t>48190186</t>
  </si>
  <si>
    <t>991000302189702656</t>
  </si>
  <si>
    <t>2266217610002656</t>
  </si>
  <si>
    <t>9780323014618</t>
  </si>
  <si>
    <t>30001004236354</t>
  </si>
  <si>
    <t>893354155</t>
  </si>
  <si>
    <t>WY 154 T379t 1990</t>
  </si>
  <si>
    <t>0                      WY 0154000T  379t        1990</t>
  </si>
  <si>
    <t>Textbook of critical care nursing : diagnosis and management / Lynne Ann Thelan, Joseph Kevin Davie, Linda Diann Urden.</t>
  </si>
  <si>
    <t>Thelan, Lynne A.</t>
  </si>
  <si>
    <t>1990-07-14</t>
  </si>
  <si>
    <t>3856323695:eng</t>
  </si>
  <si>
    <t>20525543</t>
  </si>
  <si>
    <t>991001451069702656</t>
  </si>
  <si>
    <t>2264967520002656</t>
  </si>
  <si>
    <t>9780801650031</t>
  </si>
  <si>
    <t>30001001882986</t>
  </si>
  <si>
    <t>893832203</t>
  </si>
  <si>
    <t>WY 154 T616 1990</t>
  </si>
  <si>
    <t>0                      WY 0154000T  616         1990</t>
  </si>
  <si>
    <t>Tissue and organ transplantation : implications for professional nursing practice / [edited by] Susan L. Smith ; American Association of Critical-Care Nurses.</t>
  </si>
  <si>
    <t>St. Louis : Mosby Year Book, c1990.</t>
  </si>
  <si>
    <t>1997-04-06</t>
  </si>
  <si>
    <t>1990-11-20</t>
  </si>
  <si>
    <t>22971069:eng</t>
  </si>
  <si>
    <t>21410561</t>
  </si>
  <si>
    <t>991000780699702656</t>
  </si>
  <si>
    <t>2254799060002656</t>
  </si>
  <si>
    <t>9780801655265</t>
  </si>
  <si>
    <t>30001002064337</t>
  </si>
  <si>
    <t>893648188</t>
  </si>
  <si>
    <t>WY 154.5 R813n 1983</t>
  </si>
  <si>
    <t>0                      WY 0154500R  813n        1983</t>
  </si>
  <si>
    <t>The nurse's atlas of dermatology / Theodore Rosen, Marilyn B. Lanning, Marcia J. Hill.</t>
  </si>
  <si>
    <t>Rosen, Ted.</t>
  </si>
  <si>
    <t>Boston : Little, Brown, c1983.</t>
  </si>
  <si>
    <t>First ed.</t>
  </si>
  <si>
    <t>1998-02-28</t>
  </si>
  <si>
    <t>433417073:eng</t>
  </si>
  <si>
    <t>10283987</t>
  </si>
  <si>
    <t>991000866799702656</t>
  </si>
  <si>
    <t>2257167780002656</t>
  </si>
  <si>
    <t>9780316757058</t>
  </si>
  <si>
    <t>30001000144818</t>
  </si>
  <si>
    <t>893133920</t>
  </si>
  <si>
    <t>WY 155 E567 1988</t>
  </si>
  <si>
    <t>0                      WY 0155000E  567         1988</t>
  </si>
  <si>
    <t>Endocrine problems.</t>
  </si>
  <si>
    <t>33538858:eng</t>
  </si>
  <si>
    <t>14358117</t>
  </si>
  <si>
    <t>991001308309702656</t>
  </si>
  <si>
    <t>2255659670002656</t>
  </si>
  <si>
    <t>9780874341836</t>
  </si>
  <si>
    <t>30001001750076</t>
  </si>
  <si>
    <t>893740983</t>
  </si>
  <si>
    <t>WY 155 N974 1982</t>
  </si>
  <si>
    <t>0                      WY 0155000N  974         1982</t>
  </si>
  <si>
    <t>Nursing management of diabetes mellitus / [edited by] Diana W. Guthrie, Richard A. Guthrie.</t>
  </si>
  <si>
    <t>1995-11-06</t>
  </si>
  <si>
    <t>364456225:eng</t>
  </si>
  <si>
    <t>7773975</t>
  </si>
  <si>
    <t>991000733909702656</t>
  </si>
  <si>
    <t>2272680140002656</t>
  </si>
  <si>
    <t>9780801619960</t>
  </si>
  <si>
    <t>30001000040982</t>
  </si>
  <si>
    <t>893459765</t>
  </si>
  <si>
    <t>WY 156 A189 1972</t>
  </si>
  <si>
    <t>0                      WY 0156000A  189         1972</t>
  </si>
  <si>
    <t>Acute coronary care / Gerald H. Whipple [et. al.].</t>
  </si>
  <si>
    <t>-- Boston : Little, Brown, 1972.</t>
  </si>
  <si>
    <t>1999-10-09</t>
  </si>
  <si>
    <t>53956599:eng</t>
  </si>
  <si>
    <t>286949</t>
  </si>
  <si>
    <t>991000866959702656</t>
  </si>
  <si>
    <t>2263787430002656</t>
  </si>
  <si>
    <t>30001000144883</t>
  </si>
  <si>
    <t>893363424</t>
  </si>
  <si>
    <t>WY 156 A849n 1982</t>
  </si>
  <si>
    <t>0                      WY 0156000A  849n        1982</t>
  </si>
  <si>
    <t>Nursing care of the child with cancer / Association of Pediatric Oncology Nurses ; edited by Dianne Fochtman, Genevieve V. Foley.</t>
  </si>
  <si>
    <t>Association of Pediatric Oncology Nurses (U.S.)</t>
  </si>
  <si>
    <t>2004-03-22</t>
  </si>
  <si>
    <t>355432406:eng</t>
  </si>
  <si>
    <t>10548423</t>
  </si>
  <si>
    <t>991000733839702656</t>
  </si>
  <si>
    <t>2256930420002656</t>
  </si>
  <si>
    <t>9780316048842</t>
  </si>
  <si>
    <t>30001000040966</t>
  </si>
  <si>
    <t>893731008</t>
  </si>
  <si>
    <t>WY 156 B163c 1991</t>
  </si>
  <si>
    <t>0                      WY 0156000B  163c        1991</t>
  </si>
  <si>
    <t>Cancer nursing : a comprehensive textbook / Susan B. Baird, Ruth McCorkle, Marcia Grant.</t>
  </si>
  <si>
    <t>Baird, Susan B.</t>
  </si>
  <si>
    <t>836732353:eng</t>
  </si>
  <si>
    <t>22705253</t>
  </si>
  <si>
    <t>991001016419702656</t>
  </si>
  <si>
    <t>2257671200002656</t>
  </si>
  <si>
    <t>9780721626987</t>
  </si>
  <si>
    <t>30001002240747</t>
  </si>
  <si>
    <t>893816036</t>
  </si>
  <si>
    <t>WY 156 B736e 1976</t>
  </si>
  <si>
    <t>0                      WY 0156000B  736e        1976</t>
  </si>
  <si>
    <t>Elements of rehabilitation in nursing : an introduction / Rose Marie Boroch.</t>
  </si>
  <si>
    <t>Boroch, Rose Marie, 1941-</t>
  </si>
  <si>
    <t>335618942:eng</t>
  </si>
  <si>
    <t>2072806</t>
  </si>
  <si>
    <t>991000867079702656</t>
  </si>
  <si>
    <t>2254766750002656</t>
  </si>
  <si>
    <t>9780801614255</t>
  </si>
  <si>
    <t>30001000145005</t>
  </si>
  <si>
    <t>893450568</t>
  </si>
  <si>
    <t>WY 156 C213 1991</t>
  </si>
  <si>
    <t>0                      WY 0156000C  213         1991</t>
  </si>
  <si>
    <t>Cancer chemotherapy : a nursing process approach / Margaret Barton Burke ... [et al.].</t>
  </si>
  <si>
    <t>Boston : Jones and Bartlett Publishers, c1991.</t>
  </si>
  <si>
    <t>1997-02-03</t>
  </si>
  <si>
    <t>799957209:eng</t>
  </si>
  <si>
    <t>23219104</t>
  </si>
  <si>
    <t>991001470739702656</t>
  </si>
  <si>
    <t>2256344680002656</t>
  </si>
  <si>
    <t>9780867204346</t>
  </si>
  <si>
    <t>30001002563072</t>
  </si>
  <si>
    <t>893377289</t>
  </si>
  <si>
    <t>WY 156 C217 1981</t>
  </si>
  <si>
    <t>0                      WY 0156000C  217         1981</t>
  </si>
  <si>
    <t>Cancer nursing / edited by Lisa Begg Marino ; with 27 contributors.</t>
  </si>
  <si>
    <t>3863819890:eng</t>
  </si>
  <si>
    <t>6862903</t>
  </si>
  <si>
    <t>991000918339702656</t>
  </si>
  <si>
    <t>2271286520002656</t>
  </si>
  <si>
    <t>9780801631078</t>
  </si>
  <si>
    <t>30001000180150</t>
  </si>
  <si>
    <t>893267832</t>
  </si>
  <si>
    <t>WY 156 C2193 1984</t>
  </si>
  <si>
    <t>0                      WY 0156000C  2193        1984</t>
  </si>
  <si>
    <t>Cancer nursing, a developmental approach / edited by Sue Norville McIntire, Anne L. Cioppa.</t>
  </si>
  <si>
    <t>836652451:eng</t>
  </si>
  <si>
    <t>10348724</t>
  </si>
  <si>
    <t>991000918389702656</t>
  </si>
  <si>
    <t>2257131530002656</t>
  </si>
  <si>
    <t>9780471082903</t>
  </si>
  <si>
    <t>30001000180168</t>
  </si>
  <si>
    <t>893120729</t>
  </si>
  <si>
    <t>WY 156 C2197 1987</t>
  </si>
  <si>
    <t>0                      WY 0156000C  2197        1987</t>
  </si>
  <si>
    <t>Cancer nursing : principles and practices / edited by Susan L. Groenwald.</t>
  </si>
  <si>
    <t>Boston : Jones and Bartlett Publishers, c1987.</t>
  </si>
  <si>
    <t>4159959925:eng</t>
  </si>
  <si>
    <t>15550354</t>
  </si>
  <si>
    <t>991001420119702656</t>
  </si>
  <si>
    <t>2268866010002656</t>
  </si>
  <si>
    <t>9780867203516</t>
  </si>
  <si>
    <t>30001001182007</t>
  </si>
  <si>
    <t>893377236</t>
  </si>
  <si>
    <t>WY 156 C2197 1997</t>
  </si>
  <si>
    <t>0                      WY 0156000C  2197        1997</t>
  </si>
  <si>
    <t>Cancer nursing : principles and practice / edited by Susan L. Groenwald ... [et al.].</t>
  </si>
  <si>
    <t>Sudbury, Mass. : Jones and Bartlett, c1997.</t>
  </si>
  <si>
    <t>1998-11-02</t>
  </si>
  <si>
    <t>1997-06-17</t>
  </si>
  <si>
    <t>799961800:eng</t>
  </si>
  <si>
    <t>35926858</t>
  </si>
  <si>
    <t>991001254339702656</t>
  </si>
  <si>
    <t>2263107010002656</t>
  </si>
  <si>
    <t>9780763702199</t>
  </si>
  <si>
    <t>30001003683788</t>
  </si>
  <si>
    <t>893284603</t>
  </si>
  <si>
    <t>WY 156 C2197 2000</t>
  </si>
  <si>
    <t>0                      WY 0156000C  2197        2000</t>
  </si>
  <si>
    <t>Cancer nursing : principles and practice / edited by Connie Henke Yarbro ... [et al.].</t>
  </si>
  <si>
    <t>421361446</t>
  </si>
  <si>
    <t>991001699899702656</t>
  </si>
  <si>
    <t>2269296950002656</t>
  </si>
  <si>
    <t>9780763711641</t>
  </si>
  <si>
    <t>30001003942069</t>
  </si>
  <si>
    <t>893558121</t>
  </si>
  <si>
    <t>WY 156 C21974 1990</t>
  </si>
  <si>
    <t>0                      WY 0156000C  21974       1990</t>
  </si>
  <si>
    <t>Cancer nursing research : a practical approach / [edited by] Marcia M. Grant, Geraldine V. Padilla.</t>
  </si>
  <si>
    <t>21648191:eng</t>
  </si>
  <si>
    <t>19980986</t>
  </si>
  <si>
    <t>991001451009702656</t>
  </si>
  <si>
    <t>2269664470002656</t>
  </si>
  <si>
    <t>9780838510339</t>
  </si>
  <si>
    <t>30001001882978</t>
  </si>
  <si>
    <t>893736602</t>
  </si>
  <si>
    <t>WY 156 C267 1983</t>
  </si>
  <si>
    <t>0                      WY 0156000C  267         1983</t>
  </si>
  <si>
    <t>The cardiac patient : a comprehensive approach / Richard G. Sanderson, Chestine Kurth.</t>
  </si>
  <si>
    <t>1420815:eng</t>
  </si>
  <si>
    <t>8284285</t>
  </si>
  <si>
    <t>991000918439702656</t>
  </si>
  <si>
    <t>2268042010002656</t>
  </si>
  <si>
    <t>9780721679068</t>
  </si>
  <si>
    <t>30001000180176</t>
  </si>
  <si>
    <t>893815916</t>
  </si>
  <si>
    <t>WY 156 C289c 1990</t>
  </si>
  <si>
    <t>0                      WY 0156000C  289c        1990</t>
  </si>
  <si>
    <t>The cancer experience : nursing diagnosis and management / Doris L. Carnevali, Ann C. Reiner.</t>
  </si>
  <si>
    <t>Carnevali, Doris L.</t>
  </si>
  <si>
    <t>Philadelphia, Pa. : Lippincott, c1990.</t>
  </si>
  <si>
    <t>1990-11-29</t>
  </si>
  <si>
    <t>433003440:eng</t>
  </si>
  <si>
    <t>20823881</t>
  </si>
  <si>
    <t>991001549899702656</t>
  </si>
  <si>
    <t>2268318240002656</t>
  </si>
  <si>
    <t>9780397547265</t>
  </si>
  <si>
    <t>30001002064816</t>
  </si>
  <si>
    <t>893558088</t>
  </si>
  <si>
    <t>WY 156 C521c 1984</t>
  </si>
  <si>
    <t>0                      WY 0156000C  521c        1984</t>
  </si>
  <si>
    <t>Critical nursing care of the client with cancer / Cynthia C. Chernecky, Priscilla W. Ramsey ; contributing author, Priscilla M. Kline.</t>
  </si>
  <si>
    <t>Chernecky, Cynthia C.</t>
  </si>
  <si>
    <t>3373232:eng</t>
  </si>
  <si>
    <t>10777339</t>
  </si>
  <si>
    <t>991000918469702656</t>
  </si>
  <si>
    <t>2263652500002656</t>
  </si>
  <si>
    <t>9780838512432</t>
  </si>
  <si>
    <t>30001000180192</t>
  </si>
  <si>
    <t>893820723</t>
  </si>
  <si>
    <t>WY 156 C556r 1974</t>
  </si>
  <si>
    <t>0                      WY 0156000C  556r        1974</t>
  </si>
  <si>
    <t>Rehabilitation nursing : perspectives and applications / Victor A. Christopherson, Pearl Parvin Coulter, Mary Opal Wolanin.</t>
  </si>
  <si>
    <t>Christopherson, Victor A., 1923-</t>
  </si>
  <si>
    <t>-- New York : McGraw-Hill, 1974.</t>
  </si>
  <si>
    <t>404993:eng</t>
  </si>
  <si>
    <t>650624</t>
  </si>
  <si>
    <t>991000918499702656</t>
  </si>
  <si>
    <t>2266429830002656</t>
  </si>
  <si>
    <t>9780070108158</t>
  </si>
  <si>
    <t>30001000180200</t>
  </si>
  <si>
    <t>893455282</t>
  </si>
  <si>
    <t>WY 156 C737 1984</t>
  </si>
  <si>
    <t>0                      WY 0156000C  737         1984</t>
  </si>
  <si>
    <t>Complete guide to cancer nursing / edited by Marjorie Beyers, Suzanne Durburg, June Werner.</t>
  </si>
  <si>
    <t>Oradell, N.J. : Medical Economics Books, c1984.</t>
  </si>
  <si>
    <t>375425047:eng</t>
  </si>
  <si>
    <t>9322876</t>
  </si>
  <si>
    <t>991000918549702656</t>
  </si>
  <si>
    <t>2260876890002656</t>
  </si>
  <si>
    <t>9780874892949</t>
  </si>
  <si>
    <t>30001000180226</t>
  </si>
  <si>
    <t>893133970</t>
  </si>
  <si>
    <t>WY 156 C745 1981</t>
  </si>
  <si>
    <t>0                      WY 0156000C  745         1981</t>
  </si>
  <si>
    <t>Concepts of oncology nursing / Donna L. Vredevoe ... [et al.], with contribution by Carol A. Brainerd.</t>
  </si>
  <si>
    <t>410507:eng</t>
  </si>
  <si>
    <t>7171077</t>
  </si>
  <si>
    <t>991000918589702656</t>
  </si>
  <si>
    <t>2269587480002656</t>
  </si>
  <si>
    <t>9780131665873</t>
  </si>
  <si>
    <t>30001000180234</t>
  </si>
  <si>
    <t>893358011</t>
  </si>
  <si>
    <t>WY 156 C761 2003</t>
  </si>
  <si>
    <t>0                      WY 0156000C  761         2003</t>
  </si>
  <si>
    <t>Contemporary issues in lung cancer : a nursing perspective / edited by Marilyn Haas.</t>
  </si>
  <si>
    <t>Boston : Jones and Bartlett Publishers, c2003.</t>
  </si>
  <si>
    <t>2004-04-08</t>
  </si>
  <si>
    <t>2004-04-06</t>
  </si>
  <si>
    <t>802946408:eng</t>
  </si>
  <si>
    <t>50511375</t>
  </si>
  <si>
    <t>991000369799702656</t>
  </si>
  <si>
    <t>2257480880002656</t>
  </si>
  <si>
    <t>9780763719142</t>
  </si>
  <si>
    <t>30001004218618</t>
  </si>
  <si>
    <t>893150966</t>
  </si>
  <si>
    <t>WY 156 C953p 1962</t>
  </si>
  <si>
    <t>0                      WY 0156000C  953p        1962</t>
  </si>
  <si>
    <t>Pain and its alleviation / Dorothy M. Crowley.</t>
  </si>
  <si>
    <t>Crowley, Dorothy M. (Dorothy Marie), 1919-</t>
  </si>
  <si>
    <t>[Los Angeles] : UCLA, School of Nursing, c1962.</t>
  </si>
  <si>
    <t>1992-11-04</t>
  </si>
  <si>
    <t>8308014:eng</t>
  </si>
  <si>
    <t>14612038</t>
  </si>
  <si>
    <t>991000918829702656</t>
  </si>
  <si>
    <t>2265873030002656</t>
  </si>
  <si>
    <t>30001000180333</t>
  </si>
  <si>
    <t>893546208</t>
  </si>
  <si>
    <t>WY 156 D997 1976</t>
  </si>
  <si>
    <t>0                      WY 0156000D  997         1976</t>
  </si>
  <si>
    <t>Dynamics of problem-oriented approaches : patient care and documentation / edited by Judith Bloom Walter, Geraldine P. Pardee, Doris M. Molbo ; contributors, Judith G. Atwood ... [et al.].</t>
  </si>
  <si>
    <t>Philadelphia : Lippincott, c1976.</t>
  </si>
  <si>
    <t>1989-12-10</t>
  </si>
  <si>
    <t>890629785:eng</t>
  </si>
  <si>
    <t>2151124</t>
  </si>
  <si>
    <t>991000918789702656</t>
  </si>
  <si>
    <t>2261436890002656</t>
  </si>
  <si>
    <t>9780397541874</t>
  </si>
  <si>
    <t>30001000180341</t>
  </si>
  <si>
    <t>893460133</t>
  </si>
  <si>
    <t>WY 156 E58 1990</t>
  </si>
  <si>
    <t>0                      WY 0156000E  58          1990</t>
  </si>
  <si>
    <t>Enhancing the role of cancer nursing / editors, Carol Reed Ash, Jean F. Jenkins.</t>
  </si>
  <si>
    <t>New York : Raven Press, c1990.</t>
  </si>
  <si>
    <t>22051519:eng</t>
  </si>
  <si>
    <t>20356902</t>
  </si>
  <si>
    <t>991001453079702656</t>
  </si>
  <si>
    <t>2267665770002656</t>
  </si>
  <si>
    <t>9780881675658</t>
  </si>
  <si>
    <t>30001001883885</t>
  </si>
  <si>
    <t>893364164</t>
  </si>
  <si>
    <t>WY156 E93 2006</t>
  </si>
  <si>
    <t>0                      WY 0156000E  93          2006</t>
  </si>
  <si>
    <t>An evidence-based approach to the treatment and care of the older adult with cancer / edited by Diane G. Cope, Anne M. Reb.</t>
  </si>
  <si>
    <t>Pittsburgh, Pa. : Oncology Nursing Society, c2006.</t>
  </si>
  <si>
    <t>2008-12-22</t>
  </si>
  <si>
    <t>2008-01-24</t>
  </si>
  <si>
    <t>480127314:eng</t>
  </si>
  <si>
    <t>64384319</t>
  </si>
  <si>
    <t>991000674499702656</t>
  </si>
  <si>
    <t>2268120390002656</t>
  </si>
  <si>
    <t>9781890504588</t>
  </si>
  <si>
    <t>30001004915247</t>
  </si>
  <si>
    <t>893464523</t>
  </si>
  <si>
    <t>WY 156 G9466 1985</t>
  </si>
  <si>
    <t>0                      WY 0156000G  9466        1985</t>
  </si>
  <si>
    <t>Guidelines for cancer nursing practice / edited by Oncology Nursing Society Clinical Practice Subcommittee on Guidelines, Joan C. McNally, Joy Campbell Stair, Eileen T. Somerville.</t>
  </si>
  <si>
    <t>Orlando : Grune &amp; Stratton, c1985.</t>
  </si>
  <si>
    <t>3934351:eng</t>
  </si>
  <si>
    <t>11371866</t>
  </si>
  <si>
    <t>991000918939702656</t>
  </si>
  <si>
    <t>2268568290002656</t>
  </si>
  <si>
    <t>9780808917083</t>
  </si>
  <si>
    <t>30001000180432</t>
  </si>
  <si>
    <t>893632499</t>
  </si>
  <si>
    <t>WY 156 H299p 1973</t>
  </si>
  <si>
    <t>0                      WY 0156000H  299p        1973</t>
  </si>
  <si>
    <t>Patient care in renal failure / Joan DeLong Harrington [and] Etta Rae Brener.</t>
  </si>
  <si>
    <t>V.5</t>
  </si>
  <si>
    <t>Harrington, Joan DeLong.</t>
  </si>
  <si>
    <t>Philadelphia : Saunders, 1973.</t>
  </si>
  <si>
    <t>Saunders monographs in clinical nursing ; 5</t>
  </si>
  <si>
    <t>1610565:eng</t>
  </si>
  <si>
    <t>754595</t>
  </si>
  <si>
    <t>991000919049702656</t>
  </si>
  <si>
    <t>2267647120002656</t>
  </si>
  <si>
    <t>9780721645285</t>
  </si>
  <si>
    <t>30001000180473</t>
  </si>
  <si>
    <t>893358012</t>
  </si>
  <si>
    <t>WY 156 K39c 1970</t>
  </si>
  <si>
    <t>0                      WY 0156000K  39c         1970</t>
  </si>
  <si>
    <t>Cardiovascular nursing : rationale for therapy and nursing approach / Jeanette Kernicki, Barbara L. Bullock, Joan Matthews.</t>
  </si>
  <si>
    <t>Kernicki, Jeanette.</t>
  </si>
  <si>
    <t>New York : Putnam, [c1970]</t>
  </si>
  <si>
    <t>1284818:eng</t>
  </si>
  <si>
    <t>135958</t>
  </si>
  <si>
    <t>991000919099702656</t>
  </si>
  <si>
    <t>2263902890002656</t>
  </si>
  <si>
    <t>30001000180531</t>
  </si>
  <si>
    <t>893831724</t>
  </si>
  <si>
    <t>WY 156 M294 1990</t>
  </si>
  <si>
    <t>0                      WY 0156000M  294         1990</t>
  </si>
  <si>
    <t>Manual of oncology nursing practice : nursing diagnoses and care / edited by Reidun Juvkam Daeffler, Barbara M. Petrosino.</t>
  </si>
  <si>
    <t>1995-06-20</t>
  </si>
  <si>
    <t>1102508266:eng</t>
  </si>
  <si>
    <t>20320466</t>
  </si>
  <si>
    <t>991001450959702656</t>
  </si>
  <si>
    <t>2264554640002656</t>
  </si>
  <si>
    <t>9780834201149</t>
  </si>
  <si>
    <t>30001001882952</t>
  </si>
  <si>
    <t>893162018</t>
  </si>
  <si>
    <t>WY 156 M449c 1987</t>
  </si>
  <si>
    <t>0                      WY 0156000M  449c        1987</t>
  </si>
  <si>
    <t>Childhood cancer : a nursing overview / Susan K. Maul-Mellott, Jeanette Adams.</t>
  </si>
  <si>
    <t>Maul-Mellott, Susan K.</t>
  </si>
  <si>
    <t>Boston : Jones and Bartlett, 1987.</t>
  </si>
  <si>
    <t>442071324:eng</t>
  </si>
  <si>
    <t>14586527</t>
  </si>
  <si>
    <t>991001264839702656</t>
  </si>
  <si>
    <t>2271105570002656</t>
  </si>
  <si>
    <t>9780867203813</t>
  </si>
  <si>
    <t>30001000352452</t>
  </si>
  <si>
    <t>893740917</t>
  </si>
  <si>
    <t>WY 156 N9727 2002</t>
  </si>
  <si>
    <t>0                      WY 0156000N  9727        2002</t>
  </si>
  <si>
    <t>Nursing care of children and adolescents with cancer / Association of Pediatric Oncology Nurses ; [edited by] Christina Rasco Baggott ... [et al.].</t>
  </si>
  <si>
    <t>Philadelphia : Saunders, c2002.</t>
  </si>
  <si>
    <t>2006-11-21</t>
  </si>
  <si>
    <t>2002-06-14</t>
  </si>
  <si>
    <t>475921308:eng</t>
  </si>
  <si>
    <t>47522469</t>
  </si>
  <si>
    <t>991000315549702656</t>
  </si>
  <si>
    <t>2262269430002656</t>
  </si>
  <si>
    <t>9780721687186</t>
  </si>
  <si>
    <t>30001004238863</t>
  </si>
  <si>
    <t>893737219</t>
  </si>
  <si>
    <t>WY 156 N9734 1971</t>
  </si>
  <si>
    <t>0                      WY 0156000N  9734        1971</t>
  </si>
  <si>
    <t>Nursing care of the patient with medical-surgical disorders / Edited by Harriet Coston Moidel [and others]</t>
  </si>
  <si>
    <t>New York : McGraw-Hill, [1971]</t>
  </si>
  <si>
    <t>53938343:eng</t>
  </si>
  <si>
    <t>119863</t>
  </si>
  <si>
    <t>991000919229702656</t>
  </si>
  <si>
    <t>2264162110002656</t>
  </si>
  <si>
    <t>9780070426535</t>
  </si>
  <si>
    <t>30001000180614</t>
  </si>
  <si>
    <t>893540820</t>
  </si>
  <si>
    <t>WY 156 N9737 1971</t>
  </si>
  <si>
    <t>0                      WY 0156000N  9737        1971</t>
  </si>
  <si>
    <t>Nursing in cardiovascular diseases / Compiled by Edith P. Lewis.</t>
  </si>
  <si>
    <t>-- New York : American Journal of Nursing, c1971.</t>
  </si>
  <si>
    <t>1287692:eng</t>
  </si>
  <si>
    <t>211498</t>
  </si>
  <si>
    <t>991000919309702656</t>
  </si>
  <si>
    <t>2264093780002656</t>
  </si>
  <si>
    <t>30001000180630</t>
  </si>
  <si>
    <t>893120732</t>
  </si>
  <si>
    <t>WY 156 P371 1986</t>
  </si>
  <si>
    <t>0                      WY 0156000P  371         1986</t>
  </si>
  <si>
    <t>Pediatric oncology and hematology : perspectives on care / edited by Marilyn J. Hockenberry, Deborah K. Coody.</t>
  </si>
  <si>
    <t>4942166:eng</t>
  </si>
  <si>
    <t>12558046</t>
  </si>
  <si>
    <t>991000919349702656</t>
  </si>
  <si>
    <t>2256567320002656</t>
  </si>
  <si>
    <t>9780801622533</t>
  </si>
  <si>
    <t>30001000180663</t>
  </si>
  <si>
    <t>893831725</t>
  </si>
  <si>
    <t>WY 156 P9742 1998</t>
  </si>
  <si>
    <t>0                      WY 0156000P  9742        1998</t>
  </si>
  <si>
    <t>Psychosocial dimensions of oncology nursing care / Catherine C. Burke, editor.</t>
  </si>
  <si>
    <t>Pittsburgh, PA : Oncology Nursing Press, c1998.</t>
  </si>
  <si>
    <t>2000-03-22</t>
  </si>
  <si>
    <t>25861329:eng</t>
  </si>
  <si>
    <t>40782945</t>
  </si>
  <si>
    <t>991001442729702656</t>
  </si>
  <si>
    <t>2261852010002656</t>
  </si>
  <si>
    <t>9781890504069</t>
  </si>
  <si>
    <t>30001003883230</t>
  </si>
  <si>
    <t>893364161</t>
  </si>
  <si>
    <t>WY 156 P9743 1998</t>
  </si>
  <si>
    <t>0                      WY 0156000P  9743        1998</t>
  </si>
  <si>
    <t>Psychosocial nursing care along the cancer continuum / [edited by] Rose Mary Carroll-Johnson, Linda M. Gorman, Nancy Jo Bush.</t>
  </si>
  <si>
    <t>436594402:eng</t>
  </si>
  <si>
    <t>39543301</t>
  </si>
  <si>
    <t>991001440159702656</t>
  </si>
  <si>
    <t>2255740720002656</t>
  </si>
  <si>
    <t>9781890504045</t>
  </si>
  <si>
    <t>30001003880905</t>
  </si>
  <si>
    <t>893287427</t>
  </si>
  <si>
    <t>WY156 Q14 2003</t>
  </si>
  <si>
    <t>0                      WY 0156000Q  14          2003</t>
  </si>
  <si>
    <t>Quality of life : from nursing and patient perspectives : theory, research, practice / Cynthia R. King &amp; Pamela S. Hinds, editors.</t>
  </si>
  <si>
    <t>Sudbury, Mass. : Jones and Bartlett Publishers, c2003.</t>
  </si>
  <si>
    <t>194970164:eng</t>
  </si>
  <si>
    <t>51258166</t>
  </si>
  <si>
    <t>991001723359702656</t>
  </si>
  <si>
    <t>2268281680002656</t>
  </si>
  <si>
    <t>9780763722357</t>
  </si>
  <si>
    <t>30001004504991</t>
  </si>
  <si>
    <t>893134771</t>
  </si>
  <si>
    <t>WY 156 R128 2007</t>
  </si>
  <si>
    <t>0                      WY 0156000R  128         2007</t>
  </si>
  <si>
    <t>Radiation therapy : a guide to patient care / Marilyn L. Haas ... [et al.].</t>
  </si>
  <si>
    <t>St. Louis, Mo. : Mosby/Elsevier, c2007.</t>
  </si>
  <si>
    <t>2009-08-11</t>
  </si>
  <si>
    <t>863875992:eng</t>
  </si>
  <si>
    <t>127113523</t>
  </si>
  <si>
    <t>991001486109702656</t>
  </si>
  <si>
    <t>2261932530002656</t>
  </si>
  <si>
    <t>9780323040303</t>
  </si>
  <si>
    <t>30001004918993</t>
  </si>
  <si>
    <t>893121544</t>
  </si>
  <si>
    <t>WY 156 R647b 1976</t>
  </si>
  <si>
    <t>0                      WY 0156000R  647b        1976</t>
  </si>
  <si>
    <t>Behavioral concepts and the critically ill patient / Sharon L. Roberts.</t>
  </si>
  <si>
    <t>Roberts, Sharon L., 1942-</t>
  </si>
  <si>
    <t>-- Englewood Cliffs, N.J. : Prentice-Hall, c1976.</t>
  </si>
  <si>
    <t>2392007:eng</t>
  </si>
  <si>
    <t>1529311</t>
  </si>
  <si>
    <t>991000733759702656</t>
  </si>
  <si>
    <t>2256871030002656</t>
  </si>
  <si>
    <t>9780130744760</t>
  </si>
  <si>
    <t>30001000040925</t>
  </si>
  <si>
    <t>893735449</t>
  </si>
  <si>
    <t>WY 156 S216c 1972</t>
  </si>
  <si>
    <t>0                      WY 0156000S  216c        1972</t>
  </si>
  <si>
    <t>The cardiac patient : a comprehensive approach / [edited by] Richard G. Sanderson : with contributions by Cynthia L. Becker ... [et al.]</t>
  </si>
  <si>
    <t>Sanderson, Richard G.</t>
  </si>
  <si>
    <t>-- Philadelphia : Saunders, 1972.</t>
  </si>
  <si>
    <t>Saunders monographs in clinical nursing ; 2</t>
  </si>
  <si>
    <t>363894</t>
  </si>
  <si>
    <t>991000919659702656</t>
  </si>
  <si>
    <t>2261865180002656</t>
  </si>
  <si>
    <t>9780721670959</t>
  </si>
  <si>
    <t>30001000180713</t>
  </si>
  <si>
    <t>893643020</t>
  </si>
  <si>
    <t>WY 156 S785 1986</t>
  </si>
  <si>
    <t>0                      WY 0156000S  785         1986</t>
  </si>
  <si>
    <t>Standards of oncology nursing practice / edited by Mary H. Brown ... [et al.] ; sponsored by the Division of Nursing, Memorial Sloan-Kettering Cancer Center.</t>
  </si>
  <si>
    <t>New York : Wiley, c1986.</t>
  </si>
  <si>
    <t>439630539:eng</t>
  </si>
  <si>
    <t>13580393</t>
  </si>
  <si>
    <t>991000733709702656</t>
  </si>
  <si>
    <t>2271018090002656</t>
  </si>
  <si>
    <t>9780471842835</t>
  </si>
  <si>
    <t>30001000040917</t>
  </si>
  <si>
    <t>893467548</t>
  </si>
  <si>
    <t>WY 156 T198s 1987</t>
  </si>
  <si>
    <t>0                      WY 0156000T  198s        1987</t>
  </si>
  <si>
    <t>Standards of oncology nursing practice / American Nurses' Association and Oncology Nursing Society.</t>
  </si>
  <si>
    <t>Task Force to Develop Standards of Oncology Nursing Practice.</t>
  </si>
  <si>
    <t>Kansas City, Mo. (2420 Pershing Rd., Kansas City 64108) : The Association, c1987.</t>
  </si>
  <si>
    <t>ANA pub ; no. MS-16</t>
  </si>
  <si>
    <t>1990-12-01</t>
  </si>
  <si>
    <t>998719:eng</t>
  </si>
  <si>
    <t>17105281</t>
  </si>
  <si>
    <t>991001415079702656</t>
  </si>
  <si>
    <t>2259518730002656</t>
  </si>
  <si>
    <t>30001001180225</t>
  </si>
  <si>
    <t>893741105</t>
  </si>
  <si>
    <t>WY 156 T292c 1989</t>
  </si>
  <si>
    <t>0                      WY 0156000T  292c        1989</t>
  </si>
  <si>
    <t>Cancer chemotherapy / Linda Tenenbaum.</t>
  </si>
  <si>
    <t>Tenenbaum, Linda.</t>
  </si>
  <si>
    <t>1989-05-02</t>
  </si>
  <si>
    <t>836840232:eng</t>
  </si>
  <si>
    <t>17675422</t>
  </si>
  <si>
    <t>991001247099702656</t>
  </si>
  <si>
    <t>2259942310002656</t>
  </si>
  <si>
    <t>9780721624853</t>
  </si>
  <si>
    <t>30001001677717</t>
  </si>
  <si>
    <t>893638140</t>
  </si>
  <si>
    <t>WY 156 W119r 1982</t>
  </si>
  <si>
    <t>0                      WY 0156000W  119r        1982</t>
  </si>
  <si>
    <t>Comprehensive respiratory care : physiology and technique / Jacqueline F. Wade.</t>
  </si>
  <si>
    <t>Wade, Jacqueline F., 1939-</t>
  </si>
  <si>
    <t>1989-03-03</t>
  </si>
  <si>
    <t>375694783:eng</t>
  </si>
  <si>
    <t>8306842</t>
  </si>
  <si>
    <t>991000919909702656</t>
  </si>
  <si>
    <t>2265212030002656</t>
  </si>
  <si>
    <t>9780801652820</t>
  </si>
  <si>
    <t>30001000180861</t>
  </si>
  <si>
    <t>893560769</t>
  </si>
  <si>
    <t>WY 156.5 G539g 1984</t>
  </si>
  <si>
    <t>0                      WY 0156500G  539g        1984</t>
  </si>
  <si>
    <t>Gastroenterology in clinical nursing / Barbara A. Given, Sandra J. Simmons.</t>
  </si>
  <si>
    <t>Given, Barbara A.</t>
  </si>
  <si>
    <t>1993-02-17</t>
  </si>
  <si>
    <t>1974683:eng</t>
  </si>
  <si>
    <t>9533560</t>
  </si>
  <si>
    <t>991000733659702656</t>
  </si>
  <si>
    <t>2259033140002656</t>
  </si>
  <si>
    <t>9780801618697</t>
  </si>
  <si>
    <t>30001000040909</t>
  </si>
  <si>
    <t>893820129</t>
  </si>
  <si>
    <t>WY 156.5 P957 1982</t>
  </si>
  <si>
    <t>0                      WY 0156500P  957         1982</t>
  </si>
  <si>
    <t>Principles of ostomy care / edited by Debra C. Broadwell, Bettie S. Jackson.</t>
  </si>
  <si>
    <t>1995-04-02</t>
  </si>
  <si>
    <t>443369945:eng</t>
  </si>
  <si>
    <t>7773997</t>
  </si>
  <si>
    <t>991000920019702656</t>
  </si>
  <si>
    <t>2272653070002656</t>
  </si>
  <si>
    <t>9780801623783</t>
  </si>
  <si>
    <t>30001000180887</t>
  </si>
  <si>
    <t>893643021</t>
  </si>
  <si>
    <t>WY 156.7 C641 2008</t>
  </si>
  <si>
    <t>0                      WY 0156700C  641         2008</t>
  </si>
  <si>
    <t>Clinical challenges in women's health in the 21st century : a practice handbook for nurse practitioners / edited by Susan Wysocki.</t>
  </si>
  <si>
    <t>Cranbury, N.J. : NP Communications, LLC, c2008.</t>
  </si>
  <si>
    <t>1808938926:eng</t>
  </si>
  <si>
    <t>299085589</t>
  </si>
  <si>
    <t>991001344799702656</t>
  </si>
  <si>
    <t>2259711790002656</t>
  </si>
  <si>
    <t>9780966789027</t>
  </si>
  <si>
    <t>30001005384294</t>
  </si>
  <si>
    <t>893149107</t>
  </si>
  <si>
    <t>WY 156.7 F245g 1979</t>
  </si>
  <si>
    <t>0                      WY 0156700F  245g        1979</t>
  </si>
  <si>
    <t>Gynecological care / Helen Farrer.</t>
  </si>
  <si>
    <t>Farrer, Helen.</t>
  </si>
  <si>
    <t>New York : Springer Pub. Co., 1981 printing, c1979.</t>
  </si>
  <si>
    <t>1996-08-12</t>
  </si>
  <si>
    <t>11440776:eng</t>
  </si>
  <si>
    <t>7350171</t>
  </si>
  <si>
    <t>991000920209702656</t>
  </si>
  <si>
    <t>2261652190002656</t>
  </si>
  <si>
    <t>9780826136008</t>
  </si>
  <si>
    <t>30001000180937</t>
  </si>
  <si>
    <t>893368896</t>
  </si>
  <si>
    <t>WY 156.7 N379p 1981</t>
  </si>
  <si>
    <t>0                      WY 0156700N  379p        1981</t>
  </si>
  <si>
    <t>The practitioner's handbook of ambulatory ob/gyn / Jean D. Neeson, Connie R. Stockdale.</t>
  </si>
  <si>
    <t>Neeson, Jean D.</t>
  </si>
  <si>
    <t>1998-10-08</t>
  </si>
  <si>
    <t>20529550:eng</t>
  </si>
  <si>
    <t>6916886</t>
  </si>
  <si>
    <t>991000733409702656</t>
  </si>
  <si>
    <t>2266337070002656</t>
  </si>
  <si>
    <t>9780471056706</t>
  </si>
  <si>
    <t>30001000040883</t>
  </si>
  <si>
    <t>893362913</t>
  </si>
  <si>
    <t>WY 157 A923n 1984</t>
  </si>
  <si>
    <t>0                      WY 0157000A  923n        1984</t>
  </si>
  <si>
    <t>Nursing care plans for the childbearing family / Virginia Aukamp.</t>
  </si>
  <si>
    <t>Aukamp, Virginia.</t>
  </si>
  <si>
    <t>1992-06-04</t>
  </si>
  <si>
    <t>3189057:eng</t>
  </si>
  <si>
    <t>10914144</t>
  </si>
  <si>
    <t>991000733359702656</t>
  </si>
  <si>
    <t>2256413150002656</t>
  </si>
  <si>
    <t>9780838570159</t>
  </si>
  <si>
    <t>30001000040875</t>
  </si>
  <si>
    <t>893545724</t>
  </si>
  <si>
    <t>WY 157 B663e 1991</t>
  </si>
  <si>
    <t>0                      WY 0157000B  663e        1991</t>
  </si>
  <si>
    <t>Essentials of maternity nursing / Irene M. Bobak, Margaret Duncan Jensen.</t>
  </si>
  <si>
    <t>Bobak, Irene M.</t>
  </si>
  <si>
    <t>2008-03-28</t>
  </si>
  <si>
    <t>2286851784:eng</t>
  </si>
  <si>
    <t>22243593</t>
  </si>
  <si>
    <t>991000817739702656</t>
  </si>
  <si>
    <t>2271696230002656</t>
  </si>
  <si>
    <t>9780801602337</t>
  </si>
  <si>
    <t>30001002086801</t>
  </si>
  <si>
    <t>893357709</t>
  </si>
  <si>
    <t>WY 157 C421 1981</t>
  </si>
  <si>
    <t>0                      WY 0157000C  421         1981</t>
  </si>
  <si>
    <t>The Cesarean experience : theoretical and clinical perspectives for nurses / edited by Carole Fitzgerald Kehoe.</t>
  </si>
  <si>
    <t>2008-07-25</t>
  </si>
  <si>
    <t>836674154:eng</t>
  </si>
  <si>
    <t>7573786</t>
  </si>
  <si>
    <t>991000733159702656</t>
  </si>
  <si>
    <t>2255946310002656</t>
  </si>
  <si>
    <t>9780838511077</t>
  </si>
  <si>
    <t>30001000040859</t>
  </si>
  <si>
    <t>893450167</t>
  </si>
  <si>
    <t>WY 157 C789a 1987</t>
  </si>
  <si>
    <t>0                      WY 0157000C  789a        1987</t>
  </si>
  <si>
    <t>The adolescent and pregnancy / Margaret-Ann Corbett, Jerrilyn H. Meyer.</t>
  </si>
  <si>
    <t>Corbett, Margaret-Ann, 1933-</t>
  </si>
  <si>
    <t>Boston : Blackwell Scientific Publications ; Chicago, Ill. : Distributors USA, Year Book Medical Publishers, c1987.</t>
  </si>
  <si>
    <t>1998-03-14</t>
  </si>
  <si>
    <t>9446818:eng</t>
  </si>
  <si>
    <t>15196961</t>
  </si>
  <si>
    <t>991001323229702656</t>
  </si>
  <si>
    <t>2258325860002656</t>
  </si>
  <si>
    <t>9780865420137</t>
  </si>
  <si>
    <t>30001001754201</t>
  </si>
  <si>
    <t>893460470</t>
  </si>
  <si>
    <t>WY 157 G464m 1998</t>
  </si>
  <si>
    <t>0                      WY 0157000G  464m        1998</t>
  </si>
  <si>
    <t>Manual of high risk pregnancy &amp; delivery / Elizabeth Stepp Gilbert, Judith Smith Harmon.</t>
  </si>
  <si>
    <t>Gilbert, Elizabeth Stepp.</t>
  </si>
  <si>
    <t>1004849:eng</t>
  </si>
  <si>
    <t>37993228</t>
  </si>
  <si>
    <t>991001427179702656</t>
  </si>
  <si>
    <t>2262978110002656</t>
  </si>
  <si>
    <t>9780815144625</t>
  </si>
  <si>
    <t>30001003860410</t>
  </si>
  <si>
    <t>893826739</t>
  </si>
  <si>
    <t>WY157 G464m 2003</t>
  </si>
  <si>
    <t>0                      WY 0157000G  464m        2003</t>
  </si>
  <si>
    <t>2002-11-22</t>
  </si>
  <si>
    <t>50059591</t>
  </si>
  <si>
    <t>991001718139702656</t>
  </si>
  <si>
    <t>2258236520002656</t>
  </si>
  <si>
    <t>9780323017510</t>
  </si>
  <si>
    <t>30001004500452</t>
  </si>
  <si>
    <t>893727814</t>
  </si>
  <si>
    <t>WY 157 G597r 1975</t>
  </si>
  <si>
    <t>0                      WY 0157000G  597r        1975</t>
  </si>
  <si>
    <t>Review of maternal and child nursing / Janice L. Goerzen, Peggy L. Chinn.</t>
  </si>
  <si>
    <t>Goerzen, Janice L., 1943-</t>
  </si>
  <si>
    <t>1994-08-23</t>
  </si>
  <si>
    <t>1985022:eng</t>
  </si>
  <si>
    <t>1056887</t>
  </si>
  <si>
    <t>991000921129702656</t>
  </si>
  <si>
    <t>2271985290002656</t>
  </si>
  <si>
    <t>9780801618529</t>
  </si>
  <si>
    <t>30001000181174</t>
  </si>
  <si>
    <t>893637837</t>
  </si>
  <si>
    <t>WY 157 H434 1982</t>
  </si>
  <si>
    <t>0                      WY 0157000H  434         1982</t>
  </si>
  <si>
    <t>Health care of women, labor and delivery / Beverly Gorvine ... [et al.].</t>
  </si>
  <si>
    <t>Monterey, Calif. : Wadsworth Health Sciences Division, c1982.</t>
  </si>
  <si>
    <t>1987-12-23</t>
  </si>
  <si>
    <t>482806:eng</t>
  </si>
  <si>
    <t>7976114</t>
  </si>
  <si>
    <t>991000921199702656</t>
  </si>
  <si>
    <t>2264041960002656</t>
  </si>
  <si>
    <t>9780818505102</t>
  </si>
  <si>
    <t>30001000181190</t>
  </si>
  <si>
    <t>893727091</t>
  </si>
  <si>
    <t>WY 157 H6375 1990</t>
  </si>
  <si>
    <t>0                      WY 0157000H  6375        1990</t>
  </si>
  <si>
    <t>High risk maternity nursing manual / edited by Kathleen Buckley, Nancy W. Kulb.</t>
  </si>
  <si>
    <t>1990-11-21</t>
  </si>
  <si>
    <t>427142503:eng</t>
  </si>
  <si>
    <t>19264263</t>
  </si>
  <si>
    <t>991000780839702656</t>
  </si>
  <si>
    <t>2272001870002656</t>
  </si>
  <si>
    <t>9780683095586</t>
  </si>
  <si>
    <t>30001002064428</t>
  </si>
  <si>
    <t>893545887</t>
  </si>
  <si>
    <t>WY 157 J23m 1989</t>
  </si>
  <si>
    <t>0                      WY 0157000J  23m         1989</t>
  </si>
  <si>
    <t>Maternal-infant health care plans / Marie S. Jaffe, Kathryn A. Melson.</t>
  </si>
  <si>
    <t>1993-01-05</t>
  </si>
  <si>
    <t>1989-09-06</t>
  </si>
  <si>
    <t>3901278216:eng</t>
  </si>
  <si>
    <t>18962056</t>
  </si>
  <si>
    <t>991001315229702656</t>
  </si>
  <si>
    <t>2270528000002656</t>
  </si>
  <si>
    <t>9780874341935</t>
  </si>
  <si>
    <t>30001001752593</t>
  </si>
  <si>
    <t>893740992</t>
  </si>
  <si>
    <t>WY 157 M425 1994</t>
  </si>
  <si>
    <t>0                      WY 0157000M  425         1994</t>
  </si>
  <si>
    <t>Maternal and neonatal nursing : family-centered care / [edited by] Katharyn A. May, Laura R. Mahlmeister.</t>
  </si>
  <si>
    <t>1997-03-25</t>
  </si>
  <si>
    <t>899557906:eng</t>
  </si>
  <si>
    <t>28421814</t>
  </si>
  <si>
    <t>991001119269702656</t>
  </si>
  <si>
    <t>2259954170002656</t>
  </si>
  <si>
    <t>9780397549535</t>
  </si>
  <si>
    <t>30001002950097</t>
  </si>
  <si>
    <t>893287242</t>
  </si>
  <si>
    <t>WY 157 M823r 1983</t>
  </si>
  <si>
    <t>0                      WY 0157000M  823r        1983</t>
  </si>
  <si>
    <t>Realities in childbearing / Mary Lou Moore, Ora Strickland.</t>
  </si>
  <si>
    <t>Moore, Mary Lou.</t>
  </si>
  <si>
    <t>1995-04-09</t>
  </si>
  <si>
    <t>1987-10-24</t>
  </si>
  <si>
    <t>12891885:eng</t>
  </si>
  <si>
    <t>8533144</t>
  </si>
  <si>
    <t>991000732619702656</t>
  </si>
  <si>
    <t>2255188970002656</t>
  </si>
  <si>
    <t>9780721664989</t>
  </si>
  <si>
    <t>30001000040727</t>
  </si>
  <si>
    <t>893831134</t>
  </si>
  <si>
    <t>WY 157 N9735 1983</t>
  </si>
  <si>
    <t>0                      WY 0157000N  9735        1983</t>
  </si>
  <si>
    <t>Nurse-midwifery : health care for women and newborns / edited by Constance J. Adams.</t>
  </si>
  <si>
    <t>1999-03-16</t>
  </si>
  <si>
    <t>836720955:eng</t>
  </si>
  <si>
    <t>9412335</t>
  </si>
  <si>
    <t>991000921499702656</t>
  </si>
  <si>
    <t>2263609200002656</t>
  </si>
  <si>
    <t>9780808915706</t>
  </si>
  <si>
    <t>30001000181448</t>
  </si>
  <si>
    <t>893540823</t>
  </si>
  <si>
    <t>WY 157 N974 1986</t>
  </si>
  <si>
    <t>0                      WY 0157000N  974         1986</t>
  </si>
  <si>
    <t>Nurse-midwifery in America : a report of the American College of Nurse-Midwives Foundation / editors: Judith Rooks, J. Eugene Haas; foreword by Lewis Thomas</t>
  </si>
  <si>
    <t>Washington DC : American College of Nurse-Midwives Foundation, c1986.</t>
  </si>
  <si>
    <t>142137008:eng</t>
  </si>
  <si>
    <t>22660643</t>
  </si>
  <si>
    <t>991000921479702656</t>
  </si>
  <si>
    <t>2261132270002656</t>
  </si>
  <si>
    <t>30001000181455</t>
  </si>
  <si>
    <t>893826231</t>
  </si>
  <si>
    <t>WY 157 O124 1980</t>
  </si>
  <si>
    <t>0                      WY 0157000O  124         1980</t>
  </si>
  <si>
    <t>Obstetric nursing / Sally B. Olds ... [et al.].</t>
  </si>
  <si>
    <t>Menlo Park, Calif. : Addison-Wesley, Medical/Nursing Division, c1980.</t>
  </si>
  <si>
    <t>54349333:eng</t>
  </si>
  <si>
    <t>5777069</t>
  </si>
  <si>
    <t>991001312239702656</t>
  </si>
  <si>
    <t>2261109990002656</t>
  </si>
  <si>
    <t>9780201027181</t>
  </si>
  <si>
    <t>30001001751181</t>
  </si>
  <si>
    <t>893643451</t>
  </si>
  <si>
    <t>WY 157 P438p 1981</t>
  </si>
  <si>
    <t>0                      WY 0157000P  438p        1981</t>
  </si>
  <si>
    <t>Protocols for perinatal nursing practice / [edited by] Rosanne Harrigan Perez.</t>
  </si>
  <si>
    <t>1988-06-30</t>
  </si>
  <si>
    <t>26006990:eng</t>
  </si>
  <si>
    <t>7172792</t>
  </si>
  <si>
    <t>991000921539702656</t>
  </si>
  <si>
    <t>2256080080002656</t>
  </si>
  <si>
    <t>9780801638053</t>
  </si>
  <si>
    <t>30001000181463</t>
  </si>
  <si>
    <t>893643023</t>
  </si>
  <si>
    <t>WY 157 P558f 1987</t>
  </si>
  <si>
    <t>0                      WY 0157000P  558f        1987</t>
  </si>
  <si>
    <t>Family-centered maternity/newborn care : a basic text / Celeste R. Phillips ; new line drawings by Jeffrey A. Nagel ; contributor, J. Duncan Phillips.</t>
  </si>
  <si>
    <t>Phillips, Celeste R., 1933-</t>
  </si>
  <si>
    <t>1988-12-27</t>
  </si>
  <si>
    <t>8499423:eng</t>
  </si>
  <si>
    <t>14518601</t>
  </si>
  <si>
    <t>991000763919702656</t>
  </si>
  <si>
    <t>2271645070002656</t>
  </si>
  <si>
    <t>9780801639180</t>
  </si>
  <si>
    <t>30001000056681</t>
  </si>
  <si>
    <t>893557115</t>
  </si>
  <si>
    <t>WY 157 R325m 1987</t>
  </si>
  <si>
    <t>0                      WY 0157000R  325m        1987</t>
  </si>
  <si>
    <t>Maternity nursing : family, newborn, and women's health care / Sharon J. Reeder, Leonide L. Martin.</t>
  </si>
  <si>
    <t>Reeder, Sharon J.</t>
  </si>
  <si>
    <t>16th ed.</t>
  </si>
  <si>
    <t>17330716:eng</t>
  </si>
  <si>
    <t>14242692</t>
  </si>
  <si>
    <t>991000762129702656</t>
  </si>
  <si>
    <t>2261290890002656</t>
  </si>
  <si>
    <t>9780397545780</t>
  </si>
  <si>
    <t>30001000056368</t>
  </si>
  <si>
    <t>893825641</t>
  </si>
  <si>
    <t>WY 157 R325m 1992</t>
  </si>
  <si>
    <t>0                      WY 0157000R  325m        1992</t>
  </si>
  <si>
    <t>Maternity nursing : family, newborn, and women's health care / Sharon J. Reeder, Leonide L. Martin, Deborah Koniak-Griffin.</t>
  </si>
  <si>
    <t>Philadelphia : J.B. Lippincott, c1992.</t>
  </si>
  <si>
    <t>17th ed.</t>
  </si>
  <si>
    <t>1998-01-29</t>
  </si>
  <si>
    <t>24064883</t>
  </si>
  <si>
    <t>991001302649702656</t>
  </si>
  <si>
    <t>2258406530002656</t>
  </si>
  <si>
    <t>9780397548132</t>
  </si>
  <si>
    <t>30001002412452</t>
  </si>
  <si>
    <t>893358445</t>
  </si>
  <si>
    <t>WY 157 S554p 1987</t>
  </si>
  <si>
    <t>0                      WY 0157000S  554p        1987</t>
  </si>
  <si>
    <t>Psychosocial dimensions of the pregnant family / by Laurie Nehls Sherwen ; with contributors.</t>
  </si>
  <si>
    <t>Sherwen, Laurie Nehls, 1947-</t>
  </si>
  <si>
    <t>New York : Springer Pub. Co., c1987.</t>
  </si>
  <si>
    <t>1997-12-30</t>
  </si>
  <si>
    <t>967223:eng</t>
  </si>
  <si>
    <t>14905302</t>
  </si>
  <si>
    <t>991000921599702656</t>
  </si>
  <si>
    <t>2259421000002656</t>
  </si>
  <si>
    <t>9780826143808</t>
  </si>
  <si>
    <t>30001000181505</t>
  </si>
  <si>
    <t>893267834</t>
  </si>
  <si>
    <t>WY 157 S785 1981</t>
  </si>
  <si>
    <t>0                      WY 0157000S  785         1981</t>
  </si>
  <si>
    <t>Standards for obstetric, gynecologic, and neonatal nursing : including functions and applications.</t>
  </si>
  <si>
    <t>Washington, D.C. : The Nurses Association of the American College of Obstetricians and Gynecologists, 1981.</t>
  </si>
  <si>
    <t>2003-02-28</t>
  </si>
  <si>
    <t>375171631:eng</t>
  </si>
  <si>
    <t>10350001</t>
  </si>
  <si>
    <t>991000921699702656</t>
  </si>
  <si>
    <t>2260676240002656</t>
  </si>
  <si>
    <t>30001000181521</t>
  </si>
  <si>
    <t>893376997</t>
  </si>
  <si>
    <t>WY 157 Z66o 1984</t>
  </si>
  <si>
    <t>0                      WY 0157000Z  66o         1984</t>
  </si>
  <si>
    <t>Obstetric nursing / Erna Ziegel, Mecca S. Cranley.</t>
  </si>
  <si>
    <t>Ziegel, Erna.</t>
  </si>
  <si>
    <t>New York : Macmillan Pub. Co., c1984.</t>
  </si>
  <si>
    <t>1995-03-19</t>
  </si>
  <si>
    <t>2488215:eng</t>
  </si>
  <si>
    <t>10230919</t>
  </si>
  <si>
    <t>991000732799702656</t>
  </si>
  <si>
    <t>2270692650002656</t>
  </si>
  <si>
    <t>9780024315700</t>
  </si>
  <si>
    <t>30001000040776</t>
  </si>
  <si>
    <t>893735448</t>
  </si>
  <si>
    <t>WY157.3 A963 1999</t>
  </si>
  <si>
    <t>0                      WY 0157300A  963         1999</t>
  </si>
  <si>
    <t>High risk and critical care intrapartum nursing / [edited by] Lisa K. Mandeville, Nan H. Troiano.</t>
  </si>
  <si>
    <t>477647727:eng</t>
  </si>
  <si>
    <t>39236380</t>
  </si>
  <si>
    <t>991000319059702656</t>
  </si>
  <si>
    <t>2258719670002656</t>
  </si>
  <si>
    <t>9780397554676</t>
  </si>
  <si>
    <t>30001004442408</t>
  </si>
  <si>
    <t>893122969</t>
  </si>
  <si>
    <t>WY 157.3 A966 1996</t>
  </si>
  <si>
    <t>0                      WY 0157300A  966         1996</t>
  </si>
  <si>
    <t>Perinatal nursing / [edited by] Kathleen Rice Simpson, Patricia A. Creehan.</t>
  </si>
  <si>
    <t>Philadelphia : Lippincott-Raven, c1996.</t>
  </si>
  <si>
    <t>2002-06-25</t>
  </si>
  <si>
    <t>369303516:eng</t>
  </si>
  <si>
    <t>33282991</t>
  </si>
  <si>
    <t>991000317999702656</t>
  </si>
  <si>
    <t>2267656680002656</t>
  </si>
  <si>
    <t>9780397551347</t>
  </si>
  <si>
    <t>30001004443729</t>
  </si>
  <si>
    <t>893354198</t>
  </si>
  <si>
    <t>WY 157.3 A966 2001</t>
  </si>
  <si>
    <t>0                      WY 0157300A  966         2001</t>
  </si>
  <si>
    <t>Perinatal nursing / Kathleen Rice Simpson, Patricia A. Creehan.</t>
  </si>
  <si>
    <t>Simpson, Kathleen Rice.</t>
  </si>
  <si>
    <t>Philadelphia, PA : Lippincott Williams &amp; Wilkins, c2001.</t>
  </si>
  <si>
    <t>2006-11-01</t>
  </si>
  <si>
    <t>2006-10-27</t>
  </si>
  <si>
    <t>45460917</t>
  </si>
  <si>
    <t>991001735619702656</t>
  </si>
  <si>
    <t>2270455020002656</t>
  </si>
  <si>
    <t>9780781725101</t>
  </si>
  <si>
    <t>30001005176476</t>
  </si>
  <si>
    <t>893826944</t>
  </si>
  <si>
    <t>WY 157.3 B663m 1989</t>
  </si>
  <si>
    <t>0                      WY 0157300B  663m        1989</t>
  </si>
  <si>
    <t>Maternity and gynecologic care : the nurse and the family.</t>
  </si>
  <si>
    <t>4th ed. / Irene M. Bobak, Margaret Duncan Jensen, Marianne K. Zalar.</t>
  </si>
  <si>
    <t>1996-01-27</t>
  </si>
  <si>
    <t>894357717:eng</t>
  </si>
  <si>
    <t>18417273</t>
  </si>
  <si>
    <t>991001251139702656</t>
  </si>
  <si>
    <t>2257553100002656</t>
  </si>
  <si>
    <t>9780801604690</t>
  </si>
  <si>
    <t>30001001678921</t>
  </si>
  <si>
    <t>893377159</t>
  </si>
  <si>
    <t>WY 157.3 B972m 1997</t>
  </si>
  <si>
    <t>0                      WY 0157300B  972m        1997</t>
  </si>
  <si>
    <t>Maternity nursing : an introductory text / Arlene Burroughs.</t>
  </si>
  <si>
    <t>Burroughs, Arlene.</t>
  </si>
  <si>
    <t>1997-06-19</t>
  </si>
  <si>
    <t>5218321918:eng</t>
  </si>
  <si>
    <t>36430926</t>
  </si>
  <si>
    <t>991001254419702656</t>
  </si>
  <si>
    <t>2267840020002656</t>
  </si>
  <si>
    <t>9780721624730</t>
  </si>
  <si>
    <t>30001003683804</t>
  </si>
  <si>
    <t>893834617</t>
  </si>
  <si>
    <t>WY 157.3 C678m 1991</t>
  </si>
  <si>
    <t>0                      WY 0157300C  678m        1991</t>
  </si>
  <si>
    <t>Maternal, neonatal, and women's health nursing / Susan M. Cohen, Carole Ann Kenner, Andrea O. Hollingsworth.</t>
  </si>
  <si>
    <t>Cohen, Susan M.</t>
  </si>
  <si>
    <t>Springhouse, Pa : Springhouse Corp., c1991.</t>
  </si>
  <si>
    <t>24060959:eng</t>
  </si>
  <si>
    <t>22859618</t>
  </si>
  <si>
    <t>991001475589702656</t>
  </si>
  <si>
    <t>2259317150002656</t>
  </si>
  <si>
    <t>9780874342581</t>
  </si>
  <si>
    <t>30001002563353</t>
  </si>
  <si>
    <t>893633084</t>
  </si>
  <si>
    <t>WY 157.3 C737 1998</t>
  </si>
  <si>
    <t>0                      WY 0157300C  737         1998</t>
  </si>
  <si>
    <t>Comprehensive neonatal nursing : a physiologic perspective / [edited by] Carole Kenner, Judy Wright Lott, Ann Applewhite Flandermeyer.</t>
  </si>
  <si>
    <t>2002-10-02</t>
  </si>
  <si>
    <t>836869274:eng</t>
  </si>
  <si>
    <t>36308130</t>
  </si>
  <si>
    <t>991001295439702656</t>
  </si>
  <si>
    <t>2271256890002656</t>
  </si>
  <si>
    <t>9780721665351</t>
  </si>
  <si>
    <t>30001003741784</t>
  </si>
  <si>
    <t>893736442</t>
  </si>
  <si>
    <t>WY157.3 C737 2003</t>
  </si>
  <si>
    <t>0                      WY 0157300C  737         2003</t>
  </si>
  <si>
    <t>Comprehensive neonatal nursing : a physiologic perspective / [edited by] Carole Kenner, Judy Wright Lott.</t>
  </si>
  <si>
    <t>2003-03-18</t>
  </si>
  <si>
    <t>51002393</t>
  </si>
  <si>
    <t>991001719199702656</t>
  </si>
  <si>
    <t>2258288500002656</t>
  </si>
  <si>
    <t>9780721697178</t>
  </si>
  <si>
    <t>30001004501237</t>
  </si>
  <si>
    <t>893134770</t>
  </si>
  <si>
    <t>WY 157.3 D547m 1998</t>
  </si>
  <si>
    <t>0                      WY 0157300D  547m        1998</t>
  </si>
  <si>
    <t>Maternal-infant nursing care / Elizabeth Jean Dickason, Bonnie Lang Silverman, Judith Kaplan.</t>
  </si>
  <si>
    <t>Dickason, Elizabeth J.</t>
  </si>
  <si>
    <t>1997-12-15</t>
  </si>
  <si>
    <t>622685:eng</t>
  </si>
  <si>
    <t>36682382</t>
  </si>
  <si>
    <t>991001269489702656</t>
  </si>
  <si>
    <t>2258559070002656</t>
  </si>
  <si>
    <t>9780815125174</t>
  </si>
  <si>
    <t>30001003694447</t>
  </si>
  <si>
    <t>893731801</t>
  </si>
  <si>
    <t>WY 157.3 D651m 1987</t>
  </si>
  <si>
    <t>0                      WY 0157300D  651m        1987</t>
  </si>
  <si>
    <t>Maternal/newborn care plans : guidelines for client care / Marilynn Doenges, Janet R. Kenty, Mary Frances Moorhouse.</t>
  </si>
  <si>
    <t>Philadelphia : Davis, c1987.</t>
  </si>
  <si>
    <t>1998-02-12</t>
  </si>
  <si>
    <t>2863505479:eng</t>
  </si>
  <si>
    <t>15489194</t>
  </si>
  <si>
    <t>991001534969702656</t>
  </si>
  <si>
    <t>2265220410002656</t>
  </si>
  <si>
    <t>9780803626676</t>
  </si>
  <si>
    <t>30001000622540</t>
  </si>
  <si>
    <t>893558076</t>
  </si>
  <si>
    <t>WY 157.3 G795m 2004</t>
  </si>
  <si>
    <t>0                      WY 0157300G  795m        2004</t>
  </si>
  <si>
    <t>Maternal newborn nursing care plans / Carol J. Green, Judith M. Wilkinson.</t>
  </si>
  <si>
    <t>Green, Carol J.</t>
  </si>
  <si>
    <t>St. Louis, MO : Mosby, c2004.</t>
  </si>
  <si>
    <t>679440:eng</t>
  </si>
  <si>
    <t>51258530</t>
  </si>
  <si>
    <t>991000632389702656</t>
  </si>
  <si>
    <t>2268378570002656</t>
  </si>
  <si>
    <t>9780323014885</t>
  </si>
  <si>
    <t>30001005218575</t>
  </si>
  <si>
    <t>893267001</t>
  </si>
  <si>
    <t>WY 157.3 H393p 1985</t>
  </si>
  <si>
    <t>0                      WY 0157300H  393p        1985</t>
  </si>
  <si>
    <t>Postpartum nursing : health care of women / Joellen Beck Watson Hawkins, Beverly Gorvine ; with Carolyn Currier-Dagrosa, Patricia Fleming, Rachel F. Schiffman.</t>
  </si>
  <si>
    <t>1990-03-01</t>
  </si>
  <si>
    <t>312564352:eng</t>
  </si>
  <si>
    <t>11030389</t>
  </si>
  <si>
    <t>991000921839702656</t>
  </si>
  <si>
    <t>2260936920002656</t>
  </si>
  <si>
    <t>9780826146908</t>
  </si>
  <si>
    <t>30001000181620</t>
  </si>
  <si>
    <t>893736048</t>
  </si>
  <si>
    <t>WY157.3 H638 1992</t>
  </si>
  <si>
    <t>0                      WY 0157300H  638         1992</t>
  </si>
  <si>
    <t>High-risk intrapartum nursing / edited by Lisa K. Mandeville, Nan H. Troiano ; with 20 contributors ; NAACOG.</t>
  </si>
  <si>
    <t>1994-03-30</t>
  </si>
  <si>
    <t>3372867704:eng</t>
  </si>
  <si>
    <t>24793120</t>
  </si>
  <si>
    <t>991001479049702656</t>
  </si>
  <si>
    <t>2258475870002656</t>
  </si>
  <si>
    <t>9780397548118</t>
  </si>
  <si>
    <t>30001002564872</t>
  </si>
  <si>
    <t>893732053</t>
  </si>
  <si>
    <t>WY 157.3 I44m 1987</t>
  </si>
  <si>
    <t>0                      WY 0157300I  44m         1987</t>
  </si>
  <si>
    <t>Maternal and child health nursing / A. Joy Ingalls, M. Constance Salerno.</t>
  </si>
  <si>
    <t>Ingalls, A. Joy.</t>
  </si>
  <si>
    <t>St. Louis : Mosby, 1987.</t>
  </si>
  <si>
    <t>1990-07-27</t>
  </si>
  <si>
    <t>1261092:eng</t>
  </si>
  <si>
    <t>14241703</t>
  </si>
  <si>
    <t>991001264679702656</t>
  </si>
  <si>
    <t>2267202390002656</t>
  </si>
  <si>
    <t>9780801624131</t>
  </si>
  <si>
    <t>30001000352411</t>
  </si>
  <si>
    <t>893465335</t>
  </si>
  <si>
    <t>WY 157.3 J54m 1985</t>
  </si>
  <si>
    <t>0                      WY 0157300J  54m         1985</t>
  </si>
  <si>
    <t>Jensen, Margaret Duncan, 1921-</t>
  </si>
  <si>
    <t>3rd ed. / Margaret Duncan Jensen, Irene M. Bobak.</t>
  </si>
  <si>
    <t>1996-08-15</t>
  </si>
  <si>
    <t>11398844</t>
  </si>
  <si>
    <t>991000732659702656</t>
  </si>
  <si>
    <t>2272612180002656</t>
  </si>
  <si>
    <t>9780801624940</t>
  </si>
  <si>
    <t>30001000040735</t>
  </si>
  <si>
    <t>893545723</t>
  </si>
  <si>
    <t>WY 157.3 L154m 1998</t>
  </si>
  <si>
    <t>0                      WY 0157300L  154m        1998</t>
  </si>
  <si>
    <t>Maternal-newborn nursing care : the nurse, the family, and the community / Patricia Wieland Ladewig, Marcia L. London, Sally B. Olds.</t>
  </si>
  <si>
    <t>Ladewig, Patricia W.</t>
  </si>
  <si>
    <t>3856510029:eng</t>
  </si>
  <si>
    <t>37519671</t>
  </si>
  <si>
    <t>991001295149702656</t>
  </si>
  <si>
    <t>2265637240002656</t>
  </si>
  <si>
    <t>9780805356229</t>
  </si>
  <si>
    <t>30001003741511</t>
  </si>
  <si>
    <t>893149066</t>
  </si>
  <si>
    <t>WY 157.3 L154m 2003</t>
  </si>
  <si>
    <t>0                      WY 0157300L  154m        2003</t>
  </si>
  <si>
    <t>Maternal-newborn &amp; child nursing : family-centered care / Marcia L. London ... [et al.].</t>
  </si>
  <si>
    <t>1911635912:eng</t>
  </si>
  <si>
    <t>49936257</t>
  </si>
  <si>
    <t>991001322319702656</t>
  </si>
  <si>
    <t>2256729370002656</t>
  </si>
  <si>
    <t>9780130994066</t>
  </si>
  <si>
    <t>30001005372281</t>
  </si>
  <si>
    <t>893546576</t>
  </si>
  <si>
    <t>WY157.3 L527i 2003</t>
  </si>
  <si>
    <t>0                      WY 0157300L  527i        2003</t>
  </si>
  <si>
    <t>Introduction to maternity &amp; pediatric nursing / Gloria Leifer.</t>
  </si>
  <si>
    <t>Leifer, Gloria.</t>
  </si>
  <si>
    <t>320760:eng</t>
  </si>
  <si>
    <t>51239830</t>
  </si>
  <si>
    <t>991000349509702656</t>
  </si>
  <si>
    <t>2269239980002656</t>
  </si>
  <si>
    <t>9780721693347</t>
  </si>
  <si>
    <t>30001004501252</t>
  </si>
  <si>
    <t>893359494</t>
  </si>
  <si>
    <t>WY157.3 L527m 2005</t>
  </si>
  <si>
    <t>0                      WY 0157300L  527m        2005</t>
  </si>
  <si>
    <t>Maternity nursing : an introductory text / Gloria Leifer.</t>
  </si>
  <si>
    <t>St. Louis, Mo. : Elsevier/Saunders, c2005.</t>
  </si>
  <si>
    <t>2006-01-16</t>
  </si>
  <si>
    <t>792173053:eng</t>
  </si>
  <si>
    <t>56614620</t>
  </si>
  <si>
    <t>991000455319702656</t>
  </si>
  <si>
    <t>2262251160002656</t>
  </si>
  <si>
    <t>9780721604787</t>
  </si>
  <si>
    <t>30001004910529</t>
  </si>
  <si>
    <t>893553585</t>
  </si>
  <si>
    <t>WY157.3 L781m 2002</t>
  </si>
  <si>
    <t>0                      WY 0157300L  781m        2002</t>
  </si>
  <si>
    <t>Maternal, neonatal, and women's health nursing / Lynna Y. Littleton and Joan C. Engebretson.</t>
  </si>
  <si>
    <t>Littleton-Gibbs, Lynna Y.</t>
  </si>
  <si>
    <t>Australia ; [Albany, N.Y.] United States : Delmar Thomson Learning, c2002.</t>
  </si>
  <si>
    <t>1047783:eng</t>
  </si>
  <si>
    <t>46937566</t>
  </si>
  <si>
    <t>991001715689702656</t>
  </si>
  <si>
    <t>2266691400002656</t>
  </si>
  <si>
    <t>9780766801219</t>
  </si>
  <si>
    <t>30001004441574</t>
  </si>
  <si>
    <t>893456009</t>
  </si>
  <si>
    <t>WY157.3 M4253 2005</t>
  </si>
  <si>
    <t>0                      WY 0157300M  4253        2005</t>
  </si>
  <si>
    <t>Maternal-child nursing / Emily Slone McKinney ... [et al.].</t>
  </si>
  <si>
    <t>St. Louis, Mo. : Elsevier Saunders, c2005.</t>
  </si>
  <si>
    <t>2006-10-22</t>
  </si>
  <si>
    <t>56423577:eng</t>
  </si>
  <si>
    <t>56369084</t>
  </si>
  <si>
    <t>991000458499702656</t>
  </si>
  <si>
    <t>2260182120002656</t>
  </si>
  <si>
    <t>9780721606996</t>
  </si>
  <si>
    <t>30001004910644</t>
  </si>
  <si>
    <t>893737372</t>
  </si>
  <si>
    <t>WY157.3 M4254 2006</t>
  </si>
  <si>
    <t>0                      WY 0157300M  4254        2006</t>
  </si>
  <si>
    <t>Maternal child nursing care / Donna L. Wong ... [et al.].</t>
  </si>
  <si>
    <t>8910074585:eng</t>
  </si>
  <si>
    <t>60903175</t>
  </si>
  <si>
    <t>991001738489702656</t>
  </si>
  <si>
    <t>2269854080002656</t>
  </si>
  <si>
    <t>9780323028653</t>
  </si>
  <si>
    <t>30001005125937</t>
  </si>
  <si>
    <t>893552711</t>
  </si>
  <si>
    <t>WY 157.3 M4258w 1984</t>
  </si>
  <si>
    <t>0                      WY 0157300M  4258w       1984</t>
  </si>
  <si>
    <t>Maternal-newborn nursing care : a workbook / Sally B. Olds, Marcia L. London, Patricia A. Ladewig.</t>
  </si>
  <si>
    <t>Olds, Sally B., 1940-</t>
  </si>
  <si>
    <t>Menlo Park, Calif. : Addison-Wesley, c1984.</t>
  </si>
  <si>
    <t>1997-07-15</t>
  </si>
  <si>
    <t>3855308580:eng</t>
  </si>
  <si>
    <t>10598976</t>
  </si>
  <si>
    <t>991000732479702656</t>
  </si>
  <si>
    <t>2265916630002656</t>
  </si>
  <si>
    <t>9780201127997</t>
  </si>
  <si>
    <t>30001000040693</t>
  </si>
  <si>
    <t>893545722</t>
  </si>
  <si>
    <t>WY 157.3 M42655 2000</t>
  </si>
  <si>
    <t>0                      WY 0157300M  42655       2000</t>
  </si>
  <si>
    <t>Maternity &amp; women's health care / [edited by] Deitra Leonard Lowdermilk, Shannon E. Perry.</t>
  </si>
  <si>
    <t>2007-06-08</t>
  </si>
  <si>
    <t>2006-01-23</t>
  </si>
  <si>
    <t>866527047:eng</t>
  </si>
  <si>
    <t>51982677</t>
  </si>
  <si>
    <t>991000423409702656</t>
  </si>
  <si>
    <t>2268556910002656</t>
  </si>
  <si>
    <t>9780323020084</t>
  </si>
  <si>
    <t>30001004910651</t>
  </si>
  <si>
    <t>893822135</t>
  </si>
  <si>
    <t>WY 157.3 M4266 1995</t>
  </si>
  <si>
    <t>0                      WY 0157300M  4266        1995</t>
  </si>
  <si>
    <t>Maternity nursing / [edited by] Irene M. Bobak, Deitra Leonard Lowdermilk, Maragaret Duncan Jensen ; associate editor, Shannon E. Perry.</t>
  </si>
  <si>
    <t>1997-04-03</t>
  </si>
  <si>
    <t>4920349519:eng</t>
  </si>
  <si>
    <t>31131558</t>
  </si>
  <si>
    <t>991001507439702656</t>
  </si>
  <si>
    <t>2269604180002656</t>
  </si>
  <si>
    <t>9780801678837</t>
  </si>
  <si>
    <t>30001003264860</t>
  </si>
  <si>
    <t>893821263</t>
  </si>
  <si>
    <t>WY 157.3 M4266 2003</t>
  </si>
  <si>
    <t>0                      WY 0157300M  4266        2003</t>
  </si>
  <si>
    <t>Maternity nursing / [edited by] Deitra Leonard Lowdermilk, Shannon E. Perry ; associate editor, Karen A. Piotrowski.</t>
  </si>
  <si>
    <t>2004-02-25</t>
  </si>
  <si>
    <t>49526892</t>
  </si>
  <si>
    <t>991000332959702656</t>
  </si>
  <si>
    <t>2272688480002656</t>
  </si>
  <si>
    <t>9780323016438</t>
  </si>
  <si>
    <t>30001004500460</t>
  </si>
  <si>
    <t>893547715</t>
  </si>
  <si>
    <t>WY157.3 M4266 2006</t>
  </si>
  <si>
    <t>0                      WY 0157300M  4266        2006</t>
  </si>
  <si>
    <t>Maternity nursing / [edited by] Deitra Leonard Lowdermilk, Shannon E. Perry ; associate editors, Kathryn Rhodes Alden, Kitty Cashion, Robin Webb Corbett.</t>
  </si>
  <si>
    <t>2006-09-08</t>
  </si>
  <si>
    <t>62759362</t>
  </si>
  <si>
    <t>991000535859702656</t>
  </si>
  <si>
    <t>2272482300002656</t>
  </si>
  <si>
    <t>9780323033664</t>
  </si>
  <si>
    <t>30001005127313</t>
  </si>
  <si>
    <t>893166053</t>
  </si>
  <si>
    <t>WY157.3 M984f 2006</t>
  </si>
  <si>
    <t>0                      WY 0157300M  984f        2006</t>
  </si>
  <si>
    <t>Foundations of maternal-newborn nursing / Sharon Smith Murray, Emily Slone McKinney.</t>
  </si>
  <si>
    <t>Murray, Sharon Smith.</t>
  </si>
  <si>
    <t>St. Louis, Mo. : Elsevier Saunders, c2006.</t>
  </si>
  <si>
    <t>2006-10-05</t>
  </si>
  <si>
    <t>2006-09-29</t>
  </si>
  <si>
    <t>9438563273:eng</t>
  </si>
  <si>
    <t>60825596</t>
  </si>
  <si>
    <t>991000547519702656</t>
  </si>
  <si>
    <t>2269025300002656</t>
  </si>
  <si>
    <t>9781416001416</t>
  </si>
  <si>
    <t>30001005175957</t>
  </si>
  <si>
    <t>893550168</t>
  </si>
  <si>
    <t>WY157.3 N438 2000</t>
  </si>
  <si>
    <t>0                      WY 0157300N  438         2000</t>
  </si>
  <si>
    <t>Neonatal intensive care nursing / edited by Glenys Boxwell.</t>
  </si>
  <si>
    <t>London ; New York : Routledge, 2000.</t>
  </si>
  <si>
    <t>1073257542:eng</t>
  </si>
  <si>
    <t>42772951</t>
  </si>
  <si>
    <t>991000318419702656</t>
  </si>
  <si>
    <t>2272802590002656</t>
  </si>
  <si>
    <t>9780415203395</t>
  </si>
  <si>
    <t>30001004442366</t>
  </si>
  <si>
    <t>893109404</t>
  </si>
  <si>
    <t>WY 157.3 N935i 1999</t>
  </si>
  <si>
    <t>0                      WY 0157300N  935i        1999</t>
  </si>
  <si>
    <t>Ingalls &amp; Salerno's maternal and child health nursing.</t>
  </si>
  <si>
    <t>Novak, Julie C.</t>
  </si>
  <si>
    <t>9th ed. / Julie C. Novak, Betty L. Broom.</t>
  </si>
  <si>
    <t>3857555947:eng</t>
  </si>
  <si>
    <t>40698401</t>
  </si>
  <si>
    <t>991001561859702656</t>
  </si>
  <si>
    <t>2264539550002656</t>
  </si>
  <si>
    <t>9780323003223</t>
  </si>
  <si>
    <t>30001004071793</t>
  </si>
  <si>
    <t>893649329</t>
  </si>
  <si>
    <t>WY 157.3 N974 1982</t>
  </si>
  <si>
    <t>0                      WY 0157300N  974         1982</t>
  </si>
  <si>
    <t>Nursing care planning guides for maternity and pediatric care / Margo Creighton Neal ... [et al.].</t>
  </si>
  <si>
    <t>3372221681:eng</t>
  </si>
  <si>
    <t>7999109</t>
  </si>
  <si>
    <t>991000921919702656</t>
  </si>
  <si>
    <t>2271254150002656</t>
  </si>
  <si>
    <t>9780935236248</t>
  </si>
  <si>
    <t>30001000181646</t>
  </si>
  <si>
    <t>893465012</t>
  </si>
  <si>
    <t>WY 157.3 O44m 1992</t>
  </si>
  <si>
    <t>0                      WY 0157300O  44m         1992</t>
  </si>
  <si>
    <t>Maternal-newborn nursing : a family-centered approach / Sally B. Olds, Marcia L. London, Patricia A. Ladewig.</t>
  </si>
  <si>
    <t>2999365246:eng</t>
  </si>
  <si>
    <t>23972283</t>
  </si>
  <si>
    <t>991001033559702656</t>
  </si>
  <si>
    <t>2258575220002656</t>
  </si>
  <si>
    <t>9780805355802</t>
  </si>
  <si>
    <t>30001002244293</t>
  </si>
  <si>
    <t>893740692</t>
  </si>
  <si>
    <t>WY 157.3 O44m 1996</t>
  </si>
  <si>
    <t>0                      WY 0157300O  44m         1996</t>
  </si>
  <si>
    <t>Maternal-newborn nursing : a family centered approach / Sally B. Olds, Marcia L. London, Patricia Wieland Ladewig.</t>
  </si>
  <si>
    <t>2000-05-01</t>
  </si>
  <si>
    <t>1996-06-03</t>
  </si>
  <si>
    <t>33010146</t>
  </si>
  <si>
    <t>991001488639702656</t>
  </si>
  <si>
    <t>2271295010002656</t>
  </si>
  <si>
    <t>9780805356120</t>
  </si>
  <si>
    <t>30001003248541</t>
  </si>
  <si>
    <t>893727671</t>
  </si>
  <si>
    <t>WY 157.3 P4456 1986</t>
  </si>
  <si>
    <t>0                      WY 0157300P  4456        1986</t>
  </si>
  <si>
    <t>Perinatal/neonatal nursing : a clinical handbook / edited by Diane Angelini, Christine M. Whelan Knapp, Rita M. Gibes.</t>
  </si>
  <si>
    <t>Boston : Blackwell Scientific Publications, c1986.</t>
  </si>
  <si>
    <t>1995-10-20</t>
  </si>
  <si>
    <t>836715990:eng</t>
  </si>
  <si>
    <t>12132514</t>
  </si>
  <si>
    <t>991000921869702656</t>
  </si>
  <si>
    <t>2261020320002656</t>
  </si>
  <si>
    <t>9780865420205</t>
  </si>
  <si>
    <t>30001000181653</t>
  </si>
  <si>
    <t>893134094</t>
  </si>
  <si>
    <t>WY 157.3 P641m 1992</t>
  </si>
  <si>
    <t>0                      WY 0157300P  641m        1992</t>
  </si>
  <si>
    <t>Maternal and child health nursing : care of the childbearing and childrearing family / Adele Pillitteri.</t>
  </si>
  <si>
    <t>Pillitteri, Adele.</t>
  </si>
  <si>
    <t>1995-12-02</t>
  </si>
  <si>
    <t>39717233:eng</t>
  </si>
  <si>
    <t>24319430</t>
  </si>
  <si>
    <t>991001476519702656</t>
  </si>
  <si>
    <t>2271922680002656</t>
  </si>
  <si>
    <t>9780397548620</t>
  </si>
  <si>
    <t>30001002563478</t>
  </si>
  <si>
    <t>893460624</t>
  </si>
  <si>
    <t>WY 157.3 P641m 1995</t>
  </si>
  <si>
    <t>0                      WY 0157300P  641m        1995</t>
  </si>
  <si>
    <t>Maternal &amp; child health nursing : care of the childbearing and childrearing family / Adele Pillitteri.</t>
  </si>
  <si>
    <t>30400828</t>
  </si>
  <si>
    <t>991001507859702656</t>
  </si>
  <si>
    <t>2266049050002656</t>
  </si>
  <si>
    <t>9780397551132</t>
  </si>
  <si>
    <t>30001003264985</t>
  </si>
  <si>
    <t>893451282</t>
  </si>
  <si>
    <t>WY157.3 P641m 2003</t>
  </si>
  <si>
    <t>0                      WY 0157300P  641m        2003</t>
  </si>
  <si>
    <t>Maternal &amp; child health nursing : care of the childbearing &amp; childrearing family / Adele Pillitteri.</t>
  </si>
  <si>
    <t>49649700</t>
  </si>
  <si>
    <t>991000331869702656</t>
  </si>
  <si>
    <t>2272007610002656</t>
  </si>
  <si>
    <t>9780781736282</t>
  </si>
  <si>
    <t>30001004500486</t>
  </si>
  <si>
    <t>893832774</t>
  </si>
  <si>
    <t>WY157.3 P641m 2007</t>
  </si>
  <si>
    <t>0                      WY 0157300P  641m        2007</t>
  </si>
  <si>
    <t>Philadelphia, PA : Lippincott Williams &amp; Wilkins, c2007.</t>
  </si>
  <si>
    <t>62078266</t>
  </si>
  <si>
    <t>991001738099702656</t>
  </si>
  <si>
    <t>2265648920002656</t>
  </si>
  <si>
    <t>9780781777766</t>
  </si>
  <si>
    <t>30001005127115</t>
  </si>
  <si>
    <t>893546898</t>
  </si>
  <si>
    <t>WY 157.3 S785 1983</t>
  </si>
  <si>
    <t>0                      WY 0157300S  785         1983</t>
  </si>
  <si>
    <t>Standards of maternal &amp; child health nursing practice / American Nurses' Association, Division on Maternal &amp; Child Health Nursing Practice.</t>
  </si>
  <si>
    <t>ANA pub ; no. MCH-3</t>
  </si>
  <si>
    <t>2003-03-28</t>
  </si>
  <si>
    <t>1988-03-18</t>
  </si>
  <si>
    <t>3855265172:eng</t>
  </si>
  <si>
    <t>10479378</t>
  </si>
  <si>
    <t>991001179839702656</t>
  </si>
  <si>
    <t>2267272790002656</t>
  </si>
  <si>
    <t>30001000976763</t>
  </si>
  <si>
    <t>893740845</t>
  </si>
  <si>
    <t>WY 157.3 W872m 1998</t>
  </si>
  <si>
    <t>0                      WY 0157300W  872m        1998</t>
  </si>
  <si>
    <t>Maternal child nursing care / Donna L. Wong, Shannon E. Perry ; contributing editor, Caryn Stoermer Hess.</t>
  </si>
  <si>
    <t>Wong, Donna L., 1948-2008.</t>
  </si>
  <si>
    <t>2001-05-30</t>
  </si>
  <si>
    <t>195328027:eng</t>
  </si>
  <si>
    <t>36729031</t>
  </si>
  <si>
    <t>991000901149702656</t>
  </si>
  <si>
    <t>2258224290002656</t>
  </si>
  <si>
    <t>9780815128373</t>
  </si>
  <si>
    <t>30001004176311</t>
  </si>
  <si>
    <t>893363524</t>
  </si>
  <si>
    <t>WY 157.3 W872m 2006 Suppl.</t>
  </si>
  <si>
    <t>0                      WY 0157300W  872m        2006                                        Suppl.</t>
  </si>
  <si>
    <t>Maternal child nursing care : study guide / Donna L. Wong ... [et al.] ; prepared by Karen A. Piotrowski, Anne Rath Rentfro.</t>
  </si>
  <si>
    <t>3rd. ed.</t>
  </si>
  <si>
    <t>2007-06-07</t>
  </si>
  <si>
    <t>4920349628:eng</t>
  </si>
  <si>
    <t>70845449</t>
  </si>
  <si>
    <t>991000631449702656</t>
  </si>
  <si>
    <t>2262647310002656</t>
  </si>
  <si>
    <t>9780323017039</t>
  </si>
  <si>
    <t>30001005218567</t>
  </si>
  <si>
    <t>893449920</t>
  </si>
  <si>
    <t>WY 157.6 M294 1980</t>
  </si>
  <si>
    <t>0                      WY 0157600M  294         1980</t>
  </si>
  <si>
    <t>Manual of orthopedics / [edited by] Nancy E. Hilt, Shirley B. Cogburn.</t>
  </si>
  <si>
    <t>Hilt, Nancy E., 1943-</t>
  </si>
  <si>
    <t>1991-04-16</t>
  </si>
  <si>
    <t>14846064:eng</t>
  </si>
  <si>
    <t>4570425</t>
  </si>
  <si>
    <t>991000732519702656</t>
  </si>
  <si>
    <t>2268299620002656</t>
  </si>
  <si>
    <t>9780801621987</t>
  </si>
  <si>
    <t>30001000040685</t>
  </si>
  <si>
    <t>893362912</t>
  </si>
  <si>
    <t>WY 157.6 M478m 1982</t>
  </si>
  <si>
    <t>0                      WY 0157600M  478m        1982</t>
  </si>
  <si>
    <t>Manual of orthopedic surgery for nurses / by Norma McWilliams ; illustrations and postoperative care by Nancy C. Clayton.</t>
  </si>
  <si>
    <t>McWilliams, Norma, 1929-</t>
  </si>
  <si>
    <t>Bowie, Md. : Brady, 1982.</t>
  </si>
  <si>
    <t>29735875:eng</t>
  </si>
  <si>
    <t>7835240</t>
  </si>
  <si>
    <t>991000922009702656</t>
  </si>
  <si>
    <t>2266267060002656</t>
  </si>
  <si>
    <t>9780893030568</t>
  </si>
  <si>
    <t>30001000181695</t>
  </si>
  <si>
    <t>893363537</t>
  </si>
  <si>
    <t>WY 157.6 M929 1980</t>
  </si>
  <si>
    <t>0                      WY 0157600M  929         1980</t>
  </si>
  <si>
    <t>Nursing care of adult with orthopedic conditions / Leona A. Mourad.</t>
  </si>
  <si>
    <t>Mourad, Leona A.</t>
  </si>
  <si>
    <t>1989-12-04</t>
  </si>
  <si>
    <t>15979814:eng</t>
  </si>
  <si>
    <t>5677021</t>
  </si>
  <si>
    <t>991000922049702656</t>
  </si>
  <si>
    <t>2261547110002656</t>
  </si>
  <si>
    <t>9780471046776</t>
  </si>
  <si>
    <t>30001000181703</t>
  </si>
  <si>
    <t>893731536</t>
  </si>
  <si>
    <t>WY 157.6 M929n 1988</t>
  </si>
  <si>
    <t>0                      WY 0157600M  929n        1988</t>
  </si>
  <si>
    <t>The nursing process in the care of adults with orthopaedic conditions / Leona A. Mourad, Millie M. Droste.</t>
  </si>
  <si>
    <t>1989-06-16</t>
  </si>
  <si>
    <t>3901238907:eng</t>
  </si>
  <si>
    <t>17385912</t>
  </si>
  <si>
    <t>991001309059702656</t>
  </si>
  <si>
    <t>2265515990002656</t>
  </si>
  <si>
    <t>9780471852551</t>
  </si>
  <si>
    <t>30001001750241</t>
  </si>
  <si>
    <t>893149077</t>
  </si>
  <si>
    <t>WY 157.6 M929o 1991</t>
  </si>
  <si>
    <t>0                      WY 0157600M  929o        1991</t>
  </si>
  <si>
    <t>Orthopedic disorders / Leona A. Mourad.</t>
  </si>
  <si>
    <t>25047453:eng</t>
  </si>
  <si>
    <t>23766882</t>
  </si>
  <si>
    <t>991001780269702656</t>
  </si>
  <si>
    <t>2269684490002656</t>
  </si>
  <si>
    <t>9780801634383</t>
  </si>
  <si>
    <t>30001002240671</t>
  </si>
  <si>
    <t>893652157</t>
  </si>
  <si>
    <t>WY 157.6 O769 1998</t>
  </si>
  <si>
    <t>0                      WY 0157600O  769         1998</t>
  </si>
  <si>
    <t>Orthopaedic nursing / [edited by] Ann Butler Maher, Susan Warner Salmond, Teresa A. Pellino.</t>
  </si>
  <si>
    <t>364452952:eng</t>
  </si>
  <si>
    <t>37553721</t>
  </si>
  <si>
    <t>991001427259702656</t>
  </si>
  <si>
    <t>2258824590002656</t>
  </si>
  <si>
    <t>9780721669526</t>
  </si>
  <si>
    <t>30001003860444</t>
  </si>
  <si>
    <t>893652018</t>
  </si>
  <si>
    <t>WY 157.6 O769 2002</t>
  </si>
  <si>
    <t>0                      WY 0157600O  769         2002</t>
  </si>
  <si>
    <t>2006-04-21</t>
  </si>
  <si>
    <t>2003-06-13</t>
  </si>
  <si>
    <t>47706110</t>
  </si>
  <si>
    <t>991001717499702656</t>
  </si>
  <si>
    <t>2270939000002656</t>
  </si>
  <si>
    <t>9780721693026</t>
  </si>
  <si>
    <t>30001004500056</t>
  </si>
  <si>
    <t>893274423</t>
  </si>
  <si>
    <t>WY 157.6 R628t 1971</t>
  </si>
  <si>
    <t>0                      WY 0157600R  628t        1971</t>
  </si>
  <si>
    <t>Textbook of orthopaedic nursing / by Robert Roaf and Leonard J. Hodkinson.</t>
  </si>
  <si>
    <t>Roaf, Robert.</t>
  </si>
  <si>
    <t>Philadelphia : Davis, c1971.</t>
  </si>
  <si>
    <t>1287703:eng</t>
  </si>
  <si>
    <t>136748</t>
  </si>
  <si>
    <t>991001034509702656</t>
  </si>
  <si>
    <t>2261395840002656</t>
  </si>
  <si>
    <t>30001000240491</t>
  </si>
  <si>
    <t>893731617</t>
  </si>
  <si>
    <t>WY 157.6 W926 1982</t>
  </si>
  <si>
    <t>0                      WY 0157600W  926         1982</t>
  </si>
  <si>
    <t>Working with orthopedic patients.</t>
  </si>
  <si>
    <t>1995-02-27</t>
  </si>
  <si>
    <t>54492904:eng</t>
  </si>
  <si>
    <t>8283386</t>
  </si>
  <si>
    <t>991000922069702656</t>
  </si>
  <si>
    <t>2268041480002656</t>
  </si>
  <si>
    <t>9780916730444</t>
  </si>
  <si>
    <t>30001000181711</t>
  </si>
  <si>
    <t>893740584</t>
  </si>
  <si>
    <t>WY 158 A649c 1990</t>
  </si>
  <si>
    <t>0                      WY 0158000A  649c        1990</t>
  </si>
  <si>
    <t>Clinical optics / Budd Appleton.</t>
  </si>
  <si>
    <t>Appleton, Budd.</t>
  </si>
  <si>
    <t>Thorofare, NJ : Slack, Inc., c1990.</t>
  </si>
  <si>
    <t>Ophthalmic technical skills series ; v. 2</t>
  </si>
  <si>
    <t>22306513:eng</t>
  </si>
  <si>
    <t>20569805</t>
  </si>
  <si>
    <t>991001322029702656</t>
  </si>
  <si>
    <t>2263253410002656</t>
  </si>
  <si>
    <t>9780943432724</t>
  </si>
  <si>
    <t>30001001753856</t>
  </si>
  <si>
    <t>893363967</t>
  </si>
  <si>
    <t>WY 158 B789n 1987</t>
  </si>
  <si>
    <t>0                      WY 0158000B  789n        1987</t>
  </si>
  <si>
    <t>Nursing care of the eye / Heather Boyd-Monk, Charles G. Steinmetz III.</t>
  </si>
  <si>
    <t>Boyd-Monk, Heather.</t>
  </si>
  <si>
    <t>2001-01-24</t>
  </si>
  <si>
    <t>1989-07-15</t>
  </si>
  <si>
    <t>10422675:eng</t>
  </si>
  <si>
    <t>15630901</t>
  </si>
  <si>
    <t>991001535159702656</t>
  </si>
  <si>
    <t>2256664340002656</t>
  </si>
  <si>
    <t>9780838570180</t>
  </si>
  <si>
    <t>30001000622615</t>
  </si>
  <si>
    <t>893732150</t>
  </si>
  <si>
    <t>WY 158 G213v 1991</t>
  </si>
  <si>
    <t>0                      WY 0158000G  213v        1991</t>
  </si>
  <si>
    <t>Visual field examination / Norma Garber.</t>
  </si>
  <si>
    <t>Garber, Norma.</t>
  </si>
  <si>
    <t>Thorofare, N.J. : Slack, c1991.</t>
  </si>
  <si>
    <t>Ophthalmic technical skills series ; v. 1</t>
  </si>
  <si>
    <t>1997-01-28</t>
  </si>
  <si>
    <t>21218961:eng</t>
  </si>
  <si>
    <t>23210460</t>
  </si>
  <si>
    <t>991001030879702656</t>
  </si>
  <si>
    <t>2263390860002656</t>
  </si>
  <si>
    <t>9781556421723</t>
  </si>
  <si>
    <t>30001002243733</t>
  </si>
  <si>
    <t>893369041</t>
  </si>
  <si>
    <t>WY 158 K33o 1990</t>
  </si>
  <si>
    <t>0                      WY 0158000K  33o         1990</t>
  </si>
  <si>
    <t>Ophthalmic echography / Cynthia J. Kendall.</t>
  </si>
  <si>
    <t>Kendall, Cynthia J.</t>
  </si>
  <si>
    <t>Thorofare, N.J. : SLACK, c1990.</t>
  </si>
  <si>
    <t>1992-03-12</t>
  </si>
  <si>
    <t>1781376786:eng</t>
  </si>
  <si>
    <t>23096366</t>
  </si>
  <si>
    <t>991001030559702656</t>
  </si>
  <si>
    <t>2257044120002656</t>
  </si>
  <si>
    <t>9781556420276</t>
  </si>
  <si>
    <t>30001002243634</t>
  </si>
  <si>
    <t>893134199</t>
  </si>
  <si>
    <t>WY 158 L473i 1992</t>
  </si>
  <si>
    <t>0                      WY 0158000L  473i        1992</t>
  </si>
  <si>
    <t>In-office training manual and series review.</t>
  </si>
  <si>
    <t>Ledford, Janice K.</t>
  </si>
  <si>
    <t>Thorofare, NJ : Slack, c1992.</t>
  </si>
  <si>
    <t>26464097:eng</t>
  </si>
  <si>
    <t>24515121</t>
  </si>
  <si>
    <t>991001030599702656</t>
  </si>
  <si>
    <t>2263010950002656</t>
  </si>
  <si>
    <t>9781556421754</t>
  </si>
  <si>
    <t>30001002243659</t>
  </si>
  <si>
    <t>893557523</t>
  </si>
  <si>
    <t>WY 158 N9739 1983</t>
  </si>
  <si>
    <t>0                      WY 0158000N  9739        1983</t>
  </si>
  <si>
    <t>Nursing and the management of adult communication disorders / edited by Susan J. Shanks.</t>
  </si>
  <si>
    <t>San Diego, Calif. : College-Hill Press, c1983.</t>
  </si>
  <si>
    <t>1991-02-05</t>
  </si>
  <si>
    <t>43713908:eng</t>
  </si>
  <si>
    <t>9197139</t>
  </si>
  <si>
    <t>991000922199702656</t>
  </si>
  <si>
    <t>2266628260002656</t>
  </si>
  <si>
    <t>9780933014862</t>
  </si>
  <si>
    <t>30001000181760</t>
  </si>
  <si>
    <t>893727093</t>
  </si>
  <si>
    <t>WY 158 S819o 1983</t>
  </si>
  <si>
    <t>0                      WY 0158000S  819o        1983</t>
  </si>
  <si>
    <t>The ophthalmic assistant : fundamentals and clinical practice / Harold A. Stein, Bernard J. Slatt.</t>
  </si>
  <si>
    <t>Stein, Harold A. (Harold Aaron), 1929-</t>
  </si>
  <si>
    <t>St. Louis : Mosby, c1983 [1982 printing]</t>
  </si>
  <si>
    <t>1266292:eng</t>
  </si>
  <si>
    <t>8221732</t>
  </si>
  <si>
    <t>991000922269702656</t>
  </si>
  <si>
    <t>2266793680002656</t>
  </si>
  <si>
    <t>9780801647765</t>
  </si>
  <si>
    <t>30001000181794</t>
  </si>
  <si>
    <t>893368898</t>
  </si>
  <si>
    <t>WY 159 A377p 1979</t>
  </si>
  <si>
    <t>0                      WY 0159000A  377p        1979</t>
  </si>
  <si>
    <t>Pediatric history taking and physical diagnosis for nurses / Mary M. Alexander, Marie Scott Brown.</t>
  </si>
  <si>
    <t>Alexander, Mary M. (Mary Merkel)</t>
  </si>
  <si>
    <t>New York : McGraw-Hill, c1979.</t>
  </si>
  <si>
    <t>-- 2d ed. --</t>
  </si>
  <si>
    <t>3901820879:eng</t>
  </si>
  <si>
    <t>3912698</t>
  </si>
  <si>
    <t>991000732439702656</t>
  </si>
  <si>
    <t>2260451780002656</t>
  </si>
  <si>
    <t>9780070010192</t>
  </si>
  <si>
    <t>30001000040669</t>
  </si>
  <si>
    <t>893267260</t>
  </si>
  <si>
    <t>WY 159 B784c 1998</t>
  </si>
  <si>
    <t>0                      WY 0159000B  784c        1998</t>
  </si>
  <si>
    <t>Children and their families : the continuum of care / Vicky R. Bowden, Susan B. Dickey, Cindy Smith Greenberg.</t>
  </si>
  <si>
    <t>Bowden, Vicky R.</t>
  </si>
  <si>
    <t>Philadelphia : W.B. Saunders Company, c1998.</t>
  </si>
  <si>
    <t>836923885:eng</t>
  </si>
  <si>
    <t>36597762</t>
  </si>
  <si>
    <t>991000597899702656</t>
  </si>
  <si>
    <t>2256875060002656</t>
  </si>
  <si>
    <t>9780721651798</t>
  </si>
  <si>
    <t>30001004015816</t>
  </si>
  <si>
    <t>893824779</t>
  </si>
  <si>
    <t>WY 159 B863i 1983</t>
  </si>
  <si>
    <t>0                      WY 0159000B  863i        1983</t>
  </si>
  <si>
    <t>Introductory pediatric nursing / Violet Broadribb ; with the consultation of Joan C. Jordan.</t>
  </si>
  <si>
    <t>Broadribb, Violet.</t>
  </si>
  <si>
    <t>493731693:eng</t>
  </si>
  <si>
    <t>8051304</t>
  </si>
  <si>
    <t>991000922519702656</t>
  </si>
  <si>
    <t>2258942790002656</t>
  </si>
  <si>
    <t>9780387543307</t>
  </si>
  <si>
    <t>30001000181901</t>
  </si>
  <si>
    <t>893740586</t>
  </si>
  <si>
    <t>WY 159 C525p 1998</t>
  </si>
  <si>
    <t>0                      WY 0159000C  525p        1998</t>
  </si>
  <si>
    <t>Pediatric home care manual / Mary Ann Chestnut.</t>
  </si>
  <si>
    <t>Chestnut, Mary Ann.</t>
  </si>
  <si>
    <t>1999-04-21</t>
  </si>
  <si>
    <t>597916:eng</t>
  </si>
  <si>
    <t>37116427</t>
  </si>
  <si>
    <t>991000784009702656</t>
  </si>
  <si>
    <t>2265241270002656</t>
  </si>
  <si>
    <t>9780781712033</t>
  </si>
  <si>
    <t>30001004071124</t>
  </si>
  <si>
    <t>893120385</t>
  </si>
  <si>
    <t>WY 159 C534 1981</t>
  </si>
  <si>
    <t>0                      WY 0159000C  534         1981</t>
  </si>
  <si>
    <t>Child development / [edited by] Mary Tudor.</t>
  </si>
  <si>
    <t>54379170:eng</t>
  </si>
  <si>
    <t>6251811</t>
  </si>
  <si>
    <t>991000922669702656</t>
  </si>
  <si>
    <t>2261230800002656</t>
  </si>
  <si>
    <t>9780070654129</t>
  </si>
  <si>
    <t>30001000181968</t>
  </si>
  <si>
    <t>893278489</t>
  </si>
  <si>
    <t>WY 159 C536 1979</t>
  </si>
  <si>
    <t>0                      WY 0159000C  536         1979</t>
  </si>
  <si>
    <t>Child health assessment : Part 2: The first year of life / Kathryn E. Basrnard, Sandra J. Eyres, editors</t>
  </si>
  <si>
    <t>-- Bethesda, Md., Bureau of Health Resources Development, Division of Nursing, 1979.</t>
  </si>
  <si>
    <t>DHEW Publication No. HRA 79-25</t>
  </si>
  <si>
    <t>1998-10-20</t>
  </si>
  <si>
    <t>2290468139:eng</t>
  </si>
  <si>
    <t>1394234</t>
  </si>
  <si>
    <t>991000922579702656</t>
  </si>
  <si>
    <t>2261340300002656</t>
  </si>
  <si>
    <t>30001000181943</t>
  </si>
  <si>
    <t>893273494</t>
  </si>
  <si>
    <t>WY 159 C7365 1991</t>
  </si>
  <si>
    <t>0                      WY 0159000C  7365        1991</t>
  </si>
  <si>
    <t>Comprehensive child and family nursing skills / editor, Donna Phillips Smith ; unit editors, Kristie S. Nix ... [et al.] ; consultant, Donna L. Wong.</t>
  </si>
  <si>
    <t>427268949:eng</t>
  </si>
  <si>
    <t>22764254</t>
  </si>
  <si>
    <t>991001476649702656</t>
  </si>
  <si>
    <t>2259846210002656</t>
  </si>
  <si>
    <t>9780801652097</t>
  </si>
  <si>
    <t>30001002563510</t>
  </si>
  <si>
    <t>893558011</t>
  </si>
  <si>
    <t>WY 159 D479 1977</t>
  </si>
  <si>
    <t>0                      WY 0159000D  479         1977</t>
  </si>
  <si>
    <t>Detection of developmental problems in children : a reference guide for community nurses and other health care professionals / edited by Marilyn J. Krajicek, Alice I. Tearney.</t>
  </si>
  <si>
    <t>-- Baltimore : University Park Press, c1977.</t>
  </si>
  <si>
    <t>3943367316:eng</t>
  </si>
  <si>
    <t>2542581</t>
  </si>
  <si>
    <t>991000922859702656</t>
  </si>
  <si>
    <t>2272084150002656</t>
  </si>
  <si>
    <t>9780839109495</t>
  </si>
  <si>
    <t>30001000182149</t>
  </si>
  <si>
    <t>893455285</t>
  </si>
  <si>
    <t>WY 159 E92g 1980</t>
  </si>
  <si>
    <t>0                      WY 0159000E  92g         1980</t>
  </si>
  <si>
    <t>Guide to pediatric nursing : a clinical reference / Marilyn Lang Evans, Beverly Desmond Hansen.</t>
  </si>
  <si>
    <t>New York : Appleton-Century-Crofts, 1980.</t>
  </si>
  <si>
    <t>4495065077:eng</t>
  </si>
  <si>
    <t>5892750</t>
  </si>
  <si>
    <t>991000923069702656</t>
  </si>
  <si>
    <t>2268489490002656</t>
  </si>
  <si>
    <t>9780838535332</t>
  </si>
  <si>
    <t>30001000182156</t>
  </si>
  <si>
    <t>893358013</t>
  </si>
  <si>
    <t>WY 159 G971a 1994</t>
  </si>
  <si>
    <t>0                      WY 0159000G  971a        1994</t>
  </si>
  <si>
    <t>Ambulatory pediatric nursing / Meg Gulanick, Michele Knoll Puzas, Deidra Gradishar.</t>
  </si>
  <si>
    <t>Gulanick, Meg.</t>
  </si>
  <si>
    <t>Albany, NY : Delmar Publishers, c1994.</t>
  </si>
  <si>
    <t>Plans of care for specialty practice</t>
  </si>
  <si>
    <t>1994-04-29</t>
  </si>
  <si>
    <t>30923984:eng</t>
  </si>
  <si>
    <t>28853801</t>
  </si>
  <si>
    <t>991001160829702656</t>
  </si>
  <si>
    <t>2263297540002656</t>
  </si>
  <si>
    <t>9780827352568</t>
  </si>
  <si>
    <t>30001002974030</t>
  </si>
  <si>
    <t>893369156</t>
  </si>
  <si>
    <t>WY 159 H638 1979</t>
  </si>
  <si>
    <t>0                      WY 0159000H  638         1979</t>
  </si>
  <si>
    <t>High-risk parenting : nursing assessment and strategies for the family at risk / [edited by] Suzanne Hall Johnson.</t>
  </si>
  <si>
    <t>New York : Lippincott, c1979.</t>
  </si>
  <si>
    <t>1997-09-22</t>
  </si>
  <si>
    <t>15076888:eng</t>
  </si>
  <si>
    <t>4883638</t>
  </si>
  <si>
    <t>991000923219702656</t>
  </si>
  <si>
    <t>2260355740002656</t>
  </si>
  <si>
    <t>9780397543120</t>
  </si>
  <si>
    <t>30001000182214</t>
  </si>
  <si>
    <t>893374097</t>
  </si>
  <si>
    <t>WY159 H6475 1999</t>
  </si>
  <si>
    <t>0                      WY 0159000H  6475        1999</t>
  </si>
  <si>
    <t>Management guidelines for pediatric nurse practitioners / Nancy Herban Hill, Linda Sullivan.</t>
  </si>
  <si>
    <t>Hill, Nancy Herban, 1934-</t>
  </si>
  <si>
    <t>2000-01-12</t>
  </si>
  <si>
    <t>42110942:eng</t>
  </si>
  <si>
    <t>38528401</t>
  </si>
  <si>
    <t>991001411569702656</t>
  </si>
  <si>
    <t>2266512620002656</t>
  </si>
  <si>
    <t>9780803602304</t>
  </si>
  <si>
    <t>30001003890326</t>
  </si>
  <si>
    <t>893552474</t>
  </si>
  <si>
    <t>WY 159 J23p 1998</t>
  </si>
  <si>
    <t>0                      WY 0159000J  23p         1998</t>
  </si>
  <si>
    <t>Pediatric nursing care plans / Marie Jaffe.</t>
  </si>
  <si>
    <t>Englewood, Colo. : Skidmore-Roth Pub., c1998.</t>
  </si>
  <si>
    <t>2nd ed. / revised by Verna Hendricks-Ferguson ... [et al.].</t>
  </si>
  <si>
    <t>2006-10-21</t>
  </si>
  <si>
    <t>1998-05-06</t>
  </si>
  <si>
    <t>30304348:eng</t>
  </si>
  <si>
    <t>38976539</t>
  </si>
  <si>
    <t>991001566959702656</t>
  </si>
  <si>
    <t>2263279420002656</t>
  </si>
  <si>
    <t>9781569300572</t>
  </si>
  <si>
    <t>30001004176394</t>
  </si>
  <si>
    <t>893369484</t>
  </si>
  <si>
    <t>WY 159 J43e</t>
  </si>
  <si>
    <t>0                      WY 0159000J  43e</t>
  </si>
  <si>
    <t>Essentials of pediatrics / by Philip C. Jeans, Winifred Rand, Florence G. Blake ; 86 illustrations and 9 subjects in color.</t>
  </si>
  <si>
    <t>Jeans, Philip C. (Philip Charles), 1883-1952.</t>
  </si>
  <si>
    <t>Philadelphia : Montreal [etc.] J.B. Lippincott company, [1946]</t>
  </si>
  <si>
    <t>1997-10-09</t>
  </si>
  <si>
    <t>3372454668:eng</t>
  </si>
  <si>
    <t>1599732</t>
  </si>
  <si>
    <t>991000923319702656</t>
  </si>
  <si>
    <t>2265108930002656</t>
  </si>
  <si>
    <t>30001000182255</t>
  </si>
  <si>
    <t>893363538</t>
  </si>
  <si>
    <t>WY 159 K84h 1986</t>
  </si>
  <si>
    <t>0                      WY 0159000K  84h         1986</t>
  </si>
  <si>
    <t>High-risk newborn infants : the basis for intensive nursing care / Sheldon B. Korones ; with editorial assistance of, and a chapter by, Jean Lancaster.</t>
  </si>
  <si>
    <t>Korones, Sheldon B., 1924-</t>
  </si>
  <si>
    <t>1988-04-10</t>
  </si>
  <si>
    <t>1476573:eng</t>
  </si>
  <si>
    <t>13214910</t>
  </si>
  <si>
    <t>991000732239702656</t>
  </si>
  <si>
    <t>2262080860002656</t>
  </si>
  <si>
    <t>9780801627507</t>
  </si>
  <si>
    <t>30001000040560</t>
  </si>
  <si>
    <t>893540332</t>
  </si>
  <si>
    <t>WY 159 M921n 1990</t>
  </si>
  <si>
    <t>0                      WY 0159000M  921n        1990</t>
  </si>
  <si>
    <t>Nursing care of children and families / Sandra R. Mott, Susan Rowen James, Arlene M. Sperhac.</t>
  </si>
  <si>
    <t>Mott, Sandra R., 1942-</t>
  </si>
  <si>
    <t>Redwood City, Calif. : Addison-Wesley Nursing, c1990.</t>
  </si>
  <si>
    <t>22319838:eng</t>
  </si>
  <si>
    <t>20670239</t>
  </si>
  <si>
    <t>991001453859702656</t>
  </si>
  <si>
    <t>2265125930002656</t>
  </si>
  <si>
    <t>9780201129236</t>
  </si>
  <si>
    <t>30001001884222</t>
  </si>
  <si>
    <t>893557999</t>
  </si>
  <si>
    <t>WY 159 N439 1985</t>
  </si>
  <si>
    <t>0                      WY 0159000N  439         1985</t>
  </si>
  <si>
    <t>Neonatal nursing : a practical guide / edited by Anne Marie Dazé, John W. Scanlon.</t>
  </si>
  <si>
    <t>Baltimore : University Park Press, c1985.</t>
  </si>
  <si>
    <t>428758878:eng</t>
  </si>
  <si>
    <t>11088879</t>
  </si>
  <si>
    <t>991000924199702656</t>
  </si>
  <si>
    <t>2261674420002656</t>
  </si>
  <si>
    <t>9780839118756</t>
  </si>
  <si>
    <t>30001000182461</t>
  </si>
  <si>
    <t>893450618</t>
  </si>
  <si>
    <t>WY 159 N967 1983</t>
  </si>
  <si>
    <t>0                      WY 0159000N  967         1983</t>
  </si>
  <si>
    <t>Nursing care of infants and children / Lucille F. Whaley, Donna L. Wong [editors].</t>
  </si>
  <si>
    <t>3901077483:eng</t>
  </si>
  <si>
    <t>8475294</t>
  </si>
  <si>
    <t>991000732119702656</t>
  </si>
  <si>
    <t>2271506360002656</t>
  </si>
  <si>
    <t>9780801654190</t>
  </si>
  <si>
    <t>30001000040511</t>
  </si>
  <si>
    <t>893160946</t>
  </si>
  <si>
    <t>WY 159 N9738 1983</t>
  </si>
  <si>
    <t>0                      WY 0159000N  9738        1983</t>
  </si>
  <si>
    <t>Nursing and the management of pediatric communication disorders / edited by Susan J. Shanks.</t>
  </si>
  <si>
    <t>San Diego, CA : College-Hill Press, c1983.</t>
  </si>
  <si>
    <t>1993-02-02</t>
  </si>
  <si>
    <t>3859622155:eng</t>
  </si>
  <si>
    <t>9197330</t>
  </si>
  <si>
    <t>991000924399702656</t>
  </si>
  <si>
    <t>2266629820002656</t>
  </si>
  <si>
    <t>9780933014855</t>
  </si>
  <si>
    <t>30001000182537</t>
  </si>
  <si>
    <t>893467725</t>
  </si>
  <si>
    <t>WY 159 N97384 1986</t>
  </si>
  <si>
    <t>0                      WY 0159000N  97384       1986</t>
  </si>
  <si>
    <t>Nursing assessment and strategies for the family at risk / [edited by] Suzanne Hall Johnson.</t>
  </si>
  <si>
    <t>1993-07-17</t>
  </si>
  <si>
    <t>836724321:eng</t>
  </si>
  <si>
    <t>12344220</t>
  </si>
  <si>
    <t>991000924559702656</t>
  </si>
  <si>
    <t>2271881530002656</t>
  </si>
  <si>
    <t>9780397545667</t>
  </si>
  <si>
    <t>30001000182560</t>
  </si>
  <si>
    <t>893560772</t>
  </si>
  <si>
    <t>WY 159 N973946 1988</t>
  </si>
  <si>
    <t>0                      WY 0159000N  973946      1988</t>
  </si>
  <si>
    <t>Nursing care plans for the child : a nursing diagnosis approach / Patricia Schafer ... [et al.].</t>
  </si>
  <si>
    <t>Norwalk, CT : Appleton &amp; Lange, c1988.</t>
  </si>
  <si>
    <t>1989-01-28</t>
  </si>
  <si>
    <t>931555926:eng</t>
  </si>
  <si>
    <t>17953849</t>
  </si>
  <si>
    <t>991001116889702656</t>
  </si>
  <si>
    <t>2263028450002656</t>
  </si>
  <si>
    <t>9780838578032</t>
  </si>
  <si>
    <t>30001001613530</t>
  </si>
  <si>
    <t>893363783</t>
  </si>
  <si>
    <t>WY 159 N97396 1987</t>
  </si>
  <si>
    <t>0                      WY 0159000N  97396       1987</t>
  </si>
  <si>
    <t>Nursing care plans for the pediatric patient / the Children's Hospital and Medical Center ; edited by Nancy Pomerhn Nelson and Julie Beckel.</t>
  </si>
  <si>
    <t>375106848:eng</t>
  </si>
  <si>
    <t>15055342</t>
  </si>
  <si>
    <t>991000902699702656</t>
  </si>
  <si>
    <t>2260741480002656</t>
  </si>
  <si>
    <t>30001000170318</t>
  </si>
  <si>
    <t>893267780</t>
  </si>
  <si>
    <t>WY 159 N97397 1990</t>
  </si>
  <si>
    <t>0                      WY 0159000N  97397       1990</t>
  </si>
  <si>
    <t>Nursing interventions for infants &amp; children / [edited by] Martha J. Craft, Janice A. Denehy.</t>
  </si>
  <si>
    <t>1998-02-10</t>
  </si>
  <si>
    <t>1991-03-06</t>
  </si>
  <si>
    <t>438064586:eng</t>
  </si>
  <si>
    <t>19981709</t>
  </si>
  <si>
    <t>991000824929702656</t>
  </si>
  <si>
    <t>2260233100002656</t>
  </si>
  <si>
    <t>9780721621296</t>
  </si>
  <si>
    <t>30001002088435</t>
  </si>
  <si>
    <t>893133844</t>
  </si>
  <si>
    <t>WY 159 P3695 1997</t>
  </si>
  <si>
    <t>0                      WY 0159000P  3695        1997</t>
  </si>
  <si>
    <t>Pediatric home care / edited by Wendy L. Votroubek, Julie L. Townsend.</t>
  </si>
  <si>
    <t>Gaithersburg, Md. : Aspen Publishers, 1997.</t>
  </si>
  <si>
    <t>1909345597:eng</t>
  </si>
  <si>
    <t>36768448</t>
  </si>
  <si>
    <t>991001572739702656</t>
  </si>
  <si>
    <t>2261684280002656</t>
  </si>
  <si>
    <t>9780834208841</t>
  </si>
  <si>
    <t>30001004071082</t>
  </si>
  <si>
    <t>893558108</t>
  </si>
  <si>
    <t>WY 159 P371 1983</t>
  </si>
  <si>
    <t>0                      WY 0159000P  371         1983</t>
  </si>
  <si>
    <t>Pediatric care : a guide for patient education / [edited by] Susan E. Parker.</t>
  </si>
  <si>
    <t>Appleton patient education series</t>
  </si>
  <si>
    <t>1991-03-19</t>
  </si>
  <si>
    <t>32542840:eng</t>
  </si>
  <si>
    <t>8626519</t>
  </si>
  <si>
    <t>991000924739702656</t>
  </si>
  <si>
    <t>2261140880002656</t>
  </si>
  <si>
    <t>30001000182594</t>
  </si>
  <si>
    <t>893551941</t>
  </si>
  <si>
    <t>WY 159 P3733 1999</t>
  </si>
  <si>
    <t>0                      WY 0159000P  3733        1999</t>
  </si>
  <si>
    <t>Pediatric nursing : caring for children / [edited by] Jane Ball, Ruth Bindler.</t>
  </si>
  <si>
    <t>1999-02-18</t>
  </si>
  <si>
    <t>863947746:eng</t>
  </si>
  <si>
    <t>39236350</t>
  </si>
  <si>
    <t>991001553429702656</t>
  </si>
  <si>
    <t>2258729680002656</t>
  </si>
  <si>
    <t>9780838581230</t>
  </si>
  <si>
    <t>30001004159382</t>
  </si>
  <si>
    <t>893162148</t>
  </si>
  <si>
    <t>WY159 P3733 2003</t>
  </si>
  <si>
    <t>0                      WY 0159000P  3733        2003</t>
  </si>
  <si>
    <t>Pediatric nursing : caring for children / [edited by] Jane W. Ball, Ruth C. Bindler.</t>
  </si>
  <si>
    <t>49527014</t>
  </si>
  <si>
    <t>991000331819702656</t>
  </si>
  <si>
    <t>2271724830002656</t>
  </si>
  <si>
    <t>9780130994059</t>
  </si>
  <si>
    <t>30001004500478</t>
  </si>
  <si>
    <t>893109417</t>
  </si>
  <si>
    <t>WY 159 P3733qr 1999</t>
  </si>
  <si>
    <t>0                      WY 0159000P  3733qr      1999</t>
  </si>
  <si>
    <t>Quick reference to Pediatric clinical skills/ [by] Ruth Bindler, Jane Ball.</t>
  </si>
  <si>
    <t>Bindler, Ruth McGillis.</t>
  </si>
  <si>
    <t>20497118:eng</t>
  </si>
  <si>
    <t>40789842</t>
  </si>
  <si>
    <t>991001561389702656</t>
  </si>
  <si>
    <t>2258588330002656</t>
  </si>
  <si>
    <t>30001004159390</t>
  </si>
  <si>
    <t>893279221</t>
  </si>
  <si>
    <t>WY 159 P3734 1990</t>
  </si>
  <si>
    <t>0                      WY 0159000P  3734        1990</t>
  </si>
  <si>
    <t>Pediatric nursing care / Gladys M. Scipien ... [et al.].</t>
  </si>
  <si>
    <t>1998-04-29</t>
  </si>
  <si>
    <t>18368267:eng</t>
  </si>
  <si>
    <t>18716219</t>
  </si>
  <si>
    <t>991001476599702656</t>
  </si>
  <si>
    <t>2265081940002656</t>
  </si>
  <si>
    <t>9780801660580</t>
  </si>
  <si>
    <t>30001002563494</t>
  </si>
  <si>
    <t>893736620</t>
  </si>
  <si>
    <t>WY 159 P641n 1987</t>
  </si>
  <si>
    <t>0                      WY 0159000P  641n        1987</t>
  </si>
  <si>
    <t>Child health nursing : care of the growing family / Adele Pillitteri.</t>
  </si>
  <si>
    <t>1993-03-17</t>
  </si>
  <si>
    <t>894330233:eng</t>
  </si>
  <si>
    <t>14719679</t>
  </si>
  <si>
    <t>991000763959702656</t>
  </si>
  <si>
    <t>2257602890002656</t>
  </si>
  <si>
    <t>9780316707961</t>
  </si>
  <si>
    <t>30001000056699</t>
  </si>
  <si>
    <t>893545876</t>
  </si>
  <si>
    <t>WY 159 P957p 1982</t>
  </si>
  <si>
    <t>0                      WY 0159000P  957p        1982</t>
  </si>
  <si>
    <t>Promoting the health of children : a guide for caretakers and health care professionals / Sheila M. Pringle, Brenda E. Ramsey.</t>
  </si>
  <si>
    <t>Pringle, Sheila M.</t>
  </si>
  <si>
    <t>197713856:eng</t>
  </si>
  <si>
    <t>7735106</t>
  </si>
  <si>
    <t>991001532059702656</t>
  </si>
  <si>
    <t>2272693140002656</t>
  </si>
  <si>
    <t>9780801640483</t>
  </si>
  <si>
    <t>30001000621799</t>
  </si>
  <si>
    <t>893821320</t>
  </si>
  <si>
    <t>WY 159 S492n 1987</t>
  </si>
  <si>
    <t>0                      WY 0159000S  492n        1987</t>
  </si>
  <si>
    <t>Nursing management of children / Jane Servonsky, Susan Opas.</t>
  </si>
  <si>
    <t>Servonsky, Jane.</t>
  </si>
  <si>
    <t>Boston : Jones and Bartlett, c1987.</t>
  </si>
  <si>
    <t>8548043:eng</t>
  </si>
  <si>
    <t>14520141</t>
  </si>
  <si>
    <t>991000766309702656</t>
  </si>
  <si>
    <t>2271181840002656</t>
  </si>
  <si>
    <t>9780867203578</t>
  </si>
  <si>
    <t>30001000057085</t>
  </si>
  <si>
    <t>893726755</t>
  </si>
  <si>
    <t>WY 159 S7415p 1990</t>
  </si>
  <si>
    <t>0                      WY 0159000S  7415p       1990</t>
  </si>
  <si>
    <t>Pediatric care plans / Kathleen Morgan Speer.</t>
  </si>
  <si>
    <t>Speer, Kathleen Morgan.</t>
  </si>
  <si>
    <t>1997-09-12</t>
  </si>
  <si>
    <t>3901161620:eng</t>
  </si>
  <si>
    <t>20262453</t>
  </si>
  <si>
    <t>991001454189702656</t>
  </si>
  <si>
    <t>2261161980002656</t>
  </si>
  <si>
    <t>9780874342260</t>
  </si>
  <si>
    <t>30001001884404</t>
  </si>
  <si>
    <t>893134586</t>
  </si>
  <si>
    <t>WY 159 S814n 1985</t>
  </si>
  <si>
    <t>0                      WY 0159000S  814n        1985</t>
  </si>
  <si>
    <t>Nursing assessment of young children vulnerable to developmental disabilities : with special reference to children with cerebral palsy / by Shirle Steele.</t>
  </si>
  <si>
    <t>[S.l.] : Sparks Center, c1985.</t>
  </si>
  <si>
    <t>17683968:eng</t>
  </si>
  <si>
    <t>18232390</t>
  </si>
  <si>
    <t>991000629879702656</t>
  </si>
  <si>
    <t>2257371830002656</t>
  </si>
  <si>
    <t>30001000015455</t>
  </si>
  <si>
    <t>893647765</t>
  </si>
  <si>
    <t>WY 159 S933 1947</t>
  </si>
  <si>
    <t>0                      WY 0159000S  933         1947</t>
  </si>
  <si>
    <t>A study of pediatric nursing / sponsored by U.S. Children's Bureau and National League of Nursing Education in cooperation with New York Hospital.</t>
  </si>
  <si>
    <t>New York : National League of Nursing Education, 1947.</t>
  </si>
  <si>
    <t>1947</t>
  </si>
  <si>
    <t>12351064:eng</t>
  </si>
  <si>
    <t>3727726</t>
  </si>
  <si>
    <t>991001518429702656</t>
  </si>
  <si>
    <t>2263410350002656</t>
  </si>
  <si>
    <t>30001000600470</t>
  </si>
  <si>
    <t>893465602</t>
  </si>
  <si>
    <t>WY 159 T118f 1981</t>
  </si>
  <si>
    <t>0                      WY 0159000T  118f        1981</t>
  </si>
  <si>
    <t>Family centered care of children and adolescents : nursing concepts in child health / Jo Joyce Marie Tackett, Mabel Hunsberger.</t>
  </si>
  <si>
    <t>Tackett-Anderson, Jo Joyce.</t>
  </si>
  <si>
    <t>Philadelphia : Saunders, 1981.</t>
  </si>
  <si>
    <t>364430384:eng</t>
  </si>
  <si>
    <t>7329108</t>
  </si>
  <si>
    <t>991000924969702656</t>
  </si>
  <si>
    <t>2271958390002656</t>
  </si>
  <si>
    <t>9780721687407</t>
  </si>
  <si>
    <t>30001000182693</t>
  </si>
  <si>
    <t>893743566</t>
  </si>
  <si>
    <t>WY 159 T469p 1997</t>
  </si>
  <si>
    <t>0                      WY 0159000T  469p        1997</t>
  </si>
  <si>
    <t>Thompson's pediatric nursing : an introductory text.</t>
  </si>
  <si>
    <t>Schulte, Elizabeth.</t>
  </si>
  <si>
    <t>7th ed. / Elizabeth B. Schulte, Debra L. Price, Susan Rowen James.</t>
  </si>
  <si>
    <t>1997-07-24</t>
  </si>
  <si>
    <t>1070127:eng</t>
  </si>
  <si>
    <t>36430960</t>
  </si>
  <si>
    <t>991001259959702656</t>
  </si>
  <si>
    <t>2267866400002656</t>
  </si>
  <si>
    <t>9780721642390</t>
  </si>
  <si>
    <t>30001003690767</t>
  </si>
  <si>
    <t>893649020</t>
  </si>
  <si>
    <t>WY 159 W522e 1985</t>
  </si>
  <si>
    <t>0                      WY 0159000W  522e        1985</t>
  </si>
  <si>
    <t>Essentials of pediatric nursing / Lucille F. Whaley, Donna L. Wong.</t>
  </si>
  <si>
    <t>Whaley, Lucille F., 1923-</t>
  </si>
  <si>
    <t>1991-09-19</t>
  </si>
  <si>
    <t>3731011:eng</t>
  </si>
  <si>
    <t>11157284</t>
  </si>
  <si>
    <t>991000925119702656</t>
  </si>
  <si>
    <t>2257728750002656</t>
  </si>
  <si>
    <t>9780801654145</t>
  </si>
  <si>
    <t>30001000182743</t>
  </si>
  <si>
    <t>893121024</t>
  </si>
  <si>
    <t>WY 159 W5523 1999</t>
  </si>
  <si>
    <t>0                      WY 0159000W  5523        1999</t>
  </si>
  <si>
    <t>Whaley &amp; Wong's nursing care of infants and children / Donna L. Wong ... [et al.].</t>
  </si>
  <si>
    <t>2003-04-04</t>
  </si>
  <si>
    <t>3856363407:eng</t>
  </si>
  <si>
    <t>39764044</t>
  </si>
  <si>
    <t>991001805269702656</t>
  </si>
  <si>
    <t>2266305500002656</t>
  </si>
  <si>
    <t>9780323001502</t>
  </si>
  <si>
    <t>30001003961747</t>
  </si>
  <si>
    <t>893168908</t>
  </si>
  <si>
    <t>WY159 W8728 2001</t>
  </si>
  <si>
    <t>0                      WY 0159000W  8728        2001</t>
  </si>
  <si>
    <t>Wong's essentials of pediatric nursing / Donna L. Wong ... [et al.].</t>
  </si>
  <si>
    <t>2002-07-01</t>
  </si>
  <si>
    <t>3855428503:eng</t>
  </si>
  <si>
    <t>44579059</t>
  </si>
  <si>
    <t>991000320629702656</t>
  </si>
  <si>
    <t>2270358670002656</t>
  </si>
  <si>
    <t>9780323009898</t>
  </si>
  <si>
    <t>30001004238251</t>
  </si>
  <si>
    <t>893109406</t>
  </si>
  <si>
    <t>WY159 W8728 2005</t>
  </si>
  <si>
    <t>0                      WY 0159000W  8728        2005</t>
  </si>
  <si>
    <t>Wong's essentials of pediatric nursing.</t>
  </si>
  <si>
    <t>7th ed. / [edited by] Marilyn J. Hockenberry ; section editors, David Wilson, Marilyn L. Winkelstein.</t>
  </si>
  <si>
    <t>2008-10-30</t>
  </si>
  <si>
    <t>57250925</t>
  </si>
  <si>
    <t>991000422749702656</t>
  </si>
  <si>
    <t>2272247610002656</t>
  </si>
  <si>
    <t>9780323025935</t>
  </si>
  <si>
    <t>30001004926343</t>
  </si>
  <si>
    <t>893447274</t>
  </si>
  <si>
    <t>WY159 W872p 2000</t>
  </si>
  <si>
    <t>0                      WY 0159000W  872p        2000</t>
  </si>
  <si>
    <t>Pediatric quick reference / Donna L. Wong.</t>
  </si>
  <si>
    <t>St. Louis : Mosby Year Book, c2000.</t>
  </si>
  <si>
    <t>222601961:eng</t>
  </si>
  <si>
    <t>43274699</t>
  </si>
  <si>
    <t>991000320409702656</t>
  </si>
  <si>
    <t>2267197040002656</t>
  </si>
  <si>
    <t>9780323010566</t>
  </si>
  <si>
    <t>30001004238400</t>
  </si>
  <si>
    <t>893136738</t>
  </si>
  <si>
    <t>WY159 W872sa 2000</t>
  </si>
  <si>
    <t>0                      WY 0159000W  872sa       2000</t>
  </si>
  <si>
    <t>Wong and Whaley's clinical manual of pediatric nursing / Donna L. Wong, Caryn Stoermer Hess ; with community and home care instructions by Christina Algiere Kasprisin.</t>
  </si>
  <si>
    <t>1863485480:eng</t>
  </si>
  <si>
    <t>42429674</t>
  </si>
  <si>
    <t>991000320459702656</t>
  </si>
  <si>
    <t>2255609340002656</t>
  </si>
  <si>
    <t>9780323009799</t>
  </si>
  <si>
    <t>30001004238376</t>
  </si>
  <si>
    <t>893732759</t>
  </si>
  <si>
    <t>WY 159 W872w 1993</t>
  </si>
  <si>
    <t>0                      WY 0159000W  872w        1993</t>
  </si>
  <si>
    <t>Whaley &amp; Wong's Essentials of pediatric nursing / Donna L. Wong ; contributing editor, Judy Holt Rollins.</t>
  </si>
  <si>
    <t>3902736510:eng</t>
  </si>
  <si>
    <t>26505654</t>
  </si>
  <si>
    <t>991000688329702656</t>
  </si>
  <si>
    <t>2255297570002656</t>
  </si>
  <si>
    <t>9780801666506</t>
  </si>
  <si>
    <t>30001002699645</t>
  </si>
  <si>
    <t>893373401</t>
  </si>
  <si>
    <t>WY 159 W872w 1995</t>
  </si>
  <si>
    <t>0                      WY 0159000W  872w        1995</t>
  </si>
  <si>
    <t>Whaley &amp; Wong's nursing care of infants and children / Donna L. Wong ; contribution editor, David Wilson.</t>
  </si>
  <si>
    <t>St. Louis : Mosby-Year Book, c1995.</t>
  </si>
  <si>
    <t>2002-11-16</t>
  </si>
  <si>
    <t>31374965</t>
  </si>
  <si>
    <t>991000685609702656</t>
  </si>
  <si>
    <t>2256486270002656</t>
  </si>
  <si>
    <t>9780801678820</t>
  </si>
  <si>
    <t>30001002698852</t>
  </si>
  <si>
    <t>893556842</t>
  </si>
  <si>
    <t>WY 159 W872w 1997</t>
  </si>
  <si>
    <t>0                      WY 0159000W  872w        1997</t>
  </si>
  <si>
    <t>Whaley &amp; Wong's essentials of pediatric nursing / Donna L. Wong.</t>
  </si>
  <si>
    <t>2000-10-03</t>
  </si>
  <si>
    <t>1998-07-30</t>
  </si>
  <si>
    <t>35741573</t>
  </si>
  <si>
    <t>991000818139702656</t>
  </si>
  <si>
    <t>2260717570002656</t>
  </si>
  <si>
    <t>9780815192701</t>
  </si>
  <si>
    <t>30001004090918</t>
  </si>
  <si>
    <t>893450443</t>
  </si>
  <si>
    <t>WY 159 W872wa 1996</t>
  </si>
  <si>
    <t>0                      WY 0159000W  872wa       1996</t>
  </si>
  <si>
    <t>Wong and Whaley's clinical manual of pediatric nursing / Donna L. Wong ; with home care instructions by Christina Algiere Kasprisin ; with revised nursing care plans by Caryn Stoermer Hess.</t>
  </si>
  <si>
    <t>32591160</t>
  </si>
  <si>
    <t>991001551139702656</t>
  </si>
  <si>
    <t>2269628830002656</t>
  </si>
  <si>
    <t>9780815194422</t>
  </si>
  <si>
    <t>30001003441633</t>
  </si>
  <si>
    <t>893552624</t>
  </si>
  <si>
    <t>WY159.5 F1985 2005</t>
  </si>
  <si>
    <t>0                      WY 0159500F  1985        2005</t>
  </si>
  <si>
    <t>Family health care nursing : theory, practice, and research / [edited] by Shirley May Harmon Hanson, Vivian Gedaly-Duff &amp; Joanna Rowe Kaakinen.</t>
  </si>
  <si>
    <t>Philadelphia : F.A. Davis, 2005.</t>
  </si>
  <si>
    <t>2006-02-17</t>
  </si>
  <si>
    <t>180646121:eng</t>
  </si>
  <si>
    <t>58563152</t>
  </si>
  <si>
    <t>991000463769702656</t>
  </si>
  <si>
    <t>2263758900002656</t>
  </si>
  <si>
    <t>9780803612020</t>
  </si>
  <si>
    <t>30001004912749</t>
  </si>
  <si>
    <t>893136914</t>
  </si>
  <si>
    <t>WY 160 A5125s 1998</t>
  </si>
  <si>
    <t>0                      WY 0160000A  5125s       1998</t>
  </si>
  <si>
    <t>Statement on the scope and standards for the nurse who specializes in developmental disabilities and/or mentalretardation / Nursing Division of the American Association on Mental Retardation [and] American Nurses Association.</t>
  </si>
  <si>
    <t>41526982:eng</t>
  </si>
  <si>
    <t>38758356</t>
  </si>
  <si>
    <t>991000269359702656</t>
  </si>
  <si>
    <t>2266534920002656</t>
  </si>
  <si>
    <t>30001004176824</t>
  </si>
  <si>
    <t>893451922</t>
  </si>
  <si>
    <t>WY 160 A838 1957</t>
  </si>
  <si>
    <t>0                      WY 0160000A  838         1957</t>
  </si>
  <si>
    <t>Aspects of psychiatric nursing considered at the 1956 Regional Conferences of the National League for Nursing.</t>
  </si>
  <si>
    <t>League exchange ; no. 26</t>
  </si>
  <si>
    <t>2983193:eng</t>
  </si>
  <si>
    <t>19369590</t>
  </si>
  <si>
    <t>991001389369702656</t>
  </si>
  <si>
    <t>2272801120002656</t>
  </si>
  <si>
    <t>30001000464588</t>
  </si>
  <si>
    <t>893161931</t>
  </si>
  <si>
    <t>WY160 A838 1957 SECT. B</t>
  </si>
  <si>
    <t>0                      WY 0160000A  838         1957                                        SECT. B</t>
  </si>
  <si>
    <t>30001000464596</t>
  </si>
  <si>
    <t>893134513</t>
  </si>
  <si>
    <t>WY160 A838 1957 SECT. C</t>
  </si>
  <si>
    <t>0                      WY 0160000A  838         1957                                        SECT. C</t>
  </si>
  <si>
    <t>30001000464604</t>
  </si>
  <si>
    <t>893121453</t>
  </si>
  <si>
    <t>WY160 A838 1959 SECT. D</t>
  </si>
  <si>
    <t>0                      WY 0160000A  838         1959                                        SECT. D</t>
  </si>
  <si>
    <t>30001000464612</t>
  </si>
  <si>
    <t>893161932</t>
  </si>
  <si>
    <t>WY 160 B281m 1994</t>
  </si>
  <si>
    <t>0                      WY 0160000B  281m        1994</t>
  </si>
  <si>
    <t>Mental health and mental illness / Patricia D. Barry.</t>
  </si>
  <si>
    <t>Barry, Patricia D.</t>
  </si>
  <si>
    <t>Philadelphia, Pa. : J.B. Lippincott Co., c1994.</t>
  </si>
  <si>
    <t>1997-02-08</t>
  </si>
  <si>
    <t>1993-12-21</t>
  </si>
  <si>
    <t>3922733:eng</t>
  </si>
  <si>
    <t>28017208</t>
  </si>
  <si>
    <t>991000667689702656</t>
  </si>
  <si>
    <t>2255705260002656</t>
  </si>
  <si>
    <t>9780397550135</t>
  </si>
  <si>
    <t>30001002695171</t>
  </si>
  <si>
    <t>893283388</t>
  </si>
  <si>
    <t>WY 160 B281m 1998</t>
  </si>
  <si>
    <t>0                      WY 0160000B  281m        1998</t>
  </si>
  <si>
    <t>Mental health &amp; mental illness / Patricia D. Barry.</t>
  </si>
  <si>
    <t>2000-07-14</t>
  </si>
  <si>
    <t>36768434</t>
  </si>
  <si>
    <t>991001277179702656</t>
  </si>
  <si>
    <t>2261683830002656</t>
  </si>
  <si>
    <t>9780397554737</t>
  </si>
  <si>
    <t>30001003700020</t>
  </si>
  <si>
    <t>893816262</t>
  </si>
  <si>
    <t>WY160 B281m 2002</t>
  </si>
  <si>
    <t>0                      WY 0160000B  281m        2002</t>
  </si>
  <si>
    <t>Mental health &amp; mental illness / Patricia D. Barry ; consultant and contributor, Suzette Farmer.</t>
  </si>
  <si>
    <t>Philadelphia : Lippincott, c2002</t>
  </si>
  <si>
    <t>47177768</t>
  </si>
  <si>
    <t>991000302379702656</t>
  </si>
  <si>
    <t>2265016750002656</t>
  </si>
  <si>
    <t>9780781731386</t>
  </si>
  <si>
    <t>30001004236305</t>
  </si>
  <si>
    <t>893370325</t>
  </si>
  <si>
    <t>WY 160 B949s 1963</t>
  </si>
  <si>
    <t>0                      WY 0160000B  949s        1963</t>
  </si>
  <si>
    <t>Some clinical approaches to psychiatric nursing / Edited by Shirley F. Burd, Margaret A. Marshall.</t>
  </si>
  <si>
    <t>Burd, Shirley F., editor.</t>
  </si>
  <si>
    <t>New York : Macmillan, 1963.</t>
  </si>
  <si>
    <t>1993-05-03</t>
  </si>
  <si>
    <t>1776211:eng</t>
  </si>
  <si>
    <t>735313</t>
  </si>
  <si>
    <t>991000925209702656</t>
  </si>
  <si>
    <t>2258829600002656</t>
  </si>
  <si>
    <t>30001000182826</t>
  </si>
  <si>
    <t>893465017</t>
  </si>
  <si>
    <t>WY 160 B955p 1990</t>
  </si>
  <si>
    <t>0                      WY 0160000B  955p        1990</t>
  </si>
  <si>
    <t>Psychiatric nursing in the hospital and the community / Ann Wolbert Burgess.</t>
  </si>
  <si>
    <t>Burgess, Ann Wolbert.</t>
  </si>
  <si>
    <t>1552971:eng</t>
  </si>
  <si>
    <t>20735647</t>
  </si>
  <si>
    <t>991001386989702656</t>
  </si>
  <si>
    <t>2271029290002656</t>
  </si>
  <si>
    <t>9780838580127</t>
  </si>
  <si>
    <t>30001001799982</t>
  </si>
  <si>
    <t>893741084</t>
  </si>
  <si>
    <t>WY 160 B986b 1985</t>
  </si>
  <si>
    <t>0                      WY 0160000B  986b        1985</t>
  </si>
  <si>
    <t>Behaviour and rehabilitation : behavioural treatment for long-stay patients / by Richard J. Butler and Gerald Rosenthall.</t>
  </si>
  <si>
    <t>Butler, Richard J.</t>
  </si>
  <si>
    <t>Bristol : Wright, c1985.</t>
  </si>
  <si>
    <t>836633947:eng</t>
  </si>
  <si>
    <t>13455225</t>
  </si>
  <si>
    <t>991000925249702656</t>
  </si>
  <si>
    <t>2263768990002656</t>
  </si>
  <si>
    <t>9780723608240</t>
  </si>
  <si>
    <t>30001000182891</t>
  </si>
  <si>
    <t>893287124</t>
  </si>
  <si>
    <t>WY 160 C271 1988</t>
  </si>
  <si>
    <t>0                      WY 0160000C  271         1988</t>
  </si>
  <si>
    <t>The care of clients with addictions : dimensions of nursing practice / American Nurses' Association, Drug and Alcohol Nursing Association, National Nurses Society on Addictions.</t>
  </si>
  <si>
    <t>Kansas City, MO : The Association, c1988.</t>
  </si>
  <si>
    <t>PMH-9 3M</t>
  </si>
  <si>
    <t>1991-09-07</t>
  </si>
  <si>
    <t>927549285:eng</t>
  </si>
  <si>
    <t>17665232</t>
  </si>
  <si>
    <t>991001179339702656</t>
  </si>
  <si>
    <t>2265450890002656</t>
  </si>
  <si>
    <t>30001000976656</t>
  </si>
  <si>
    <t>893632787</t>
  </si>
  <si>
    <t>WY 160 C6397 1985</t>
  </si>
  <si>
    <t>0                      WY 0160000C  6397        1985</t>
  </si>
  <si>
    <t>The Clinical specialist in psychiatric mental health nursing : theory, research, and practice / edited by Deane L. Critchley, Judith T. Maurin.</t>
  </si>
  <si>
    <t>1989-04-01</t>
  </si>
  <si>
    <t>836676433:eng</t>
  </si>
  <si>
    <t>11114633</t>
  </si>
  <si>
    <t>991000925369702656</t>
  </si>
  <si>
    <t>2261582300002656</t>
  </si>
  <si>
    <t>9780471875062</t>
  </si>
  <si>
    <t>30001000182958</t>
  </si>
  <si>
    <t>893358014</t>
  </si>
  <si>
    <t>WY 160 C737 1992</t>
  </si>
  <si>
    <t>0                      WY 0160000C  737         1992</t>
  </si>
  <si>
    <t>Comprehensive psychiatric nursing / Judith Haber ... [et al.].</t>
  </si>
  <si>
    <t>1808516331:eng</t>
  </si>
  <si>
    <t>26586508</t>
  </si>
  <si>
    <t>991001033369702656</t>
  </si>
  <si>
    <t>2259404190002656</t>
  </si>
  <si>
    <t>9780801660405</t>
  </si>
  <si>
    <t>30001002244251</t>
  </si>
  <si>
    <t>893632677</t>
  </si>
  <si>
    <t>WY 160 C737 1997</t>
  </si>
  <si>
    <t>0                      WY 0160000C  737         1997</t>
  </si>
  <si>
    <t>2005-11-19</t>
  </si>
  <si>
    <t>35741683</t>
  </si>
  <si>
    <t>991001781539702656</t>
  </si>
  <si>
    <t>2260643650002656</t>
  </si>
  <si>
    <t>9780815141792</t>
  </si>
  <si>
    <t>30001003588664</t>
  </si>
  <si>
    <t>893541873</t>
  </si>
  <si>
    <t>WY 160 C7834 1979</t>
  </si>
  <si>
    <t>0                      WY 0160000C  7834        1979</t>
  </si>
  <si>
    <t>Coping with neurologic problems proficiently.</t>
  </si>
  <si>
    <t>Horsham, Pa. : Intermed Communications, c1979.</t>
  </si>
  <si>
    <t>1993-02-26</t>
  </si>
  <si>
    <t>3414933:eng</t>
  </si>
  <si>
    <t>4515220</t>
  </si>
  <si>
    <t>991000925459702656</t>
  </si>
  <si>
    <t>2263074700002656</t>
  </si>
  <si>
    <t>9780916730123</t>
  </si>
  <si>
    <t>30001000183014</t>
  </si>
  <si>
    <t>893278490</t>
  </si>
  <si>
    <t>WY160 C797 2005</t>
  </si>
  <si>
    <t>0                      WY 0160000C  797         2005</t>
  </si>
  <si>
    <t>Core curriculum for specializing in intellectual and developmental disability : a resource for nurses and other health care professionals / edited by Wendy M. Nehring.</t>
  </si>
  <si>
    <t>Sudbury, Mass. : Jones and Bartlett Publishers, c2005.</t>
  </si>
  <si>
    <t>796446911:eng</t>
  </si>
  <si>
    <t>56566972</t>
  </si>
  <si>
    <t>991000446539702656</t>
  </si>
  <si>
    <t>2267408860002656</t>
  </si>
  <si>
    <t>9780763747657</t>
  </si>
  <si>
    <t>30001004913812</t>
  </si>
  <si>
    <t>893109682</t>
  </si>
  <si>
    <t>WY 160 C811pa 1983</t>
  </si>
  <si>
    <t>0                      WY 0160000C  811pa       1983</t>
  </si>
  <si>
    <t>Psychiatric nursing described / Desmond Cormack.</t>
  </si>
  <si>
    <t>Cormack, Desmond.</t>
  </si>
  <si>
    <t>Edinburgh ; New York : Churchill Livingstone, c1983.</t>
  </si>
  <si>
    <t>Studies in nursing series</t>
  </si>
  <si>
    <t>1990-01-28</t>
  </si>
  <si>
    <t>31481393:eng</t>
  </si>
  <si>
    <t>8453819</t>
  </si>
  <si>
    <t>991000925519702656</t>
  </si>
  <si>
    <t>2271625020002656</t>
  </si>
  <si>
    <t>9780443027222</t>
  </si>
  <si>
    <t>30001000183022</t>
  </si>
  <si>
    <t>893557416</t>
  </si>
  <si>
    <t>WY 160 C899p 1985</t>
  </si>
  <si>
    <t>0                      WY 0160000C  899p        1985</t>
  </si>
  <si>
    <t>Psychiatric and mental health nursing / Annie Laurie Crawford, Virginia Curry Kilander.</t>
  </si>
  <si>
    <t>Crawford, Annie Laurie.</t>
  </si>
  <si>
    <t>Ed. 6.</t>
  </si>
  <si>
    <t>1990-06-16</t>
  </si>
  <si>
    <t>3893642584:eng</t>
  </si>
  <si>
    <t>10799792</t>
  </si>
  <si>
    <t>991000925599702656</t>
  </si>
  <si>
    <t>2255153320002656</t>
  </si>
  <si>
    <t>9780803621138</t>
  </si>
  <si>
    <t>30001000183048</t>
  </si>
  <si>
    <t>893736051</t>
  </si>
  <si>
    <t>WY 160 CU7995 v.1 1976</t>
  </si>
  <si>
    <t>0                      WY 0160000CU 7995                                                    v.1 1976</t>
  </si>
  <si>
    <t>Current perspectives in psychiatric nursing : issues and trends : volume one / edited by Carol Ren Kneisl, Holly Skodol Wilson.</t>
  </si>
  <si>
    <t>V.1 1976</t>
  </si>
  <si>
    <t>Mosby's current practice and perspectives in nursing series</t>
  </si>
  <si>
    <t>1988-03-25</t>
  </si>
  <si>
    <t>423398977:eng</t>
  </si>
  <si>
    <t>2068534</t>
  </si>
  <si>
    <t>991000925639702656</t>
  </si>
  <si>
    <t>2262119100002656</t>
  </si>
  <si>
    <t>9780801627149</t>
  </si>
  <si>
    <t>30001000183055</t>
  </si>
  <si>
    <t>893358015</t>
  </si>
  <si>
    <t>WY 160 D529n 1983</t>
  </si>
  <si>
    <t>0                      WY 0160000D  529n        1983</t>
  </si>
  <si>
    <t>Out of uniform and into trouble...again : The nurse's role in community mental health centers and other places / Carol D. DeYoung, Margene Tower, Jody Glittenberg</t>
  </si>
  <si>
    <t>DeYoung, Carol D.</t>
  </si>
  <si>
    <t>Thorofare, N.J. : SLACK, c1983.</t>
  </si>
  <si>
    <t>3885216:eng</t>
  </si>
  <si>
    <t>11317530</t>
  </si>
  <si>
    <t>991000925729702656</t>
  </si>
  <si>
    <t>2270028510002656</t>
  </si>
  <si>
    <t>9780913590980</t>
  </si>
  <si>
    <t>30001000183097</t>
  </si>
  <si>
    <t>893455287</t>
  </si>
  <si>
    <t>WY 160 E78 1987</t>
  </si>
  <si>
    <t>0                      WY 0160000E  78          1987</t>
  </si>
  <si>
    <t>Essentials of mental health nursing / editors, J. Sue Cook, Karen Lee Fontaine.</t>
  </si>
  <si>
    <t>2242239391:eng</t>
  </si>
  <si>
    <t>14904238</t>
  </si>
  <si>
    <t>991000762689702656</t>
  </si>
  <si>
    <t>2254840070002656</t>
  </si>
  <si>
    <t>9780201092707</t>
  </si>
  <si>
    <t>30001000056483</t>
  </si>
  <si>
    <t>893459800</t>
  </si>
  <si>
    <t>WY 160 E79n 1980</t>
  </si>
  <si>
    <t>0                      WY 0160000E  79n         1980</t>
  </si>
  <si>
    <t>Nursing diagnosis of the alcoholic person / Nada J. Estes, Kathleen Smith-Dijulio, M. Edith Heinemann.</t>
  </si>
  <si>
    <t>Estes, Nada J., 1930-</t>
  </si>
  <si>
    <t>1987-10-25</t>
  </si>
  <si>
    <t>21028624:eng</t>
  </si>
  <si>
    <t>6042962</t>
  </si>
  <si>
    <t>991000731579702656</t>
  </si>
  <si>
    <t>2268417620002656</t>
  </si>
  <si>
    <t>9780801615580</t>
  </si>
  <si>
    <t>30001000040370</t>
  </si>
  <si>
    <t>893731007</t>
  </si>
  <si>
    <t>WY 160 E92n 1985</t>
  </si>
  <si>
    <t>0                      WY 0160000E  92n         1985</t>
  </si>
  <si>
    <t>Nursing administration of psychiatric-mental health care / Christina L.S. Evans, Sharon K. Lewis.</t>
  </si>
  <si>
    <t>Sieloff, Christina L.</t>
  </si>
  <si>
    <t>4704606:eng</t>
  </si>
  <si>
    <t>11841187</t>
  </si>
  <si>
    <t>991000925879702656</t>
  </si>
  <si>
    <t>2255071510002656</t>
  </si>
  <si>
    <t>9780871890993</t>
  </si>
  <si>
    <t>30001000183147</t>
  </si>
  <si>
    <t>893273497</t>
  </si>
  <si>
    <t>WY 160 F198 1982</t>
  </si>
  <si>
    <t>0                      WY 0160000F  198         1982</t>
  </si>
  <si>
    <t>Family therapy : a nursing perspective / Imelda W. Clements, Diane M. Buchanan.</t>
  </si>
  <si>
    <t>1993-02-16</t>
  </si>
  <si>
    <t>905482288:eng</t>
  </si>
  <si>
    <t>7740738</t>
  </si>
  <si>
    <t>991000925989702656</t>
  </si>
  <si>
    <t>2272744950002656</t>
  </si>
  <si>
    <t>9780471081463</t>
  </si>
  <si>
    <t>30001000183188</t>
  </si>
  <si>
    <t>893648704</t>
  </si>
  <si>
    <t>WY 160 F585c 1985</t>
  </si>
  <si>
    <t>0                      WY 0160000F  585c        1985</t>
  </si>
  <si>
    <t>Community mental health nursing : theories and methods / Jacquelyn Haak Flaskerud, Gwen Marram van Servellen.</t>
  </si>
  <si>
    <t>Flaskerud, Jacquelyn Haak.</t>
  </si>
  <si>
    <t>836672486:eng</t>
  </si>
  <si>
    <t>10996143</t>
  </si>
  <si>
    <t>991000926029702656</t>
  </si>
  <si>
    <t>2271404460002656</t>
  </si>
  <si>
    <t>9780838511794</t>
  </si>
  <si>
    <t>30001000183196</t>
  </si>
  <si>
    <t>893167961</t>
  </si>
  <si>
    <t>WY 160 F663r 1983</t>
  </si>
  <si>
    <t>0                      WY 0160000F  663r        1983</t>
  </si>
  <si>
    <t>Rape--nursing care of victims / Theresa S. Foley, Marilyn R. Davies.</t>
  </si>
  <si>
    <t>Foley, Theresa S.</t>
  </si>
  <si>
    <t>1987-12-01</t>
  </si>
  <si>
    <t>42921477:eng</t>
  </si>
  <si>
    <t>8826209</t>
  </si>
  <si>
    <t>991000926069702656</t>
  </si>
  <si>
    <t>2267271470002656</t>
  </si>
  <si>
    <t>9780801616204</t>
  </si>
  <si>
    <t>30001000183212</t>
  </si>
  <si>
    <t>893287125</t>
  </si>
  <si>
    <t>WY 160 F678m 2003</t>
  </si>
  <si>
    <t>0                      WY 0160000F  678m        2003</t>
  </si>
  <si>
    <t>Mental health nursing / Karen Lee Fontaine.</t>
  </si>
  <si>
    <t>Fontaine, Karen Lee, 1943-</t>
  </si>
  <si>
    <t>Upper Saddle River, NJ : Prentice Hall, c2003.</t>
  </si>
  <si>
    <t>3901160091:eng</t>
  </si>
  <si>
    <t>49276257</t>
  </si>
  <si>
    <t>991000531529702656</t>
  </si>
  <si>
    <t>2255234620002656</t>
  </si>
  <si>
    <t>9780130979926</t>
  </si>
  <si>
    <t>30001005120110</t>
  </si>
  <si>
    <t>893729584</t>
  </si>
  <si>
    <t>WY 160 G675g 1961</t>
  </si>
  <si>
    <t>0                      WY 0160000G  675g        1961</t>
  </si>
  <si>
    <t>A guide for the evaluation of psychiatric nursing services / by John V. Gorton.</t>
  </si>
  <si>
    <t>Gorton, John V.</t>
  </si>
  <si>
    <t>NLN pub. no. 33-881</t>
  </si>
  <si>
    <t>8498626:eng</t>
  </si>
  <si>
    <t>14619589</t>
  </si>
  <si>
    <t>991001389469702656</t>
  </si>
  <si>
    <t>2269867890002656</t>
  </si>
  <si>
    <t>30001000464638</t>
  </si>
  <si>
    <t>893369344</t>
  </si>
  <si>
    <t>WY 160 G943 1991</t>
  </si>
  <si>
    <t>0                      WY 0160000G  943         1991</t>
  </si>
  <si>
    <t>A Guide to neurological and neurosurgical nursing / edited by Mariah Snyder.</t>
  </si>
  <si>
    <t>Albany, N.Y. : Delmar Publishers, c1991.</t>
  </si>
  <si>
    <t>1991-06-13</t>
  </si>
  <si>
    <t>54531036:eng</t>
  </si>
  <si>
    <t>21973303</t>
  </si>
  <si>
    <t>991000939299702656</t>
  </si>
  <si>
    <t>2268781060002656</t>
  </si>
  <si>
    <t>9780827343818</t>
  </si>
  <si>
    <t>30001002192153</t>
  </si>
  <si>
    <t>893284156</t>
  </si>
  <si>
    <t>WY 160 H233r 1992</t>
  </si>
  <si>
    <t>0                      WY 0160000H  233r        1992</t>
  </si>
  <si>
    <t>Rehabilitation nursing for the neurological patient / Marcia Hanak.</t>
  </si>
  <si>
    <t>Hanak, Marcia.</t>
  </si>
  <si>
    <t>967910:eng</t>
  </si>
  <si>
    <t>24319816</t>
  </si>
  <si>
    <t>991001479249702656</t>
  </si>
  <si>
    <t>2272064630002656</t>
  </si>
  <si>
    <t>9780826176608</t>
  </si>
  <si>
    <t>30001002564971</t>
  </si>
  <si>
    <t>893643625</t>
  </si>
  <si>
    <t>WY 160 H2363 1983</t>
  </si>
  <si>
    <t>0                      WY 0160000H  2363        1983</t>
  </si>
  <si>
    <t>Handbook of psychiatric mental health nursing / edited by Catherine G. Adams and Alberta Macione.</t>
  </si>
  <si>
    <t>Wiley red book series</t>
  </si>
  <si>
    <t>42850951:eng</t>
  </si>
  <si>
    <t>8931482</t>
  </si>
  <si>
    <t>991000731539702656</t>
  </si>
  <si>
    <t>2260813860002656</t>
  </si>
  <si>
    <t>9780471869832</t>
  </si>
  <si>
    <t>30001000040354</t>
  </si>
  <si>
    <t>893286910</t>
  </si>
  <si>
    <t>WY 160 H425i 1963</t>
  </si>
  <si>
    <t>0                      WY 0160000H  425i        1963</t>
  </si>
  <si>
    <t>Interacting with patients / Joyce Samhammer Hays, Kenneth H. Larson.</t>
  </si>
  <si>
    <t>Hays, Joyce Samhammer.</t>
  </si>
  <si>
    <t>1992-06-24</t>
  </si>
  <si>
    <t>1654625:eng</t>
  </si>
  <si>
    <t>710874</t>
  </si>
  <si>
    <t>991000926199702656</t>
  </si>
  <si>
    <t>2262476980002656</t>
  </si>
  <si>
    <t>30001000183246</t>
  </si>
  <si>
    <t>893648705</t>
  </si>
  <si>
    <t>WY 160 H628c 1992</t>
  </si>
  <si>
    <t>0                      WY 0160000H  628c        1992</t>
  </si>
  <si>
    <t>The clinical practice of neurological and neurosurgical nursing / Joanne V. Hickey.</t>
  </si>
  <si>
    <t>Hickey, Joanne V.</t>
  </si>
  <si>
    <t>4500976:eng</t>
  </si>
  <si>
    <t>25008778</t>
  </si>
  <si>
    <t>991001304339702656</t>
  </si>
  <si>
    <t>2271219100002656</t>
  </si>
  <si>
    <t>9780397548224</t>
  </si>
  <si>
    <t>30001002413070</t>
  </si>
  <si>
    <t>893168124</t>
  </si>
  <si>
    <t>WY 160 I61 1962</t>
  </si>
  <si>
    <t>0                      WY 0160000I  61          1962</t>
  </si>
  <si>
    <t>Integration of psychiatric nursing concepts in baccalaureate basic programs : report of a work conference held at Chicago, April, 1962.</t>
  </si>
  <si>
    <t>NLN pub. no. 33-1082</t>
  </si>
  <si>
    <t>4941426:eng</t>
  </si>
  <si>
    <t>2387351</t>
  </si>
  <si>
    <t>991001389519702656</t>
  </si>
  <si>
    <t>2258826130002656</t>
  </si>
  <si>
    <t>30001000464646</t>
  </si>
  <si>
    <t>893467940</t>
  </si>
  <si>
    <t>WY 160 I72b 1983</t>
  </si>
  <si>
    <t>0                      WY 0160000I  72b         1983</t>
  </si>
  <si>
    <t>Basic psychiatric nursing / Susan Irving.</t>
  </si>
  <si>
    <t>Irving, Susan.</t>
  </si>
  <si>
    <t>1721967:eng</t>
  </si>
  <si>
    <t>8451865</t>
  </si>
  <si>
    <t>991000926239702656</t>
  </si>
  <si>
    <t>2271493320002656</t>
  </si>
  <si>
    <t>9780721650494</t>
  </si>
  <si>
    <t>30001000183303</t>
  </si>
  <si>
    <t>893731538</t>
  </si>
  <si>
    <t>WY 160 J34p 1989</t>
  </si>
  <si>
    <t>0                      WY 0160000J  34p         1989</t>
  </si>
  <si>
    <t>Psychiatric mental health nursing / Ellen H. Janosik, Janet L. Davies.</t>
  </si>
  <si>
    <t>Janosik, Ellen Hastings.</t>
  </si>
  <si>
    <t>3855439090:eng</t>
  </si>
  <si>
    <t>18683003</t>
  </si>
  <si>
    <t>991001322399702656</t>
  </si>
  <si>
    <t>2264137210002656</t>
  </si>
  <si>
    <t>9780867204209</t>
  </si>
  <si>
    <t>30001001753922</t>
  </si>
  <si>
    <t>893455696</t>
  </si>
  <si>
    <t>WY 160 K11a 1960</t>
  </si>
  <si>
    <t>0                      WY 0160000K  11a         1960</t>
  </si>
  <si>
    <t>Survey of student opinions about learning experiences in psychiatric nursing / Goldie Ruth Kaback.</t>
  </si>
  <si>
    <t>Kaback, Goldie Ruth, 1905-</t>
  </si>
  <si>
    <t>NLN pub. no. 33-775</t>
  </si>
  <si>
    <t>31319458:eng</t>
  </si>
  <si>
    <t>8292631</t>
  </si>
  <si>
    <t>991001389419702656</t>
  </si>
  <si>
    <t>2260407430002656</t>
  </si>
  <si>
    <t>30001000464620</t>
  </si>
  <si>
    <t>893364051</t>
  </si>
  <si>
    <t>WY160 K68c 2004</t>
  </si>
  <si>
    <t>0                      WY 0160000K  68c         2004</t>
  </si>
  <si>
    <t>Contemporary psychiatric-mental health nursing / Carol Ren Kneisl, Holly Skodol Wilson, Eileen Trigoboff.</t>
  </si>
  <si>
    <t>2005-12-04</t>
  </si>
  <si>
    <t>2004-08-25</t>
  </si>
  <si>
    <t>7467695:eng</t>
  </si>
  <si>
    <t>51216245</t>
  </si>
  <si>
    <t>991001729359702656</t>
  </si>
  <si>
    <t>2270452930002656</t>
  </si>
  <si>
    <t>9780130415820</t>
  </si>
  <si>
    <t>30001004921997</t>
  </si>
  <si>
    <t>893638518</t>
  </si>
  <si>
    <t>WY 160 L531c 1973</t>
  </si>
  <si>
    <t>0                      WY 0160000L  531c        1973</t>
  </si>
  <si>
    <t>Contemporary issues in mental health nursing : by 7 authors / edited by Madeleine M. Leininger.</t>
  </si>
  <si>
    <t>Leininger, Madeleine M., editor.</t>
  </si>
  <si>
    <t>Boston, Little, Brown [c1973]</t>
  </si>
  <si>
    <t>227602991:eng</t>
  </si>
  <si>
    <t>804896</t>
  </si>
  <si>
    <t>991000926429702656</t>
  </si>
  <si>
    <t>2269552570002656</t>
  </si>
  <si>
    <t>30001000183386</t>
  </si>
  <si>
    <t>893637840</t>
  </si>
  <si>
    <t>WY 160 M478n 1986</t>
  </si>
  <si>
    <t>0                      WY 0160000M  478n        1986</t>
  </si>
  <si>
    <t>Nursing diagnoses and process in psychiatric mental health nursing / Gertrude K. McFarland, Evelyn L. Wasli.</t>
  </si>
  <si>
    <t>Philadelphia, PA : Lippincott, c1986.</t>
  </si>
  <si>
    <t>1992-04-22</t>
  </si>
  <si>
    <t>4919889:eng</t>
  </si>
  <si>
    <t>12263190</t>
  </si>
  <si>
    <t>991000926599702656</t>
  </si>
  <si>
    <t>2256951810002656</t>
  </si>
  <si>
    <t>9780397545988</t>
  </si>
  <si>
    <t>30001000183469</t>
  </si>
  <si>
    <t>893736052</t>
  </si>
  <si>
    <t>WY 160 M549 1988</t>
  </si>
  <si>
    <t>0                      WY 0160000M  549         1988</t>
  </si>
  <si>
    <t>Mental health-psychiatric nursing : a holistic life-cycle approach / edited by Cornelia Kelly Beck, Ruth Parmelee Rawlins, Sophronia R. Williams.</t>
  </si>
  <si>
    <t>889838861:eng</t>
  </si>
  <si>
    <t>16755516</t>
  </si>
  <si>
    <t>991001417049702656</t>
  </si>
  <si>
    <t>2263308080002656</t>
  </si>
  <si>
    <t>9780801605581</t>
  </si>
  <si>
    <t>30001001181090</t>
  </si>
  <si>
    <t>893369376</t>
  </si>
  <si>
    <t>WY 160 M5493 1996</t>
  </si>
  <si>
    <t>0                      WY 0160000M  5493        1996</t>
  </si>
  <si>
    <t>Mental health nursing : the nurse-patient journey / [edited by] Verna Benner Carson, Elizabeth Nolan Arnold.</t>
  </si>
  <si>
    <t>837012892:eng</t>
  </si>
  <si>
    <t>32397569</t>
  </si>
  <si>
    <t>991001058509702656</t>
  </si>
  <si>
    <t>2255024790002656</t>
  </si>
  <si>
    <t>9780721635200</t>
  </si>
  <si>
    <t>30001003588755</t>
  </si>
  <si>
    <t>893284355</t>
  </si>
  <si>
    <t>WY160 M5495 1987</t>
  </si>
  <si>
    <t>0                      WY 0160000M  5495        1987</t>
  </si>
  <si>
    <t>Mental health, psychiatric nursing : a continuum of care / editor-in-chief, Joan Norris ... [et al.].</t>
  </si>
  <si>
    <t>1999-03-29</t>
  </si>
  <si>
    <t>1992-02-21</t>
  </si>
  <si>
    <t>836677026:eng</t>
  </si>
  <si>
    <t>14413616</t>
  </si>
  <si>
    <t>991001033329702656</t>
  </si>
  <si>
    <t>2264373720002656</t>
  </si>
  <si>
    <t>9780471099574</t>
  </si>
  <si>
    <t>30001002244228</t>
  </si>
  <si>
    <t>893731615</t>
  </si>
  <si>
    <t>WY 160 M559e 1986</t>
  </si>
  <si>
    <t>0                      WY 0160000M  559e        1986</t>
  </si>
  <si>
    <t>Mereness' Essentials of psychiatric nursing.</t>
  </si>
  <si>
    <t>Mereness, Dorothy A.</t>
  </si>
  <si>
    <t>12th ed. / Cecelia Monat Taylor.</t>
  </si>
  <si>
    <t>1992-01-09</t>
  </si>
  <si>
    <t>4663576861:eng</t>
  </si>
  <si>
    <t>12663604</t>
  </si>
  <si>
    <t>991000731369702656</t>
  </si>
  <si>
    <t>2271926620002656</t>
  </si>
  <si>
    <t>9780801648953</t>
  </si>
  <si>
    <t>30001000040305</t>
  </si>
  <si>
    <t>893545720</t>
  </si>
  <si>
    <t>WY 160 M876P 2006</t>
  </si>
  <si>
    <t>0                      WY 0160000M  876P        2006</t>
  </si>
  <si>
    <t>Psychiatric-mental health nursing / [edited by] Wanda K. Mohr.</t>
  </si>
  <si>
    <t>2005-11-25</t>
  </si>
  <si>
    <t>2005-11-23</t>
  </si>
  <si>
    <t>57121588:eng</t>
  </si>
  <si>
    <t>57185661</t>
  </si>
  <si>
    <t>991001736109702656</t>
  </si>
  <si>
    <t>2270494920002656</t>
  </si>
  <si>
    <t>9780781753692</t>
  </si>
  <si>
    <t>30001004821866</t>
  </si>
  <si>
    <t>893134779</t>
  </si>
  <si>
    <t>WY 160 M983p 1991</t>
  </si>
  <si>
    <t>0                      WY 0160000M  983p        1991</t>
  </si>
  <si>
    <t>Psychiatric mental health nursing : giving emotional care / Ruth Beckmann Murray, M. Marilyn Wilson Huelskoetter.</t>
  </si>
  <si>
    <t>1993-07-28</t>
  </si>
  <si>
    <t>1991-11-22</t>
  </si>
  <si>
    <t>3855503503:eng</t>
  </si>
  <si>
    <t>22420164</t>
  </si>
  <si>
    <t>991001022059702656</t>
  </si>
  <si>
    <t>2267998140002656</t>
  </si>
  <si>
    <t>9780838579930</t>
  </si>
  <si>
    <t>30001002241984</t>
  </si>
  <si>
    <t>893731604</t>
  </si>
  <si>
    <t>WY 160 N9743 1988</t>
  </si>
  <si>
    <t>0                      WY 0160000N  9743        1988</t>
  </si>
  <si>
    <t>Nursing care planning guides for mental health / edited by Joan W. Reighley.</t>
  </si>
  <si>
    <t>1992-07-12</t>
  </si>
  <si>
    <t>1989-07-14</t>
  </si>
  <si>
    <t>3855920523:eng</t>
  </si>
  <si>
    <t>16833158</t>
  </si>
  <si>
    <t>991001311829702656</t>
  </si>
  <si>
    <t>2255684650002656</t>
  </si>
  <si>
    <t>9780683095777</t>
  </si>
  <si>
    <t>30001001751041</t>
  </si>
  <si>
    <t>893161884</t>
  </si>
  <si>
    <t>WY 160 N9762 1985</t>
  </si>
  <si>
    <t>0                      WY 0160000N  9762        1985</t>
  </si>
  <si>
    <t>Nursing interventions in depression / edited by Carol A. Rogers, Jane Ulsafer-Van Lanen.</t>
  </si>
  <si>
    <t>1998-10-26</t>
  </si>
  <si>
    <t>4729594:eng</t>
  </si>
  <si>
    <t>11842842</t>
  </si>
  <si>
    <t>991000926869702656</t>
  </si>
  <si>
    <t>2255070490002656</t>
  </si>
  <si>
    <t>9780808917106</t>
  </si>
  <si>
    <t>30001000183642</t>
  </si>
  <si>
    <t>893648707</t>
  </si>
  <si>
    <t>WY 160 N9763 1982</t>
  </si>
  <si>
    <t>0                      WY 0160000N  9763        1982</t>
  </si>
  <si>
    <t>Nursing management of epilepsy / [edited by] Rita Beck Black, Bruce P. Hermann, Jean Thatcher Shope.</t>
  </si>
  <si>
    <t>Rockville, Md. : Aspen Systems Corp., 1982.</t>
  </si>
  <si>
    <t>551578:eng</t>
  </si>
  <si>
    <t>7998965</t>
  </si>
  <si>
    <t>991000926899702656</t>
  </si>
  <si>
    <t>2271256080002656</t>
  </si>
  <si>
    <t>9780894436758</t>
  </si>
  <si>
    <t>30001000183659</t>
  </si>
  <si>
    <t>893632506</t>
  </si>
  <si>
    <t>WY 160 P166t 1985</t>
  </si>
  <si>
    <t>0                      WY 0160000P  166t        1985</t>
  </si>
  <si>
    <t>Textbook of neurological nursing / Phyllis J. Pallett, Mary T. O'Brien.</t>
  </si>
  <si>
    <t>Pallett, Phyllis J.</t>
  </si>
  <si>
    <t>2917732:eng</t>
  </si>
  <si>
    <t>10753426</t>
  </si>
  <si>
    <t>991000926969702656</t>
  </si>
  <si>
    <t>2263295170002656</t>
  </si>
  <si>
    <t>9780316689502</t>
  </si>
  <si>
    <t>30001000183675</t>
  </si>
  <si>
    <t>893826234</t>
  </si>
  <si>
    <t>WY 160 P219p 1991</t>
  </si>
  <si>
    <t>0                      WY 0160000P  219p        1991</t>
  </si>
  <si>
    <t>Psychiatric nursing diagnosis care plans for DSM-III-R / Mary Paquette, Margo C. Neal, Christine Rodemich.</t>
  </si>
  <si>
    <t>Paquette, Mary.</t>
  </si>
  <si>
    <t>Boston : Jones and Bartlett, c1991.</t>
  </si>
  <si>
    <t>1996-09-11</t>
  </si>
  <si>
    <t>25766480:eng</t>
  </si>
  <si>
    <t>23691448</t>
  </si>
  <si>
    <t>991001476729702656</t>
  </si>
  <si>
    <t>2261345970002656</t>
  </si>
  <si>
    <t>9780867203103</t>
  </si>
  <si>
    <t>30001002563536</t>
  </si>
  <si>
    <t>893364175</t>
  </si>
  <si>
    <t>WY 160 P284m 1989</t>
  </si>
  <si>
    <t>0                      WY 0160000P  284m        1989</t>
  </si>
  <si>
    <t>Mental health nursing : a holistic approach / Elaine Anne Pasquali, Helen Margaret Arnold, Nancy DeBasio.</t>
  </si>
  <si>
    <t>Pasquali, Elaine Anne, 1940-</t>
  </si>
  <si>
    <t>197351330:eng</t>
  </si>
  <si>
    <t>18684310</t>
  </si>
  <si>
    <t>991001312839702656</t>
  </si>
  <si>
    <t>2265197700002656</t>
  </si>
  <si>
    <t>9780801635786</t>
  </si>
  <si>
    <t>30001001751512</t>
  </si>
  <si>
    <t>893451079</t>
  </si>
  <si>
    <t>WY 160 P346p 1977</t>
  </si>
  <si>
    <t>0                      WY 0160000P  346p        1977</t>
  </si>
  <si>
    <t>Psychiatric mental health nursing / by Dorris B. Payne and Patricia A. Clunn.</t>
  </si>
  <si>
    <t>Payne, Dorris B.</t>
  </si>
  <si>
    <t>Flushing, N.Y. : Medical Examination Pub. Co., 1977.</t>
  </si>
  <si>
    <t>3902574062:eng</t>
  </si>
  <si>
    <t>3181112</t>
  </si>
  <si>
    <t>991000927009702656</t>
  </si>
  <si>
    <t>2255426810002656</t>
  </si>
  <si>
    <t>9780874883794</t>
  </si>
  <si>
    <t>30001000183683</t>
  </si>
  <si>
    <t>893284150</t>
  </si>
  <si>
    <t>WY 160 P957 1991</t>
  </si>
  <si>
    <t>0                      WY 0160000P  957         1991</t>
  </si>
  <si>
    <t>Principles and practice of psychiatric nursing / [edited by] Gail Wiscarz Stuart, Sandra J. Sundeen.</t>
  </si>
  <si>
    <t>1995-08-02</t>
  </si>
  <si>
    <t>355428659:eng</t>
  </si>
  <si>
    <t>22491412</t>
  </si>
  <si>
    <t>991000932669702656</t>
  </si>
  <si>
    <t>2255448680002656</t>
  </si>
  <si>
    <t>9780801658853</t>
  </si>
  <si>
    <t>30001002190116</t>
  </si>
  <si>
    <t>893540838</t>
  </si>
  <si>
    <t>WY 160 P957 1995</t>
  </si>
  <si>
    <t>0                      WY 0160000P  957         1995</t>
  </si>
  <si>
    <t>Principles &amp; practice of psychiatric nursing / [edited by] Gail Wiscarz Stuart, Sandra J. Sundeen.</t>
  </si>
  <si>
    <t>1996-02-12</t>
  </si>
  <si>
    <t>31166821</t>
  </si>
  <si>
    <t>991001403379702656</t>
  </si>
  <si>
    <t>2271765720002656</t>
  </si>
  <si>
    <t>9780801678783</t>
  </si>
  <si>
    <t>30001003263532</t>
  </si>
  <si>
    <t>893546670</t>
  </si>
  <si>
    <t>WY 160 P957Lq 1991</t>
  </si>
  <si>
    <t>0                      WY 0160000P  957Lq       1991</t>
  </si>
  <si>
    <t>Quick psychopharmacology reference / Michele T. Laraia and Gail W. Stuart.</t>
  </si>
  <si>
    <t>Laraia, Michele T.</t>
  </si>
  <si>
    <t>793202141:eng</t>
  </si>
  <si>
    <t>24110065</t>
  </si>
  <si>
    <t>991000828049702656</t>
  </si>
  <si>
    <t>2268606550002656</t>
  </si>
  <si>
    <t>9780801627293</t>
  </si>
  <si>
    <t>30001002089870</t>
  </si>
  <si>
    <t>893120497</t>
  </si>
  <si>
    <t>WY160 P9657 2005</t>
  </si>
  <si>
    <t>0                      WY 0160000P  9657        2005</t>
  </si>
  <si>
    <t>Principles and practice of psychiatric nursing / [edited by] Gail Wiscarz Stuart, Michele T. Laraia.</t>
  </si>
  <si>
    <t>2008-11-13</t>
  </si>
  <si>
    <t>2005-08-17</t>
  </si>
  <si>
    <t>56995443</t>
  </si>
  <si>
    <t>991001734829702656</t>
  </si>
  <si>
    <t>2266585610002656</t>
  </si>
  <si>
    <t>9780323026086</t>
  </si>
  <si>
    <t>30001004910057</t>
  </si>
  <si>
    <t>893369838</t>
  </si>
  <si>
    <t>WY 160 P9713 1992</t>
  </si>
  <si>
    <t>0                      WY 0160000P  9713        1992</t>
  </si>
  <si>
    <t>Psychiatric and mental health nursing with children and adolescents / edited by Patricia West, Christina L. Sieloff Evans.</t>
  </si>
  <si>
    <t>422856639:eng</t>
  </si>
  <si>
    <t>24217740</t>
  </si>
  <si>
    <t>991001476779702656</t>
  </si>
  <si>
    <t>2269488500002656</t>
  </si>
  <si>
    <t>9780834202405</t>
  </si>
  <si>
    <t>30001002563551</t>
  </si>
  <si>
    <t>893162042</t>
  </si>
  <si>
    <t>WY 160 P97203 1991</t>
  </si>
  <si>
    <t>0                      WY 0160000P  97203       1991</t>
  </si>
  <si>
    <t>Psychiatric mental health nursing / Faye Gary, Charlene Kate Kavanagh ; with 27 contributors.</t>
  </si>
  <si>
    <t>Gary, Faye.</t>
  </si>
  <si>
    <t>22961701:eng</t>
  </si>
  <si>
    <t>21558921</t>
  </si>
  <si>
    <t>991001429909702656</t>
  </si>
  <si>
    <t>2271592400002656</t>
  </si>
  <si>
    <t>9780397548521</t>
  </si>
  <si>
    <t>30001002528620</t>
  </si>
  <si>
    <t>893377242</t>
  </si>
  <si>
    <t>WY 160 P972035 2004</t>
  </si>
  <si>
    <t>0                      WY 0160000P  972035      2004</t>
  </si>
  <si>
    <t>Psychiatric mental health nursing / [edited by] Katherine M. Fortinash, Patricia A. Holoday Worret.</t>
  </si>
  <si>
    <t>351409101:eng</t>
  </si>
  <si>
    <t>52623323</t>
  </si>
  <si>
    <t>991001730059702656</t>
  </si>
  <si>
    <t>2270871890002656</t>
  </si>
  <si>
    <t>9780323020114</t>
  </si>
  <si>
    <t>30001004923498</t>
  </si>
  <si>
    <t>893832483</t>
  </si>
  <si>
    <t>WY 160 P9726 1998</t>
  </si>
  <si>
    <t>0                      WY 0160000P  9726        1998</t>
  </si>
  <si>
    <t>Psychiatric nursing : contemporary practice / [edited by] Mary Ann Boyd, Mary Ann Nihart.</t>
  </si>
  <si>
    <t>195022952:eng</t>
  </si>
  <si>
    <t>37410530</t>
  </si>
  <si>
    <t>991000598159702656</t>
  </si>
  <si>
    <t>2266406040002656</t>
  </si>
  <si>
    <t>9780397551781</t>
  </si>
  <si>
    <t>30001004015824</t>
  </si>
  <si>
    <t>893636702</t>
  </si>
  <si>
    <t>WY160 P9726 2002</t>
  </si>
  <si>
    <t>0                      WY 0160000P  9726        2002</t>
  </si>
  <si>
    <t>Psychiatric nursing : contemporary practice / [edited by] Mary Ann Boyd.</t>
  </si>
  <si>
    <t>2003-07-07</t>
  </si>
  <si>
    <t>47137286</t>
  </si>
  <si>
    <t>991000349309702656</t>
  </si>
  <si>
    <t>2267064770002656</t>
  </si>
  <si>
    <t>9780781728461</t>
  </si>
  <si>
    <t>30001004501393</t>
  </si>
  <si>
    <t>893456627</t>
  </si>
  <si>
    <t>WY160 P9726 2005</t>
  </si>
  <si>
    <t>0                      WY 0160000P  9726        2005</t>
  </si>
  <si>
    <t>55055705</t>
  </si>
  <si>
    <t>991000392979702656</t>
  </si>
  <si>
    <t>2265058640002656</t>
  </si>
  <si>
    <t>9780781749169</t>
  </si>
  <si>
    <t>30001004922888</t>
  </si>
  <si>
    <t>893136792</t>
  </si>
  <si>
    <t>WY 160 R917a 1984</t>
  </si>
  <si>
    <t>0                      WY 0160000R  917a        1984</t>
  </si>
  <si>
    <t>Advanced neurological and neurosurgical nursing / Ellen B. Rudy.</t>
  </si>
  <si>
    <t>Rudy, Ellen B.</t>
  </si>
  <si>
    <t>1997-04-08</t>
  </si>
  <si>
    <t>43780199:eng</t>
  </si>
  <si>
    <t>9686432</t>
  </si>
  <si>
    <t>991000927289702656</t>
  </si>
  <si>
    <t>2269545000002656</t>
  </si>
  <si>
    <t>9780801642241</t>
  </si>
  <si>
    <t>30001000183790</t>
  </si>
  <si>
    <t>893831759</t>
  </si>
  <si>
    <t>WY 160 S558b 1998</t>
  </si>
  <si>
    <t>0                      WY 0160000S  558b        1998</t>
  </si>
  <si>
    <t>Basic concepts of psychiatric-mental health nursing / Louis Rebraca Shives.</t>
  </si>
  <si>
    <t>Shives, Louise Rebraca.</t>
  </si>
  <si>
    <t>1997-11-21</t>
  </si>
  <si>
    <t>951446:eng</t>
  </si>
  <si>
    <t>36598183</t>
  </si>
  <si>
    <t>991001093579702656</t>
  </si>
  <si>
    <t>2255884260002656</t>
  </si>
  <si>
    <t>9780397554577</t>
  </si>
  <si>
    <t>30001003604628</t>
  </si>
  <si>
    <t>893557568</t>
  </si>
  <si>
    <t>WY160 S558b 2005</t>
  </si>
  <si>
    <t>0                      WY 0160000S  558b        2005</t>
  </si>
  <si>
    <t>Basic concepts of psychiatric--mental health nursing / Louise Rebraca Shives.</t>
  </si>
  <si>
    <t>53954616</t>
  </si>
  <si>
    <t>991000393079702656</t>
  </si>
  <si>
    <t>2256609100002656</t>
  </si>
  <si>
    <t>9780781745178</t>
  </si>
  <si>
    <t>30001004922912</t>
  </si>
  <si>
    <t>893737285</t>
  </si>
  <si>
    <t>WY 160 S659p 1984</t>
  </si>
  <si>
    <t>0                      WY 0160000S  659p        1984</t>
  </si>
  <si>
    <t>Psychiatric and psychosocial nursing : a review for NCLEX in the nursing process / Sandra F. Smith, Darlene A. Karasik, Beverly J. Meyer.</t>
  </si>
  <si>
    <t>Los Altos, Calif. : National Nursing Review, c1984.</t>
  </si>
  <si>
    <t>3855295861:eng</t>
  </si>
  <si>
    <t>11117426</t>
  </si>
  <si>
    <t>991000731239702656</t>
  </si>
  <si>
    <t>2268112790002656</t>
  </si>
  <si>
    <t>9780917010163</t>
  </si>
  <si>
    <t>30001000040248</t>
  </si>
  <si>
    <t>893642365</t>
  </si>
  <si>
    <t>WY 160 S757 1987</t>
  </si>
  <si>
    <t>0                      WY 0160000S  757         1987</t>
  </si>
  <si>
    <t>Spinal cord injury : a guide to rehabilitation nursing / edited by Nancye B. Holt, Peggy Matthews, Carolyn E. Carlson.</t>
  </si>
  <si>
    <t>Rehabilitation Institute of Chicago procedure manual</t>
  </si>
  <si>
    <t>1987-09-24</t>
  </si>
  <si>
    <t>906425032:eng</t>
  </si>
  <si>
    <t>15316872</t>
  </si>
  <si>
    <t>991001271999702656</t>
  </si>
  <si>
    <t>2265139590002656</t>
  </si>
  <si>
    <t>9780871896421</t>
  </si>
  <si>
    <t>30001000354961</t>
  </si>
  <si>
    <t>893161824</t>
  </si>
  <si>
    <t>WY 160 S931 1998</t>
  </si>
  <si>
    <t>0                      WY 0160000S  931         1998</t>
  </si>
  <si>
    <t>Stuart &amp; Sundeen's principles and practice of psychiatric nursing / [edited by] Gail W. Stuart, Michele T. Laraia.</t>
  </si>
  <si>
    <t>1999-07-07</t>
  </si>
  <si>
    <t>3901596848:eng</t>
  </si>
  <si>
    <t>37444015</t>
  </si>
  <si>
    <t>991001564779702656</t>
  </si>
  <si>
    <t>2262192890002656</t>
  </si>
  <si>
    <t>9780815126034</t>
  </si>
  <si>
    <t>30001003741545</t>
  </si>
  <si>
    <t>893816509</t>
  </si>
  <si>
    <t>WY 160 S9313p 2009</t>
  </si>
  <si>
    <t>0                      WY 0160000S  9313p       2009</t>
  </si>
  <si>
    <t>Principles and practice of psychiatric nursing / [edited by] Gail Wiscarz Stuart.</t>
  </si>
  <si>
    <t>St. Louis, Mo. : Mosby Elsevier, c2009.</t>
  </si>
  <si>
    <t>2009</t>
  </si>
  <si>
    <t>225874465</t>
  </si>
  <si>
    <t>991001555109702656</t>
  </si>
  <si>
    <t>2267875080002656</t>
  </si>
  <si>
    <t>9780323052566</t>
  </si>
  <si>
    <t>30001005366473</t>
  </si>
  <si>
    <t>893268637</t>
  </si>
  <si>
    <t>WY 160 T198s 1988</t>
  </si>
  <si>
    <t>0                      WY 0160000T  198s        1988</t>
  </si>
  <si>
    <t>Standards of addictions nursing practice with selected diagnoses and criteria / American Nurses's Association [and] National Nurses Society on Addictions.</t>
  </si>
  <si>
    <t>Task Force on Standards of Addictions Nursing Practice.</t>
  </si>
  <si>
    <t>Kansas City, Mo. (2420 Pershing Rd., Kansas City 64108) : The Association, c1988.</t>
  </si>
  <si>
    <t>ANA pub ; no. PMH-10</t>
  </si>
  <si>
    <t>998658:eng</t>
  </si>
  <si>
    <t>17300925</t>
  </si>
  <si>
    <t>991001415019702656</t>
  </si>
  <si>
    <t>2270609760002656</t>
  </si>
  <si>
    <t>30001001180209</t>
  </si>
  <si>
    <t>893465504</t>
  </si>
  <si>
    <t>WY 160 T243 1980</t>
  </si>
  <si>
    <t>0                      WY 0160000T  243         1980</t>
  </si>
  <si>
    <t>Neurological dysfunctions and nursing intervention / Joyce W. Taylor, Sally Ballenger.</t>
  </si>
  <si>
    <t>Taylor, Joyce W.</t>
  </si>
  <si>
    <t>1996-03-28</t>
  </si>
  <si>
    <t>15208076:eng</t>
  </si>
  <si>
    <t>5029553</t>
  </si>
  <si>
    <t>991000927489702656</t>
  </si>
  <si>
    <t>2271600970002656</t>
  </si>
  <si>
    <t>9780070631700</t>
  </si>
  <si>
    <t>30001000183899</t>
  </si>
  <si>
    <t>893450620</t>
  </si>
  <si>
    <t>WY160 T749e 2002</t>
  </si>
  <si>
    <t>0                      WY 0160000T  749e        2002</t>
  </si>
  <si>
    <t>Essentials of psychiatric mental health nursing / Mary C. Townsend.</t>
  </si>
  <si>
    <t>4</t>
  </si>
  <si>
    <t>Philadelphia : F.A. Davis, c2002.</t>
  </si>
  <si>
    <t>156174692:eng</t>
  </si>
  <si>
    <t>48249350</t>
  </si>
  <si>
    <t>991000330759702656</t>
  </si>
  <si>
    <t>2262274700002656</t>
  </si>
  <si>
    <t>9780803609204</t>
  </si>
  <si>
    <t>30001004440253</t>
  </si>
  <si>
    <t>893274969</t>
  </si>
  <si>
    <t>WY 160 T749p 2000</t>
  </si>
  <si>
    <t>0                      WY 0160000T  749p        2000</t>
  </si>
  <si>
    <t>Psychiatric mental health nursing : concepts of care / Mary C. Townsend.</t>
  </si>
  <si>
    <t>Philadelphia : F.A. Davis, c2000.</t>
  </si>
  <si>
    <t>2000-02-11</t>
  </si>
  <si>
    <t>2000-02-10</t>
  </si>
  <si>
    <t>408557:eng</t>
  </si>
  <si>
    <t>41646948</t>
  </si>
  <si>
    <t>991001412369702656</t>
  </si>
  <si>
    <t>2261664810002656</t>
  </si>
  <si>
    <t>9780803604834</t>
  </si>
  <si>
    <t>30001003832443</t>
  </si>
  <si>
    <t>893652008</t>
  </si>
  <si>
    <t>WY 160 W748p 1992</t>
  </si>
  <si>
    <t>0                      WY 0160000W  748p        1992</t>
  </si>
  <si>
    <t>Psychiatric nursing / Holly Skodol Wilson, Carol Ren Kneisl.</t>
  </si>
  <si>
    <t>Wilson, Holly Skodol.</t>
  </si>
  <si>
    <t>14775015:eng</t>
  </si>
  <si>
    <t>24504234</t>
  </si>
  <si>
    <t>991001338599702656</t>
  </si>
  <si>
    <t>2266500380002656</t>
  </si>
  <si>
    <t>9780805394009</t>
  </si>
  <si>
    <t>30001002455022</t>
  </si>
  <si>
    <t>893727484</t>
  </si>
  <si>
    <t>WY 160 W748p 1996</t>
  </si>
  <si>
    <t>0                      WY 0160000W  748p        1996</t>
  </si>
  <si>
    <t>2004-12-05</t>
  </si>
  <si>
    <t>1996-08-20</t>
  </si>
  <si>
    <t>33105359</t>
  </si>
  <si>
    <t>991000834589702656</t>
  </si>
  <si>
    <t>2263231570002656</t>
  </si>
  <si>
    <t>9780805394085</t>
  </si>
  <si>
    <t>30001003441088</t>
  </si>
  <si>
    <t>893831512</t>
  </si>
  <si>
    <t>WY 161 A189 1992</t>
  </si>
  <si>
    <t>0                      WY 0161000A  189         1992</t>
  </si>
  <si>
    <t>Acute and chronic wounds : nursing management / edited by Ruth A. Bryant.</t>
  </si>
  <si>
    <t>2001-07-15</t>
  </si>
  <si>
    <t>3943618310:eng</t>
  </si>
  <si>
    <t>24547044</t>
  </si>
  <si>
    <t>991001303089702656</t>
  </si>
  <si>
    <t>2267833270002656</t>
  </si>
  <si>
    <t>9780801608964</t>
  </si>
  <si>
    <t>30001002412601</t>
  </si>
  <si>
    <t>893632933</t>
  </si>
  <si>
    <t>WY 161 A3756 1995</t>
  </si>
  <si>
    <t>0                      WY 0161000A  3756        1995</t>
  </si>
  <si>
    <t>Alexander's care of the patient in surgery.</t>
  </si>
  <si>
    <t>10th ed. / [edited by] Margaret Huth Meeker, Jane C. Rothrock.</t>
  </si>
  <si>
    <t>364024595:eng</t>
  </si>
  <si>
    <t>32351602</t>
  </si>
  <si>
    <t>991001502949702656</t>
  </si>
  <si>
    <t>2272685620002656</t>
  </si>
  <si>
    <t>9780801679247</t>
  </si>
  <si>
    <t>30001003263144</t>
  </si>
  <si>
    <t>893633150</t>
  </si>
  <si>
    <t>WY 161 A3756 1999</t>
  </si>
  <si>
    <t>0                      WY 0161000A  3756        1999</t>
  </si>
  <si>
    <t>Alexander's care of the patient in surgery / [edited by] Margaret H. Meeker, Jane C. Rothrock.</t>
  </si>
  <si>
    <t>11th ed.</t>
  </si>
  <si>
    <t>1999-02-11</t>
  </si>
  <si>
    <t>39811647</t>
  </si>
  <si>
    <t>991000876219702656</t>
  </si>
  <si>
    <t>2269962850002656</t>
  </si>
  <si>
    <t>9780323001342</t>
  </si>
  <si>
    <t>30001004159358</t>
  </si>
  <si>
    <t>893374058</t>
  </si>
  <si>
    <t>WY 161 A3756 2003</t>
  </si>
  <si>
    <t>0                      WY 0161000A  3756        2003</t>
  </si>
  <si>
    <t>Alexander's care of the patient in surgery / [edited by] Jane C. Rothrock ; associate editors, Dale A. Smith, Donna R. McEwen.</t>
  </si>
  <si>
    <t>2009-07-27</t>
  </si>
  <si>
    <t>50333760</t>
  </si>
  <si>
    <t>991001721589702656</t>
  </si>
  <si>
    <t>2261294120002656</t>
  </si>
  <si>
    <t>9780323016223</t>
  </si>
  <si>
    <t>30001004501443</t>
  </si>
  <si>
    <t>893149395</t>
  </si>
  <si>
    <t>WY 161 A497 1983</t>
  </si>
  <si>
    <t>0                      WY 0161000A  497         1983</t>
  </si>
  <si>
    <t>Ambulatory surgery : a guide to perioperative nursing care / edited by Brenda Cole Mauldin.</t>
  </si>
  <si>
    <t>43531653:eng</t>
  </si>
  <si>
    <t>9412167</t>
  </si>
  <si>
    <t>991000927649702656</t>
  </si>
  <si>
    <t>2263565090002656</t>
  </si>
  <si>
    <t>9780808915690</t>
  </si>
  <si>
    <t>30001000184020</t>
  </si>
  <si>
    <t>893740589</t>
  </si>
  <si>
    <t>WY 161 F849h 1978</t>
  </si>
  <si>
    <t>0                      WY 0161000F  849h        1978</t>
  </si>
  <si>
    <t>Notes on surgical nursing / William C. Fream.</t>
  </si>
  <si>
    <t>Fream, William C. (William Charles)</t>
  </si>
  <si>
    <t>Edinburgh ; New York : Churchill Livingstone ; New York : distributed by Longman, 1978.</t>
  </si>
  <si>
    <t>1386192:eng</t>
  </si>
  <si>
    <t>3223487</t>
  </si>
  <si>
    <t>991000927819702656</t>
  </si>
  <si>
    <t>2259289280002656</t>
  </si>
  <si>
    <t>9780443016820</t>
  </si>
  <si>
    <t>30001000184152</t>
  </si>
  <si>
    <t>893727097</t>
  </si>
  <si>
    <t>WY 161 I24m 1991</t>
  </si>
  <si>
    <t>0                      WY 0161000I  24m         1991</t>
  </si>
  <si>
    <t>Medical-surgical nursing : a nursing process approach / by Donna D. Ignatavicius and Marilyn Varner Bayne.</t>
  </si>
  <si>
    <t>Ignatavicius, Donna D.</t>
  </si>
  <si>
    <t>Philadelphia, PA : W.B. Saunders, c1991.</t>
  </si>
  <si>
    <t>1991-05-03</t>
  </si>
  <si>
    <t>3372665788:eng</t>
  </si>
  <si>
    <t>22184172</t>
  </si>
  <si>
    <t>991000935769702656</t>
  </si>
  <si>
    <t>2259382600002656</t>
  </si>
  <si>
    <t>9780721619743</t>
  </si>
  <si>
    <t>30001002190769</t>
  </si>
  <si>
    <t>893450624</t>
  </si>
  <si>
    <t>WY161 M328c 2003</t>
  </si>
  <si>
    <t>0                      WY 0161000M  328c        2003</t>
  </si>
  <si>
    <t>Cardiothoracic surgical nursing / Carl Margereson, Jillian Riley.</t>
  </si>
  <si>
    <t>Margereson, Carl.</t>
  </si>
  <si>
    <t>Oxford, OX ; Malden, MA : Blackwell Science, c2003.</t>
  </si>
  <si>
    <t>2005-04-10</t>
  </si>
  <si>
    <t>2005-04-08</t>
  </si>
  <si>
    <t>1032449:eng</t>
  </si>
  <si>
    <t>52208987</t>
  </si>
  <si>
    <t>991000435799702656</t>
  </si>
  <si>
    <t>2255558660002656</t>
  </si>
  <si>
    <t>9780632059041</t>
  </si>
  <si>
    <t>30001004929206</t>
  </si>
  <si>
    <t>893452099</t>
  </si>
  <si>
    <t>WY 161 M478c 1987</t>
  </si>
  <si>
    <t>0                      WY 0161000M  478c        1987</t>
  </si>
  <si>
    <t>Clinical considerations in perioperative nursing : preventive aspects of care / Edwina A. McConnell.</t>
  </si>
  <si>
    <t>McConnell, Edwina A.</t>
  </si>
  <si>
    <t>1992-01-03</t>
  </si>
  <si>
    <t>363419407:eng</t>
  </si>
  <si>
    <t>13821747</t>
  </si>
  <si>
    <t>991000765959702656</t>
  </si>
  <si>
    <t>2270251060002656</t>
  </si>
  <si>
    <t>9780397544943</t>
  </si>
  <si>
    <t>30001000057036</t>
  </si>
  <si>
    <t>893820223</t>
  </si>
  <si>
    <t>WY161 M489 2006 V.1</t>
  </si>
  <si>
    <t>0                      WY 0161000M  489         2006                                        V.1</t>
  </si>
  <si>
    <t>Medical-surgical nursing : critical thinking for collaborative care / [edited by] Donna D. Ignatavicius, M. Linda Workman.</t>
  </si>
  <si>
    <t>Philadelphia : Elsevier Saunders, c2006.</t>
  </si>
  <si>
    <t>2008-05-25</t>
  </si>
  <si>
    <t>2006-01-24</t>
  </si>
  <si>
    <t>3901223241:eng</t>
  </si>
  <si>
    <t>60755878</t>
  </si>
  <si>
    <t>991000457999702656</t>
  </si>
  <si>
    <t>2269050570002656</t>
  </si>
  <si>
    <t>9780721604466</t>
  </si>
  <si>
    <t>30001004910438</t>
  </si>
  <si>
    <t>893456754</t>
  </si>
  <si>
    <t>30001004910446</t>
  </si>
  <si>
    <t>893456755</t>
  </si>
  <si>
    <t>WY161 M4894 2003</t>
  </si>
  <si>
    <t>0                      WY 0161000M  4894        2003</t>
  </si>
  <si>
    <t>Medical-surgical nursing : health and illness perspectives / [edited by] Wilma J. Phipps ... [et al.].</t>
  </si>
  <si>
    <t>2008-07-14</t>
  </si>
  <si>
    <t>3856589299:eng</t>
  </si>
  <si>
    <t>50244328</t>
  </si>
  <si>
    <t>991000349259702656</t>
  </si>
  <si>
    <t>2268554800002656</t>
  </si>
  <si>
    <t>9780323018043</t>
  </si>
  <si>
    <t>30001004501419</t>
  </si>
  <si>
    <t>893123010</t>
  </si>
  <si>
    <t>WY 161 M494a 1991</t>
  </si>
  <si>
    <t>0                      WY 0161000M  494a        1991</t>
  </si>
  <si>
    <t>Alexander's care of the patient in surgery / Margaret Huth Meeker, Jane C. Rothrock.</t>
  </si>
  <si>
    <t>Meeker, Margaret Huth.</t>
  </si>
  <si>
    <t>1991-01-31</t>
  </si>
  <si>
    <t>4915320465:eng</t>
  </si>
  <si>
    <t>22422715</t>
  </si>
  <si>
    <t>991000816809702656</t>
  </si>
  <si>
    <t>2269511050002656</t>
  </si>
  <si>
    <t>9780801633874</t>
  </si>
  <si>
    <t>30001002086579</t>
  </si>
  <si>
    <t>893557289</t>
  </si>
  <si>
    <t>WY 161 N248p 1980</t>
  </si>
  <si>
    <t>0                      WY 0161000N  248p        1980</t>
  </si>
  <si>
    <t>The principles and practice of surgery for nurses and allied professions / D.F. Ellison Nash, assisted by Cynthia M. Gilling, Mary Gillman.</t>
  </si>
  <si>
    <t>Nash, D. F. Ellison (Denis Frederic Ellison)</t>
  </si>
  <si>
    <t>London : Arnold, c1980.</t>
  </si>
  <si>
    <t>1236552:eng</t>
  </si>
  <si>
    <t>7737509</t>
  </si>
  <si>
    <t>991000928089702656</t>
  </si>
  <si>
    <t>2257259570002656</t>
  </si>
  <si>
    <t>9780713143669</t>
  </si>
  <si>
    <t>30001000184335</t>
  </si>
  <si>
    <t>893278491</t>
  </si>
  <si>
    <t>WY 161 P4445 1990</t>
  </si>
  <si>
    <t>0                      WY 0161000P  4445        1990</t>
  </si>
  <si>
    <t>Perioperative nursing care planning / [edited by] Jane C. Rothrock.</t>
  </si>
  <si>
    <t>1992-03-30</t>
  </si>
  <si>
    <t>55291583:eng</t>
  </si>
  <si>
    <t>20930504</t>
  </si>
  <si>
    <t>991001452889702656</t>
  </si>
  <si>
    <t>2266368640002656</t>
  </si>
  <si>
    <t>9780801655289</t>
  </si>
  <si>
    <t>30001001883828</t>
  </si>
  <si>
    <t>893358621</t>
  </si>
  <si>
    <t>WY161 P573 2006</t>
  </si>
  <si>
    <t>0                      WY 0161000P  573         2006</t>
  </si>
  <si>
    <t>Phipps' medical-surgical nursing : health and illness perspectives / Frances Donovan Monahan ... [et al.].</t>
  </si>
  <si>
    <t>St. Louis, Mo. : Elsevier Mosby, c2007.</t>
  </si>
  <si>
    <t>2006-11-30</t>
  </si>
  <si>
    <t>796519410:eng</t>
  </si>
  <si>
    <t>68705566</t>
  </si>
  <si>
    <t>991000572519702656</t>
  </si>
  <si>
    <t>2267480320002656</t>
  </si>
  <si>
    <t>9780323031974</t>
  </si>
  <si>
    <t>30001005193406</t>
  </si>
  <si>
    <t>893734674</t>
  </si>
  <si>
    <t>WY161 P943c 2005</t>
  </si>
  <si>
    <t>0                      WY 0161000P  943c        2005</t>
  </si>
  <si>
    <t>Critical thinking in medical-surgical settings : a case study approach / Barbara A. Preusser.</t>
  </si>
  <si>
    <t>Preusser, Barbara A.</t>
  </si>
  <si>
    <t>2010-12-13</t>
  </si>
  <si>
    <t>5614881552:eng</t>
  </si>
  <si>
    <t>56056039</t>
  </si>
  <si>
    <t>991001736289702656</t>
  </si>
  <si>
    <t>2271862860002656</t>
  </si>
  <si>
    <t>9780323025669</t>
  </si>
  <si>
    <t>30001004912111</t>
  </si>
  <si>
    <t>893633272</t>
  </si>
  <si>
    <t>WY 161 S927 1981</t>
  </si>
  <si>
    <t>0                      WY 0161000S  927         1981</t>
  </si>
  <si>
    <t>Structured preoperative teaching / CURN Project, Conduct and Utilization of Research in Nursing Project, Michigan Nurses Association ; principal investigator, Jo Anne Horsley ; the protocol manuscript ... prepared by Margaret A. Reynolds, Janet D. Bingle.</t>
  </si>
  <si>
    <t>1998-10-23</t>
  </si>
  <si>
    <t>465744:eng</t>
  </si>
  <si>
    <t>6943410</t>
  </si>
  <si>
    <t>991000928219702656</t>
  </si>
  <si>
    <t>2271229350002656</t>
  </si>
  <si>
    <t>9780808913115</t>
  </si>
  <si>
    <t>30001000184368</t>
  </si>
  <si>
    <t>893273500</t>
  </si>
  <si>
    <t>WY 162 A876b 1992</t>
  </si>
  <si>
    <t>0                      WY 0162000A  876b        1992</t>
  </si>
  <si>
    <t>Berry and Kohn's operating room technique.</t>
  </si>
  <si>
    <t>Atkinson, Lucy Jo.</t>
  </si>
  <si>
    <t>7th ed. / Lucy Jo Atkinson, Mary Louise Kohn.</t>
  </si>
  <si>
    <t>1999-11-15</t>
  </si>
  <si>
    <t>2637223:eng</t>
  </si>
  <si>
    <t>24319415</t>
  </si>
  <si>
    <t>991001034359702656</t>
  </si>
  <si>
    <t>2261926160002656</t>
  </si>
  <si>
    <t>9780801660481</t>
  </si>
  <si>
    <t>30001002244434</t>
  </si>
  <si>
    <t>893546325</t>
  </si>
  <si>
    <t>WY 162 A876b 1996</t>
  </si>
  <si>
    <t>0                      WY 0162000A  876b        1996</t>
  </si>
  <si>
    <t>Berry &amp; Kohn's operating room technique.</t>
  </si>
  <si>
    <t>8th ed. / Lucy Jo Atkinson, Nancymarie Howard Fortunato.</t>
  </si>
  <si>
    <t>1997-06-22</t>
  </si>
  <si>
    <t>33161922</t>
  </si>
  <si>
    <t>991000850849702656</t>
  </si>
  <si>
    <t>2261992620002656</t>
  </si>
  <si>
    <t>9780815101031</t>
  </si>
  <si>
    <t>30001003473677</t>
  </si>
  <si>
    <t>893743541</t>
  </si>
  <si>
    <t>WY 162 B873f 1979</t>
  </si>
  <si>
    <t>0                      WY 0162000B  873f        1979</t>
  </si>
  <si>
    <t>Fundamentals of operating room nursing / Shirley M. Brooks.</t>
  </si>
  <si>
    <t>Tighe, Shirley M., 1939-</t>
  </si>
  <si>
    <t>1989-07-18</t>
  </si>
  <si>
    <t>451186:eng</t>
  </si>
  <si>
    <t>4638958</t>
  </si>
  <si>
    <t>991000928479702656</t>
  </si>
  <si>
    <t>2255822880002656</t>
  </si>
  <si>
    <t>9780801608148</t>
  </si>
  <si>
    <t>30001000184475</t>
  </si>
  <si>
    <t>893637842</t>
  </si>
  <si>
    <t>WY 162 C795m 1982</t>
  </si>
  <si>
    <t>0                      WY 0162000C  795m        1982</t>
  </si>
  <si>
    <t>Manual of operating room management / Jacqueline Willingham Cordner.</t>
  </si>
  <si>
    <t>Cordner, Jacqueline Willingham.</t>
  </si>
  <si>
    <t>Oradell, N.J. : Medical Economics Books, c1982.</t>
  </si>
  <si>
    <t>1988-04-12</t>
  </si>
  <si>
    <t>8847674514:eng</t>
  </si>
  <si>
    <t>7572659</t>
  </si>
  <si>
    <t>991000928519702656</t>
  </si>
  <si>
    <t>2272684480002656</t>
  </si>
  <si>
    <t>9780874892604</t>
  </si>
  <si>
    <t>30001000184483</t>
  </si>
  <si>
    <t>893637843</t>
  </si>
  <si>
    <t>WY 162 F165p 1996</t>
  </si>
  <si>
    <t>0                      WY 0162000F  165p        1996</t>
  </si>
  <si>
    <t>Perioperative nursing : principles and practice / Susan S. Fairchild.</t>
  </si>
  <si>
    <t>Fairchild, Susan S.</t>
  </si>
  <si>
    <t>Boston : Little, Brown, c1996.</t>
  </si>
  <si>
    <t>912344039:eng</t>
  </si>
  <si>
    <t>33838235</t>
  </si>
  <si>
    <t>991001556679702656</t>
  </si>
  <si>
    <t>2259441910002656</t>
  </si>
  <si>
    <t>9780316259699</t>
  </si>
  <si>
    <t>30001003672583</t>
  </si>
  <si>
    <t>893274292</t>
  </si>
  <si>
    <t>WY 162 F966s 1994</t>
  </si>
  <si>
    <t>0                      WY 0162000F  966s        1994</t>
  </si>
  <si>
    <t>Surgical technology : principles and practice / Joanna Ruth Fuller ; technical and professional consultant, Linda K. Groah.</t>
  </si>
  <si>
    <t>Fuller, Joanna Ruth.</t>
  </si>
  <si>
    <t>1997-02-07</t>
  </si>
  <si>
    <t>27884300:eng</t>
  </si>
  <si>
    <t>27034789</t>
  </si>
  <si>
    <t>991001770409702656</t>
  </si>
  <si>
    <t>2269987750002656</t>
  </si>
  <si>
    <t>9780721640648</t>
  </si>
  <si>
    <t>30001003474758</t>
  </si>
  <si>
    <t>893122228</t>
  </si>
  <si>
    <t>WY 162 G873o 1983</t>
  </si>
  <si>
    <t>0                      WY 0162000G  873o        1983</t>
  </si>
  <si>
    <t>Operating room nursing : the perioperative role / Linda K. Groah.</t>
  </si>
  <si>
    <t>Groah, Linda K.</t>
  </si>
  <si>
    <t>1992-06-30</t>
  </si>
  <si>
    <t>3857456694:eng</t>
  </si>
  <si>
    <t>9111235</t>
  </si>
  <si>
    <t>991000928599702656</t>
  </si>
  <si>
    <t>2269815310002656</t>
  </si>
  <si>
    <t>9780835952484</t>
  </si>
  <si>
    <t>30001000184517</t>
  </si>
  <si>
    <t>893368905</t>
  </si>
  <si>
    <t>WY 163 H589n 1958</t>
  </si>
  <si>
    <t>0                      WY 0163000H  589n        1958</t>
  </si>
  <si>
    <t>Tuberculosis : prevention and control / by H.W. Hetherington and Fannie W. Eshleman.</t>
  </si>
  <si>
    <t>Hetherington, Hubert Willows, 1901-</t>
  </si>
  <si>
    <t>New York, NY : Putnam 1958.</t>
  </si>
  <si>
    <t>4th ed. rev., reset, and retitled.</t>
  </si>
  <si>
    <t>1998-02-22</t>
  </si>
  <si>
    <t>1988-02-11</t>
  </si>
  <si>
    <t>3768408198:eng</t>
  </si>
  <si>
    <t>1592089</t>
  </si>
  <si>
    <t>991000928719702656</t>
  </si>
  <si>
    <t>2267513660002656</t>
  </si>
  <si>
    <t>30001000184566</t>
  </si>
  <si>
    <t>893826235</t>
  </si>
  <si>
    <t>WY 163 K29r 1984</t>
  </si>
  <si>
    <t>0                      WY 0163000K  29r         1984</t>
  </si>
  <si>
    <t>Respiratory nursing care / Colleen Keller, Jacqueline Solomon, A. Virginia Reyes.</t>
  </si>
  <si>
    <t>Keller, Colleen, 1949-</t>
  </si>
  <si>
    <t>43766093:eng</t>
  </si>
  <si>
    <t>9852781</t>
  </si>
  <si>
    <t>991000928769702656</t>
  </si>
  <si>
    <t>2264109050002656</t>
  </si>
  <si>
    <t>9780137746613</t>
  </si>
  <si>
    <t>30001000184574</t>
  </si>
  <si>
    <t>893540833</t>
  </si>
  <si>
    <t>WY 163 K41c 1989</t>
  </si>
  <si>
    <t>0                      WY 0163000K  41c         1989</t>
  </si>
  <si>
    <t>Comprehensive respiratory nursing : a decision making approach / Laurel D. Kersten.</t>
  </si>
  <si>
    <t>Kersten, Laurel D.</t>
  </si>
  <si>
    <t>2001-03-28</t>
  </si>
  <si>
    <t>1989-07-22</t>
  </si>
  <si>
    <t>325934430:eng</t>
  </si>
  <si>
    <t>16831113</t>
  </si>
  <si>
    <t>991001312539702656</t>
  </si>
  <si>
    <t>2263521080002656</t>
  </si>
  <si>
    <t>9780721653952</t>
  </si>
  <si>
    <t>30001001751330</t>
  </si>
  <si>
    <t>893467908</t>
  </si>
  <si>
    <t>WY 163 N974 1990</t>
  </si>
  <si>
    <t>0                      WY 0163000N  974         1990</t>
  </si>
  <si>
    <t>Nursing care of the respiratory patient / edited by Dorothy L. Sexton.</t>
  </si>
  <si>
    <t>1989-11-16</t>
  </si>
  <si>
    <t>21452922:eng</t>
  </si>
  <si>
    <t>19270775</t>
  </si>
  <si>
    <t>991001365719702656</t>
  </si>
  <si>
    <t>2268891760002656</t>
  </si>
  <si>
    <t>9780838570012</t>
  </si>
  <si>
    <t>30001001797234</t>
  </si>
  <si>
    <t>893560992</t>
  </si>
  <si>
    <t>WY 163 P969 1979</t>
  </si>
  <si>
    <t>0                      WY 0163000P  969         1979</t>
  </si>
  <si>
    <t>Providing respiratory care.</t>
  </si>
  <si>
    <t>Nursing80 photobooks</t>
  </si>
  <si>
    <t>54785796:eng</t>
  </si>
  <si>
    <t>5447662</t>
  </si>
  <si>
    <t>991000928799702656</t>
  </si>
  <si>
    <t>2259206440002656</t>
  </si>
  <si>
    <t>9780916730178</t>
  </si>
  <si>
    <t>30001000184582</t>
  </si>
  <si>
    <t>893740590</t>
  </si>
  <si>
    <t>WY 163 R4335 1984</t>
  </si>
  <si>
    <t>0                      WY 0163000R  4335        1984</t>
  </si>
  <si>
    <t>Respiratory disorders.</t>
  </si>
  <si>
    <t>Springhouse, Pa. : Springhouse Corp., c1984.</t>
  </si>
  <si>
    <t>Nurse's clinical library</t>
  </si>
  <si>
    <t>54613983:eng</t>
  </si>
  <si>
    <t>10230252</t>
  </si>
  <si>
    <t>991000771399702656</t>
  </si>
  <si>
    <t>2270611220002656</t>
  </si>
  <si>
    <t>9780916730581</t>
  </si>
  <si>
    <t>30001002062216</t>
  </si>
  <si>
    <t>893120362</t>
  </si>
  <si>
    <t>WY 163 R4345 1982</t>
  </si>
  <si>
    <t>0                      WY 0163000R  4345        1982</t>
  </si>
  <si>
    <t>Respiratory nursing : the science and the art / edited by Gayle A. Traver.</t>
  </si>
  <si>
    <t>905474530:eng</t>
  </si>
  <si>
    <t>7925442</t>
  </si>
  <si>
    <t>991000928829702656</t>
  </si>
  <si>
    <t>2255066460002656</t>
  </si>
  <si>
    <t>9780471045397</t>
  </si>
  <si>
    <t>30001000184590</t>
  </si>
  <si>
    <t>893465021</t>
  </si>
  <si>
    <t>WY 163 S518c 1981</t>
  </si>
  <si>
    <t>0                      WY 0163000S  518c        1981</t>
  </si>
  <si>
    <t>Chronic obstructive pulmonary disease : care of the child and adult / Dorothy L. Sexton.</t>
  </si>
  <si>
    <t>Sexton, Dorothy L.</t>
  </si>
  <si>
    <t>1995-02-23</t>
  </si>
  <si>
    <t>375333364:eng</t>
  </si>
  <si>
    <t>6789027</t>
  </si>
  <si>
    <t>991000928859702656</t>
  </si>
  <si>
    <t>2260958120002656</t>
  </si>
  <si>
    <t>9780801644900</t>
  </si>
  <si>
    <t>30001000184608</t>
  </si>
  <si>
    <t>893557419</t>
  </si>
  <si>
    <t>WY 163 T779r 1991</t>
  </si>
  <si>
    <t>0                      WY 0163000T  779r        1991</t>
  </si>
  <si>
    <t>Respiratory care : a clinical approach / Gayle A. Traver, Joyce Tremper Mitchell, Gail Flodquist-Priestley.</t>
  </si>
  <si>
    <t>Traver, Gayle A.</t>
  </si>
  <si>
    <t>24212872:eng</t>
  </si>
  <si>
    <t>22813763</t>
  </si>
  <si>
    <t>991001481679702656</t>
  </si>
  <si>
    <t>2263668730002656</t>
  </si>
  <si>
    <t>9780834202078</t>
  </si>
  <si>
    <t>30001002570002</t>
  </si>
  <si>
    <t>893638370</t>
  </si>
  <si>
    <t>WY 163 W753r 1990</t>
  </si>
  <si>
    <t>0                      WY 0163000W  753r        1990</t>
  </si>
  <si>
    <t>Respiratory disorders / Susan F. Wilson, June M. Thompson.</t>
  </si>
  <si>
    <t>1992-05-06</t>
  </si>
  <si>
    <t>4494999166:eng</t>
  </si>
  <si>
    <t>21599950</t>
  </si>
  <si>
    <t>991001767829702656</t>
  </si>
  <si>
    <t>2267923940002656</t>
  </si>
  <si>
    <t>9780801650871</t>
  </si>
  <si>
    <t>30001002087395</t>
  </si>
  <si>
    <t>893369974</t>
  </si>
  <si>
    <t>WY164 C7605 2006</t>
  </si>
  <si>
    <t>0                      WY 0164000C  7605        2006</t>
  </si>
  <si>
    <t>Contemporary issues in prostate cancer : a nursing perspective / [edited by] Jeanne Held-Warmkessel.</t>
  </si>
  <si>
    <t>Sudbury, Mass. : Jones and Bartlett Publishers, c2006.</t>
  </si>
  <si>
    <t>2006-06-26</t>
  </si>
  <si>
    <t>903477536:eng</t>
  </si>
  <si>
    <t>61404521</t>
  </si>
  <si>
    <t>991000471319702656</t>
  </si>
  <si>
    <t>2264779390002656</t>
  </si>
  <si>
    <t>9780763730758</t>
  </si>
  <si>
    <t>30001005127040</t>
  </si>
  <si>
    <t>893136917</t>
  </si>
  <si>
    <t>WY 164 M478c 1983</t>
  </si>
  <si>
    <t>0                      WY 0164000M  478c        1983</t>
  </si>
  <si>
    <t>Care of patients with urologic problems / Edwina A. McConnell, Mary F. Zimmerman.</t>
  </si>
  <si>
    <t>2000-04-16</t>
  </si>
  <si>
    <t>471056:eng</t>
  </si>
  <si>
    <t>8032160</t>
  </si>
  <si>
    <t>991000929079702656</t>
  </si>
  <si>
    <t>2268955000002656</t>
  </si>
  <si>
    <t>9780397544028</t>
  </si>
  <si>
    <t>30001000184673</t>
  </si>
  <si>
    <t>893643026</t>
  </si>
  <si>
    <t>WY 164 M817i 1990</t>
  </si>
  <si>
    <t>0                      WY 0164000M  817i        1990</t>
  </si>
  <si>
    <t>Incontinence / Marion Moody.</t>
  </si>
  <si>
    <t>Moody, Marion.</t>
  </si>
  <si>
    <t>Oxford : Heinemann Nursing, c1990.</t>
  </si>
  <si>
    <t>Patient problems and nursing care</t>
  </si>
  <si>
    <t>22278547:eng</t>
  </si>
  <si>
    <t>22813967</t>
  </si>
  <si>
    <t>991000820209702656</t>
  </si>
  <si>
    <t>2263931750002656</t>
  </si>
  <si>
    <t>9780433000860</t>
  </si>
  <si>
    <t>30001002087429</t>
  </si>
  <si>
    <t>893373861</t>
  </si>
  <si>
    <t>WY 164 N4387 1989</t>
  </si>
  <si>
    <t>0                      WY 0164000N  4387        1989</t>
  </si>
  <si>
    <t>Nephrology nursing : concepts and strategies / edited by Beth Tamplet Ulrich.</t>
  </si>
  <si>
    <t>2000-07-26</t>
  </si>
  <si>
    <t>55089363:eng</t>
  </si>
  <si>
    <t>17875888</t>
  </si>
  <si>
    <t>991001308519702656</t>
  </si>
  <si>
    <t>2257216050002656</t>
  </si>
  <si>
    <t>9780838566992</t>
  </si>
  <si>
    <t>30001001750126</t>
  </si>
  <si>
    <t>893455691</t>
  </si>
  <si>
    <t>WY 164 N9745 1990</t>
  </si>
  <si>
    <t>0                      WY 0164000N  9745        1990</t>
  </si>
  <si>
    <t>Nursing for continence / [edited by] Catherine F. Jeter, Nancy Faller, Christine Norton.</t>
  </si>
  <si>
    <t>364608024:eng</t>
  </si>
  <si>
    <t>21078834</t>
  </si>
  <si>
    <t>991001453239702656</t>
  </si>
  <si>
    <t>2272523140002656</t>
  </si>
  <si>
    <t>9780721628929</t>
  </si>
  <si>
    <t>30001001883968</t>
  </si>
  <si>
    <t>893287430</t>
  </si>
  <si>
    <t>WY 164 P298 1984</t>
  </si>
  <si>
    <t>0                      WY 0164000P  298         1984</t>
  </si>
  <si>
    <t>The Patient with end stage renal disease / edited by Larry E. Lancaster.</t>
  </si>
  <si>
    <t>1994-09-02</t>
  </si>
  <si>
    <t>54263947:eng</t>
  </si>
  <si>
    <t>10727307</t>
  </si>
  <si>
    <t>991000929119702656</t>
  </si>
  <si>
    <t>2259149410002656</t>
  </si>
  <si>
    <t>9780471885450</t>
  </si>
  <si>
    <t>30001000184707</t>
  </si>
  <si>
    <t>893551945</t>
  </si>
  <si>
    <t>WY 164 R454 1999</t>
  </si>
  <si>
    <t>0                      WY 0164000R  454         1999</t>
  </si>
  <si>
    <t>Review of hemodialysis for nurses and dialysis personnel / C.F. Gutch, Martha H. Stoner, Anna L. Corea.</t>
  </si>
  <si>
    <t>2000-10-15</t>
  </si>
  <si>
    <t>1265463:eng</t>
  </si>
  <si>
    <t>41137977</t>
  </si>
  <si>
    <t>991000503449702656</t>
  </si>
  <si>
    <t>2265153650002656</t>
  </si>
  <si>
    <t>9780815120995</t>
  </si>
  <si>
    <t>30001004074805</t>
  </si>
  <si>
    <t>893629894</t>
  </si>
  <si>
    <t>WY164 R454 2005</t>
  </si>
  <si>
    <t>0                      WY 0164000R  454         2005</t>
  </si>
  <si>
    <t>Review of hemodialysis for nurses and dialysis personnel / Judith Z. Kallenbach ... [et al.].</t>
  </si>
  <si>
    <t>St. Louis, Mo. : Elsevier Mosby, 2005.</t>
  </si>
  <si>
    <t>2558890449:eng</t>
  </si>
  <si>
    <t>58454283</t>
  </si>
  <si>
    <t>991000458579702656</t>
  </si>
  <si>
    <t>2266399940002656</t>
  </si>
  <si>
    <t>9780323028714</t>
  </si>
  <si>
    <t>30001004912202</t>
  </si>
  <si>
    <t>893737373</t>
  </si>
  <si>
    <t>WY 164 U76 1991</t>
  </si>
  <si>
    <t>0                      WY 0164000U  76          1991</t>
  </si>
  <si>
    <t>Urinary and fecal incontinence : nursing management / edited by Dorothy B. Doughty ; coordinated with assistance from the International Association for Enterostomal Therapy.</t>
  </si>
  <si>
    <t>837052454:eng</t>
  </si>
  <si>
    <t>23356893</t>
  </si>
  <si>
    <t>991001014869702656</t>
  </si>
  <si>
    <t>2257132520002656</t>
  </si>
  <si>
    <t>9780801614446</t>
  </si>
  <si>
    <t>30001002240523</t>
  </si>
  <si>
    <t>893121107</t>
  </si>
  <si>
    <t>WY 193 L435m 1971</t>
  </si>
  <si>
    <t>0                      WY 0193000L  435m        1971</t>
  </si>
  <si>
    <t>A manual of simple nursing procedures / Mary J. Leake.</t>
  </si>
  <si>
    <t>Leake, Mary J.</t>
  </si>
  <si>
    <t>Philadelphia, PA : Saunders, 1971.</t>
  </si>
  <si>
    <t>1992-06-02</t>
  </si>
  <si>
    <t>170781281:eng</t>
  </si>
  <si>
    <t>145796</t>
  </si>
  <si>
    <t>991000929279702656</t>
  </si>
  <si>
    <t>2258125850002656</t>
  </si>
  <si>
    <t>9780721656625</t>
  </si>
  <si>
    <t>30001000184756</t>
  </si>
  <si>
    <t>893284152</t>
  </si>
  <si>
    <t>WY 193 S361b 1982</t>
  </si>
  <si>
    <t>0                      WY 0193000S  361b        1982</t>
  </si>
  <si>
    <t>Being a nursing assistant / Rose B. Schniedman, Lambert, Barbara Wander.</t>
  </si>
  <si>
    <t>Schniedman, Rose B.</t>
  </si>
  <si>
    <t>1991-04-19</t>
  </si>
  <si>
    <t>5176669:eng</t>
  </si>
  <si>
    <t>7739267</t>
  </si>
  <si>
    <t>991000929539702656</t>
  </si>
  <si>
    <t>2258616320002656</t>
  </si>
  <si>
    <t>9780893030278</t>
  </si>
  <si>
    <t>30001000184806</t>
  </si>
  <si>
    <t>893121026</t>
  </si>
  <si>
    <t>WY193 S714ma 2003</t>
  </si>
  <si>
    <t>0                      WY 0193000S  714ma       2003</t>
  </si>
  <si>
    <t>Mosby's textbook for long-term care assistants / Sheila A. Sorrentino, Bernie Gorek.</t>
  </si>
  <si>
    <t>Sorrentino, Sheila A.</t>
  </si>
  <si>
    <t>3805405107:eng</t>
  </si>
  <si>
    <t>51685587</t>
  </si>
  <si>
    <t>991000345719702656</t>
  </si>
  <si>
    <t>2258460570002656</t>
  </si>
  <si>
    <t>9780323019194</t>
  </si>
  <si>
    <t>30001004504173</t>
  </si>
  <si>
    <t>893547728</t>
  </si>
  <si>
    <t>WY 195 C736 1979</t>
  </si>
  <si>
    <t>0                      WY 0195000C  736         1979</t>
  </si>
  <si>
    <t>Competencies of graduates of educational programs in practical nursing.</t>
  </si>
  <si>
    <t>New York : Division of Practical Nursing Programs, National League of Nursing, c1979.</t>
  </si>
  <si>
    <t>NLN pub. no. 38-1686</t>
  </si>
  <si>
    <t>1990-09-12</t>
  </si>
  <si>
    <t>19890907:eng</t>
  </si>
  <si>
    <t>5726334</t>
  </si>
  <si>
    <t>991001389699702656</t>
  </si>
  <si>
    <t>2271935070002656</t>
  </si>
  <si>
    <t>30001000464703</t>
  </si>
  <si>
    <t>893731970</t>
  </si>
  <si>
    <t>WY 195 H699s 1981</t>
  </si>
  <si>
    <t>0                      WY 0195000H  699s        1981</t>
  </si>
  <si>
    <t>Simplified nursing / Claire P. Hoffman, Gladys B. Lipkin.</t>
  </si>
  <si>
    <t>Hoffman, Claire P.</t>
  </si>
  <si>
    <t>1909023872:eng</t>
  </si>
  <si>
    <t>7170947</t>
  </si>
  <si>
    <t>991000929569702656</t>
  </si>
  <si>
    <t>2266287040002656</t>
  </si>
  <si>
    <t>9780397542376</t>
  </si>
  <si>
    <t>30001000184814</t>
  </si>
  <si>
    <t>893731539</t>
  </si>
  <si>
    <t>WY195 T469t  2003</t>
  </si>
  <si>
    <t>0                      WY 0195000T  469t        2003</t>
  </si>
  <si>
    <t>Textbook of basic nursing / [edited by] Caroline Bunker Rosdahl, Mary Kowalski.</t>
  </si>
  <si>
    <t>Baltimore, MD : Lippincott Williams &amp; Wilkins, c2002.</t>
  </si>
  <si>
    <t>4926233029:eng</t>
  </si>
  <si>
    <t>50519125</t>
  </si>
  <si>
    <t>991000351029702656</t>
  </si>
  <si>
    <t>2272233380002656</t>
  </si>
  <si>
    <t>9780781734295</t>
  </si>
  <si>
    <t>30001004504835</t>
  </si>
  <si>
    <t>893447226</t>
  </si>
  <si>
    <t>WY 195 T717 1984</t>
  </si>
  <si>
    <t>0                      WY 0195000T  717         1984</t>
  </si>
  <si>
    <t>Total patient care : foundations and practice.</t>
  </si>
  <si>
    <t>6th ed. / [edited by] Gail Harkness Hood, Judith R. Dincher.</t>
  </si>
  <si>
    <t>4924868524:eng</t>
  </si>
  <si>
    <t>9970099</t>
  </si>
  <si>
    <t>991000929809702656</t>
  </si>
  <si>
    <t>2260729640002656</t>
  </si>
  <si>
    <t>9780801622434</t>
  </si>
  <si>
    <t>30001000184863</t>
  </si>
  <si>
    <t>893820730</t>
  </si>
  <si>
    <t>WY 200 A852c 1998</t>
  </si>
  <si>
    <t>0                      WY 0200000A  852c        1998</t>
  </si>
  <si>
    <t>Competency in home care / Terasa Astarita, Gayle Materna, Cynthia Blevins.</t>
  </si>
  <si>
    <t>Astarita, Terasa.</t>
  </si>
  <si>
    <t>Gaithersburg, Md. : Aspen Publishers, c1998.</t>
  </si>
  <si>
    <t>1999-03-18</t>
  </si>
  <si>
    <t>42153036:eng</t>
  </si>
  <si>
    <t>38732176</t>
  </si>
  <si>
    <t>991000692039702656</t>
  </si>
  <si>
    <t>2270118320002656</t>
  </si>
  <si>
    <t>9780834210509</t>
  </si>
  <si>
    <t>30001004036788</t>
  </si>
  <si>
    <t>893459694</t>
  </si>
  <si>
    <t>WY 200 C855s 1991</t>
  </si>
  <si>
    <t>0                      WY 0200000C  855s        1991</t>
  </si>
  <si>
    <t>A statement on the scope of home health nursing practice.</t>
  </si>
  <si>
    <t>Kansas City, Mo. : American Nurses Association, Council of Community Health Nurses, c1991.</t>
  </si>
  <si>
    <t>43823574:eng</t>
  </si>
  <si>
    <t>25094924</t>
  </si>
  <si>
    <t>991000232259702656</t>
  </si>
  <si>
    <t>2264189220002656</t>
  </si>
  <si>
    <t>30001002391789</t>
  </si>
  <si>
    <t>893811270</t>
  </si>
  <si>
    <t>WY 200 C967 2004</t>
  </si>
  <si>
    <t>0                      WY 0200000C  967         2004</t>
  </si>
  <si>
    <t>The cultures of caregiving : conflict and common ground among families, health professionals, and policy makers / edited by Carol Levine and Thomas H. Murray ; foreword by Christine K. Cassell.</t>
  </si>
  <si>
    <t>Baltimore : Johns Hopkins University Press, 2004.</t>
  </si>
  <si>
    <t>2006-05-05</t>
  </si>
  <si>
    <t>2006-05-02</t>
  </si>
  <si>
    <t>889797066:eng</t>
  </si>
  <si>
    <t>52720972</t>
  </si>
  <si>
    <t>991001738789702656</t>
  </si>
  <si>
    <t>2260184190002656</t>
  </si>
  <si>
    <t>9780801878633</t>
  </si>
  <si>
    <t>30001005126661</t>
  </si>
  <si>
    <t>893743967</t>
  </si>
  <si>
    <t>WY 200 D864h 1983</t>
  </si>
  <si>
    <t>0                      WY 0200000D  864h        1983</t>
  </si>
  <si>
    <t>Home care : an alternative to the nursing home / Florine Du Fresne.</t>
  </si>
  <si>
    <t>Du Fresne, Florine, 1907-</t>
  </si>
  <si>
    <t>Elgin, Ill. : Brethren Press, c1983.</t>
  </si>
  <si>
    <t>1992-07-03</t>
  </si>
  <si>
    <t>1080411:eng</t>
  </si>
  <si>
    <t>9111906</t>
  </si>
  <si>
    <t>991000929979702656</t>
  </si>
  <si>
    <t>2269753860002656</t>
  </si>
  <si>
    <t>9780871780300</t>
  </si>
  <si>
    <t>30001000184871</t>
  </si>
  <si>
    <t>893134101</t>
  </si>
  <si>
    <t>WY 200 H765 1989</t>
  </si>
  <si>
    <t>0                      WY 0200000H  765         1989</t>
  </si>
  <si>
    <t>Home health care nursing / [edited by] Ida M. Martinson, Ann Widmer.</t>
  </si>
  <si>
    <t>431181291:eng</t>
  </si>
  <si>
    <t>18463743</t>
  </si>
  <si>
    <t>991001355509702656</t>
  </si>
  <si>
    <t>2259468440002656</t>
  </si>
  <si>
    <t>9780721661483</t>
  </si>
  <si>
    <t>30001001795907</t>
  </si>
  <si>
    <t>893134486</t>
  </si>
  <si>
    <t>WY 200 H765 1994</t>
  </si>
  <si>
    <t>0                      WY 0200000H  765         1994</t>
  </si>
  <si>
    <t>Home health care patient education manual / Aspen Reference Group ; Sara Nell Di Lima, managing editor ; Suzanne Niemeyer, editor.</t>
  </si>
  <si>
    <t>Gaithersburg, Md. : Aspen Publishers, c1994.</t>
  </si>
  <si>
    <t>1996-06-19</t>
  </si>
  <si>
    <t>1809042810:eng</t>
  </si>
  <si>
    <t>30399219</t>
  </si>
  <si>
    <t>991001402849702656</t>
  </si>
  <si>
    <t>2256295470002656</t>
  </si>
  <si>
    <t>9780834205659</t>
  </si>
  <si>
    <t>30001003148956</t>
  </si>
  <si>
    <t>893727541</t>
  </si>
  <si>
    <t>WY 200 O94s 1988</t>
  </si>
  <si>
    <t>0                      WY 0200000O  94s         1988</t>
  </si>
  <si>
    <t>Outcome standards in home health : state of the art / Lynn T. Rinke.</t>
  </si>
  <si>
    <t>Rinke, Lynn T.</t>
  </si>
  <si>
    <t>New York : National League For Nursing, c1988.</t>
  </si>
  <si>
    <t>Pub. ; no. 21-2204</t>
  </si>
  <si>
    <t>1992-05-26</t>
  </si>
  <si>
    <t>16016512:eng</t>
  </si>
  <si>
    <t>17336720</t>
  </si>
  <si>
    <t>991001539249702656</t>
  </si>
  <si>
    <t>2255616030002656</t>
  </si>
  <si>
    <t>9780887373893</t>
  </si>
  <si>
    <t>30001000624462</t>
  </si>
  <si>
    <t>893149320</t>
  </si>
  <si>
    <t>WY 200 R434 1993</t>
  </si>
  <si>
    <t>0                      WY 0200000R  434         1993</t>
  </si>
  <si>
    <t>Respite care : programs, problems, and solutions / edited by Lynn M. Tepper, John A. Toner.</t>
  </si>
  <si>
    <t>Philadelphia : Charles Press, c1993.</t>
  </si>
  <si>
    <t>1997-05-07</t>
  </si>
  <si>
    <t>374640232:eng</t>
  </si>
  <si>
    <t>27216589</t>
  </si>
  <si>
    <t>991001485779702656</t>
  </si>
  <si>
    <t>2272180140002656</t>
  </si>
  <si>
    <t>9780914783671</t>
  </si>
  <si>
    <t>30001002579128</t>
  </si>
  <si>
    <t>893274214</t>
  </si>
  <si>
    <t>WY300 FA1 C641 2001</t>
  </si>
  <si>
    <t>0                      WY 0300000FA 1                  C  641         2001</t>
  </si>
  <si>
    <t>Clinical effectiveness in nursing practice / [edited by] Jane Dawson ; with contributions from Elaine Taylor-Whilde, Sue Torkington.</t>
  </si>
  <si>
    <t>London ; Philadelphia : Whurr Publishers, 2001.</t>
  </si>
  <si>
    <t>375458875:eng</t>
  </si>
  <si>
    <t>45589628</t>
  </si>
  <si>
    <t>991000319139702656</t>
  </si>
  <si>
    <t>2269488860002656</t>
  </si>
  <si>
    <t>9781861561831</t>
  </si>
  <si>
    <t>30001004442358</t>
  </si>
  <si>
    <t>893633772</t>
  </si>
  <si>
    <t>WY 300 FA1 P76 1992</t>
  </si>
  <si>
    <t>0                      WY 0300000FA 1                  P  76          1992</t>
  </si>
  <si>
    <t>Policy issues in nursing / edited by Jane Robinson, Alastair Gray, Ruth Elkan.</t>
  </si>
  <si>
    <t>Milton Keynes ; Philadelphia : Open University Press, c1992.</t>
  </si>
  <si>
    <t>1993-03-16</t>
  </si>
  <si>
    <t>1993-03-04</t>
  </si>
  <si>
    <t>354148280:eng</t>
  </si>
  <si>
    <t>24009987</t>
  </si>
  <si>
    <t>991001431999702656</t>
  </si>
  <si>
    <t>2268250190002656</t>
  </si>
  <si>
    <t>9780335094660</t>
  </si>
  <si>
    <t>30001002529677</t>
  </si>
  <si>
    <t>893465518</t>
  </si>
  <si>
    <t>WY340 A6405 2005</t>
  </si>
  <si>
    <t>0                      WY 0340000A  6405        2005</t>
  </si>
  <si>
    <t>Aphasia and related neurogenic language disorders / [edited by] Leonard L. LaPointe.</t>
  </si>
  <si>
    <t>New York : Thieme, 2005.</t>
  </si>
  <si>
    <t>2006-12-15</t>
  </si>
  <si>
    <t>55292796:eng</t>
  </si>
  <si>
    <t>57071469</t>
  </si>
  <si>
    <t>991000423529702656</t>
  </si>
  <si>
    <t>2262250280002656</t>
  </si>
  <si>
    <t>9781588902269</t>
  </si>
  <si>
    <t>30001004926632</t>
  </si>
  <si>
    <t>893466246</t>
  </si>
  <si>
    <t>WY611.1 D674n 1996</t>
  </si>
  <si>
    <t>0                      WY 0611100D  674n        1996</t>
  </si>
  <si>
    <t>Nursing, the finest art : an illustrated history / M. Patricia Donahue.</t>
  </si>
  <si>
    <t>33404614</t>
  </si>
  <si>
    <t>991000458459702656</t>
  </si>
  <si>
    <t>2267036550002656</t>
  </si>
  <si>
    <t>9780815127277</t>
  </si>
  <si>
    <t>30001004910859</t>
  </si>
  <si>
    <t>893547825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</si>
</sst>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pplyProtection="1">
      <alignment horizontal="center" vertical="center" wrapText="1"/>
      <protection locked="0"/>
    </xf>
    <xf numFmtId="0" fontId="0" fillId="0" borderId="0" xfId="0"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23A01-B136-45FC-903E-38ED02A9FB7B}">
  <dimension ref="A1:BF1833"/>
  <sheetViews>
    <sheetView tabSelected="1" workbookViewId="0">
      <pane ySplit="1" topLeftCell="A2" activePane="bottomLeft" state="frozen"/>
      <selection pane="bottomLeft" activeCell="F3" sqref="F3"/>
    </sheetView>
  </sheetViews>
  <sheetFormatPr defaultRowHeight="41.25" customHeight="1" x14ac:dyDescent="0.25"/>
  <cols>
    <col min="1" max="1" width="18.7109375" style="8" customWidth="1"/>
    <col min="2" max="3" width="9.140625" hidden="1" customWidth="1"/>
    <col min="5" max="5" width="9.140625" hidden="1" customWidth="1"/>
    <col min="6" max="6" width="40.140625" customWidth="1"/>
    <col min="8" max="12" width="9.140625" hidden="1" customWidth="1"/>
    <col min="13" max="13" width="17.5703125" customWidth="1"/>
    <col min="14" max="14" width="16.28515625" customWidth="1"/>
    <col min="16" max="19" width="9.140625" hidden="1" customWidth="1"/>
    <col min="22" max="28" width="9.140625" hidden="1" customWidth="1"/>
    <col min="30" max="30" width="9.140625" hidden="1" customWidth="1"/>
    <col min="32" max="32" width="9.140625" hidden="1" customWidth="1"/>
    <col min="33" max="33" width="15.5703125" customWidth="1"/>
    <col min="34" max="43" width="9.140625" hidden="1" customWidth="1"/>
    <col min="44" max="46" width="11" customWidth="1"/>
    <col min="49" max="58" width="9.140625" hidden="1" customWidth="1"/>
  </cols>
  <sheetData>
    <row r="1" spans="1:58" ht="41.25" customHeight="1" x14ac:dyDescent="0.25">
      <c r="A1" s="7" t="s">
        <v>513</v>
      </c>
      <c r="B1" s="6" t="s">
        <v>456</v>
      </c>
      <c r="C1" s="6" t="s">
        <v>457</v>
      </c>
      <c r="D1" s="6" t="s">
        <v>458</v>
      </c>
      <c r="E1" s="6" t="s">
        <v>459</v>
      </c>
      <c r="F1" s="6" t="s">
        <v>460</v>
      </c>
      <c r="G1" s="6" t="s">
        <v>461</v>
      </c>
      <c r="H1" s="6" t="s">
        <v>462</v>
      </c>
      <c r="I1" s="6" t="s">
        <v>463</v>
      </c>
      <c r="J1" s="6" t="s">
        <v>464</v>
      </c>
      <c r="K1" s="6" t="s">
        <v>465</v>
      </c>
      <c r="L1" s="6" t="s">
        <v>466</v>
      </c>
      <c r="M1" s="6" t="s">
        <v>467</v>
      </c>
      <c r="N1" s="6" t="s">
        <v>468</v>
      </c>
      <c r="O1" s="6" t="s">
        <v>469</v>
      </c>
      <c r="P1" s="6" t="s">
        <v>470</v>
      </c>
      <c r="Q1" s="6" t="s">
        <v>471</v>
      </c>
      <c r="R1" s="6" t="s">
        <v>472</v>
      </c>
      <c r="S1" s="6" t="s">
        <v>473</v>
      </c>
      <c r="T1" s="6" t="s">
        <v>474</v>
      </c>
      <c r="U1" s="6" t="s">
        <v>475</v>
      </c>
      <c r="V1" s="6" t="s">
        <v>476</v>
      </c>
      <c r="W1" s="6" t="s">
        <v>477</v>
      </c>
      <c r="X1" s="6" t="s">
        <v>478</v>
      </c>
      <c r="Y1" s="6" t="s">
        <v>479</v>
      </c>
      <c r="Z1" s="6" t="s">
        <v>480</v>
      </c>
      <c r="AA1" s="6" t="s">
        <v>481</v>
      </c>
      <c r="AB1" s="6" t="s">
        <v>482</v>
      </c>
      <c r="AC1" s="6" t="s">
        <v>510</v>
      </c>
      <c r="AD1" s="6" t="s">
        <v>483</v>
      </c>
      <c r="AE1" s="6" t="s">
        <v>511</v>
      </c>
      <c r="AF1" s="6" t="s">
        <v>484</v>
      </c>
      <c r="AG1" s="6" t="s">
        <v>512</v>
      </c>
      <c r="AH1" s="6" t="s">
        <v>485</v>
      </c>
      <c r="AI1" s="6" t="s">
        <v>486</v>
      </c>
      <c r="AJ1" s="6" t="s">
        <v>487</v>
      </c>
      <c r="AK1" s="6" t="s">
        <v>488</v>
      </c>
      <c r="AL1" s="6" t="s">
        <v>489</v>
      </c>
      <c r="AM1" s="6" t="s">
        <v>490</v>
      </c>
      <c r="AN1" s="6" t="s">
        <v>491</v>
      </c>
      <c r="AO1" s="6" t="s">
        <v>492</v>
      </c>
      <c r="AP1" s="6" t="s">
        <v>493</v>
      </c>
      <c r="AQ1" s="6" t="s">
        <v>494</v>
      </c>
      <c r="AR1" s="6" t="s">
        <v>495</v>
      </c>
      <c r="AS1" s="6" t="s">
        <v>496</v>
      </c>
      <c r="AT1" s="6" t="s">
        <v>497</v>
      </c>
      <c r="AU1" s="6" t="s">
        <v>498</v>
      </c>
      <c r="AV1" s="6" t="s">
        <v>499</v>
      </c>
      <c r="AW1" s="6" t="s">
        <v>500</v>
      </c>
      <c r="AX1" s="6" t="s">
        <v>501</v>
      </c>
      <c r="AY1" s="6" t="s">
        <v>502</v>
      </c>
      <c r="AZ1" s="6" t="s">
        <v>503</v>
      </c>
      <c r="BA1" s="6" t="s">
        <v>504</v>
      </c>
      <c r="BB1" s="6" t="s">
        <v>505</v>
      </c>
      <c r="BC1" s="6" t="s">
        <v>506</v>
      </c>
      <c r="BD1" s="6" t="s">
        <v>507</v>
      </c>
      <c r="BE1" s="6" t="s">
        <v>508</v>
      </c>
      <c r="BF1" s="6" t="s">
        <v>509</v>
      </c>
    </row>
    <row r="2" spans="1:58" ht="41.25" customHeight="1" x14ac:dyDescent="0.25">
      <c r="A2" s="8" t="s">
        <v>5</v>
      </c>
      <c r="B2" s="1" t="s">
        <v>0</v>
      </c>
      <c r="C2" s="1" t="s">
        <v>1</v>
      </c>
      <c r="D2" s="1" t="s">
        <v>2</v>
      </c>
      <c r="E2" s="1" t="s">
        <v>3</v>
      </c>
      <c r="F2" s="1" t="s">
        <v>4</v>
      </c>
      <c r="H2" s="2" t="s">
        <v>5</v>
      </c>
      <c r="I2" s="2" t="s">
        <v>6</v>
      </c>
      <c r="J2" s="2" t="s">
        <v>5</v>
      </c>
      <c r="K2" s="2" t="s">
        <v>5</v>
      </c>
      <c r="L2" s="2" t="s">
        <v>7</v>
      </c>
      <c r="M2" s="1" t="s">
        <v>8</v>
      </c>
      <c r="N2" s="1" t="s">
        <v>9</v>
      </c>
      <c r="O2" s="2" t="s">
        <v>10</v>
      </c>
      <c r="Q2" s="2" t="s">
        <v>11</v>
      </c>
      <c r="R2" s="2" t="s">
        <v>12</v>
      </c>
      <c r="T2" s="2" t="s">
        <v>13</v>
      </c>
      <c r="U2" s="3">
        <v>5</v>
      </c>
      <c r="V2" s="3">
        <v>5</v>
      </c>
      <c r="W2" s="4" t="s">
        <v>14</v>
      </c>
      <c r="X2" s="4" t="s">
        <v>14</v>
      </c>
      <c r="Y2" s="4" t="s">
        <v>15</v>
      </c>
      <c r="Z2" s="4" t="s">
        <v>15</v>
      </c>
      <c r="AA2" s="3">
        <v>434</v>
      </c>
      <c r="AB2" s="3">
        <v>404</v>
      </c>
      <c r="AC2" s="3">
        <v>411</v>
      </c>
      <c r="AD2" s="3">
        <v>5</v>
      </c>
      <c r="AE2" s="3">
        <v>5</v>
      </c>
      <c r="AF2" s="3">
        <v>26</v>
      </c>
      <c r="AG2" s="3">
        <v>26</v>
      </c>
      <c r="AH2" s="3">
        <v>12</v>
      </c>
      <c r="AI2" s="3">
        <v>12</v>
      </c>
      <c r="AJ2" s="3">
        <v>4</v>
      </c>
      <c r="AK2" s="3">
        <v>4</v>
      </c>
      <c r="AL2" s="3">
        <v>9</v>
      </c>
      <c r="AM2" s="3">
        <v>9</v>
      </c>
      <c r="AN2" s="3">
        <v>4</v>
      </c>
      <c r="AO2" s="3">
        <v>4</v>
      </c>
      <c r="AP2" s="3">
        <v>0</v>
      </c>
      <c r="AQ2" s="3">
        <v>0</v>
      </c>
      <c r="AR2" s="2" t="s">
        <v>5</v>
      </c>
      <c r="AS2" s="2" t="s">
        <v>16</v>
      </c>
      <c r="AT2" s="5" t="str">
        <f>HYPERLINK("http://catalog.hathitrust.org/Record/000083078","HathiTrust Record")</f>
        <v>HathiTrust Record</v>
      </c>
      <c r="AU2" s="5" t="str">
        <f>HYPERLINK("https://creighton-primo.hosted.exlibrisgroup.com/primo-explore/search?tab=default_tab&amp;search_scope=EVERYTHING&amp;vid=01CRU&amp;lang=en_US&amp;offset=0&amp;query=any,contains,991001039069702656","Catalog Record")</f>
        <v>Catalog Record</v>
      </c>
      <c r="AV2" s="5" t="str">
        <f>HYPERLINK("http://www.worldcat.org/oclc/2508491","WorldCat Record")</f>
        <v>WorldCat Record</v>
      </c>
      <c r="AW2" s="2" t="s">
        <v>17</v>
      </c>
      <c r="AX2" s="2" t="s">
        <v>18</v>
      </c>
      <c r="AY2" s="2" t="s">
        <v>19</v>
      </c>
      <c r="AZ2" s="2" t="s">
        <v>19</v>
      </c>
      <c r="BA2" s="2" t="s">
        <v>20</v>
      </c>
      <c r="BB2" s="2" t="s">
        <v>21</v>
      </c>
      <c r="BD2" s="2" t="s">
        <v>22</v>
      </c>
      <c r="BE2" s="2" t="s">
        <v>23</v>
      </c>
      <c r="BF2" s="2" t="s">
        <v>24</v>
      </c>
    </row>
    <row r="3" spans="1:58" ht="41.25" customHeight="1" x14ac:dyDescent="0.25">
      <c r="A3" s="8" t="s">
        <v>5</v>
      </c>
      <c r="B3" s="1" t="s">
        <v>0</v>
      </c>
      <c r="C3" s="1" t="s">
        <v>1</v>
      </c>
      <c r="D3" s="1" t="s">
        <v>25</v>
      </c>
      <c r="E3" s="1" t="s">
        <v>26</v>
      </c>
      <c r="F3" s="1" t="s">
        <v>27</v>
      </c>
      <c r="H3" s="2" t="s">
        <v>5</v>
      </c>
      <c r="I3" s="2" t="s">
        <v>6</v>
      </c>
      <c r="J3" s="2" t="s">
        <v>5</v>
      </c>
      <c r="K3" s="2" t="s">
        <v>5</v>
      </c>
      <c r="L3" s="2" t="s">
        <v>7</v>
      </c>
      <c r="M3" s="1" t="s">
        <v>28</v>
      </c>
      <c r="N3" s="1" t="s">
        <v>29</v>
      </c>
      <c r="O3" s="2" t="s">
        <v>10</v>
      </c>
      <c r="P3" s="1" t="s">
        <v>30</v>
      </c>
      <c r="Q3" s="2" t="s">
        <v>11</v>
      </c>
      <c r="R3" s="2" t="s">
        <v>31</v>
      </c>
      <c r="T3" s="2" t="s">
        <v>13</v>
      </c>
      <c r="U3" s="3">
        <v>1</v>
      </c>
      <c r="V3" s="3">
        <v>1</v>
      </c>
      <c r="W3" s="4" t="s">
        <v>32</v>
      </c>
      <c r="X3" s="4" t="s">
        <v>32</v>
      </c>
      <c r="Y3" s="4" t="s">
        <v>33</v>
      </c>
      <c r="Z3" s="4" t="s">
        <v>33</v>
      </c>
      <c r="AA3" s="3">
        <v>534</v>
      </c>
      <c r="AB3" s="3">
        <v>432</v>
      </c>
      <c r="AC3" s="3">
        <v>434</v>
      </c>
      <c r="AD3" s="3">
        <v>7</v>
      </c>
      <c r="AE3" s="3">
        <v>7</v>
      </c>
      <c r="AF3" s="3">
        <v>18</v>
      </c>
      <c r="AG3" s="3">
        <v>18</v>
      </c>
      <c r="AH3" s="3">
        <v>8</v>
      </c>
      <c r="AI3" s="3">
        <v>8</v>
      </c>
      <c r="AJ3" s="3">
        <v>3</v>
      </c>
      <c r="AK3" s="3">
        <v>3</v>
      </c>
      <c r="AL3" s="3">
        <v>6</v>
      </c>
      <c r="AM3" s="3">
        <v>6</v>
      </c>
      <c r="AN3" s="3">
        <v>4</v>
      </c>
      <c r="AO3" s="3">
        <v>4</v>
      </c>
      <c r="AP3" s="3">
        <v>0</v>
      </c>
      <c r="AQ3" s="3">
        <v>0</v>
      </c>
      <c r="AR3" s="2" t="s">
        <v>5</v>
      </c>
      <c r="AS3" s="2" t="s">
        <v>16</v>
      </c>
      <c r="AT3" s="5" t="str">
        <f>HYPERLINK("http://catalog.hathitrust.org/Record/000173510","HathiTrust Record")</f>
        <v>HathiTrust Record</v>
      </c>
      <c r="AU3" s="5" t="str">
        <f>HYPERLINK("https://creighton-primo.hosted.exlibrisgroup.com/primo-explore/search?tab=default_tab&amp;search_scope=EVERYTHING&amp;vid=01CRU&amp;lang=en_US&amp;offset=0&amp;query=any,contains,991000741549702656","Catalog Record")</f>
        <v>Catalog Record</v>
      </c>
      <c r="AV3" s="5" t="str">
        <f>HYPERLINK("http://www.worldcat.org/oclc/2798834","WorldCat Record")</f>
        <v>WorldCat Record</v>
      </c>
      <c r="AW3" s="2" t="s">
        <v>34</v>
      </c>
      <c r="AX3" s="2" t="s">
        <v>35</v>
      </c>
      <c r="AY3" s="2" t="s">
        <v>36</v>
      </c>
      <c r="AZ3" s="2" t="s">
        <v>36</v>
      </c>
      <c r="BA3" s="2" t="s">
        <v>37</v>
      </c>
      <c r="BB3" s="2" t="s">
        <v>21</v>
      </c>
      <c r="BD3" s="2" t="s">
        <v>38</v>
      </c>
      <c r="BE3" s="2" t="s">
        <v>39</v>
      </c>
      <c r="BF3" s="2" t="s">
        <v>40</v>
      </c>
    </row>
    <row r="4" spans="1:58" ht="41.25" customHeight="1" x14ac:dyDescent="0.25">
      <c r="A4" s="8" t="s">
        <v>5</v>
      </c>
      <c r="B4" s="1" t="s">
        <v>0</v>
      </c>
      <c r="C4" s="1" t="s">
        <v>1</v>
      </c>
      <c r="D4" s="1" t="s">
        <v>41</v>
      </c>
      <c r="E4" s="1" t="s">
        <v>42</v>
      </c>
      <c r="F4" s="1" t="s">
        <v>43</v>
      </c>
      <c r="H4" s="2" t="s">
        <v>5</v>
      </c>
      <c r="I4" s="2" t="s">
        <v>6</v>
      </c>
      <c r="J4" s="2" t="s">
        <v>16</v>
      </c>
      <c r="K4" s="2" t="s">
        <v>5</v>
      </c>
      <c r="L4" s="2" t="s">
        <v>7</v>
      </c>
      <c r="M4" s="1" t="s">
        <v>44</v>
      </c>
      <c r="N4" s="1" t="s">
        <v>45</v>
      </c>
      <c r="O4" s="2" t="s">
        <v>46</v>
      </c>
      <c r="Q4" s="2" t="s">
        <v>11</v>
      </c>
      <c r="R4" s="2" t="s">
        <v>47</v>
      </c>
      <c r="T4" s="2" t="s">
        <v>13</v>
      </c>
      <c r="U4" s="3">
        <v>1</v>
      </c>
      <c r="V4" s="3">
        <v>3</v>
      </c>
      <c r="X4" s="4" t="s">
        <v>48</v>
      </c>
      <c r="Y4" s="4" t="s">
        <v>49</v>
      </c>
      <c r="Z4" s="4" t="s">
        <v>50</v>
      </c>
      <c r="AA4" s="3">
        <v>423</v>
      </c>
      <c r="AB4" s="3">
        <v>380</v>
      </c>
      <c r="AC4" s="3">
        <v>399</v>
      </c>
      <c r="AD4" s="3">
        <v>7</v>
      </c>
      <c r="AE4" s="3">
        <v>7</v>
      </c>
      <c r="AF4" s="3">
        <v>19</v>
      </c>
      <c r="AG4" s="3">
        <v>19</v>
      </c>
      <c r="AH4" s="3">
        <v>5</v>
      </c>
      <c r="AI4" s="3">
        <v>5</v>
      </c>
      <c r="AJ4" s="3">
        <v>5</v>
      </c>
      <c r="AK4" s="3">
        <v>5</v>
      </c>
      <c r="AL4" s="3">
        <v>8</v>
      </c>
      <c r="AM4" s="3">
        <v>8</v>
      </c>
      <c r="AN4" s="3">
        <v>5</v>
      </c>
      <c r="AO4" s="3">
        <v>5</v>
      </c>
      <c r="AP4" s="3">
        <v>0</v>
      </c>
      <c r="AQ4" s="3">
        <v>0</v>
      </c>
      <c r="AR4" s="2" t="s">
        <v>16</v>
      </c>
      <c r="AS4" s="2" t="s">
        <v>5</v>
      </c>
      <c r="AT4" s="5" t="str">
        <f>HYPERLINK("http://catalog.hathitrust.org/Record/001574127","HathiTrust Record")</f>
        <v>HathiTrust Record</v>
      </c>
      <c r="AU4" s="5" t="str">
        <f>HYPERLINK("https://creighton-primo.hosted.exlibrisgroup.com/primo-explore/search?tab=default_tab&amp;search_scope=EVERYTHING&amp;vid=01CRU&amp;lang=en_US&amp;offset=0&amp;query=any,contains,991001780979702656","Catalog Record")</f>
        <v>Catalog Record</v>
      </c>
      <c r="AV4" s="5" t="str">
        <f>HYPERLINK("http://www.worldcat.org/oclc/642335","WorldCat Record")</f>
        <v>WorldCat Record</v>
      </c>
      <c r="AW4" s="2" t="s">
        <v>51</v>
      </c>
      <c r="AX4" s="2" t="s">
        <v>52</v>
      </c>
      <c r="AY4" s="2" t="s">
        <v>53</v>
      </c>
      <c r="AZ4" s="2" t="s">
        <v>53</v>
      </c>
      <c r="BA4" s="2" t="s">
        <v>54</v>
      </c>
      <c r="BB4" s="2" t="s">
        <v>21</v>
      </c>
      <c r="BE4" s="2" t="s">
        <v>55</v>
      </c>
      <c r="BF4" s="2" t="s">
        <v>56</v>
      </c>
    </row>
    <row r="5" spans="1:58" ht="41.25" customHeight="1" x14ac:dyDescent="0.25">
      <c r="A5" s="8" t="s">
        <v>5</v>
      </c>
      <c r="B5" s="1" t="s">
        <v>0</v>
      </c>
      <c r="C5" s="1" t="s">
        <v>1</v>
      </c>
      <c r="D5" s="1" t="s">
        <v>57</v>
      </c>
      <c r="E5" s="1" t="s">
        <v>58</v>
      </c>
      <c r="F5" s="1" t="s">
        <v>59</v>
      </c>
      <c r="H5" s="2" t="s">
        <v>5</v>
      </c>
      <c r="I5" s="2" t="s">
        <v>6</v>
      </c>
      <c r="J5" s="2" t="s">
        <v>5</v>
      </c>
      <c r="K5" s="2" t="s">
        <v>5</v>
      </c>
      <c r="L5" s="2" t="s">
        <v>7</v>
      </c>
      <c r="M5" s="1" t="s">
        <v>60</v>
      </c>
      <c r="N5" s="1" t="s">
        <v>61</v>
      </c>
      <c r="O5" s="2" t="s">
        <v>62</v>
      </c>
      <c r="P5" s="1" t="s">
        <v>63</v>
      </c>
      <c r="Q5" s="2" t="s">
        <v>11</v>
      </c>
      <c r="R5" s="2" t="s">
        <v>12</v>
      </c>
      <c r="T5" s="2" t="s">
        <v>13</v>
      </c>
      <c r="U5" s="3">
        <v>4</v>
      </c>
      <c r="V5" s="3">
        <v>4</v>
      </c>
      <c r="W5" s="4" t="s">
        <v>64</v>
      </c>
      <c r="X5" s="4" t="s">
        <v>64</v>
      </c>
      <c r="Y5" s="4" t="s">
        <v>49</v>
      </c>
      <c r="Z5" s="4" t="s">
        <v>49</v>
      </c>
      <c r="AA5" s="3">
        <v>459</v>
      </c>
      <c r="AB5" s="3">
        <v>369</v>
      </c>
      <c r="AC5" s="3">
        <v>380</v>
      </c>
      <c r="AD5" s="3">
        <v>4</v>
      </c>
      <c r="AE5" s="3">
        <v>4</v>
      </c>
      <c r="AF5" s="3">
        <v>10</v>
      </c>
      <c r="AG5" s="3">
        <v>11</v>
      </c>
      <c r="AH5" s="3">
        <v>5</v>
      </c>
      <c r="AI5" s="3">
        <v>6</v>
      </c>
      <c r="AJ5" s="3">
        <v>2</v>
      </c>
      <c r="AK5" s="3">
        <v>2</v>
      </c>
      <c r="AL5" s="3">
        <v>6</v>
      </c>
      <c r="AM5" s="3">
        <v>6</v>
      </c>
      <c r="AN5" s="3">
        <v>1</v>
      </c>
      <c r="AO5" s="3">
        <v>1</v>
      </c>
      <c r="AP5" s="3">
        <v>0</v>
      </c>
      <c r="AQ5" s="3">
        <v>0</v>
      </c>
      <c r="AR5" s="2" t="s">
        <v>5</v>
      </c>
      <c r="AS5" s="2" t="s">
        <v>5</v>
      </c>
      <c r="AU5" s="5" t="str">
        <f>HYPERLINK("https://creighton-primo.hosted.exlibrisgroup.com/primo-explore/search?tab=default_tab&amp;search_scope=EVERYTHING&amp;vid=01CRU&amp;lang=en_US&amp;offset=0&amp;query=any,contains,991001144289702656","Catalog Record")</f>
        <v>Catalog Record</v>
      </c>
      <c r="AV5" s="5" t="str">
        <f>HYPERLINK("http://www.worldcat.org/oclc/2225097","WorldCat Record")</f>
        <v>WorldCat Record</v>
      </c>
      <c r="AW5" s="2" t="s">
        <v>65</v>
      </c>
      <c r="AX5" s="2" t="s">
        <v>66</v>
      </c>
      <c r="AY5" s="2" t="s">
        <v>67</v>
      </c>
      <c r="AZ5" s="2" t="s">
        <v>67</v>
      </c>
      <c r="BA5" s="2" t="s">
        <v>68</v>
      </c>
      <c r="BB5" s="2" t="s">
        <v>21</v>
      </c>
      <c r="BD5" s="2" t="s">
        <v>69</v>
      </c>
      <c r="BE5" s="2" t="s">
        <v>70</v>
      </c>
      <c r="BF5" s="2" t="s">
        <v>71</v>
      </c>
    </row>
    <row r="6" spans="1:58" ht="41.25" customHeight="1" x14ac:dyDescent="0.25">
      <c r="A6" s="8" t="s">
        <v>5</v>
      </c>
      <c r="B6" s="1" t="s">
        <v>0</v>
      </c>
      <c r="C6" s="1" t="s">
        <v>1</v>
      </c>
      <c r="D6" s="1" t="s">
        <v>72</v>
      </c>
      <c r="E6" s="1" t="s">
        <v>73</v>
      </c>
      <c r="F6" s="1" t="s">
        <v>74</v>
      </c>
      <c r="H6" s="2" t="s">
        <v>5</v>
      </c>
      <c r="I6" s="2" t="s">
        <v>6</v>
      </c>
      <c r="J6" s="2" t="s">
        <v>5</v>
      </c>
      <c r="K6" s="2" t="s">
        <v>5</v>
      </c>
      <c r="L6" s="2" t="s">
        <v>7</v>
      </c>
      <c r="M6" s="1" t="s">
        <v>75</v>
      </c>
      <c r="N6" s="1" t="s">
        <v>76</v>
      </c>
      <c r="O6" s="2" t="s">
        <v>77</v>
      </c>
      <c r="Q6" s="2" t="s">
        <v>11</v>
      </c>
      <c r="R6" s="2" t="s">
        <v>78</v>
      </c>
      <c r="T6" s="2" t="s">
        <v>13</v>
      </c>
      <c r="U6" s="3">
        <v>21</v>
      </c>
      <c r="V6" s="3">
        <v>21</v>
      </c>
      <c r="W6" s="4" t="s">
        <v>79</v>
      </c>
      <c r="X6" s="4" t="s">
        <v>79</v>
      </c>
      <c r="Y6" s="4" t="s">
        <v>80</v>
      </c>
      <c r="Z6" s="4" t="s">
        <v>80</v>
      </c>
      <c r="AA6" s="3">
        <v>132</v>
      </c>
      <c r="AB6" s="3">
        <v>110</v>
      </c>
      <c r="AC6" s="3">
        <v>196</v>
      </c>
      <c r="AD6" s="3">
        <v>2</v>
      </c>
      <c r="AE6" s="3">
        <v>4</v>
      </c>
      <c r="AF6" s="3">
        <v>2</v>
      </c>
      <c r="AG6" s="3">
        <v>8</v>
      </c>
      <c r="AH6" s="3">
        <v>0</v>
      </c>
      <c r="AI6" s="3">
        <v>2</v>
      </c>
      <c r="AJ6" s="3">
        <v>0</v>
      </c>
      <c r="AK6" s="3">
        <v>0</v>
      </c>
      <c r="AL6" s="3">
        <v>2</v>
      </c>
      <c r="AM6" s="3">
        <v>5</v>
      </c>
      <c r="AN6" s="3">
        <v>0</v>
      </c>
      <c r="AO6" s="3">
        <v>2</v>
      </c>
      <c r="AP6" s="3">
        <v>0</v>
      </c>
      <c r="AQ6" s="3">
        <v>0</v>
      </c>
      <c r="AR6" s="2" t="s">
        <v>5</v>
      </c>
      <c r="AS6" s="2" t="s">
        <v>16</v>
      </c>
      <c r="AT6" s="5" t="str">
        <f>HYPERLINK("http://catalog.hathitrust.org/Record/001574228","HathiTrust Record")</f>
        <v>HathiTrust Record</v>
      </c>
      <c r="AU6" s="5" t="str">
        <f>HYPERLINK("https://creighton-primo.hosted.exlibrisgroup.com/primo-explore/search?tab=default_tab&amp;search_scope=EVERYTHING&amp;vid=01CRU&amp;lang=en_US&amp;offset=0&amp;query=any,contains,991000917979702656","Catalog Record")</f>
        <v>Catalog Record</v>
      </c>
      <c r="AV6" s="5" t="str">
        <f>HYPERLINK("http://www.worldcat.org/oclc/979","WorldCat Record")</f>
        <v>WorldCat Record</v>
      </c>
      <c r="AW6" s="2" t="s">
        <v>81</v>
      </c>
      <c r="AX6" s="2" t="s">
        <v>82</v>
      </c>
      <c r="AY6" s="2" t="s">
        <v>83</v>
      </c>
      <c r="AZ6" s="2" t="s">
        <v>83</v>
      </c>
      <c r="BA6" s="2" t="s">
        <v>84</v>
      </c>
      <c r="BB6" s="2" t="s">
        <v>21</v>
      </c>
      <c r="BE6" s="2" t="s">
        <v>85</v>
      </c>
      <c r="BF6" s="2" t="s">
        <v>86</v>
      </c>
    </row>
    <row r="7" spans="1:58" ht="41.25" customHeight="1" x14ac:dyDescent="0.25">
      <c r="A7" s="8" t="s">
        <v>5</v>
      </c>
      <c r="B7" s="1" t="s">
        <v>0</v>
      </c>
      <c r="C7" s="1" t="s">
        <v>1</v>
      </c>
      <c r="D7" s="1" t="s">
        <v>87</v>
      </c>
      <c r="E7" s="1" t="s">
        <v>88</v>
      </c>
      <c r="F7" s="1" t="s">
        <v>89</v>
      </c>
      <c r="H7" s="2" t="s">
        <v>5</v>
      </c>
      <c r="I7" s="2" t="s">
        <v>6</v>
      </c>
      <c r="J7" s="2" t="s">
        <v>5</v>
      </c>
      <c r="K7" s="2" t="s">
        <v>5</v>
      </c>
      <c r="L7" s="2" t="s">
        <v>7</v>
      </c>
      <c r="M7" s="1" t="s">
        <v>90</v>
      </c>
      <c r="N7" s="1" t="s">
        <v>91</v>
      </c>
      <c r="O7" s="2" t="s">
        <v>92</v>
      </c>
      <c r="Q7" s="2" t="s">
        <v>11</v>
      </c>
      <c r="R7" s="2" t="s">
        <v>93</v>
      </c>
      <c r="S7" s="1" t="s">
        <v>94</v>
      </c>
      <c r="T7" s="2" t="s">
        <v>13</v>
      </c>
      <c r="U7" s="3">
        <v>5</v>
      </c>
      <c r="V7" s="3">
        <v>5</v>
      </c>
      <c r="W7" s="4" t="s">
        <v>95</v>
      </c>
      <c r="X7" s="4" t="s">
        <v>95</v>
      </c>
      <c r="Y7" s="4" t="s">
        <v>96</v>
      </c>
      <c r="Z7" s="4" t="s">
        <v>96</v>
      </c>
      <c r="AA7" s="3">
        <v>60</v>
      </c>
      <c r="AB7" s="3">
        <v>58</v>
      </c>
      <c r="AC7" s="3">
        <v>158</v>
      </c>
      <c r="AD7" s="3">
        <v>2</v>
      </c>
      <c r="AE7" s="3">
        <v>3</v>
      </c>
      <c r="AF7" s="3">
        <v>7</v>
      </c>
      <c r="AG7" s="3">
        <v>9</v>
      </c>
      <c r="AH7" s="3">
        <v>2</v>
      </c>
      <c r="AI7" s="3">
        <v>3</v>
      </c>
      <c r="AJ7" s="3">
        <v>0</v>
      </c>
      <c r="AK7" s="3">
        <v>0</v>
      </c>
      <c r="AL7" s="3">
        <v>4</v>
      </c>
      <c r="AM7" s="3">
        <v>4</v>
      </c>
      <c r="AN7" s="3">
        <v>1</v>
      </c>
      <c r="AO7" s="3">
        <v>2</v>
      </c>
      <c r="AP7" s="3">
        <v>1</v>
      </c>
      <c r="AQ7" s="3">
        <v>1</v>
      </c>
      <c r="AR7" s="2" t="s">
        <v>5</v>
      </c>
      <c r="AS7" s="2" t="s">
        <v>5</v>
      </c>
      <c r="AU7" s="5" t="str">
        <f>HYPERLINK("https://creighton-primo.hosted.exlibrisgroup.com/primo-explore/search?tab=default_tab&amp;search_scope=EVERYTHING&amp;vid=01CRU&amp;lang=en_US&amp;offset=0&amp;query=any,contains,991001132109702656","Catalog Record")</f>
        <v>Catalog Record</v>
      </c>
      <c r="AV7" s="5" t="str">
        <f>HYPERLINK("http://www.worldcat.org/oclc/2588681","WorldCat Record")</f>
        <v>WorldCat Record</v>
      </c>
      <c r="AW7" s="2" t="s">
        <v>97</v>
      </c>
      <c r="AX7" s="2" t="s">
        <v>98</v>
      </c>
      <c r="AY7" s="2" t="s">
        <v>99</v>
      </c>
      <c r="AZ7" s="2" t="s">
        <v>99</v>
      </c>
      <c r="BA7" s="2" t="s">
        <v>100</v>
      </c>
      <c r="BB7" s="2" t="s">
        <v>21</v>
      </c>
      <c r="BE7" s="2" t="s">
        <v>101</v>
      </c>
      <c r="BF7" s="2" t="s">
        <v>102</v>
      </c>
    </row>
    <row r="8" spans="1:58" ht="41.25" customHeight="1" x14ac:dyDescent="0.25">
      <c r="A8" s="8" t="s">
        <v>5</v>
      </c>
      <c r="B8" s="1" t="s">
        <v>0</v>
      </c>
      <c r="C8" s="1" t="s">
        <v>1</v>
      </c>
      <c r="D8" s="1" t="s">
        <v>103</v>
      </c>
      <c r="E8" s="1" t="s">
        <v>104</v>
      </c>
      <c r="F8" s="1" t="s">
        <v>105</v>
      </c>
      <c r="H8" s="2" t="s">
        <v>5</v>
      </c>
      <c r="I8" s="2" t="s">
        <v>6</v>
      </c>
      <c r="J8" s="2" t="s">
        <v>5</v>
      </c>
      <c r="K8" s="2" t="s">
        <v>16</v>
      </c>
      <c r="L8" s="2" t="s">
        <v>7</v>
      </c>
      <c r="N8" s="1" t="s">
        <v>106</v>
      </c>
      <c r="O8" s="2" t="s">
        <v>107</v>
      </c>
      <c r="P8" s="1" t="s">
        <v>108</v>
      </c>
      <c r="Q8" s="2" t="s">
        <v>11</v>
      </c>
      <c r="R8" s="2" t="s">
        <v>31</v>
      </c>
      <c r="T8" s="2" t="s">
        <v>13</v>
      </c>
      <c r="U8" s="3">
        <v>19</v>
      </c>
      <c r="V8" s="3">
        <v>19</v>
      </c>
      <c r="W8" s="4" t="s">
        <v>109</v>
      </c>
      <c r="X8" s="4" t="s">
        <v>109</v>
      </c>
      <c r="Y8" s="4" t="s">
        <v>110</v>
      </c>
      <c r="Z8" s="4" t="s">
        <v>110</v>
      </c>
      <c r="AA8" s="3">
        <v>365</v>
      </c>
      <c r="AB8" s="3">
        <v>271</v>
      </c>
      <c r="AC8" s="3">
        <v>1666</v>
      </c>
      <c r="AD8" s="3">
        <v>3</v>
      </c>
      <c r="AE8" s="3">
        <v>15</v>
      </c>
      <c r="AF8" s="3">
        <v>6</v>
      </c>
      <c r="AG8" s="3">
        <v>45</v>
      </c>
      <c r="AH8" s="3">
        <v>1</v>
      </c>
      <c r="AI8" s="3">
        <v>16</v>
      </c>
      <c r="AJ8" s="3">
        <v>1</v>
      </c>
      <c r="AK8" s="3">
        <v>8</v>
      </c>
      <c r="AL8" s="3">
        <v>4</v>
      </c>
      <c r="AM8" s="3">
        <v>17</v>
      </c>
      <c r="AN8" s="3">
        <v>1</v>
      </c>
      <c r="AO8" s="3">
        <v>11</v>
      </c>
      <c r="AP8" s="3">
        <v>0</v>
      </c>
      <c r="AQ8" s="3">
        <v>0</v>
      </c>
      <c r="AR8" s="2" t="s">
        <v>5</v>
      </c>
      <c r="AS8" s="2" t="s">
        <v>16</v>
      </c>
      <c r="AT8" s="5" t="str">
        <f>HYPERLINK("http://catalog.hathitrust.org/Record/005070039","HathiTrust Record")</f>
        <v>HathiTrust Record</v>
      </c>
      <c r="AU8" s="5" t="str">
        <f>HYPERLINK("https://creighton-primo.hosted.exlibrisgroup.com/primo-explore/search?tab=default_tab&amp;search_scope=EVERYTHING&amp;vid=01CRU&amp;lang=en_US&amp;offset=0&amp;query=any,contains,991001735889702656","Catalog Record")</f>
        <v>Catalog Record</v>
      </c>
      <c r="AV8" s="5" t="str">
        <f>HYPERLINK("http://www.worldcat.org/oclc/61353823","WorldCat Record")</f>
        <v>WorldCat Record</v>
      </c>
      <c r="AW8" s="2" t="s">
        <v>111</v>
      </c>
      <c r="AX8" s="2" t="s">
        <v>112</v>
      </c>
      <c r="AY8" s="2" t="s">
        <v>113</v>
      </c>
      <c r="AZ8" s="2" t="s">
        <v>113</v>
      </c>
      <c r="BA8" s="2" t="s">
        <v>114</v>
      </c>
      <c r="BB8" s="2" t="s">
        <v>21</v>
      </c>
      <c r="BD8" s="2" t="s">
        <v>115</v>
      </c>
      <c r="BE8" s="2" t="s">
        <v>116</v>
      </c>
      <c r="BF8" s="2" t="s">
        <v>117</v>
      </c>
    </row>
    <row r="9" spans="1:58" ht="41.25" customHeight="1" x14ac:dyDescent="0.25">
      <c r="A9" s="8" t="s">
        <v>5</v>
      </c>
      <c r="B9" s="1" t="s">
        <v>0</v>
      </c>
      <c r="C9" s="1" t="s">
        <v>1</v>
      </c>
      <c r="D9" s="1" t="s">
        <v>118</v>
      </c>
      <c r="E9" s="1" t="s">
        <v>119</v>
      </c>
      <c r="F9" s="1" t="s">
        <v>120</v>
      </c>
      <c r="H9" s="2" t="s">
        <v>5</v>
      </c>
      <c r="I9" s="2" t="s">
        <v>6</v>
      </c>
      <c r="J9" s="2" t="s">
        <v>5</v>
      </c>
      <c r="K9" s="2" t="s">
        <v>5</v>
      </c>
      <c r="L9" s="2" t="s">
        <v>7</v>
      </c>
      <c r="N9" s="1" t="s">
        <v>121</v>
      </c>
      <c r="O9" s="2" t="s">
        <v>10</v>
      </c>
      <c r="Q9" s="2" t="s">
        <v>11</v>
      </c>
      <c r="R9" s="2" t="s">
        <v>12</v>
      </c>
      <c r="S9" s="1" t="s">
        <v>122</v>
      </c>
      <c r="T9" s="2" t="s">
        <v>13</v>
      </c>
      <c r="U9" s="3">
        <v>4</v>
      </c>
      <c r="V9" s="3">
        <v>4</v>
      </c>
      <c r="W9" s="4" t="s">
        <v>123</v>
      </c>
      <c r="X9" s="4" t="s">
        <v>123</v>
      </c>
      <c r="Y9" s="4" t="s">
        <v>124</v>
      </c>
      <c r="Z9" s="4" t="s">
        <v>124</v>
      </c>
      <c r="AA9" s="3">
        <v>209</v>
      </c>
      <c r="AB9" s="3">
        <v>189</v>
      </c>
      <c r="AC9" s="3">
        <v>192</v>
      </c>
      <c r="AD9" s="3">
        <v>2</v>
      </c>
      <c r="AE9" s="3">
        <v>2</v>
      </c>
      <c r="AF9" s="3">
        <v>7</v>
      </c>
      <c r="AG9" s="3">
        <v>7</v>
      </c>
      <c r="AH9" s="3">
        <v>2</v>
      </c>
      <c r="AI9" s="3">
        <v>2</v>
      </c>
      <c r="AJ9" s="3">
        <v>2</v>
      </c>
      <c r="AK9" s="3">
        <v>2</v>
      </c>
      <c r="AL9" s="3">
        <v>4</v>
      </c>
      <c r="AM9" s="3">
        <v>4</v>
      </c>
      <c r="AN9" s="3">
        <v>1</v>
      </c>
      <c r="AO9" s="3">
        <v>1</v>
      </c>
      <c r="AP9" s="3">
        <v>0</v>
      </c>
      <c r="AQ9" s="3">
        <v>0</v>
      </c>
      <c r="AR9" s="2" t="s">
        <v>5</v>
      </c>
      <c r="AS9" s="2" t="s">
        <v>16</v>
      </c>
      <c r="AT9" s="5" t="str">
        <f>HYPERLINK("http://catalog.hathitrust.org/Record/000084224","HathiTrust Record")</f>
        <v>HathiTrust Record</v>
      </c>
      <c r="AU9" s="5" t="str">
        <f>HYPERLINK("https://creighton-primo.hosted.exlibrisgroup.com/primo-explore/search?tab=default_tab&amp;search_scope=EVERYTHING&amp;vid=01CRU&amp;lang=en_US&amp;offset=0&amp;query=any,contains,991000741759702656","Catalog Record")</f>
        <v>Catalog Record</v>
      </c>
      <c r="AV9" s="5" t="str">
        <f>HYPERLINK("http://www.worldcat.org/oclc/2523435","WorldCat Record")</f>
        <v>WorldCat Record</v>
      </c>
      <c r="AW9" s="2" t="s">
        <v>125</v>
      </c>
      <c r="AX9" s="2" t="s">
        <v>126</v>
      </c>
      <c r="AY9" s="2" t="s">
        <v>127</v>
      </c>
      <c r="AZ9" s="2" t="s">
        <v>127</v>
      </c>
      <c r="BA9" s="2" t="s">
        <v>128</v>
      </c>
      <c r="BB9" s="2" t="s">
        <v>21</v>
      </c>
      <c r="BD9" s="2" t="s">
        <v>129</v>
      </c>
      <c r="BE9" s="2" t="s">
        <v>130</v>
      </c>
      <c r="BF9" s="2" t="s">
        <v>131</v>
      </c>
    </row>
    <row r="10" spans="1:58" ht="41.25" customHeight="1" x14ac:dyDescent="0.25">
      <c r="A10" s="8" t="s">
        <v>5</v>
      </c>
      <c r="B10" s="1" t="s">
        <v>0</v>
      </c>
      <c r="C10" s="1" t="s">
        <v>1</v>
      </c>
      <c r="D10" s="1" t="s">
        <v>132</v>
      </c>
      <c r="E10" s="1" t="s">
        <v>133</v>
      </c>
      <c r="F10" s="1" t="s">
        <v>134</v>
      </c>
      <c r="H10" s="2" t="s">
        <v>5</v>
      </c>
      <c r="I10" s="2" t="s">
        <v>6</v>
      </c>
      <c r="J10" s="2" t="s">
        <v>16</v>
      </c>
      <c r="K10" s="2" t="s">
        <v>5</v>
      </c>
      <c r="L10" s="2" t="s">
        <v>7</v>
      </c>
      <c r="N10" s="1" t="s">
        <v>135</v>
      </c>
      <c r="O10" s="2" t="s">
        <v>136</v>
      </c>
      <c r="Q10" s="2" t="s">
        <v>11</v>
      </c>
      <c r="R10" s="2" t="s">
        <v>12</v>
      </c>
      <c r="T10" s="2" t="s">
        <v>13</v>
      </c>
      <c r="U10" s="3">
        <v>0</v>
      </c>
      <c r="V10" s="3">
        <v>1</v>
      </c>
      <c r="X10" s="4" t="s">
        <v>137</v>
      </c>
      <c r="Y10" s="4" t="s">
        <v>138</v>
      </c>
      <c r="Z10" s="4" t="s">
        <v>138</v>
      </c>
      <c r="AA10" s="3">
        <v>359</v>
      </c>
      <c r="AB10" s="3">
        <v>327</v>
      </c>
      <c r="AC10" s="3">
        <v>329</v>
      </c>
      <c r="AD10" s="3">
        <v>4</v>
      </c>
      <c r="AE10" s="3">
        <v>4</v>
      </c>
      <c r="AF10" s="3">
        <v>19</v>
      </c>
      <c r="AG10" s="3">
        <v>19</v>
      </c>
      <c r="AH10" s="3">
        <v>8</v>
      </c>
      <c r="AI10" s="3">
        <v>8</v>
      </c>
      <c r="AJ10" s="3">
        <v>5</v>
      </c>
      <c r="AK10" s="3">
        <v>5</v>
      </c>
      <c r="AL10" s="3">
        <v>9</v>
      </c>
      <c r="AM10" s="3">
        <v>9</v>
      </c>
      <c r="AN10" s="3">
        <v>2</v>
      </c>
      <c r="AO10" s="3">
        <v>2</v>
      </c>
      <c r="AP10" s="3">
        <v>0</v>
      </c>
      <c r="AQ10" s="3">
        <v>0</v>
      </c>
      <c r="AR10" s="2" t="s">
        <v>5</v>
      </c>
      <c r="AS10" s="2" t="s">
        <v>16</v>
      </c>
      <c r="AT10" s="5" t="str">
        <f>HYPERLINK("http://catalog.hathitrust.org/Record/002698280","HathiTrust Record")</f>
        <v>HathiTrust Record</v>
      </c>
      <c r="AU10" s="5" t="str">
        <f>HYPERLINK("https://creighton-primo.hosted.exlibrisgroup.com/primo-explore/search?tab=default_tab&amp;search_scope=EVERYTHING&amp;vid=01CRU&amp;lang=en_US&amp;offset=0&amp;query=any,contains,991001688099702656","Catalog Record")</f>
        <v>Catalog Record</v>
      </c>
      <c r="AV10" s="5" t="str">
        <f>HYPERLINK("http://www.worldcat.org/oclc/24881276","WorldCat Record")</f>
        <v>WorldCat Record</v>
      </c>
      <c r="AW10" s="2" t="s">
        <v>139</v>
      </c>
      <c r="AX10" s="2" t="s">
        <v>140</v>
      </c>
      <c r="AY10" s="2" t="s">
        <v>141</v>
      </c>
      <c r="AZ10" s="2" t="s">
        <v>141</v>
      </c>
      <c r="BA10" s="2" t="s">
        <v>142</v>
      </c>
      <c r="BB10" s="2" t="s">
        <v>21</v>
      </c>
      <c r="BD10" s="2" t="s">
        <v>143</v>
      </c>
      <c r="BE10" s="2" t="s">
        <v>144</v>
      </c>
      <c r="BF10" s="2" t="s">
        <v>145</v>
      </c>
    </row>
    <row r="11" spans="1:58" ht="41.25" customHeight="1" x14ac:dyDescent="0.25">
      <c r="A11" s="8" t="s">
        <v>5</v>
      </c>
      <c r="B11" s="1" t="s">
        <v>0</v>
      </c>
      <c r="C11" s="1" t="s">
        <v>1</v>
      </c>
      <c r="D11" s="1" t="s">
        <v>146</v>
      </c>
      <c r="E11" s="1" t="s">
        <v>147</v>
      </c>
      <c r="F11" s="1" t="s">
        <v>148</v>
      </c>
      <c r="H11" s="2" t="s">
        <v>5</v>
      </c>
      <c r="I11" s="2" t="s">
        <v>6</v>
      </c>
      <c r="J11" s="2" t="s">
        <v>16</v>
      </c>
      <c r="K11" s="2" t="s">
        <v>5</v>
      </c>
      <c r="L11" s="2" t="s">
        <v>7</v>
      </c>
      <c r="M11" s="1" t="s">
        <v>149</v>
      </c>
      <c r="N11" s="1" t="s">
        <v>150</v>
      </c>
      <c r="O11" s="2" t="s">
        <v>151</v>
      </c>
      <c r="Q11" s="2" t="s">
        <v>11</v>
      </c>
      <c r="R11" s="2" t="s">
        <v>12</v>
      </c>
      <c r="T11" s="2" t="s">
        <v>13</v>
      </c>
      <c r="U11" s="3">
        <v>1</v>
      </c>
      <c r="V11" s="3">
        <v>5</v>
      </c>
      <c r="W11" s="4" t="s">
        <v>152</v>
      </c>
      <c r="X11" s="4" t="s">
        <v>153</v>
      </c>
      <c r="Y11" s="4" t="s">
        <v>80</v>
      </c>
      <c r="Z11" s="4" t="s">
        <v>50</v>
      </c>
      <c r="AA11" s="3">
        <v>184</v>
      </c>
      <c r="AB11" s="3">
        <v>154</v>
      </c>
      <c r="AC11" s="3">
        <v>156</v>
      </c>
      <c r="AD11" s="3">
        <v>4</v>
      </c>
      <c r="AE11" s="3">
        <v>4</v>
      </c>
      <c r="AF11" s="3">
        <v>9</v>
      </c>
      <c r="AG11" s="3">
        <v>9</v>
      </c>
      <c r="AH11" s="3">
        <v>0</v>
      </c>
      <c r="AI11" s="3">
        <v>0</v>
      </c>
      <c r="AJ11" s="3">
        <v>2</v>
      </c>
      <c r="AK11" s="3">
        <v>2</v>
      </c>
      <c r="AL11" s="3">
        <v>6</v>
      </c>
      <c r="AM11" s="3">
        <v>6</v>
      </c>
      <c r="AN11" s="3">
        <v>2</v>
      </c>
      <c r="AO11" s="3">
        <v>2</v>
      </c>
      <c r="AP11" s="3">
        <v>0</v>
      </c>
      <c r="AQ11" s="3">
        <v>0</v>
      </c>
      <c r="AR11" s="2" t="s">
        <v>5</v>
      </c>
      <c r="AS11" s="2" t="s">
        <v>16</v>
      </c>
      <c r="AT11" s="5" t="str">
        <f>HYPERLINK("http://catalog.hathitrust.org/Record/001574485","HathiTrust Record")</f>
        <v>HathiTrust Record</v>
      </c>
      <c r="AU11" s="5" t="str">
        <f>HYPERLINK("https://creighton-primo.hosted.exlibrisgroup.com/primo-explore/search?tab=default_tab&amp;search_scope=EVERYTHING&amp;vid=01CRU&amp;lang=en_US&amp;offset=0&amp;query=any,contains,991001787719702656","Catalog Record")</f>
        <v>Catalog Record</v>
      </c>
      <c r="AV11" s="5" t="str">
        <f>HYPERLINK("http://www.worldcat.org/oclc/947955","WorldCat Record")</f>
        <v>WorldCat Record</v>
      </c>
      <c r="AW11" s="2" t="s">
        <v>154</v>
      </c>
      <c r="AX11" s="2" t="s">
        <v>155</v>
      </c>
      <c r="AY11" s="2" t="s">
        <v>156</v>
      </c>
      <c r="AZ11" s="2" t="s">
        <v>156</v>
      </c>
      <c r="BA11" s="2" t="s">
        <v>157</v>
      </c>
      <c r="BB11" s="2" t="s">
        <v>21</v>
      </c>
      <c r="BD11" s="2" t="s">
        <v>158</v>
      </c>
      <c r="BE11" s="2" t="s">
        <v>159</v>
      </c>
      <c r="BF11" s="2" t="s">
        <v>160</v>
      </c>
    </row>
    <row r="12" spans="1:58" ht="41.25" customHeight="1" x14ac:dyDescent="0.25">
      <c r="A12" s="8" t="s">
        <v>5</v>
      </c>
      <c r="B12" s="1" t="s">
        <v>0</v>
      </c>
      <c r="C12" s="1" t="s">
        <v>1</v>
      </c>
      <c r="D12" s="1" t="s">
        <v>161</v>
      </c>
      <c r="E12" s="1" t="s">
        <v>162</v>
      </c>
      <c r="F12" s="1" t="s">
        <v>163</v>
      </c>
      <c r="H12" s="2" t="s">
        <v>5</v>
      </c>
      <c r="I12" s="2" t="s">
        <v>6</v>
      </c>
      <c r="J12" s="2" t="s">
        <v>16</v>
      </c>
      <c r="K12" s="2" t="s">
        <v>5</v>
      </c>
      <c r="L12" s="2" t="s">
        <v>7</v>
      </c>
      <c r="M12" s="1" t="s">
        <v>164</v>
      </c>
      <c r="N12" s="1" t="s">
        <v>165</v>
      </c>
      <c r="O12" s="2" t="s">
        <v>10</v>
      </c>
      <c r="Q12" s="2" t="s">
        <v>11</v>
      </c>
      <c r="R12" s="2" t="s">
        <v>12</v>
      </c>
      <c r="S12" s="1" t="s">
        <v>166</v>
      </c>
      <c r="T12" s="2" t="s">
        <v>13</v>
      </c>
      <c r="U12" s="3">
        <v>3</v>
      </c>
      <c r="V12" s="3">
        <v>3</v>
      </c>
      <c r="W12" s="4" t="s">
        <v>167</v>
      </c>
      <c r="X12" s="4" t="s">
        <v>167</v>
      </c>
      <c r="Y12" s="4" t="s">
        <v>168</v>
      </c>
      <c r="Z12" s="4" t="s">
        <v>169</v>
      </c>
      <c r="AA12" s="3">
        <v>251</v>
      </c>
      <c r="AB12" s="3">
        <v>207</v>
      </c>
      <c r="AC12" s="3">
        <v>215</v>
      </c>
      <c r="AD12" s="3">
        <v>3</v>
      </c>
      <c r="AE12" s="3">
        <v>3</v>
      </c>
      <c r="AF12" s="3">
        <v>7</v>
      </c>
      <c r="AG12" s="3">
        <v>7</v>
      </c>
      <c r="AH12" s="3">
        <v>3</v>
      </c>
      <c r="AI12" s="3">
        <v>3</v>
      </c>
      <c r="AJ12" s="3">
        <v>1</v>
      </c>
      <c r="AK12" s="3">
        <v>1</v>
      </c>
      <c r="AL12" s="3">
        <v>3</v>
      </c>
      <c r="AM12" s="3">
        <v>3</v>
      </c>
      <c r="AN12" s="3">
        <v>1</v>
      </c>
      <c r="AO12" s="3">
        <v>1</v>
      </c>
      <c r="AP12" s="3">
        <v>0</v>
      </c>
      <c r="AQ12" s="3">
        <v>0</v>
      </c>
      <c r="AR12" s="2" t="s">
        <v>5</v>
      </c>
      <c r="AS12" s="2" t="s">
        <v>16</v>
      </c>
      <c r="AT12" s="5" t="str">
        <f>HYPERLINK("http://catalog.hathitrust.org/Record/000251218","HathiTrust Record")</f>
        <v>HathiTrust Record</v>
      </c>
      <c r="AU12" s="5" t="str">
        <f>HYPERLINK("https://creighton-primo.hosted.exlibrisgroup.com/primo-explore/search?tab=default_tab&amp;search_scope=EVERYTHING&amp;vid=01CRU&amp;lang=en_US&amp;offset=0&amp;query=any,contains,991001780999702656","Catalog Record")</f>
        <v>Catalog Record</v>
      </c>
      <c r="AV12" s="5" t="str">
        <f>HYPERLINK("http://www.worldcat.org/oclc/3002501","WorldCat Record")</f>
        <v>WorldCat Record</v>
      </c>
      <c r="AW12" s="2" t="s">
        <v>170</v>
      </c>
      <c r="AX12" s="2" t="s">
        <v>171</v>
      </c>
      <c r="AY12" s="2" t="s">
        <v>172</v>
      </c>
      <c r="AZ12" s="2" t="s">
        <v>172</v>
      </c>
      <c r="BA12" s="2" t="s">
        <v>173</v>
      </c>
      <c r="BB12" s="2" t="s">
        <v>21</v>
      </c>
      <c r="BD12" s="2" t="s">
        <v>174</v>
      </c>
      <c r="BE12" s="2" t="s">
        <v>175</v>
      </c>
      <c r="BF12" s="2" t="s">
        <v>176</v>
      </c>
    </row>
    <row r="13" spans="1:58" ht="41.25" customHeight="1" x14ac:dyDescent="0.25">
      <c r="A13" s="8" t="s">
        <v>5</v>
      </c>
      <c r="B13" s="1" t="s">
        <v>0</v>
      </c>
      <c r="C13" s="1" t="s">
        <v>1</v>
      </c>
      <c r="D13" s="1" t="s">
        <v>177</v>
      </c>
      <c r="E13" s="1" t="s">
        <v>178</v>
      </c>
      <c r="F13" s="1" t="s">
        <v>179</v>
      </c>
      <c r="H13" s="2" t="s">
        <v>5</v>
      </c>
      <c r="I13" s="2" t="s">
        <v>6</v>
      </c>
      <c r="J13" s="2" t="s">
        <v>5</v>
      </c>
      <c r="K13" s="2" t="s">
        <v>5</v>
      </c>
      <c r="L13" s="2" t="s">
        <v>7</v>
      </c>
      <c r="M13" s="1" t="s">
        <v>180</v>
      </c>
      <c r="N13" s="1" t="s">
        <v>181</v>
      </c>
      <c r="O13" s="2" t="s">
        <v>77</v>
      </c>
      <c r="Q13" s="2" t="s">
        <v>11</v>
      </c>
      <c r="R13" s="2" t="s">
        <v>12</v>
      </c>
      <c r="T13" s="2" t="s">
        <v>13</v>
      </c>
      <c r="U13" s="3">
        <v>2</v>
      </c>
      <c r="V13" s="3">
        <v>2</v>
      </c>
      <c r="W13" s="4" t="s">
        <v>182</v>
      </c>
      <c r="X13" s="4" t="s">
        <v>182</v>
      </c>
      <c r="Y13" s="4" t="s">
        <v>183</v>
      </c>
      <c r="Z13" s="4" t="s">
        <v>183</v>
      </c>
      <c r="AA13" s="3">
        <v>173</v>
      </c>
      <c r="AB13" s="3">
        <v>132</v>
      </c>
      <c r="AC13" s="3">
        <v>134</v>
      </c>
      <c r="AD13" s="3">
        <v>2</v>
      </c>
      <c r="AE13" s="3">
        <v>2</v>
      </c>
      <c r="AF13" s="3">
        <v>2</v>
      </c>
      <c r="AG13" s="3">
        <v>2</v>
      </c>
      <c r="AH13" s="3">
        <v>0</v>
      </c>
      <c r="AI13" s="3">
        <v>0</v>
      </c>
      <c r="AJ13" s="3">
        <v>1</v>
      </c>
      <c r="AK13" s="3">
        <v>1</v>
      </c>
      <c r="AL13" s="3">
        <v>1</v>
      </c>
      <c r="AM13" s="3">
        <v>1</v>
      </c>
      <c r="AN13" s="3">
        <v>0</v>
      </c>
      <c r="AO13" s="3">
        <v>0</v>
      </c>
      <c r="AP13" s="3">
        <v>0</v>
      </c>
      <c r="AQ13" s="3">
        <v>0</v>
      </c>
      <c r="AR13" s="2" t="s">
        <v>5</v>
      </c>
      <c r="AS13" s="2" t="s">
        <v>16</v>
      </c>
      <c r="AT13" s="5" t="str">
        <f>HYPERLINK("http://catalog.hathitrust.org/Record/001574626","HathiTrust Record")</f>
        <v>HathiTrust Record</v>
      </c>
      <c r="AU13" s="5" t="str">
        <f>HYPERLINK("https://creighton-primo.hosted.exlibrisgroup.com/primo-explore/search?tab=default_tab&amp;search_scope=EVERYTHING&amp;vid=01CRU&amp;lang=en_US&amp;offset=0&amp;query=any,contains,991001045869702656","Catalog Record")</f>
        <v>Catalog Record</v>
      </c>
      <c r="AV13" s="5" t="str">
        <f>HYPERLINK("http://www.worldcat.org/oclc/17400","WorldCat Record")</f>
        <v>WorldCat Record</v>
      </c>
      <c r="AW13" s="2" t="s">
        <v>184</v>
      </c>
      <c r="AX13" s="2" t="s">
        <v>185</v>
      </c>
      <c r="AY13" s="2" t="s">
        <v>186</v>
      </c>
      <c r="AZ13" s="2" t="s">
        <v>186</v>
      </c>
      <c r="BA13" s="2" t="s">
        <v>187</v>
      </c>
      <c r="BB13" s="2" t="s">
        <v>21</v>
      </c>
      <c r="BE13" s="2" t="s">
        <v>188</v>
      </c>
      <c r="BF13" s="2" t="s">
        <v>189</v>
      </c>
    </row>
    <row r="14" spans="1:58" ht="41.25" customHeight="1" x14ac:dyDescent="0.25">
      <c r="A14" s="8" t="s">
        <v>5</v>
      </c>
      <c r="B14" s="1" t="s">
        <v>0</v>
      </c>
      <c r="C14" s="1" t="s">
        <v>1</v>
      </c>
      <c r="D14" s="1" t="s">
        <v>190</v>
      </c>
      <c r="E14" s="1" t="s">
        <v>191</v>
      </c>
      <c r="F14" s="1" t="s">
        <v>192</v>
      </c>
      <c r="H14" s="2" t="s">
        <v>5</v>
      </c>
      <c r="I14" s="2" t="s">
        <v>6</v>
      </c>
      <c r="J14" s="2" t="s">
        <v>5</v>
      </c>
      <c r="K14" s="2" t="s">
        <v>5</v>
      </c>
      <c r="L14" s="2" t="s">
        <v>7</v>
      </c>
      <c r="M14" s="1" t="s">
        <v>193</v>
      </c>
      <c r="N14" s="1" t="s">
        <v>194</v>
      </c>
      <c r="O14" s="2" t="s">
        <v>92</v>
      </c>
      <c r="Q14" s="2" t="s">
        <v>11</v>
      </c>
      <c r="R14" s="2" t="s">
        <v>12</v>
      </c>
      <c r="S14" s="1" t="s">
        <v>195</v>
      </c>
      <c r="T14" s="2" t="s">
        <v>13</v>
      </c>
      <c r="U14" s="3">
        <v>4</v>
      </c>
      <c r="V14" s="3">
        <v>4</v>
      </c>
      <c r="W14" s="4" t="s">
        <v>196</v>
      </c>
      <c r="X14" s="4" t="s">
        <v>196</v>
      </c>
      <c r="Y14" s="4" t="s">
        <v>197</v>
      </c>
      <c r="Z14" s="4" t="s">
        <v>197</v>
      </c>
      <c r="AA14" s="3">
        <v>528</v>
      </c>
      <c r="AB14" s="3">
        <v>466</v>
      </c>
      <c r="AC14" s="3">
        <v>467</v>
      </c>
      <c r="AD14" s="3">
        <v>6</v>
      </c>
      <c r="AE14" s="3">
        <v>6</v>
      </c>
      <c r="AF14" s="3">
        <v>23</v>
      </c>
      <c r="AG14" s="3">
        <v>23</v>
      </c>
      <c r="AH14" s="3">
        <v>10</v>
      </c>
      <c r="AI14" s="3">
        <v>10</v>
      </c>
      <c r="AJ14" s="3">
        <v>2</v>
      </c>
      <c r="AK14" s="3">
        <v>2</v>
      </c>
      <c r="AL14" s="3">
        <v>12</v>
      </c>
      <c r="AM14" s="3">
        <v>12</v>
      </c>
      <c r="AN14" s="3">
        <v>4</v>
      </c>
      <c r="AO14" s="3">
        <v>4</v>
      </c>
      <c r="AP14" s="3">
        <v>0</v>
      </c>
      <c r="AQ14" s="3">
        <v>0</v>
      </c>
      <c r="AR14" s="2" t="s">
        <v>5</v>
      </c>
      <c r="AS14" s="2" t="s">
        <v>5</v>
      </c>
      <c r="AU14" s="5" t="str">
        <f>HYPERLINK("https://creighton-primo.hosted.exlibrisgroup.com/primo-explore/search?tab=default_tab&amp;search_scope=EVERYTHING&amp;vid=01CRU&amp;lang=en_US&amp;offset=0&amp;query=any,contains,991001084189702656","Catalog Record")</f>
        <v>Catalog Record</v>
      </c>
      <c r="AV14" s="5" t="str">
        <f>HYPERLINK("http://www.worldcat.org/oclc/2119421","WorldCat Record")</f>
        <v>WorldCat Record</v>
      </c>
      <c r="AW14" s="2" t="s">
        <v>198</v>
      </c>
      <c r="AX14" s="2" t="s">
        <v>199</v>
      </c>
      <c r="AY14" s="2" t="s">
        <v>200</v>
      </c>
      <c r="AZ14" s="2" t="s">
        <v>200</v>
      </c>
      <c r="BA14" s="2" t="s">
        <v>201</v>
      </c>
      <c r="BB14" s="2" t="s">
        <v>21</v>
      </c>
      <c r="BD14" s="2" t="s">
        <v>202</v>
      </c>
      <c r="BE14" s="2" t="s">
        <v>203</v>
      </c>
      <c r="BF14" s="2" t="s">
        <v>204</v>
      </c>
    </row>
    <row r="15" spans="1:58" ht="41.25" customHeight="1" x14ac:dyDescent="0.25">
      <c r="A15" s="8" t="s">
        <v>5</v>
      </c>
      <c r="B15" s="1" t="s">
        <v>0</v>
      </c>
      <c r="C15" s="1" t="s">
        <v>1</v>
      </c>
      <c r="D15" s="1" t="s">
        <v>205</v>
      </c>
      <c r="E15" s="1" t="s">
        <v>206</v>
      </c>
      <c r="F15" s="1" t="s">
        <v>207</v>
      </c>
      <c r="H15" s="2" t="s">
        <v>5</v>
      </c>
      <c r="I15" s="2" t="s">
        <v>6</v>
      </c>
      <c r="J15" s="2" t="s">
        <v>16</v>
      </c>
      <c r="K15" s="2" t="s">
        <v>5</v>
      </c>
      <c r="L15" s="2" t="s">
        <v>7</v>
      </c>
      <c r="M15" s="1" t="s">
        <v>208</v>
      </c>
      <c r="N15" s="1" t="s">
        <v>209</v>
      </c>
      <c r="O15" s="2" t="s">
        <v>210</v>
      </c>
      <c r="P15" s="1" t="s">
        <v>211</v>
      </c>
      <c r="Q15" s="2" t="s">
        <v>11</v>
      </c>
      <c r="R15" s="2" t="s">
        <v>212</v>
      </c>
      <c r="S15" s="1" t="s">
        <v>213</v>
      </c>
      <c r="T15" s="2" t="s">
        <v>13</v>
      </c>
      <c r="U15" s="3">
        <v>11</v>
      </c>
      <c r="V15" s="3">
        <v>12</v>
      </c>
      <c r="W15" s="4" t="s">
        <v>214</v>
      </c>
      <c r="X15" s="4" t="s">
        <v>214</v>
      </c>
      <c r="Y15" s="4" t="s">
        <v>215</v>
      </c>
      <c r="Z15" s="4" t="s">
        <v>216</v>
      </c>
      <c r="AA15" s="3">
        <v>133</v>
      </c>
      <c r="AB15" s="3">
        <v>109</v>
      </c>
      <c r="AC15" s="3">
        <v>214</v>
      </c>
      <c r="AD15" s="3">
        <v>2</v>
      </c>
      <c r="AE15" s="3">
        <v>3</v>
      </c>
      <c r="AF15" s="3">
        <v>5</v>
      </c>
      <c r="AG15" s="3">
        <v>9</v>
      </c>
      <c r="AH15" s="3">
        <v>1</v>
      </c>
      <c r="AI15" s="3">
        <v>1</v>
      </c>
      <c r="AJ15" s="3">
        <v>1</v>
      </c>
      <c r="AK15" s="3">
        <v>2</v>
      </c>
      <c r="AL15" s="3">
        <v>4</v>
      </c>
      <c r="AM15" s="3">
        <v>6</v>
      </c>
      <c r="AN15" s="3">
        <v>0</v>
      </c>
      <c r="AO15" s="3">
        <v>1</v>
      </c>
      <c r="AP15" s="3">
        <v>0</v>
      </c>
      <c r="AQ15" s="3">
        <v>0</v>
      </c>
      <c r="AR15" s="2" t="s">
        <v>5</v>
      </c>
      <c r="AS15" s="2" t="s">
        <v>16</v>
      </c>
      <c r="AT15" s="5" t="str">
        <f>HYPERLINK("http://catalog.hathitrust.org/Record/002860159","HathiTrust Record")</f>
        <v>HathiTrust Record</v>
      </c>
      <c r="AU15" s="5" t="str">
        <f>HYPERLINK("https://creighton-primo.hosted.exlibrisgroup.com/primo-explore/search?tab=default_tab&amp;search_scope=EVERYTHING&amp;vid=01CRU&amp;lang=en_US&amp;offset=0&amp;query=any,contains,991001802669702656","Catalog Record")</f>
        <v>Catalog Record</v>
      </c>
      <c r="AV15" s="5" t="str">
        <f>HYPERLINK("http://www.worldcat.org/oclc/27214579","WorldCat Record")</f>
        <v>WorldCat Record</v>
      </c>
      <c r="AW15" s="2" t="s">
        <v>217</v>
      </c>
      <c r="AX15" s="2" t="s">
        <v>218</v>
      </c>
      <c r="AY15" s="2" t="s">
        <v>219</v>
      </c>
      <c r="AZ15" s="2" t="s">
        <v>219</v>
      </c>
      <c r="BA15" s="2" t="s">
        <v>220</v>
      </c>
      <c r="BB15" s="2" t="s">
        <v>21</v>
      </c>
      <c r="BE15" s="2" t="s">
        <v>221</v>
      </c>
      <c r="BF15" s="2" t="s">
        <v>222</v>
      </c>
    </row>
    <row r="16" spans="1:58" ht="41.25" customHeight="1" x14ac:dyDescent="0.25">
      <c r="A16" s="8" t="s">
        <v>5</v>
      </c>
      <c r="B16" s="1" t="s">
        <v>0</v>
      </c>
      <c r="C16" s="1" t="s">
        <v>1</v>
      </c>
      <c r="D16" s="1" t="s">
        <v>223</v>
      </c>
      <c r="E16" s="1" t="s">
        <v>224</v>
      </c>
      <c r="F16" s="1" t="s">
        <v>225</v>
      </c>
      <c r="H16" s="2" t="s">
        <v>5</v>
      </c>
      <c r="I16" s="2" t="s">
        <v>6</v>
      </c>
      <c r="J16" s="2" t="s">
        <v>16</v>
      </c>
      <c r="K16" s="2" t="s">
        <v>5</v>
      </c>
      <c r="L16" s="2" t="s">
        <v>7</v>
      </c>
      <c r="M16" s="1" t="s">
        <v>226</v>
      </c>
      <c r="N16" s="1" t="s">
        <v>227</v>
      </c>
      <c r="O16" s="2" t="s">
        <v>228</v>
      </c>
      <c r="Q16" s="2" t="s">
        <v>11</v>
      </c>
      <c r="R16" s="2" t="s">
        <v>229</v>
      </c>
      <c r="S16" s="1" t="s">
        <v>230</v>
      </c>
      <c r="T16" s="2" t="s">
        <v>13</v>
      </c>
      <c r="U16" s="3">
        <v>3</v>
      </c>
      <c r="V16" s="3">
        <v>3</v>
      </c>
      <c r="W16" s="4" t="s">
        <v>231</v>
      </c>
      <c r="X16" s="4" t="s">
        <v>231</v>
      </c>
      <c r="Y16" s="4" t="s">
        <v>96</v>
      </c>
      <c r="Z16" s="4" t="s">
        <v>50</v>
      </c>
      <c r="AA16" s="3">
        <v>365</v>
      </c>
      <c r="AB16" s="3">
        <v>323</v>
      </c>
      <c r="AC16" s="3">
        <v>331</v>
      </c>
      <c r="AD16" s="3">
        <v>2</v>
      </c>
      <c r="AE16" s="3">
        <v>2</v>
      </c>
      <c r="AF16" s="3">
        <v>18</v>
      </c>
      <c r="AG16" s="3">
        <v>18</v>
      </c>
      <c r="AH16" s="3">
        <v>7</v>
      </c>
      <c r="AI16" s="3">
        <v>7</v>
      </c>
      <c r="AJ16" s="3">
        <v>4</v>
      </c>
      <c r="AK16" s="3">
        <v>4</v>
      </c>
      <c r="AL16" s="3">
        <v>12</v>
      </c>
      <c r="AM16" s="3">
        <v>12</v>
      </c>
      <c r="AN16" s="3">
        <v>0</v>
      </c>
      <c r="AO16" s="3">
        <v>0</v>
      </c>
      <c r="AP16" s="3">
        <v>0</v>
      </c>
      <c r="AQ16" s="3">
        <v>0</v>
      </c>
      <c r="AR16" s="2" t="s">
        <v>5</v>
      </c>
      <c r="AS16" s="2" t="s">
        <v>16</v>
      </c>
      <c r="AT16" s="5" t="str">
        <f>HYPERLINK("http://catalog.hathitrust.org/Record/000276537","HathiTrust Record")</f>
        <v>HathiTrust Record</v>
      </c>
      <c r="AU16" s="5" t="str">
        <f>HYPERLINK("https://creighton-primo.hosted.exlibrisgroup.com/primo-explore/search?tab=default_tab&amp;search_scope=EVERYTHING&amp;vid=01CRU&amp;lang=en_US&amp;offset=0&amp;query=any,contains,991001787339702656","Catalog Record")</f>
        <v>Catalog Record</v>
      </c>
      <c r="AV16" s="5" t="str">
        <f>HYPERLINK("http://www.worldcat.org/oclc/8168840","WorldCat Record")</f>
        <v>WorldCat Record</v>
      </c>
      <c r="AW16" s="2" t="s">
        <v>232</v>
      </c>
      <c r="AX16" s="2" t="s">
        <v>233</v>
      </c>
      <c r="AY16" s="2" t="s">
        <v>234</v>
      </c>
      <c r="AZ16" s="2" t="s">
        <v>234</v>
      </c>
      <c r="BA16" s="2" t="s">
        <v>235</v>
      </c>
      <c r="BB16" s="2" t="s">
        <v>21</v>
      </c>
      <c r="BD16" s="2" t="s">
        <v>236</v>
      </c>
      <c r="BE16" s="2" t="s">
        <v>237</v>
      </c>
      <c r="BF16" s="2" t="s">
        <v>238</v>
      </c>
    </row>
    <row r="17" spans="1:58" ht="41.25" customHeight="1" x14ac:dyDescent="0.25">
      <c r="A17" s="8" t="s">
        <v>5</v>
      </c>
      <c r="B17" s="1" t="s">
        <v>0</v>
      </c>
      <c r="C17" s="1" t="s">
        <v>1</v>
      </c>
      <c r="D17" s="1" t="s">
        <v>239</v>
      </c>
      <c r="E17" s="1" t="s">
        <v>240</v>
      </c>
      <c r="F17" s="1" t="s">
        <v>241</v>
      </c>
      <c r="H17" s="2" t="s">
        <v>5</v>
      </c>
      <c r="I17" s="2" t="s">
        <v>6</v>
      </c>
      <c r="J17" s="2" t="s">
        <v>16</v>
      </c>
      <c r="K17" s="2" t="s">
        <v>5</v>
      </c>
      <c r="L17" s="2" t="s">
        <v>7</v>
      </c>
      <c r="N17" s="1" t="s">
        <v>242</v>
      </c>
      <c r="O17" s="2" t="s">
        <v>62</v>
      </c>
      <c r="Q17" s="2" t="s">
        <v>11</v>
      </c>
      <c r="R17" s="2" t="s">
        <v>12</v>
      </c>
      <c r="T17" s="2" t="s">
        <v>13</v>
      </c>
      <c r="U17" s="3">
        <v>5</v>
      </c>
      <c r="V17" s="3">
        <v>10</v>
      </c>
      <c r="W17" s="4" t="s">
        <v>243</v>
      </c>
      <c r="X17" s="4" t="s">
        <v>243</v>
      </c>
      <c r="Y17" s="4" t="s">
        <v>168</v>
      </c>
      <c r="Z17" s="4" t="s">
        <v>244</v>
      </c>
      <c r="AA17" s="3">
        <v>224</v>
      </c>
      <c r="AB17" s="3">
        <v>174</v>
      </c>
      <c r="AC17" s="3">
        <v>176</v>
      </c>
      <c r="AD17" s="3">
        <v>3</v>
      </c>
      <c r="AE17" s="3">
        <v>3</v>
      </c>
      <c r="AF17" s="3">
        <v>11</v>
      </c>
      <c r="AG17" s="3">
        <v>11</v>
      </c>
      <c r="AH17" s="3">
        <v>5</v>
      </c>
      <c r="AI17" s="3">
        <v>5</v>
      </c>
      <c r="AJ17" s="3">
        <v>2</v>
      </c>
      <c r="AK17" s="3">
        <v>2</v>
      </c>
      <c r="AL17" s="3">
        <v>5</v>
      </c>
      <c r="AM17" s="3">
        <v>5</v>
      </c>
      <c r="AN17" s="3">
        <v>1</v>
      </c>
      <c r="AO17" s="3">
        <v>1</v>
      </c>
      <c r="AP17" s="3">
        <v>0</v>
      </c>
      <c r="AQ17" s="3">
        <v>0</v>
      </c>
      <c r="AR17" s="2" t="s">
        <v>5</v>
      </c>
      <c r="AS17" s="2" t="s">
        <v>16</v>
      </c>
      <c r="AT17" s="5" t="str">
        <f>HYPERLINK("http://catalog.hathitrust.org/Record/004414024","HathiTrust Record")</f>
        <v>HathiTrust Record</v>
      </c>
      <c r="AU17" s="5" t="str">
        <f>HYPERLINK("https://creighton-primo.hosted.exlibrisgroup.com/primo-explore/search?tab=default_tab&amp;search_scope=EVERYTHING&amp;vid=01CRU&amp;lang=en_US&amp;offset=0&amp;query=any,contains,991001787379702656","Catalog Record")</f>
        <v>Catalog Record</v>
      </c>
      <c r="AV17" s="5" t="str">
        <f>HYPERLINK("http://www.worldcat.org/oclc/3003096","WorldCat Record")</f>
        <v>WorldCat Record</v>
      </c>
      <c r="AW17" s="2" t="s">
        <v>245</v>
      </c>
      <c r="AX17" s="2" t="s">
        <v>246</v>
      </c>
      <c r="AY17" s="2" t="s">
        <v>247</v>
      </c>
      <c r="AZ17" s="2" t="s">
        <v>247</v>
      </c>
      <c r="BA17" s="2" t="s">
        <v>248</v>
      </c>
      <c r="BB17" s="2" t="s">
        <v>21</v>
      </c>
      <c r="BD17" s="2" t="s">
        <v>249</v>
      </c>
      <c r="BE17" s="2" t="s">
        <v>250</v>
      </c>
      <c r="BF17" s="2" t="s">
        <v>251</v>
      </c>
    </row>
    <row r="18" spans="1:58" ht="41.25" customHeight="1" x14ac:dyDescent="0.25">
      <c r="A18" s="8" t="s">
        <v>5</v>
      </c>
      <c r="B18" s="1" t="s">
        <v>0</v>
      </c>
      <c r="C18" s="1" t="s">
        <v>1</v>
      </c>
      <c r="D18" s="1" t="s">
        <v>252</v>
      </c>
      <c r="E18" s="1" t="s">
        <v>253</v>
      </c>
      <c r="F18" s="1" t="s">
        <v>254</v>
      </c>
      <c r="H18" s="2" t="s">
        <v>5</v>
      </c>
      <c r="I18" s="2" t="s">
        <v>6</v>
      </c>
      <c r="J18" s="2" t="s">
        <v>5</v>
      </c>
      <c r="K18" s="2" t="s">
        <v>5</v>
      </c>
      <c r="L18" s="2" t="s">
        <v>7</v>
      </c>
      <c r="M18" s="1" t="s">
        <v>255</v>
      </c>
      <c r="N18" s="1" t="s">
        <v>256</v>
      </c>
      <c r="O18" s="2" t="s">
        <v>10</v>
      </c>
      <c r="P18" s="1" t="s">
        <v>257</v>
      </c>
      <c r="Q18" s="2" t="s">
        <v>11</v>
      </c>
      <c r="R18" s="2" t="s">
        <v>31</v>
      </c>
      <c r="T18" s="2" t="s">
        <v>13</v>
      </c>
      <c r="U18" s="3">
        <v>1</v>
      </c>
      <c r="V18" s="3">
        <v>1</v>
      </c>
      <c r="W18" s="4" t="s">
        <v>258</v>
      </c>
      <c r="X18" s="4" t="s">
        <v>258</v>
      </c>
      <c r="Y18" s="4" t="s">
        <v>96</v>
      </c>
      <c r="Z18" s="4" t="s">
        <v>96</v>
      </c>
      <c r="AA18" s="3">
        <v>182</v>
      </c>
      <c r="AB18" s="3">
        <v>129</v>
      </c>
      <c r="AC18" s="3">
        <v>251</v>
      </c>
      <c r="AD18" s="3">
        <v>2</v>
      </c>
      <c r="AE18" s="3">
        <v>3</v>
      </c>
      <c r="AF18" s="3">
        <v>5</v>
      </c>
      <c r="AG18" s="3">
        <v>7</v>
      </c>
      <c r="AH18" s="3">
        <v>1</v>
      </c>
      <c r="AI18" s="3">
        <v>2</v>
      </c>
      <c r="AJ18" s="3">
        <v>1</v>
      </c>
      <c r="AK18" s="3">
        <v>1</v>
      </c>
      <c r="AL18" s="3">
        <v>2</v>
      </c>
      <c r="AM18" s="3">
        <v>3</v>
      </c>
      <c r="AN18" s="3">
        <v>1</v>
      </c>
      <c r="AO18" s="3">
        <v>1</v>
      </c>
      <c r="AP18" s="3">
        <v>0</v>
      </c>
      <c r="AQ18" s="3">
        <v>0</v>
      </c>
      <c r="AR18" s="2" t="s">
        <v>5</v>
      </c>
      <c r="AS18" s="2" t="s">
        <v>16</v>
      </c>
      <c r="AT18" s="5" t="str">
        <f>HYPERLINK("http://catalog.hathitrust.org/Record/000170839","HathiTrust Record")</f>
        <v>HathiTrust Record</v>
      </c>
      <c r="AU18" s="5" t="str">
        <f>HYPERLINK("https://creighton-primo.hosted.exlibrisgroup.com/primo-explore/search?tab=default_tab&amp;search_scope=EVERYTHING&amp;vid=01CRU&amp;lang=en_US&amp;offset=0&amp;query=any,contains,991001131619702656","Catalog Record")</f>
        <v>Catalog Record</v>
      </c>
      <c r="AV18" s="5" t="str">
        <f>HYPERLINK("http://www.worldcat.org/oclc/2695047","WorldCat Record")</f>
        <v>WorldCat Record</v>
      </c>
      <c r="AW18" s="2" t="s">
        <v>259</v>
      </c>
      <c r="AX18" s="2" t="s">
        <v>260</v>
      </c>
      <c r="AY18" s="2" t="s">
        <v>261</v>
      </c>
      <c r="AZ18" s="2" t="s">
        <v>261</v>
      </c>
      <c r="BA18" s="2" t="s">
        <v>262</v>
      </c>
      <c r="BB18" s="2" t="s">
        <v>21</v>
      </c>
      <c r="BD18" s="2" t="s">
        <v>263</v>
      </c>
      <c r="BE18" s="2" t="s">
        <v>264</v>
      </c>
      <c r="BF18" s="2" t="s">
        <v>265</v>
      </c>
    </row>
    <row r="19" spans="1:58" ht="41.25" customHeight="1" x14ac:dyDescent="0.25">
      <c r="A19" s="8" t="s">
        <v>5</v>
      </c>
      <c r="B19" s="1" t="s">
        <v>0</v>
      </c>
      <c r="C19" s="1" t="s">
        <v>1</v>
      </c>
      <c r="D19" s="1" t="s">
        <v>266</v>
      </c>
      <c r="E19" s="1" t="s">
        <v>267</v>
      </c>
      <c r="F19" s="1" t="s">
        <v>268</v>
      </c>
      <c r="H19" s="2" t="s">
        <v>5</v>
      </c>
      <c r="I19" s="2" t="s">
        <v>6</v>
      </c>
      <c r="J19" s="2" t="s">
        <v>5</v>
      </c>
      <c r="K19" s="2" t="s">
        <v>5</v>
      </c>
      <c r="L19" s="2" t="s">
        <v>7</v>
      </c>
      <c r="M19" s="1" t="s">
        <v>269</v>
      </c>
      <c r="N19" s="1" t="s">
        <v>270</v>
      </c>
      <c r="O19" s="2" t="s">
        <v>10</v>
      </c>
      <c r="Q19" s="2" t="s">
        <v>11</v>
      </c>
      <c r="R19" s="2" t="s">
        <v>271</v>
      </c>
      <c r="T19" s="2" t="s">
        <v>13</v>
      </c>
      <c r="U19" s="3">
        <v>5</v>
      </c>
      <c r="V19" s="3">
        <v>5</v>
      </c>
      <c r="W19" s="4" t="s">
        <v>272</v>
      </c>
      <c r="X19" s="4" t="s">
        <v>272</v>
      </c>
      <c r="Y19" s="4" t="s">
        <v>96</v>
      </c>
      <c r="Z19" s="4" t="s">
        <v>96</v>
      </c>
      <c r="AA19" s="3">
        <v>285</v>
      </c>
      <c r="AB19" s="3">
        <v>262</v>
      </c>
      <c r="AC19" s="3">
        <v>289</v>
      </c>
      <c r="AD19" s="3">
        <v>3</v>
      </c>
      <c r="AE19" s="3">
        <v>3</v>
      </c>
      <c r="AF19" s="3">
        <v>13</v>
      </c>
      <c r="AG19" s="3">
        <v>14</v>
      </c>
      <c r="AH19" s="3">
        <v>3</v>
      </c>
      <c r="AI19" s="3">
        <v>4</v>
      </c>
      <c r="AJ19" s="3">
        <v>3</v>
      </c>
      <c r="AK19" s="3">
        <v>3</v>
      </c>
      <c r="AL19" s="3">
        <v>6</v>
      </c>
      <c r="AM19" s="3">
        <v>7</v>
      </c>
      <c r="AN19" s="3">
        <v>2</v>
      </c>
      <c r="AO19" s="3">
        <v>2</v>
      </c>
      <c r="AP19" s="3">
        <v>0</v>
      </c>
      <c r="AQ19" s="3">
        <v>0</v>
      </c>
      <c r="AR19" s="2" t="s">
        <v>5</v>
      </c>
      <c r="AS19" s="2" t="s">
        <v>16</v>
      </c>
      <c r="AT19" s="5" t="str">
        <f>HYPERLINK("http://catalog.hathitrust.org/Record/000020134","HathiTrust Record")</f>
        <v>HathiTrust Record</v>
      </c>
      <c r="AU19" s="5" t="str">
        <f>HYPERLINK("https://creighton-primo.hosted.exlibrisgroup.com/primo-explore/search?tab=default_tab&amp;search_scope=EVERYTHING&amp;vid=01CRU&amp;lang=en_US&amp;offset=0&amp;query=any,contains,991001137009702656","Catalog Record")</f>
        <v>Catalog Record</v>
      </c>
      <c r="AV19" s="5" t="str">
        <f>HYPERLINK("http://www.worldcat.org/oclc/2965313","WorldCat Record")</f>
        <v>WorldCat Record</v>
      </c>
      <c r="AW19" s="2" t="s">
        <v>273</v>
      </c>
      <c r="AX19" s="2" t="s">
        <v>274</v>
      </c>
      <c r="AY19" s="2" t="s">
        <v>275</v>
      </c>
      <c r="AZ19" s="2" t="s">
        <v>275</v>
      </c>
      <c r="BA19" s="2" t="s">
        <v>276</v>
      </c>
      <c r="BB19" s="2" t="s">
        <v>21</v>
      </c>
      <c r="BD19" s="2" t="s">
        <v>277</v>
      </c>
      <c r="BE19" s="2" t="s">
        <v>278</v>
      </c>
      <c r="BF19" s="2" t="s">
        <v>279</v>
      </c>
    </row>
    <row r="20" spans="1:58" ht="41.25" customHeight="1" x14ac:dyDescent="0.25">
      <c r="A20" s="8" t="s">
        <v>5</v>
      </c>
      <c r="B20" s="1" t="s">
        <v>0</v>
      </c>
      <c r="C20" s="1" t="s">
        <v>1</v>
      </c>
      <c r="D20" s="1" t="s">
        <v>280</v>
      </c>
      <c r="E20" s="1" t="s">
        <v>281</v>
      </c>
      <c r="F20" s="1" t="s">
        <v>282</v>
      </c>
      <c r="H20" s="2" t="s">
        <v>5</v>
      </c>
      <c r="I20" s="2" t="s">
        <v>6</v>
      </c>
      <c r="J20" s="2" t="s">
        <v>16</v>
      </c>
      <c r="K20" s="2" t="s">
        <v>5</v>
      </c>
      <c r="L20" s="2" t="s">
        <v>7</v>
      </c>
      <c r="M20" s="1" t="s">
        <v>283</v>
      </c>
      <c r="N20" s="1" t="s">
        <v>284</v>
      </c>
      <c r="O20" s="2" t="s">
        <v>285</v>
      </c>
      <c r="Q20" s="2" t="s">
        <v>11</v>
      </c>
      <c r="R20" s="2" t="s">
        <v>229</v>
      </c>
      <c r="T20" s="2" t="s">
        <v>13</v>
      </c>
      <c r="U20" s="3">
        <v>5</v>
      </c>
      <c r="V20" s="3">
        <v>9</v>
      </c>
      <c r="W20" s="4" t="s">
        <v>286</v>
      </c>
      <c r="X20" s="4" t="s">
        <v>287</v>
      </c>
      <c r="Y20" s="4" t="s">
        <v>288</v>
      </c>
      <c r="Z20" s="4" t="s">
        <v>50</v>
      </c>
      <c r="AA20" s="3">
        <v>299</v>
      </c>
      <c r="AB20" s="3">
        <v>240</v>
      </c>
      <c r="AC20" s="3">
        <v>241</v>
      </c>
      <c r="AD20" s="3">
        <v>4</v>
      </c>
      <c r="AE20" s="3">
        <v>4</v>
      </c>
      <c r="AF20" s="3">
        <v>12</v>
      </c>
      <c r="AG20" s="3">
        <v>12</v>
      </c>
      <c r="AH20" s="3">
        <v>3</v>
      </c>
      <c r="AI20" s="3">
        <v>3</v>
      </c>
      <c r="AJ20" s="3">
        <v>4</v>
      </c>
      <c r="AK20" s="3">
        <v>4</v>
      </c>
      <c r="AL20" s="3">
        <v>5</v>
      </c>
      <c r="AM20" s="3">
        <v>5</v>
      </c>
      <c r="AN20" s="3">
        <v>2</v>
      </c>
      <c r="AO20" s="3">
        <v>2</v>
      </c>
      <c r="AP20" s="3">
        <v>0</v>
      </c>
      <c r="AQ20" s="3">
        <v>0</v>
      </c>
      <c r="AR20" s="2" t="s">
        <v>5</v>
      </c>
      <c r="AS20" s="2" t="s">
        <v>16</v>
      </c>
      <c r="AT20" s="5" t="str">
        <f>HYPERLINK("http://catalog.hathitrust.org/Record/000027240","HathiTrust Record")</f>
        <v>HathiTrust Record</v>
      </c>
      <c r="AU20" s="5" t="str">
        <f>HYPERLINK("https://creighton-primo.hosted.exlibrisgroup.com/primo-explore/search?tab=default_tab&amp;search_scope=EVERYTHING&amp;vid=01CRU&amp;lang=en_US&amp;offset=0&amp;query=any,contains,991001761249702656","Catalog Record")</f>
        <v>Catalog Record</v>
      </c>
      <c r="AV20" s="5" t="str">
        <f>HYPERLINK("http://www.worldcat.org/oclc/4135558","WorldCat Record")</f>
        <v>WorldCat Record</v>
      </c>
      <c r="AW20" s="2" t="s">
        <v>289</v>
      </c>
      <c r="AX20" s="2" t="s">
        <v>290</v>
      </c>
      <c r="AY20" s="2" t="s">
        <v>291</v>
      </c>
      <c r="AZ20" s="2" t="s">
        <v>291</v>
      </c>
      <c r="BA20" s="2" t="s">
        <v>292</v>
      </c>
      <c r="BB20" s="2" t="s">
        <v>21</v>
      </c>
      <c r="BD20" s="2" t="s">
        <v>293</v>
      </c>
      <c r="BE20" s="2" t="s">
        <v>294</v>
      </c>
      <c r="BF20" s="2" t="s">
        <v>295</v>
      </c>
    </row>
    <row r="21" spans="1:58" ht="41.25" customHeight="1" x14ac:dyDescent="0.25">
      <c r="A21" s="8" t="s">
        <v>5</v>
      </c>
      <c r="B21" s="1" t="s">
        <v>0</v>
      </c>
      <c r="C21" s="1" t="s">
        <v>1</v>
      </c>
      <c r="D21" s="1" t="s">
        <v>296</v>
      </c>
      <c r="E21" s="1" t="s">
        <v>297</v>
      </c>
      <c r="F21" s="1" t="s">
        <v>298</v>
      </c>
      <c r="H21" s="2" t="s">
        <v>5</v>
      </c>
      <c r="I21" s="2" t="s">
        <v>6</v>
      </c>
      <c r="J21" s="2" t="s">
        <v>16</v>
      </c>
      <c r="K21" s="2" t="s">
        <v>5</v>
      </c>
      <c r="L21" s="2" t="s">
        <v>7</v>
      </c>
      <c r="N21" s="1" t="s">
        <v>299</v>
      </c>
      <c r="O21" s="2" t="s">
        <v>285</v>
      </c>
      <c r="Q21" s="2" t="s">
        <v>11</v>
      </c>
      <c r="R21" s="2" t="s">
        <v>12</v>
      </c>
      <c r="T21" s="2" t="s">
        <v>13</v>
      </c>
      <c r="U21" s="3">
        <v>4</v>
      </c>
      <c r="V21" s="3">
        <v>7</v>
      </c>
      <c r="W21" s="4" t="s">
        <v>300</v>
      </c>
      <c r="X21" s="4" t="s">
        <v>300</v>
      </c>
      <c r="Y21" s="4" t="s">
        <v>33</v>
      </c>
      <c r="Z21" s="4" t="s">
        <v>301</v>
      </c>
      <c r="AA21" s="3">
        <v>374</v>
      </c>
      <c r="AB21" s="3">
        <v>312</v>
      </c>
      <c r="AC21" s="3">
        <v>320</v>
      </c>
      <c r="AD21" s="3">
        <v>3</v>
      </c>
      <c r="AE21" s="3">
        <v>3</v>
      </c>
      <c r="AF21" s="3">
        <v>16</v>
      </c>
      <c r="AG21" s="3">
        <v>16</v>
      </c>
      <c r="AH21" s="3">
        <v>7</v>
      </c>
      <c r="AI21" s="3">
        <v>7</v>
      </c>
      <c r="AJ21" s="3">
        <v>2</v>
      </c>
      <c r="AK21" s="3">
        <v>2</v>
      </c>
      <c r="AL21" s="3">
        <v>8</v>
      </c>
      <c r="AM21" s="3">
        <v>8</v>
      </c>
      <c r="AN21" s="3">
        <v>1</v>
      </c>
      <c r="AO21" s="3">
        <v>1</v>
      </c>
      <c r="AP21" s="3">
        <v>0</v>
      </c>
      <c r="AQ21" s="3">
        <v>0</v>
      </c>
      <c r="AR21" s="2" t="s">
        <v>5</v>
      </c>
      <c r="AS21" s="2" t="s">
        <v>16</v>
      </c>
      <c r="AT21" s="5" t="str">
        <f>HYPERLINK("http://catalog.hathitrust.org/Record/000257201","HathiTrust Record")</f>
        <v>HathiTrust Record</v>
      </c>
      <c r="AU21" s="5" t="str">
        <f>HYPERLINK("https://creighton-primo.hosted.exlibrisgroup.com/primo-explore/search?tab=default_tab&amp;search_scope=EVERYTHING&amp;vid=01CRU&amp;lang=en_US&amp;offset=0&amp;query=any,contains,991001759589702656","Catalog Record")</f>
        <v>Catalog Record</v>
      </c>
      <c r="AV21" s="5" t="str">
        <f>HYPERLINK("http://www.worldcat.org/oclc/4504583","WorldCat Record")</f>
        <v>WorldCat Record</v>
      </c>
      <c r="AW21" s="2" t="s">
        <v>302</v>
      </c>
      <c r="AX21" s="2" t="s">
        <v>303</v>
      </c>
      <c r="AY21" s="2" t="s">
        <v>304</v>
      </c>
      <c r="AZ21" s="2" t="s">
        <v>304</v>
      </c>
      <c r="BA21" s="2" t="s">
        <v>305</v>
      </c>
      <c r="BB21" s="2" t="s">
        <v>21</v>
      </c>
      <c r="BD21" s="2" t="s">
        <v>306</v>
      </c>
      <c r="BE21" s="2" t="s">
        <v>307</v>
      </c>
      <c r="BF21" s="2" t="s">
        <v>308</v>
      </c>
    </row>
    <row r="22" spans="1:58" ht="41.25" customHeight="1" x14ac:dyDescent="0.25">
      <c r="A22" s="8" t="s">
        <v>5</v>
      </c>
      <c r="B22" s="1" t="s">
        <v>0</v>
      </c>
      <c r="C22" s="1" t="s">
        <v>1</v>
      </c>
      <c r="D22" s="1" t="s">
        <v>309</v>
      </c>
      <c r="E22" s="1" t="s">
        <v>310</v>
      </c>
      <c r="F22" s="1" t="s">
        <v>311</v>
      </c>
      <c r="H22" s="2" t="s">
        <v>5</v>
      </c>
      <c r="I22" s="2" t="s">
        <v>6</v>
      </c>
      <c r="J22" s="2" t="s">
        <v>5</v>
      </c>
      <c r="K22" s="2" t="s">
        <v>5</v>
      </c>
      <c r="L22" s="2" t="s">
        <v>7</v>
      </c>
      <c r="N22" s="1" t="s">
        <v>312</v>
      </c>
      <c r="O22" s="2" t="s">
        <v>92</v>
      </c>
      <c r="P22" s="1" t="s">
        <v>313</v>
      </c>
      <c r="Q22" s="2" t="s">
        <v>11</v>
      </c>
      <c r="R22" s="2" t="s">
        <v>271</v>
      </c>
      <c r="T22" s="2" t="s">
        <v>13</v>
      </c>
      <c r="U22" s="3">
        <v>3</v>
      </c>
      <c r="V22" s="3">
        <v>3</v>
      </c>
      <c r="W22" s="4" t="s">
        <v>314</v>
      </c>
      <c r="X22" s="4" t="s">
        <v>314</v>
      </c>
      <c r="Y22" s="4" t="s">
        <v>315</v>
      </c>
      <c r="Z22" s="4" t="s">
        <v>315</v>
      </c>
      <c r="AA22" s="3">
        <v>214</v>
      </c>
      <c r="AB22" s="3">
        <v>178</v>
      </c>
      <c r="AC22" s="3">
        <v>181</v>
      </c>
      <c r="AD22" s="3">
        <v>2</v>
      </c>
      <c r="AE22" s="3">
        <v>2</v>
      </c>
      <c r="AF22" s="3">
        <v>8</v>
      </c>
      <c r="AG22" s="3">
        <v>8</v>
      </c>
      <c r="AH22" s="3">
        <v>3</v>
      </c>
      <c r="AI22" s="3">
        <v>3</v>
      </c>
      <c r="AJ22" s="3">
        <v>0</v>
      </c>
      <c r="AK22" s="3">
        <v>0</v>
      </c>
      <c r="AL22" s="3">
        <v>5</v>
      </c>
      <c r="AM22" s="3">
        <v>5</v>
      </c>
      <c r="AN22" s="3">
        <v>1</v>
      </c>
      <c r="AO22" s="3">
        <v>1</v>
      </c>
      <c r="AP22" s="3">
        <v>0</v>
      </c>
      <c r="AQ22" s="3">
        <v>0</v>
      </c>
      <c r="AR22" s="2" t="s">
        <v>5</v>
      </c>
      <c r="AS22" s="2" t="s">
        <v>16</v>
      </c>
      <c r="AT22" s="5" t="str">
        <f>HYPERLINK("http://catalog.hathitrust.org/Record/000084164","HathiTrust Record")</f>
        <v>HathiTrust Record</v>
      </c>
      <c r="AU22" s="5" t="str">
        <f>HYPERLINK("https://creighton-primo.hosted.exlibrisgroup.com/primo-explore/search?tab=default_tab&amp;search_scope=EVERYTHING&amp;vid=01CRU&amp;lang=en_US&amp;offset=0&amp;query=any,contains,991001084279702656","Catalog Record")</f>
        <v>Catalog Record</v>
      </c>
      <c r="AV22" s="5" t="str">
        <f>HYPERLINK("http://www.worldcat.org/oclc/2368401","WorldCat Record")</f>
        <v>WorldCat Record</v>
      </c>
      <c r="AW22" s="2" t="s">
        <v>316</v>
      </c>
      <c r="AX22" s="2" t="s">
        <v>317</v>
      </c>
      <c r="AY22" s="2" t="s">
        <v>318</v>
      </c>
      <c r="AZ22" s="2" t="s">
        <v>318</v>
      </c>
      <c r="BA22" s="2" t="s">
        <v>319</v>
      </c>
      <c r="BB22" s="2" t="s">
        <v>21</v>
      </c>
      <c r="BD22" s="2" t="s">
        <v>320</v>
      </c>
      <c r="BE22" s="2" t="s">
        <v>321</v>
      </c>
      <c r="BF22" s="2" t="s">
        <v>322</v>
      </c>
    </row>
    <row r="23" spans="1:58" ht="41.25" customHeight="1" x14ac:dyDescent="0.25">
      <c r="A23" s="8" t="s">
        <v>5</v>
      </c>
      <c r="B23" s="1" t="s">
        <v>0</v>
      </c>
      <c r="C23" s="1" t="s">
        <v>1</v>
      </c>
      <c r="D23" s="1" t="s">
        <v>323</v>
      </c>
      <c r="E23" s="1" t="s">
        <v>324</v>
      </c>
      <c r="F23" s="1" t="s">
        <v>325</v>
      </c>
      <c r="H23" s="2" t="s">
        <v>5</v>
      </c>
      <c r="I23" s="2" t="s">
        <v>6</v>
      </c>
      <c r="J23" s="2" t="s">
        <v>5</v>
      </c>
      <c r="K23" s="2" t="s">
        <v>5</v>
      </c>
      <c r="L23" s="2" t="s">
        <v>7</v>
      </c>
      <c r="M23" s="1" t="s">
        <v>326</v>
      </c>
      <c r="N23" s="1" t="s">
        <v>327</v>
      </c>
      <c r="O23" s="2" t="s">
        <v>10</v>
      </c>
      <c r="Q23" s="2" t="s">
        <v>11</v>
      </c>
      <c r="R23" s="2" t="s">
        <v>31</v>
      </c>
      <c r="T23" s="2" t="s">
        <v>13</v>
      </c>
      <c r="U23" s="3">
        <v>4</v>
      </c>
      <c r="V23" s="3">
        <v>4</v>
      </c>
      <c r="W23" s="4" t="s">
        <v>328</v>
      </c>
      <c r="X23" s="4" t="s">
        <v>328</v>
      </c>
      <c r="Y23" s="4" t="s">
        <v>329</v>
      </c>
      <c r="Z23" s="4" t="s">
        <v>329</v>
      </c>
      <c r="AA23" s="3">
        <v>244</v>
      </c>
      <c r="AB23" s="3">
        <v>199</v>
      </c>
      <c r="AC23" s="3">
        <v>205</v>
      </c>
      <c r="AD23" s="3">
        <v>3</v>
      </c>
      <c r="AE23" s="3">
        <v>3</v>
      </c>
      <c r="AF23" s="3">
        <v>13</v>
      </c>
      <c r="AG23" s="3">
        <v>13</v>
      </c>
      <c r="AH23" s="3">
        <v>4</v>
      </c>
      <c r="AI23" s="3">
        <v>4</v>
      </c>
      <c r="AJ23" s="3">
        <v>3</v>
      </c>
      <c r="AK23" s="3">
        <v>3</v>
      </c>
      <c r="AL23" s="3">
        <v>5</v>
      </c>
      <c r="AM23" s="3">
        <v>5</v>
      </c>
      <c r="AN23" s="3">
        <v>2</v>
      </c>
      <c r="AO23" s="3">
        <v>2</v>
      </c>
      <c r="AP23" s="3">
        <v>0</v>
      </c>
      <c r="AQ23" s="3">
        <v>0</v>
      </c>
      <c r="AR23" s="2" t="s">
        <v>5</v>
      </c>
      <c r="AS23" s="2" t="s">
        <v>16</v>
      </c>
      <c r="AT23" s="5" t="str">
        <f>HYPERLINK("http://catalog.hathitrust.org/Record/000250364","HathiTrust Record")</f>
        <v>HathiTrust Record</v>
      </c>
      <c r="AU23" s="5" t="str">
        <f>HYPERLINK("https://creighton-primo.hosted.exlibrisgroup.com/primo-explore/search?tab=default_tab&amp;search_scope=EVERYTHING&amp;vid=01CRU&amp;lang=en_US&amp;offset=0&amp;query=any,contains,991000736749702656","Catalog Record")</f>
        <v>Catalog Record</v>
      </c>
      <c r="AV23" s="5" t="str">
        <f>HYPERLINK("http://www.worldcat.org/oclc/2984179","WorldCat Record")</f>
        <v>WorldCat Record</v>
      </c>
      <c r="AW23" s="2" t="s">
        <v>330</v>
      </c>
      <c r="AX23" s="2" t="s">
        <v>331</v>
      </c>
      <c r="AY23" s="2" t="s">
        <v>332</v>
      </c>
      <c r="AZ23" s="2" t="s">
        <v>332</v>
      </c>
      <c r="BA23" s="2" t="s">
        <v>333</v>
      </c>
      <c r="BB23" s="2" t="s">
        <v>21</v>
      </c>
      <c r="BD23" s="2" t="s">
        <v>334</v>
      </c>
      <c r="BE23" s="2" t="s">
        <v>335</v>
      </c>
      <c r="BF23" s="2" t="s">
        <v>336</v>
      </c>
    </row>
    <row r="24" spans="1:58" ht="41.25" customHeight="1" x14ac:dyDescent="0.25">
      <c r="A24" s="8" t="s">
        <v>5</v>
      </c>
      <c r="B24" s="1" t="s">
        <v>0</v>
      </c>
      <c r="C24" s="1" t="s">
        <v>1</v>
      </c>
      <c r="D24" s="1" t="s">
        <v>337</v>
      </c>
      <c r="E24" s="1" t="s">
        <v>338</v>
      </c>
      <c r="F24" s="1" t="s">
        <v>339</v>
      </c>
      <c r="H24" s="2" t="s">
        <v>5</v>
      </c>
      <c r="I24" s="2" t="s">
        <v>6</v>
      </c>
      <c r="J24" s="2" t="s">
        <v>5</v>
      </c>
      <c r="K24" s="2" t="s">
        <v>5</v>
      </c>
      <c r="L24" s="2" t="s">
        <v>7</v>
      </c>
      <c r="N24" s="1" t="s">
        <v>340</v>
      </c>
      <c r="O24" s="2" t="s">
        <v>151</v>
      </c>
      <c r="P24" s="1" t="s">
        <v>341</v>
      </c>
      <c r="Q24" s="2" t="s">
        <v>11</v>
      </c>
      <c r="R24" s="2" t="s">
        <v>271</v>
      </c>
      <c r="T24" s="2" t="s">
        <v>13</v>
      </c>
      <c r="U24" s="3">
        <v>1</v>
      </c>
      <c r="V24" s="3">
        <v>1</v>
      </c>
      <c r="W24" s="4" t="s">
        <v>342</v>
      </c>
      <c r="X24" s="4" t="s">
        <v>342</v>
      </c>
      <c r="Y24" s="4" t="s">
        <v>197</v>
      </c>
      <c r="Z24" s="4" t="s">
        <v>197</v>
      </c>
      <c r="AA24" s="3">
        <v>79</v>
      </c>
      <c r="AB24" s="3">
        <v>72</v>
      </c>
      <c r="AC24" s="3">
        <v>75</v>
      </c>
      <c r="AD24" s="3">
        <v>1</v>
      </c>
      <c r="AE24" s="3">
        <v>1</v>
      </c>
      <c r="AF24" s="3">
        <v>3</v>
      </c>
      <c r="AG24" s="3">
        <v>3</v>
      </c>
      <c r="AH24" s="3">
        <v>0</v>
      </c>
      <c r="AI24" s="3">
        <v>0</v>
      </c>
      <c r="AJ24" s="3">
        <v>2</v>
      </c>
      <c r="AK24" s="3">
        <v>2</v>
      </c>
      <c r="AL24" s="3">
        <v>1</v>
      </c>
      <c r="AM24" s="3">
        <v>1</v>
      </c>
      <c r="AN24" s="3">
        <v>0</v>
      </c>
      <c r="AO24" s="3">
        <v>0</v>
      </c>
      <c r="AP24" s="3">
        <v>0</v>
      </c>
      <c r="AQ24" s="3">
        <v>0</v>
      </c>
      <c r="AR24" s="2" t="s">
        <v>5</v>
      </c>
      <c r="AS24" s="2" t="s">
        <v>16</v>
      </c>
      <c r="AT24" s="5" t="str">
        <f>HYPERLINK("http://catalog.hathitrust.org/Record/000045160","HathiTrust Record")</f>
        <v>HathiTrust Record</v>
      </c>
      <c r="AU24" s="5" t="str">
        <f>HYPERLINK("https://creighton-primo.hosted.exlibrisgroup.com/primo-explore/search?tab=default_tab&amp;search_scope=EVERYTHING&amp;vid=01CRU&amp;lang=en_US&amp;offset=0&amp;query=any,contains,991001083449702656","Catalog Record")</f>
        <v>Catalog Record</v>
      </c>
      <c r="AV24" s="5" t="str">
        <f>HYPERLINK("http://www.worldcat.org/oclc/1529154","WorldCat Record")</f>
        <v>WorldCat Record</v>
      </c>
      <c r="AW24" s="2" t="s">
        <v>343</v>
      </c>
      <c r="AX24" s="2" t="s">
        <v>344</v>
      </c>
      <c r="AY24" s="2" t="s">
        <v>345</v>
      </c>
      <c r="AZ24" s="2" t="s">
        <v>345</v>
      </c>
      <c r="BA24" s="2" t="s">
        <v>346</v>
      </c>
      <c r="BB24" s="2" t="s">
        <v>21</v>
      </c>
      <c r="BD24" s="2" t="s">
        <v>347</v>
      </c>
      <c r="BE24" s="2" t="s">
        <v>348</v>
      </c>
      <c r="BF24" s="2" t="s">
        <v>349</v>
      </c>
    </row>
    <row r="25" spans="1:58" ht="41.25" customHeight="1" x14ac:dyDescent="0.25">
      <c r="A25" s="8" t="s">
        <v>5</v>
      </c>
      <c r="B25" s="1" t="s">
        <v>0</v>
      </c>
      <c r="C25" s="1" t="s">
        <v>1</v>
      </c>
      <c r="D25" s="1" t="s">
        <v>350</v>
      </c>
      <c r="E25" s="1" t="s">
        <v>351</v>
      </c>
      <c r="F25" s="1" t="s">
        <v>352</v>
      </c>
      <c r="H25" s="2" t="s">
        <v>5</v>
      </c>
      <c r="I25" s="2" t="s">
        <v>6</v>
      </c>
      <c r="J25" s="2" t="s">
        <v>5</v>
      </c>
      <c r="K25" s="2" t="s">
        <v>5</v>
      </c>
      <c r="L25" s="2" t="s">
        <v>7</v>
      </c>
      <c r="N25" s="1" t="s">
        <v>353</v>
      </c>
      <c r="O25" s="2" t="s">
        <v>354</v>
      </c>
      <c r="P25" s="1" t="s">
        <v>355</v>
      </c>
      <c r="Q25" s="2" t="s">
        <v>11</v>
      </c>
      <c r="R25" s="2" t="s">
        <v>271</v>
      </c>
      <c r="S25" s="1" t="s">
        <v>356</v>
      </c>
      <c r="T25" s="2" t="s">
        <v>13</v>
      </c>
      <c r="U25" s="3">
        <v>5</v>
      </c>
      <c r="V25" s="3">
        <v>5</v>
      </c>
      <c r="W25" s="4" t="s">
        <v>357</v>
      </c>
      <c r="X25" s="4" t="s">
        <v>357</v>
      </c>
      <c r="Y25" s="4" t="s">
        <v>358</v>
      </c>
      <c r="Z25" s="4" t="s">
        <v>358</v>
      </c>
      <c r="AA25" s="3">
        <v>223</v>
      </c>
      <c r="AB25" s="3">
        <v>191</v>
      </c>
      <c r="AC25" s="3">
        <v>234</v>
      </c>
      <c r="AD25" s="3">
        <v>2</v>
      </c>
      <c r="AE25" s="3">
        <v>2</v>
      </c>
      <c r="AF25" s="3">
        <v>4</v>
      </c>
      <c r="AG25" s="3">
        <v>6</v>
      </c>
      <c r="AH25" s="3">
        <v>2</v>
      </c>
      <c r="AI25" s="3">
        <v>3</v>
      </c>
      <c r="AJ25" s="3">
        <v>0</v>
      </c>
      <c r="AK25" s="3">
        <v>0</v>
      </c>
      <c r="AL25" s="3">
        <v>1</v>
      </c>
      <c r="AM25" s="3">
        <v>2</v>
      </c>
      <c r="AN25" s="3">
        <v>1</v>
      </c>
      <c r="AO25" s="3">
        <v>1</v>
      </c>
      <c r="AP25" s="3">
        <v>0</v>
      </c>
      <c r="AQ25" s="3">
        <v>0</v>
      </c>
      <c r="AR25" s="2" t="s">
        <v>5</v>
      </c>
      <c r="AS25" s="2" t="s">
        <v>16</v>
      </c>
      <c r="AT25" s="5" t="str">
        <f>HYPERLINK("http://catalog.hathitrust.org/Record/000266941","HathiTrust Record")</f>
        <v>HathiTrust Record</v>
      </c>
      <c r="AU25" s="5" t="str">
        <f>HYPERLINK("https://creighton-primo.hosted.exlibrisgroup.com/primo-explore/search?tab=default_tab&amp;search_scope=EVERYTHING&amp;vid=01CRU&amp;lang=en_US&amp;offset=0&amp;query=any,contains,991001546509702656","Catalog Record")</f>
        <v>Catalog Record</v>
      </c>
      <c r="AV25" s="5" t="str">
        <f>HYPERLINK("http://www.worldcat.org/oclc/7048638","WorldCat Record")</f>
        <v>WorldCat Record</v>
      </c>
      <c r="AW25" s="2" t="s">
        <v>359</v>
      </c>
      <c r="AX25" s="2" t="s">
        <v>360</v>
      </c>
      <c r="AY25" s="2" t="s">
        <v>361</v>
      </c>
      <c r="AZ25" s="2" t="s">
        <v>361</v>
      </c>
      <c r="BA25" s="2" t="s">
        <v>362</v>
      </c>
      <c r="BB25" s="2" t="s">
        <v>21</v>
      </c>
      <c r="BD25" s="2" t="s">
        <v>363</v>
      </c>
      <c r="BE25" s="2" t="s">
        <v>364</v>
      </c>
      <c r="BF25" s="2" t="s">
        <v>365</v>
      </c>
    </row>
    <row r="26" spans="1:58" ht="41.25" customHeight="1" x14ac:dyDescent="0.25">
      <c r="A26" s="8" t="s">
        <v>5</v>
      </c>
      <c r="B26" s="1" t="s">
        <v>0</v>
      </c>
      <c r="C26" s="1" t="s">
        <v>1</v>
      </c>
      <c r="D26" s="1" t="s">
        <v>350</v>
      </c>
      <c r="E26" s="1" t="s">
        <v>351</v>
      </c>
      <c r="F26" s="1" t="s">
        <v>366</v>
      </c>
      <c r="H26" s="2" t="s">
        <v>5</v>
      </c>
      <c r="I26" s="2" t="s">
        <v>6</v>
      </c>
      <c r="J26" s="2" t="s">
        <v>5</v>
      </c>
      <c r="K26" s="2" t="s">
        <v>5</v>
      </c>
      <c r="L26" s="2" t="s">
        <v>7</v>
      </c>
      <c r="M26" s="1" t="s">
        <v>367</v>
      </c>
      <c r="N26" s="1" t="s">
        <v>368</v>
      </c>
      <c r="O26" s="2" t="s">
        <v>10</v>
      </c>
      <c r="Q26" s="2" t="s">
        <v>11</v>
      </c>
      <c r="R26" s="2" t="s">
        <v>369</v>
      </c>
      <c r="S26" s="1" t="s">
        <v>370</v>
      </c>
      <c r="T26" s="2" t="s">
        <v>13</v>
      </c>
      <c r="U26" s="3">
        <v>2</v>
      </c>
      <c r="V26" s="3">
        <v>2</v>
      </c>
      <c r="W26" s="4" t="s">
        <v>371</v>
      </c>
      <c r="X26" s="4" t="s">
        <v>371</v>
      </c>
      <c r="Y26" s="4" t="s">
        <v>372</v>
      </c>
      <c r="Z26" s="4" t="s">
        <v>372</v>
      </c>
      <c r="AA26" s="3">
        <v>30</v>
      </c>
      <c r="AB26" s="3">
        <v>29</v>
      </c>
      <c r="AC26" s="3">
        <v>29</v>
      </c>
      <c r="AD26" s="3">
        <v>1</v>
      </c>
      <c r="AE26" s="3">
        <v>1</v>
      </c>
      <c r="AF26" s="3">
        <v>2</v>
      </c>
      <c r="AG26" s="3">
        <v>2</v>
      </c>
      <c r="AH26" s="3">
        <v>0</v>
      </c>
      <c r="AI26" s="3">
        <v>0</v>
      </c>
      <c r="AJ26" s="3">
        <v>0</v>
      </c>
      <c r="AK26" s="3">
        <v>0</v>
      </c>
      <c r="AL26" s="3">
        <v>2</v>
      </c>
      <c r="AM26" s="3">
        <v>2</v>
      </c>
      <c r="AN26" s="3">
        <v>0</v>
      </c>
      <c r="AO26" s="3">
        <v>0</v>
      </c>
      <c r="AP26" s="3">
        <v>0</v>
      </c>
      <c r="AQ26" s="3">
        <v>0</v>
      </c>
      <c r="AR26" s="2" t="s">
        <v>5</v>
      </c>
      <c r="AS26" s="2" t="s">
        <v>5</v>
      </c>
      <c r="AU26" s="5" t="str">
        <f>HYPERLINK("https://creighton-primo.hosted.exlibrisgroup.com/primo-explore/search?tab=default_tab&amp;search_scope=EVERYTHING&amp;vid=01CRU&amp;lang=en_US&amp;offset=0&amp;query=any,contains,991000828989702656","Catalog Record")</f>
        <v>Catalog Record</v>
      </c>
      <c r="AV26" s="5" t="str">
        <f>HYPERLINK("http://www.worldcat.org/oclc/4407112","WorldCat Record")</f>
        <v>WorldCat Record</v>
      </c>
      <c r="AW26" s="2" t="s">
        <v>373</v>
      </c>
      <c r="AX26" s="2" t="s">
        <v>374</v>
      </c>
      <c r="AY26" s="2" t="s">
        <v>375</v>
      </c>
      <c r="AZ26" s="2" t="s">
        <v>375</v>
      </c>
      <c r="BA26" s="2" t="s">
        <v>376</v>
      </c>
      <c r="BB26" s="2" t="s">
        <v>21</v>
      </c>
      <c r="BE26" s="2" t="s">
        <v>377</v>
      </c>
      <c r="BF26" s="2" t="s">
        <v>378</v>
      </c>
    </row>
    <row r="27" spans="1:58" ht="41.25" customHeight="1" x14ac:dyDescent="0.25">
      <c r="A27" s="8" t="s">
        <v>5</v>
      </c>
      <c r="B27" s="1" t="s">
        <v>0</v>
      </c>
      <c r="C27" s="1" t="s">
        <v>1</v>
      </c>
      <c r="D27" s="1" t="s">
        <v>350</v>
      </c>
      <c r="E27" s="1" t="s">
        <v>351</v>
      </c>
      <c r="F27" s="1" t="s">
        <v>379</v>
      </c>
      <c r="H27" s="2" t="s">
        <v>5</v>
      </c>
      <c r="I27" s="2" t="s">
        <v>6</v>
      </c>
      <c r="J27" s="2" t="s">
        <v>5</v>
      </c>
      <c r="K27" s="2" t="s">
        <v>5</v>
      </c>
      <c r="L27" s="2" t="s">
        <v>7</v>
      </c>
      <c r="M27" s="1" t="s">
        <v>380</v>
      </c>
      <c r="N27" s="1" t="s">
        <v>381</v>
      </c>
      <c r="O27" s="2" t="s">
        <v>382</v>
      </c>
      <c r="Q27" s="2" t="s">
        <v>11</v>
      </c>
      <c r="R27" s="2" t="s">
        <v>369</v>
      </c>
      <c r="S27" s="1" t="s">
        <v>383</v>
      </c>
      <c r="T27" s="2" t="s">
        <v>13</v>
      </c>
      <c r="U27" s="3">
        <v>2</v>
      </c>
      <c r="V27" s="3">
        <v>2</v>
      </c>
      <c r="W27" s="4" t="s">
        <v>371</v>
      </c>
      <c r="X27" s="4" t="s">
        <v>371</v>
      </c>
      <c r="Y27" s="4" t="s">
        <v>372</v>
      </c>
      <c r="Z27" s="4" t="s">
        <v>372</v>
      </c>
      <c r="AA27" s="3">
        <v>31</v>
      </c>
      <c r="AB27" s="3">
        <v>30</v>
      </c>
      <c r="AC27" s="3">
        <v>30</v>
      </c>
      <c r="AD27" s="3">
        <v>1</v>
      </c>
      <c r="AE27" s="3">
        <v>1</v>
      </c>
      <c r="AF27" s="3">
        <v>1</v>
      </c>
      <c r="AG27" s="3">
        <v>1</v>
      </c>
      <c r="AH27" s="3">
        <v>0</v>
      </c>
      <c r="AI27" s="3">
        <v>0</v>
      </c>
      <c r="AJ27" s="3">
        <v>0</v>
      </c>
      <c r="AK27" s="3">
        <v>0</v>
      </c>
      <c r="AL27" s="3">
        <v>1</v>
      </c>
      <c r="AM27" s="3">
        <v>1</v>
      </c>
      <c r="AN27" s="3">
        <v>0</v>
      </c>
      <c r="AO27" s="3">
        <v>0</v>
      </c>
      <c r="AP27" s="3">
        <v>0</v>
      </c>
      <c r="AQ27" s="3">
        <v>0</v>
      </c>
      <c r="AR27" s="2" t="s">
        <v>5</v>
      </c>
      <c r="AS27" s="2" t="s">
        <v>5</v>
      </c>
      <c r="AU27" s="5" t="str">
        <f>HYPERLINK("https://creighton-primo.hosted.exlibrisgroup.com/primo-explore/search?tab=default_tab&amp;search_scope=EVERYTHING&amp;vid=01CRU&amp;lang=en_US&amp;offset=0&amp;query=any,contains,991001329409702656","Catalog Record")</f>
        <v>Catalog Record</v>
      </c>
      <c r="AV27" s="5" t="str">
        <f>HYPERLINK("http://www.worldcat.org/oclc/20895589","WorldCat Record")</f>
        <v>WorldCat Record</v>
      </c>
      <c r="AW27" s="2" t="s">
        <v>384</v>
      </c>
      <c r="AX27" s="2" t="s">
        <v>385</v>
      </c>
      <c r="AY27" s="2" t="s">
        <v>386</v>
      </c>
      <c r="AZ27" s="2" t="s">
        <v>386</v>
      </c>
      <c r="BA27" s="2" t="s">
        <v>387</v>
      </c>
      <c r="BB27" s="2" t="s">
        <v>21</v>
      </c>
      <c r="BE27" s="2" t="s">
        <v>388</v>
      </c>
      <c r="BF27" s="2" t="s">
        <v>389</v>
      </c>
    </row>
    <row r="28" spans="1:58" ht="41.25" customHeight="1" x14ac:dyDescent="0.25">
      <c r="A28" s="8" t="s">
        <v>5</v>
      </c>
      <c r="B28" s="1" t="s">
        <v>0</v>
      </c>
      <c r="C28" s="1" t="s">
        <v>1</v>
      </c>
      <c r="D28" s="1" t="s">
        <v>350</v>
      </c>
      <c r="E28" s="1" t="s">
        <v>351</v>
      </c>
      <c r="F28" s="1" t="s">
        <v>390</v>
      </c>
      <c r="H28" s="2" t="s">
        <v>5</v>
      </c>
      <c r="I28" s="2" t="s">
        <v>6</v>
      </c>
      <c r="J28" s="2" t="s">
        <v>5</v>
      </c>
      <c r="K28" s="2" t="s">
        <v>5</v>
      </c>
      <c r="L28" s="2" t="s">
        <v>7</v>
      </c>
      <c r="M28" s="1" t="s">
        <v>391</v>
      </c>
      <c r="N28" s="1" t="s">
        <v>392</v>
      </c>
      <c r="O28" s="2" t="s">
        <v>393</v>
      </c>
      <c r="P28" s="1" t="s">
        <v>355</v>
      </c>
      <c r="Q28" s="2" t="s">
        <v>11</v>
      </c>
      <c r="R28" s="2" t="s">
        <v>271</v>
      </c>
      <c r="S28" s="1" t="s">
        <v>394</v>
      </c>
      <c r="T28" s="2" t="s">
        <v>13</v>
      </c>
      <c r="U28" s="3">
        <v>4</v>
      </c>
      <c r="V28" s="3">
        <v>4</v>
      </c>
      <c r="W28" s="4" t="s">
        <v>272</v>
      </c>
      <c r="X28" s="4" t="s">
        <v>272</v>
      </c>
      <c r="Y28" s="4" t="s">
        <v>358</v>
      </c>
      <c r="Z28" s="4" t="s">
        <v>358</v>
      </c>
      <c r="AA28" s="3">
        <v>214</v>
      </c>
      <c r="AB28" s="3">
        <v>190</v>
      </c>
      <c r="AC28" s="3">
        <v>197</v>
      </c>
      <c r="AD28" s="3">
        <v>1</v>
      </c>
      <c r="AE28" s="3">
        <v>1</v>
      </c>
      <c r="AF28" s="3">
        <v>8</v>
      </c>
      <c r="AG28" s="3">
        <v>9</v>
      </c>
      <c r="AH28" s="3">
        <v>5</v>
      </c>
      <c r="AI28" s="3">
        <v>6</v>
      </c>
      <c r="AJ28" s="3">
        <v>0</v>
      </c>
      <c r="AK28" s="3">
        <v>0</v>
      </c>
      <c r="AL28" s="3">
        <v>4</v>
      </c>
      <c r="AM28" s="3">
        <v>4</v>
      </c>
      <c r="AN28" s="3">
        <v>0</v>
      </c>
      <c r="AO28" s="3">
        <v>0</v>
      </c>
      <c r="AP28" s="3">
        <v>0</v>
      </c>
      <c r="AQ28" s="3">
        <v>0</v>
      </c>
      <c r="AR28" s="2" t="s">
        <v>5</v>
      </c>
      <c r="AS28" s="2" t="s">
        <v>5</v>
      </c>
      <c r="AU28" s="5" t="str">
        <f>HYPERLINK("https://creighton-primo.hosted.exlibrisgroup.com/primo-explore/search?tab=default_tab&amp;search_scope=EVERYTHING&amp;vid=01CRU&amp;lang=en_US&amp;offset=0&amp;query=any,contains,991001546659702656","Catalog Record")</f>
        <v>Catalog Record</v>
      </c>
      <c r="AV28" s="5" t="str">
        <f>HYPERLINK("http://www.worldcat.org/oclc/7773492","WorldCat Record")</f>
        <v>WorldCat Record</v>
      </c>
      <c r="AW28" s="2" t="s">
        <v>395</v>
      </c>
      <c r="AX28" s="2" t="s">
        <v>396</v>
      </c>
      <c r="AY28" s="2" t="s">
        <v>397</v>
      </c>
      <c r="AZ28" s="2" t="s">
        <v>397</v>
      </c>
      <c r="BA28" s="2" t="s">
        <v>398</v>
      </c>
      <c r="BB28" s="2" t="s">
        <v>21</v>
      </c>
      <c r="BD28" s="2" t="s">
        <v>399</v>
      </c>
      <c r="BE28" s="2" t="s">
        <v>400</v>
      </c>
      <c r="BF28" s="2" t="s">
        <v>401</v>
      </c>
    </row>
    <row r="29" spans="1:58" ht="41.25" customHeight="1" x14ac:dyDescent="0.25">
      <c r="A29" s="8" t="s">
        <v>5</v>
      </c>
      <c r="B29" s="1" t="s">
        <v>0</v>
      </c>
      <c r="C29" s="1" t="s">
        <v>1</v>
      </c>
      <c r="D29" s="1" t="s">
        <v>350</v>
      </c>
      <c r="E29" s="1" t="s">
        <v>351</v>
      </c>
      <c r="F29" s="1" t="s">
        <v>402</v>
      </c>
      <c r="H29" s="2" t="s">
        <v>5</v>
      </c>
      <c r="I29" s="2" t="s">
        <v>6</v>
      </c>
      <c r="J29" s="2" t="s">
        <v>5</v>
      </c>
      <c r="K29" s="2" t="s">
        <v>5</v>
      </c>
      <c r="L29" s="2" t="s">
        <v>7</v>
      </c>
      <c r="N29" s="1" t="s">
        <v>403</v>
      </c>
      <c r="O29" s="2" t="s">
        <v>10</v>
      </c>
      <c r="Q29" s="2" t="s">
        <v>11</v>
      </c>
      <c r="R29" s="2" t="s">
        <v>369</v>
      </c>
      <c r="S29" s="1" t="s">
        <v>404</v>
      </c>
      <c r="T29" s="2" t="s">
        <v>13</v>
      </c>
      <c r="U29" s="3">
        <v>12</v>
      </c>
      <c r="V29" s="3">
        <v>12</v>
      </c>
      <c r="W29" s="4" t="s">
        <v>405</v>
      </c>
      <c r="X29" s="4" t="s">
        <v>405</v>
      </c>
      <c r="Y29" s="4" t="s">
        <v>372</v>
      </c>
      <c r="Z29" s="4" t="s">
        <v>372</v>
      </c>
      <c r="AA29" s="3">
        <v>20</v>
      </c>
      <c r="AB29" s="3">
        <v>20</v>
      </c>
      <c r="AC29" s="3">
        <v>20</v>
      </c>
      <c r="AD29" s="3">
        <v>2</v>
      </c>
      <c r="AE29" s="3">
        <v>2</v>
      </c>
      <c r="AF29" s="3">
        <v>2</v>
      </c>
      <c r="AG29" s="3">
        <v>2</v>
      </c>
      <c r="AH29" s="3">
        <v>0</v>
      </c>
      <c r="AI29" s="3">
        <v>0</v>
      </c>
      <c r="AJ29" s="3">
        <v>0</v>
      </c>
      <c r="AK29" s="3">
        <v>0</v>
      </c>
      <c r="AL29" s="3">
        <v>1</v>
      </c>
      <c r="AM29" s="3">
        <v>1</v>
      </c>
      <c r="AN29" s="3">
        <v>1</v>
      </c>
      <c r="AO29" s="3">
        <v>1</v>
      </c>
      <c r="AP29" s="3">
        <v>0</v>
      </c>
      <c r="AQ29" s="3">
        <v>0</v>
      </c>
      <c r="AR29" s="2" t="s">
        <v>5</v>
      </c>
      <c r="AS29" s="2" t="s">
        <v>5</v>
      </c>
      <c r="AU29" s="5" t="str">
        <f>HYPERLINK("https://creighton-primo.hosted.exlibrisgroup.com/primo-explore/search?tab=default_tab&amp;search_scope=EVERYTHING&amp;vid=01CRU&amp;lang=en_US&amp;offset=0&amp;query=any,contains,991000829039702656","Catalog Record")</f>
        <v>Catalog Record</v>
      </c>
      <c r="AV29" s="5" t="str">
        <f>HYPERLINK("http://www.worldcat.org/oclc/3727791","WorldCat Record")</f>
        <v>WorldCat Record</v>
      </c>
      <c r="AW29" s="2" t="s">
        <v>406</v>
      </c>
      <c r="AX29" s="2" t="s">
        <v>407</v>
      </c>
      <c r="AY29" s="2" t="s">
        <v>408</v>
      </c>
      <c r="AZ29" s="2" t="s">
        <v>408</v>
      </c>
      <c r="BA29" s="2" t="s">
        <v>409</v>
      </c>
      <c r="BB29" s="2" t="s">
        <v>21</v>
      </c>
      <c r="BE29" s="2" t="s">
        <v>410</v>
      </c>
      <c r="BF29" s="2" t="s">
        <v>411</v>
      </c>
    </row>
    <row r="30" spans="1:58" ht="41.25" customHeight="1" x14ac:dyDescent="0.25">
      <c r="A30" s="8" t="s">
        <v>5</v>
      </c>
      <c r="B30" s="1" t="s">
        <v>0</v>
      </c>
      <c r="C30" s="1" t="s">
        <v>1</v>
      </c>
      <c r="D30" s="1" t="s">
        <v>350</v>
      </c>
      <c r="E30" s="1" t="s">
        <v>351</v>
      </c>
      <c r="F30" s="1" t="s">
        <v>412</v>
      </c>
      <c r="H30" s="2" t="s">
        <v>5</v>
      </c>
      <c r="I30" s="2" t="s">
        <v>6</v>
      </c>
      <c r="J30" s="2" t="s">
        <v>5</v>
      </c>
      <c r="K30" s="2" t="s">
        <v>5</v>
      </c>
      <c r="L30" s="2" t="s">
        <v>7</v>
      </c>
      <c r="N30" s="1" t="s">
        <v>413</v>
      </c>
      <c r="O30" s="2" t="s">
        <v>414</v>
      </c>
      <c r="Q30" s="2" t="s">
        <v>11</v>
      </c>
      <c r="R30" s="2" t="s">
        <v>369</v>
      </c>
      <c r="T30" s="2" t="s">
        <v>13</v>
      </c>
      <c r="U30" s="3">
        <v>2</v>
      </c>
      <c r="V30" s="3">
        <v>2</v>
      </c>
      <c r="W30" s="4" t="s">
        <v>371</v>
      </c>
      <c r="X30" s="4" t="s">
        <v>371</v>
      </c>
      <c r="Y30" s="4" t="s">
        <v>415</v>
      </c>
      <c r="Z30" s="4" t="s">
        <v>415</v>
      </c>
      <c r="AA30" s="3">
        <v>50</v>
      </c>
      <c r="AB30" s="3">
        <v>41</v>
      </c>
      <c r="AC30" s="3">
        <v>41</v>
      </c>
      <c r="AD30" s="3">
        <v>1</v>
      </c>
      <c r="AE30" s="3">
        <v>1</v>
      </c>
      <c r="AF30" s="3">
        <v>4</v>
      </c>
      <c r="AG30" s="3">
        <v>4</v>
      </c>
      <c r="AH30" s="3">
        <v>0</v>
      </c>
      <c r="AI30" s="3">
        <v>0</v>
      </c>
      <c r="AJ30" s="3">
        <v>0</v>
      </c>
      <c r="AK30" s="3">
        <v>0</v>
      </c>
      <c r="AL30" s="3">
        <v>4</v>
      </c>
      <c r="AM30" s="3">
        <v>4</v>
      </c>
      <c r="AN30" s="3">
        <v>0</v>
      </c>
      <c r="AO30" s="3">
        <v>0</v>
      </c>
      <c r="AP30" s="3">
        <v>0</v>
      </c>
      <c r="AQ30" s="3">
        <v>0</v>
      </c>
      <c r="AR30" s="2" t="s">
        <v>5</v>
      </c>
      <c r="AS30" s="2" t="s">
        <v>5</v>
      </c>
      <c r="AU30" s="5" t="str">
        <f>HYPERLINK("https://creighton-primo.hosted.exlibrisgroup.com/primo-explore/search?tab=default_tab&amp;search_scope=EVERYTHING&amp;vid=01CRU&amp;lang=en_US&amp;offset=0&amp;query=any,contains,991000828729702656","Catalog Record")</f>
        <v>Catalog Record</v>
      </c>
      <c r="AV30" s="5" t="str">
        <f>HYPERLINK("http://www.worldcat.org/oclc/380002","WorldCat Record")</f>
        <v>WorldCat Record</v>
      </c>
      <c r="AW30" s="2" t="s">
        <v>416</v>
      </c>
      <c r="AX30" s="2" t="s">
        <v>417</v>
      </c>
      <c r="AY30" s="2" t="s">
        <v>418</v>
      </c>
      <c r="AZ30" s="2" t="s">
        <v>418</v>
      </c>
      <c r="BA30" s="2" t="s">
        <v>419</v>
      </c>
      <c r="BB30" s="2" t="s">
        <v>21</v>
      </c>
      <c r="BE30" s="2" t="s">
        <v>420</v>
      </c>
      <c r="BF30" s="2" t="s">
        <v>421</v>
      </c>
    </row>
    <row r="31" spans="1:58" ht="41.25" customHeight="1" x14ac:dyDescent="0.25">
      <c r="A31" s="8" t="s">
        <v>5</v>
      </c>
      <c r="B31" s="1" t="s">
        <v>0</v>
      </c>
      <c r="C31" s="1" t="s">
        <v>1</v>
      </c>
      <c r="D31" s="1" t="s">
        <v>422</v>
      </c>
      <c r="E31" s="1" t="s">
        <v>423</v>
      </c>
      <c r="F31" s="1" t="s">
        <v>424</v>
      </c>
      <c r="H31" s="2" t="s">
        <v>5</v>
      </c>
      <c r="I31" s="2" t="s">
        <v>6</v>
      </c>
      <c r="J31" s="2" t="s">
        <v>5</v>
      </c>
      <c r="K31" s="2" t="s">
        <v>16</v>
      </c>
      <c r="L31" s="2" t="s">
        <v>7</v>
      </c>
      <c r="M31" s="1" t="s">
        <v>425</v>
      </c>
      <c r="N31" s="1" t="s">
        <v>392</v>
      </c>
      <c r="O31" s="2" t="s">
        <v>393</v>
      </c>
      <c r="Q31" s="2" t="s">
        <v>11</v>
      </c>
      <c r="R31" s="2" t="s">
        <v>426</v>
      </c>
      <c r="S31" s="1" t="s">
        <v>427</v>
      </c>
      <c r="T31" s="2" t="s">
        <v>13</v>
      </c>
      <c r="U31" s="3">
        <v>3</v>
      </c>
      <c r="V31" s="3">
        <v>3</v>
      </c>
      <c r="W31" s="4" t="s">
        <v>428</v>
      </c>
      <c r="X31" s="4" t="s">
        <v>428</v>
      </c>
      <c r="Y31" s="4" t="s">
        <v>358</v>
      </c>
      <c r="Z31" s="4" t="s">
        <v>358</v>
      </c>
      <c r="AA31" s="3">
        <v>188</v>
      </c>
      <c r="AB31" s="3">
        <v>175</v>
      </c>
      <c r="AC31" s="3">
        <v>355</v>
      </c>
      <c r="AD31" s="3">
        <v>2</v>
      </c>
      <c r="AE31" s="3">
        <v>3</v>
      </c>
      <c r="AF31" s="3">
        <v>5</v>
      </c>
      <c r="AG31" s="3">
        <v>12</v>
      </c>
      <c r="AH31" s="3">
        <v>2</v>
      </c>
      <c r="AI31" s="3">
        <v>4</v>
      </c>
      <c r="AJ31" s="3">
        <v>0</v>
      </c>
      <c r="AK31" s="3">
        <v>1</v>
      </c>
      <c r="AL31" s="3">
        <v>3</v>
      </c>
      <c r="AM31" s="3">
        <v>7</v>
      </c>
      <c r="AN31" s="3">
        <v>1</v>
      </c>
      <c r="AO31" s="3">
        <v>2</v>
      </c>
      <c r="AP31" s="3">
        <v>0</v>
      </c>
      <c r="AQ31" s="3">
        <v>0</v>
      </c>
      <c r="AR31" s="2" t="s">
        <v>5</v>
      </c>
      <c r="AS31" s="2" t="s">
        <v>16</v>
      </c>
      <c r="AT31" s="5" t="str">
        <f>HYPERLINK("http://catalog.hathitrust.org/Record/006158277","HathiTrust Record")</f>
        <v>HathiTrust Record</v>
      </c>
      <c r="AU31" s="5" t="str">
        <f>HYPERLINK("https://creighton-primo.hosted.exlibrisgroup.com/primo-explore/search?tab=default_tab&amp;search_scope=EVERYTHING&amp;vid=01CRU&amp;lang=en_US&amp;offset=0&amp;query=any,contains,991001546979702656","Catalog Record")</f>
        <v>Catalog Record</v>
      </c>
      <c r="AV31" s="5" t="str">
        <f>HYPERLINK("http://www.worldcat.org/oclc/7924061","WorldCat Record")</f>
        <v>WorldCat Record</v>
      </c>
      <c r="AW31" s="2" t="s">
        <v>429</v>
      </c>
      <c r="AX31" s="2" t="s">
        <v>430</v>
      </c>
      <c r="AY31" s="2" t="s">
        <v>431</v>
      </c>
      <c r="AZ31" s="2" t="s">
        <v>431</v>
      </c>
      <c r="BA31" s="2" t="s">
        <v>432</v>
      </c>
      <c r="BB31" s="2" t="s">
        <v>21</v>
      </c>
      <c r="BD31" s="2" t="s">
        <v>433</v>
      </c>
      <c r="BE31" s="2" t="s">
        <v>434</v>
      </c>
      <c r="BF31" s="2" t="s">
        <v>435</v>
      </c>
    </row>
    <row r="32" spans="1:58" ht="41.25" customHeight="1" x14ac:dyDescent="0.25">
      <c r="A32" s="8" t="s">
        <v>5</v>
      </c>
      <c r="B32" s="1" t="s">
        <v>0</v>
      </c>
      <c r="C32" s="1" t="s">
        <v>1</v>
      </c>
      <c r="D32" s="1" t="s">
        <v>422</v>
      </c>
      <c r="E32" s="1" t="s">
        <v>423</v>
      </c>
      <c r="F32" s="1" t="s">
        <v>436</v>
      </c>
      <c r="H32" s="2" t="s">
        <v>5</v>
      </c>
      <c r="I32" s="2" t="s">
        <v>6</v>
      </c>
      <c r="J32" s="2" t="s">
        <v>5</v>
      </c>
      <c r="K32" s="2" t="s">
        <v>5</v>
      </c>
      <c r="L32" s="2" t="s">
        <v>7</v>
      </c>
      <c r="M32" s="1" t="s">
        <v>437</v>
      </c>
      <c r="N32" s="1" t="s">
        <v>368</v>
      </c>
      <c r="O32" s="2" t="s">
        <v>10</v>
      </c>
      <c r="Q32" s="2" t="s">
        <v>11</v>
      </c>
      <c r="R32" s="2" t="s">
        <v>93</v>
      </c>
      <c r="S32" s="1" t="s">
        <v>438</v>
      </c>
      <c r="T32" s="2" t="s">
        <v>13</v>
      </c>
      <c r="U32" s="3">
        <v>2</v>
      </c>
      <c r="V32" s="3">
        <v>2</v>
      </c>
      <c r="W32" s="4" t="s">
        <v>371</v>
      </c>
      <c r="X32" s="4" t="s">
        <v>371</v>
      </c>
      <c r="Y32" s="4" t="s">
        <v>372</v>
      </c>
      <c r="Z32" s="4" t="s">
        <v>372</v>
      </c>
      <c r="AA32" s="3">
        <v>21</v>
      </c>
      <c r="AB32" s="3">
        <v>21</v>
      </c>
      <c r="AC32" s="3">
        <v>26</v>
      </c>
      <c r="AD32" s="3">
        <v>1</v>
      </c>
      <c r="AE32" s="3">
        <v>1</v>
      </c>
      <c r="AF32" s="3">
        <v>2</v>
      </c>
      <c r="AG32" s="3">
        <v>3</v>
      </c>
      <c r="AH32" s="3">
        <v>0</v>
      </c>
      <c r="AI32" s="3">
        <v>0</v>
      </c>
      <c r="AJ32" s="3">
        <v>0</v>
      </c>
      <c r="AK32" s="3">
        <v>0</v>
      </c>
      <c r="AL32" s="3">
        <v>2</v>
      </c>
      <c r="AM32" s="3">
        <v>3</v>
      </c>
      <c r="AN32" s="3">
        <v>0</v>
      </c>
      <c r="AO32" s="3">
        <v>0</v>
      </c>
      <c r="AP32" s="3">
        <v>0</v>
      </c>
      <c r="AQ32" s="3">
        <v>0</v>
      </c>
      <c r="AR32" s="2" t="s">
        <v>5</v>
      </c>
      <c r="AS32" s="2" t="s">
        <v>5</v>
      </c>
      <c r="AU32" s="5" t="str">
        <f>HYPERLINK("https://creighton-primo.hosted.exlibrisgroup.com/primo-explore/search?tab=default_tab&amp;search_scope=EVERYTHING&amp;vid=01CRU&amp;lang=en_US&amp;offset=0&amp;query=any,contains,991000828939702656","Catalog Record")</f>
        <v>Catalog Record</v>
      </c>
      <c r="AV32" s="5" t="str">
        <f>HYPERLINK("http://www.worldcat.org/oclc/3098590","WorldCat Record")</f>
        <v>WorldCat Record</v>
      </c>
      <c r="AW32" s="2" t="s">
        <v>439</v>
      </c>
      <c r="AX32" s="2" t="s">
        <v>440</v>
      </c>
      <c r="AY32" s="2" t="s">
        <v>441</v>
      </c>
      <c r="AZ32" s="2" t="s">
        <v>441</v>
      </c>
      <c r="BA32" s="2" t="s">
        <v>442</v>
      </c>
      <c r="BB32" s="2" t="s">
        <v>21</v>
      </c>
      <c r="BE32" s="2" t="s">
        <v>443</v>
      </c>
      <c r="BF32" s="2" t="s">
        <v>444</v>
      </c>
    </row>
    <row r="33" spans="1:58" ht="41.25" customHeight="1" x14ac:dyDescent="0.25">
      <c r="A33" s="8" t="s">
        <v>5</v>
      </c>
      <c r="B33" s="1" t="s">
        <v>0</v>
      </c>
      <c r="C33" s="1" t="s">
        <v>1</v>
      </c>
      <c r="D33" s="1" t="s">
        <v>422</v>
      </c>
      <c r="E33" s="1" t="s">
        <v>423</v>
      </c>
      <c r="F33" s="1" t="s">
        <v>445</v>
      </c>
      <c r="H33" s="2" t="s">
        <v>5</v>
      </c>
      <c r="I33" s="2" t="s">
        <v>6</v>
      </c>
      <c r="J33" s="2" t="s">
        <v>5</v>
      </c>
      <c r="K33" s="2" t="s">
        <v>5</v>
      </c>
      <c r="L33" s="2" t="s">
        <v>7</v>
      </c>
      <c r="N33" s="1" t="s">
        <v>446</v>
      </c>
      <c r="O33" s="2" t="s">
        <v>354</v>
      </c>
      <c r="P33" s="1" t="s">
        <v>355</v>
      </c>
      <c r="Q33" s="2" t="s">
        <v>11</v>
      </c>
      <c r="R33" s="2" t="s">
        <v>271</v>
      </c>
      <c r="S33" s="1" t="s">
        <v>447</v>
      </c>
      <c r="T33" s="2" t="s">
        <v>13</v>
      </c>
      <c r="U33" s="3">
        <v>7</v>
      </c>
      <c r="V33" s="3">
        <v>7</v>
      </c>
      <c r="W33" s="4" t="s">
        <v>448</v>
      </c>
      <c r="X33" s="4" t="s">
        <v>448</v>
      </c>
      <c r="Y33" s="4" t="s">
        <v>358</v>
      </c>
      <c r="Z33" s="4" t="s">
        <v>358</v>
      </c>
      <c r="AA33" s="3">
        <v>227</v>
      </c>
      <c r="AB33" s="3">
        <v>191</v>
      </c>
      <c r="AC33" s="3">
        <v>194</v>
      </c>
      <c r="AD33" s="3">
        <v>4</v>
      </c>
      <c r="AE33" s="3">
        <v>4</v>
      </c>
      <c r="AF33" s="3">
        <v>9</v>
      </c>
      <c r="AG33" s="3">
        <v>9</v>
      </c>
      <c r="AH33" s="3">
        <v>1</v>
      </c>
      <c r="AI33" s="3">
        <v>1</v>
      </c>
      <c r="AJ33" s="3">
        <v>3</v>
      </c>
      <c r="AK33" s="3">
        <v>3</v>
      </c>
      <c r="AL33" s="3">
        <v>4</v>
      </c>
      <c r="AM33" s="3">
        <v>4</v>
      </c>
      <c r="AN33" s="3">
        <v>2</v>
      </c>
      <c r="AO33" s="3">
        <v>2</v>
      </c>
      <c r="AP33" s="3">
        <v>0</v>
      </c>
      <c r="AQ33" s="3">
        <v>0</v>
      </c>
      <c r="AR33" s="2" t="s">
        <v>5</v>
      </c>
      <c r="AS33" s="2" t="s">
        <v>16</v>
      </c>
      <c r="AT33" s="5" t="str">
        <f>HYPERLINK("http://catalog.hathitrust.org/Record/000221178","HathiTrust Record")</f>
        <v>HathiTrust Record</v>
      </c>
      <c r="AU33" s="5" t="str">
        <f>HYPERLINK("https://creighton-primo.hosted.exlibrisgroup.com/primo-explore/search?tab=default_tab&amp;search_scope=EVERYTHING&amp;vid=01CRU&amp;lang=en_US&amp;offset=0&amp;query=any,contains,991001546819702656","Catalog Record")</f>
        <v>Catalog Record</v>
      </c>
      <c r="AV33" s="5" t="str">
        <f>HYPERLINK("http://www.worldcat.org/oclc/6593945","WorldCat Record")</f>
        <v>WorldCat Record</v>
      </c>
      <c r="AW33" s="2" t="s">
        <v>449</v>
      </c>
      <c r="AX33" s="2" t="s">
        <v>450</v>
      </c>
      <c r="AY33" s="2" t="s">
        <v>451</v>
      </c>
      <c r="AZ33" s="2" t="s">
        <v>451</v>
      </c>
      <c r="BA33" s="2" t="s">
        <v>452</v>
      </c>
      <c r="BB33" s="2" t="s">
        <v>21</v>
      </c>
      <c r="BD33" s="2" t="s">
        <v>453</v>
      </c>
      <c r="BE33" s="2" t="s">
        <v>454</v>
      </c>
      <c r="BF33" s="2" t="s">
        <v>455</v>
      </c>
    </row>
    <row r="34" spans="1:58" ht="41.25" customHeight="1" x14ac:dyDescent="0.25">
      <c r="A34" s="8" t="s">
        <v>5</v>
      </c>
      <c r="B34" s="1" t="s">
        <v>0</v>
      </c>
      <c r="C34" s="1" t="s">
        <v>1</v>
      </c>
      <c r="D34" s="1" t="s">
        <v>514</v>
      </c>
      <c r="E34" s="1" t="s">
        <v>515</v>
      </c>
      <c r="F34" s="1" t="s">
        <v>516</v>
      </c>
      <c r="H34" s="2" t="s">
        <v>5</v>
      </c>
      <c r="I34" s="2" t="s">
        <v>6</v>
      </c>
      <c r="J34" s="2" t="s">
        <v>5</v>
      </c>
      <c r="K34" s="2" t="s">
        <v>5</v>
      </c>
      <c r="L34" s="2" t="s">
        <v>7</v>
      </c>
      <c r="M34" s="1" t="s">
        <v>517</v>
      </c>
      <c r="N34" s="1" t="s">
        <v>518</v>
      </c>
      <c r="O34" s="2" t="s">
        <v>393</v>
      </c>
      <c r="Q34" s="2" t="s">
        <v>11</v>
      </c>
      <c r="R34" s="2" t="s">
        <v>12</v>
      </c>
      <c r="S34" s="1" t="s">
        <v>519</v>
      </c>
      <c r="T34" s="2" t="s">
        <v>520</v>
      </c>
      <c r="U34" s="3">
        <v>3</v>
      </c>
      <c r="V34" s="3">
        <v>3</v>
      </c>
      <c r="W34" s="4" t="s">
        <v>521</v>
      </c>
      <c r="X34" s="4" t="s">
        <v>521</v>
      </c>
      <c r="Y34" s="4" t="s">
        <v>522</v>
      </c>
      <c r="Z34" s="4" t="s">
        <v>522</v>
      </c>
      <c r="AA34" s="3">
        <v>87</v>
      </c>
      <c r="AB34" s="3">
        <v>79</v>
      </c>
      <c r="AC34" s="3">
        <v>81</v>
      </c>
      <c r="AD34" s="3">
        <v>1</v>
      </c>
      <c r="AE34" s="3">
        <v>1</v>
      </c>
      <c r="AF34" s="3">
        <v>2</v>
      </c>
      <c r="AG34" s="3">
        <v>2</v>
      </c>
      <c r="AH34" s="3">
        <v>0</v>
      </c>
      <c r="AI34" s="3">
        <v>0</v>
      </c>
      <c r="AJ34" s="3">
        <v>0</v>
      </c>
      <c r="AK34" s="3">
        <v>0</v>
      </c>
      <c r="AL34" s="3">
        <v>2</v>
      </c>
      <c r="AM34" s="3">
        <v>2</v>
      </c>
      <c r="AN34" s="3">
        <v>0</v>
      </c>
      <c r="AO34" s="3">
        <v>0</v>
      </c>
      <c r="AP34" s="3">
        <v>0</v>
      </c>
      <c r="AQ34" s="3">
        <v>0</v>
      </c>
      <c r="AR34" s="2" t="s">
        <v>5</v>
      </c>
      <c r="AS34" s="2" t="s">
        <v>16</v>
      </c>
      <c r="AT34" s="5" t="str">
        <f>HYPERLINK("http://catalog.hathitrust.org/Record/001550547","HathiTrust Record")</f>
        <v>HathiTrust Record</v>
      </c>
      <c r="AU34" s="5" t="str">
        <f>HYPERLINK("https://creighton-primo.hosted.exlibrisgroup.com/primo-explore/search?tab=default_tab&amp;search_scope=EVERYTHING&amp;vid=01CRU&amp;lang=en_US&amp;offset=0&amp;query=any,contains,991001371589702656","Catalog Record")</f>
        <v>Catalog Record</v>
      </c>
      <c r="AV34" s="5" t="str">
        <f>HYPERLINK("http://www.worldcat.org/oclc/7441612","WorldCat Record")</f>
        <v>WorldCat Record</v>
      </c>
      <c r="AW34" s="2" t="s">
        <v>523</v>
      </c>
      <c r="AX34" s="2" t="s">
        <v>524</v>
      </c>
      <c r="AY34" s="2" t="s">
        <v>525</v>
      </c>
      <c r="AZ34" s="2" t="s">
        <v>525</v>
      </c>
      <c r="BA34" s="2" t="s">
        <v>526</v>
      </c>
      <c r="BB34" s="2" t="s">
        <v>21</v>
      </c>
      <c r="BE34" s="2" t="s">
        <v>527</v>
      </c>
      <c r="BF34" s="2" t="s">
        <v>528</v>
      </c>
    </row>
    <row r="35" spans="1:58" ht="41.25" customHeight="1" x14ac:dyDescent="0.25">
      <c r="A35" s="8" t="s">
        <v>5</v>
      </c>
      <c r="B35" s="1" t="s">
        <v>0</v>
      </c>
      <c r="C35" s="1" t="s">
        <v>1</v>
      </c>
      <c r="D35" s="1" t="s">
        <v>529</v>
      </c>
      <c r="E35" s="1" t="s">
        <v>530</v>
      </c>
      <c r="F35" s="1" t="s">
        <v>531</v>
      </c>
      <c r="H35" s="2" t="s">
        <v>5</v>
      </c>
      <c r="I35" s="2" t="s">
        <v>6</v>
      </c>
      <c r="J35" s="2" t="s">
        <v>5</v>
      </c>
      <c r="K35" s="2" t="s">
        <v>5</v>
      </c>
      <c r="L35" s="2" t="s">
        <v>7</v>
      </c>
      <c r="N35" s="1" t="s">
        <v>532</v>
      </c>
      <c r="O35" s="2" t="s">
        <v>151</v>
      </c>
      <c r="P35" s="1" t="s">
        <v>355</v>
      </c>
      <c r="Q35" s="2" t="s">
        <v>11</v>
      </c>
      <c r="R35" s="2" t="s">
        <v>271</v>
      </c>
      <c r="T35" s="2" t="s">
        <v>520</v>
      </c>
      <c r="U35" s="3">
        <v>1</v>
      </c>
      <c r="V35" s="3">
        <v>1</v>
      </c>
      <c r="W35" s="4" t="s">
        <v>533</v>
      </c>
      <c r="X35" s="4" t="s">
        <v>533</v>
      </c>
      <c r="Y35" s="4" t="s">
        <v>49</v>
      </c>
      <c r="Z35" s="4" t="s">
        <v>49</v>
      </c>
      <c r="AA35" s="3">
        <v>69</v>
      </c>
      <c r="AB35" s="3">
        <v>62</v>
      </c>
      <c r="AC35" s="3">
        <v>64</v>
      </c>
      <c r="AD35" s="3">
        <v>2</v>
      </c>
      <c r="AE35" s="3">
        <v>2</v>
      </c>
      <c r="AF35" s="3">
        <v>5</v>
      </c>
      <c r="AG35" s="3">
        <v>5</v>
      </c>
      <c r="AH35" s="3">
        <v>0</v>
      </c>
      <c r="AI35" s="3">
        <v>0</v>
      </c>
      <c r="AJ35" s="3">
        <v>0</v>
      </c>
      <c r="AK35" s="3">
        <v>0</v>
      </c>
      <c r="AL35" s="3">
        <v>4</v>
      </c>
      <c r="AM35" s="3">
        <v>4</v>
      </c>
      <c r="AN35" s="3">
        <v>1</v>
      </c>
      <c r="AO35" s="3">
        <v>1</v>
      </c>
      <c r="AP35" s="3">
        <v>0</v>
      </c>
      <c r="AQ35" s="3">
        <v>0</v>
      </c>
      <c r="AR35" s="2" t="s">
        <v>5</v>
      </c>
      <c r="AS35" s="2" t="s">
        <v>16</v>
      </c>
      <c r="AT35" s="5" t="str">
        <f>HYPERLINK("http://catalog.hathitrust.org/Record/000693894","HathiTrust Record")</f>
        <v>HathiTrust Record</v>
      </c>
      <c r="AU35" s="5" t="str">
        <f>HYPERLINK("https://creighton-primo.hosted.exlibrisgroup.com/primo-explore/search?tab=default_tab&amp;search_scope=EVERYTHING&amp;vid=01CRU&amp;lang=en_US&amp;offset=0&amp;query=any,contains,991001038739702656","Catalog Record")</f>
        <v>Catalog Record</v>
      </c>
      <c r="AV35" s="5" t="str">
        <f>HYPERLINK("http://www.worldcat.org/oclc/1992006","WorldCat Record")</f>
        <v>WorldCat Record</v>
      </c>
      <c r="AW35" s="2" t="s">
        <v>534</v>
      </c>
      <c r="AX35" s="2" t="s">
        <v>535</v>
      </c>
      <c r="AY35" s="2" t="s">
        <v>536</v>
      </c>
      <c r="AZ35" s="2" t="s">
        <v>536</v>
      </c>
      <c r="BA35" s="2" t="s">
        <v>537</v>
      </c>
      <c r="BB35" s="2" t="s">
        <v>21</v>
      </c>
      <c r="BD35" s="2" t="s">
        <v>538</v>
      </c>
      <c r="BE35" s="2" t="s">
        <v>539</v>
      </c>
      <c r="BF35" s="2" t="s">
        <v>540</v>
      </c>
    </row>
    <row r="36" spans="1:58" ht="41.25" customHeight="1" x14ac:dyDescent="0.25">
      <c r="A36" s="8" t="s">
        <v>5</v>
      </c>
      <c r="B36" s="1" t="s">
        <v>0</v>
      </c>
      <c r="C36" s="1" t="s">
        <v>1</v>
      </c>
      <c r="D36" s="1" t="s">
        <v>541</v>
      </c>
      <c r="E36" s="1" t="s">
        <v>542</v>
      </c>
      <c r="F36" s="1" t="s">
        <v>543</v>
      </c>
      <c r="H36" s="2" t="s">
        <v>5</v>
      </c>
      <c r="I36" s="2" t="s">
        <v>6</v>
      </c>
      <c r="J36" s="2" t="s">
        <v>5</v>
      </c>
      <c r="K36" s="2" t="s">
        <v>5</v>
      </c>
      <c r="L36" s="2" t="s">
        <v>7</v>
      </c>
      <c r="M36" s="1" t="s">
        <v>544</v>
      </c>
      <c r="N36" s="1" t="s">
        <v>545</v>
      </c>
      <c r="O36" s="2" t="s">
        <v>546</v>
      </c>
      <c r="Q36" s="2" t="s">
        <v>11</v>
      </c>
      <c r="R36" s="2" t="s">
        <v>78</v>
      </c>
      <c r="T36" s="2" t="s">
        <v>520</v>
      </c>
      <c r="U36" s="3">
        <v>8</v>
      </c>
      <c r="V36" s="3">
        <v>8</v>
      </c>
      <c r="W36" s="4" t="s">
        <v>547</v>
      </c>
      <c r="X36" s="4" t="s">
        <v>547</v>
      </c>
      <c r="Y36" s="4" t="s">
        <v>548</v>
      </c>
      <c r="Z36" s="4" t="s">
        <v>548</v>
      </c>
      <c r="AA36" s="3">
        <v>313</v>
      </c>
      <c r="AB36" s="3">
        <v>258</v>
      </c>
      <c r="AC36" s="3">
        <v>265</v>
      </c>
      <c r="AD36" s="3">
        <v>2</v>
      </c>
      <c r="AE36" s="3">
        <v>2</v>
      </c>
      <c r="AF36" s="3">
        <v>16</v>
      </c>
      <c r="AG36" s="3">
        <v>16</v>
      </c>
      <c r="AH36" s="3">
        <v>7</v>
      </c>
      <c r="AI36" s="3">
        <v>7</v>
      </c>
      <c r="AJ36" s="3">
        <v>3</v>
      </c>
      <c r="AK36" s="3">
        <v>3</v>
      </c>
      <c r="AL36" s="3">
        <v>9</v>
      </c>
      <c r="AM36" s="3">
        <v>9</v>
      </c>
      <c r="AN36" s="3">
        <v>1</v>
      </c>
      <c r="AO36" s="3">
        <v>1</v>
      </c>
      <c r="AP36" s="3">
        <v>0</v>
      </c>
      <c r="AQ36" s="3">
        <v>0</v>
      </c>
      <c r="AR36" s="2" t="s">
        <v>5</v>
      </c>
      <c r="AS36" s="2" t="s">
        <v>16</v>
      </c>
      <c r="AT36" s="5" t="str">
        <f>HYPERLINK("http://catalog.hathitrust.org/Record/002869110","HathiTrust Record")</f>
        <v>HathiTrust Record</v>
      </c>
      <c r="AU36" s="5" t="str">
        <f>HYPERLINK("https://creighton-primo.hosted.exlibrisgroup.com/primo-explore/search?tab=default_tab&amp;search_scope=EVERYTHING&amp;vid=01CRU&amp;lang=en_US&amp;offset=0&amp;query=any,contains,991000688369702656","Catalog Record")</f>
        <v>Catalog Record</v>
      </c>
      <c r="AV36" s="5" t="str">
        <f>HYPERLINK("http://www.worldcat.org/oclc/29912429","WorldCat Record")</f>
        <v>WorldCat Record</v>
      </c>
      <c r="AW36" s="2" t="s">
        <v>549</v>
      </c>
      <c r="AX36" s="2" t="s">
        <v>550</v>
      </c>
      <c r="AY36" s="2" t="s">
        <v>551</v>
      </c>
      <c r="AZ36" s="2" t="s">
        <v>551</v>
      </c>
      <c r="BA36" s="2" t="s">
        <v>552</v>
      </c>
      <c r="BB36" s="2" t="s">
        <v>21</v>
      </c>
      <c r="BD36" s="2" t="s">
        <v>553</v>
      </c>
      <c r="BE36" s="2" t="s">
        <v>554</v>
      </c>
      <c r="BF36" s="2" t="s">
        <v>555</v>
      </c>
    </row>
    <row r="37" spans="1:58" ht="41.25" customHeight="1" x14ac:dyDescent="0.25">
      <c r="A37" s="8" t="s">
        <v>5</v>
      </c>
      <c r="B37" s="1" t="s">
        <v>0</v>
      </c>
      <c r="C37" s="1" t="s">
        <v>1</v>
      </c>
      <c r="D37" s="1" t="s">
        <v>556</v>
      </c>
      <c r="E37" s="1" t="s">
        <v>557</v>
      </c>
      <c r="F37" s="1" t="s">
        <v>558</v>
      </c>
      <c r="H37" s="2" t="s">
        <v>5</v>
      </c>
      <c r="I37" s="2" t="s">
        <v>6</v>
      </c>
      <c r="J37" s="2" t="s">
        <v>5</v>
      </c>
      <c r="K37" s="2" t="s">
        <v>5</v>
      </c>
      <c r="L37" s="2" t="s">
        <v>7</v>
      </c>
      <c r="M37" s="1" t="s">
        <v>559</v>
      </c>
      <c r="N37" s="1" t="s">
        <v>560</v>
      </c>
      <c r="O37" s="2" t="s">
        <v>561</v>
      </c>
      <c r="Q37" s="2" t="s">
        <v>11</v>
      </c>
      <c r="R37" s="2" t="s">
        <v>12</v>
      </c>
      <c r="T37" s="2" t="s">
        <v>520</v>
      </c>
      <c r="U37" s="3">
        <v>1</v>
      </c>
      <c r="V37" s="3">
        <v>1</v>
      </c>
      <c r="W37" s="4" t="s">
        <v>562</v>
      </c>
      <c r="X37" s="4" t="s">
        <v>562</v>
      </c>
      <c r="Y37" s="4" t="s">
        <v>49</v>
      </c>
      <c r="Z37" s="4" t="s">
        <v>49</v>
      </c>
      <c r="AA37" s="3">
        <v>197</v>
      </c>
      <c r="AB37" s="3">
        <v>172</v>
      </c>
      <c r="AC37" s="3">
        <v>175</v>
      </c>
      <c r="AD37" s="3">
        <v>2</v>
      </c>
      <c r="AE37" s="3">
        <v>2</v>
      </c>
      <c r="AF37" s="3">
        <v>10</v>
      </c>
      <c r="AG37" s="3">
        <v>10</v>
      </c>
      <c r="AH37" s="3">
        <v>1</v>
      </c>
      <c r="AI37" s="3">
        <v>1</v>
      </c>
      <c r="AJ37" s="3">
        <v>3</v>
      </c>
      <c r="AK37" s="3">
        <v>3</v>
      </c>
      <c r="AL37" s="3">
        <v>6</v>
      </c>
      <c r="AM37" s="3">
        <v>6</v>
      </c>
      <c r="AN37" s="3">
        <v>1</v>
      </c>
      <c r="AO37" s="3">
        <v>1</v>
      </c>
      <c r="AP37" s="3">
        <v>0</v>
      </c>
      <c r="AQ37" s="3">
        <v>0</v>
      </c>
      <c r="AR37" s="2" t="s">
        <v>5</v>
      </c>
      <c r="AS37" s="2" t="s">
        <v>16</v>
      </c>
      <c r="AT37" s="5" t="str">
        <f>HYPERLINK("http://catalog.hathitrust.org/Record/001574425","HathiTrust Record")</f>
        <v>HathiTrust Record</v>
      </c>
      <c r="AU37" s="5" t="str">
        <f>HYPERLINK("https://creighton-primo.hosted.exlibrisgroup.com/primo-explore/search?tab=default_tab&amp;search_scope=EVERYTHING&amp;vid=01CRU&amp;lang=en_US&amp;offset=0&amp;query=any,contains,991001038849702656","Catalog Record")</f>
        <v>Catalog Record</v>
      </c>
      <c r="AV37" s="5" t="str">
        <f>HYPERLINK("http://www.worldcat.org/oclc/712012","WorldCat Record")</f>
        <v>WorldCat Record</v>
      </c>
      <c r="AW37" s="2" t="s">
        <v>563</v>
      </c>
      <c r="AX37" s="2" t="s">
        <v>564</v>
      </c>
      <c r="AY37" s="2" t="s">
        <v>565</v>
      </c>
      <c r="AZ37" s="2" t="s">
        <v>565</v>
      </c>
      <c r="BA37" s="2" t="s">
        <v>566</v>
      </c>
      <c r="BB37" s="2" t="s">
        <v>21</v>
      </c>
      <c r="BE37" s="2" t="s">
        <v>567</v>
      </c>
      <c r="BF37" s="2" t="s">
        <v>568</v>
      </c>
    </row>
    <row r="38" spans="1:58" ht="41.25" customHeight="1" x14ac:dyDescent="0.25">
      <c r="A38" s="8" t="s">
        <v>5</v>
      </c>
      <c r="B38" s="1" t="s">
        <v>0</v>
      </c>
      <c r="C38" s="1" t="s">
        <v>1</v>
      </c>
      <c r="D38" s="1" t="s">
        <v>569</v>
      </c>
      <c r="E38" s="1" t="s">
        <v>570</v>
      </c>
      <c r="F38" s="1" t="s">
        <v>571</v>
      </c>
      <c r="H38" s="2" t="s">
        <v>5</v>
      </c>
      <c r="I38" s="2" t="s">
        <v>6</v>
      </c>
      <c r="J38" s="2" t="s">
        <v>5</v>
      </c>
      <c r="K38" s="2" t="s">
        <v>5</v>
      </c>
      <c r="L38" s="2" t="s">
        <v>7</v>
      </c>
      <c r="M38" s="1" t="s">
        <v>572</v>
      </c>
      <c r="N38" s="1" t="s">
        <v>573</v>
      </c>
      <c r="O38" s="2" t="s">
        <v>574</v>
      </c>
      <c r="Q38" s="2" t="s">
        <v>11</v>
      </c>
      <c r="R38" s="2" t="s">
        <v>575</v>
      </c>
      <c r="T38" s="2" t="s">
        <v>520</v>
      </c>
      <c r="U38" s="3">
        <v>3</v>
      </c>
      <c r="V38" s="3">
        <v>3</v>
      </c>
      <c r="W38" s="4" t="s">
        <v>576</v>
      </c>
      <c r="X38" s="4" t="s">
        <v>576</v>
      </c>
      <c r="Y38" s="4" t="s">
        <v>577</v>
      </c>
      <c r="Z38" s="4" t="s">
        <v>577</v>
      </c>
      <c r="AA38" s="3">
        <v>59</v>
      </c>
      <c r="AB38" s="3">
        <v>55</v>
      </c>
      <c r="AC38" s="3">
        <v>58</v>
      </c>
      <c r="AD38" s="3">
        <v>1</v>
      </c>
      <c r="AE38" s="3">
        <v>1</v>
      </c>
      <c r="AF38" s="3">
        <v>3</v>
      </c>
      <c r="AG38" s="3">
        <v>3</v>
      </c>
      <c r="AH38" s="3">
        <v>0</v>
      </c>
      <c r="AI38" s="3">
        <v>0</v>
      </c>
      <c r="AJ38" s="3">
        <v>1</v>
      </c>
      <c r="AK38" s="3">
        <v>1</v>
      </c>
      <c r="AL38" s="3">
        <v>2</v>
      </c>
      <c r="AM38" s="3">
        <v>2</v>
      </c>
      <c r="AN38" s="3">
        <v>0</v>
      </c>
      <c r="AO38" s="3">
        <v>0</v>
      </c>
      <c r="AP38" s="3">
        <v>0</v>
      </c>
      <c r="AQ38" s="3">
        <v>0</v>
      </c>
      <c r="AR38" s="2" t="s">
        <v>5</v>
      </c>
      <c r="AS38" s="2" t="s">
        <v>5</v>
      </c>
      <c r="AT38" s="5" t="str">
        <f>HYPERLINK("http://catalog.hathitrust.org/Record/002071876","HathiTrust Record")</f>
        <v>HathiTrust Record</v>
      </c>
      <c r="AU38" s="5" t="str">
        <f>HYPERLINK("https://creighton-primo.hosted.exlibrisgroup.com/primo-explore/search?tab=default_tab&amp;search_scope=EVERYTHING&amp;vid=01CRU&amp;lang=en_US&amp;offset=0&amp;query=any,contains,991001360889702656","Catalog Record")</f>
        <v>Catalog Record</v>
      </c>
      <c r="AV38" s="5" t="str">
        <f>HYPERLINK("http://www.worldcat.org/oclc/1627495","WorldCat Record")</f>
        <v>WorldCat Record</v>
      </c>
      <c r="AW38" s="2" t="s">
        <v>578</v>
      </c>
      <c r="AX38" s="2" t="s">
        <v>579</v>
      </c>
      <c r="AY38" s="2" t="s">
        <v>580</v>
      </c>
      <c r="AZ38" s="2" t="s">
        <v>580</v>
      </c>
      <c r="BA38" s="2" t="s">
        <v>581</v>
      </c>
      <c r="BB38" s="2" t="s">
        <v>21</v>
      </c>
      <c r="BE38" s="2" t="s">
        <v>582</v>
      </c>
      <c r="BF38" s="2" t="s">
        <v>583</v>
      </c>
    </row>
    <row r="39" spans="1:58" ht="41.25" customHeight="1" x14ac:dyDescent="0.25">
      <c r="A39" s="8" t="s">
        <v>5</v>
      </c>
      <c r="B39" s="1" t="s">
        <v>0</v>
      </c>
      <c r="C39" s="1" t="s">
        <v>1</v>
      </c>
      <c r="D39" s="1" t="s">
        <v>584</v>
      </c>
      <c r="E39" s="1" t="s">
        <v>585</v>
      </c>
      <c r="F39" s="1" t="s">
        <v>586</v>
      </c>
      <c r="H39" s="2" t="s">
        <v>5</v>
      </c>
      <c r="I39" s="2" t="s">
        <v>6</v>
      </c>
      <c r="J39" s="2" t="s">
        <v>5</v>
      </c>
      <c r="K39" s="2" t="s">
        <v>5</v>
      </c>
      <c r="L39" s="2" t="s">
        <v>7</v>
      </c>
      <c r="N39" s="1" t="s">
        <v>587</v>
      </c>
      <c r="O39" s="2" t="s">
        <v>354</v>
      </c>
      <c r="Q39" s="2" t="s">
        <v>11</v>
      </c>
      <c r="R39" s="2" t="s">
        <v>12</v>
      </c>
      <c r="T39" s="2" t="s">
        <v>520</v>
      </c>
      <c r="U39" s="3">
        <v>7</v>
      </c>
      <c r="V39" s="3">
        <v>7</v>
      </c>
      <c r="W39" s="4" t="s">
        <v>588</v>
      </c>
      <c r="X39" s="4" t="s">
        <v>588</v>
      </c>
      <c r="Y39" s="4" t="s">
        <v>15</v>
      </c>
      <c r="Z39" s="4" t="s">
        <v>15</v>
      </c>
      <c r="AA39" s="3">
        <v>208</v>
      </c>
      <c r="AB39" s="3">
        <v>170</v>
      </c>
      <c r="AC39" s="3">
        <v>198</v>
      </c>
      <c r="AD39" s="3">
        <v>2</v>
      </c>
      <c r="AE39" s="3">
        <v>2</v>
      </c>
      <c r="AF39" s="3">
        <v>5</v>
      </c>
      <c r="AG39" s="3">
        <v>6</v>
      </c>
      <c r="AH39" s="3">
        <v>0</v>
      </c>
      <c r="AI39" s="3">
        <v>0</v>
      </c>
      <c r="AJ39" s="3">
        <v>1</v>
      </c>
      <c r="AK39" s="3">
        <v>2</v>
      </c>
      <c r="AL39" s="3">
        <v>4</v>
      </c>
      <c r="AM39" s="3">
        <v>4</v>
      </c>
      <c r="AN39" s="3">
        <v>1</v>
      </c>
      <c r="AO39" s="3">
        <v>1</v>
      </c>
      <c r="AP39" s="3">
        <v>0</v>
      </c>
      <c r="AQ39" s="3">
        <v>0</v>
      </c>
      <c r="AR39" s="2" t="s">
        <v>5</v>
      </c>
      <c r="AS39" s="2" t="s">
        <v>16</v>
      </c>
      <c r="AT39" s="5" t="str">
        <f>HYPERLINK("http://catalog.hathitrust.org/Record/000043826","HathiTrust Record")</f>
        <v>HathiTrust Record</v>
      </c>
      <c r="AU39" s="5" t="str">
        <f>HYPERLINK("https://creighton-primo.hosted.exlibrisgroup.com/primo-explore/search?tab=default_tab&amp;search_scope=EVERYTHING&amp;vid=01CRU&amp;lang=en_US&amp;offset=0&amp;query=any,contains,991001038879702656","Catalog Record")</f>
        <v>Catalog Record</v>
      </c>
      <c r="AV39" s="5" t="str">
        <f>HYPERLINK("http://www.worldcat.org/oclc/5029605","WorldCat Record")</f>
        <v>WorldCat Record</v>
      </c>
      <c r="AW39" s="2" t="s">
        <v>589</v>
      </c>
      <c r="AX39" s="2" t="s">
        <v>590</v>
      </c>
      <c r="AY39" s="2" t="s">
        <v>591</v>
      </c>
      <c r="AZ39" s="2" t="s">
        <v>591</v>
      </c>
      <c r="BA39" s="2" t="s">
        <v>592</v>
      </c>
      <c r="BB39" s="2" t="s">
        <v>21</v>
      </c>
      <c r="BD39" s="2" t="s">
        <v>593</v>
      </c>
      <c r="BE39" s="2" t="s">
        <v>594</v>
      </c>
      <c r="BF39" s="2" t="s">
        <v>595</v>
      </c>
    </row>
    <row r="40" spans="1:58" ht="41.25" customHeight="1" x14ac:dyDescent="0.25">
      <c r="A40" s="8" t="s">
        <v>5</v>
      </c>
      <c r="B40" s="1" t="s">
        <v>0</v>
      </c>
      <c r="C40" s="1" t="s">
        <v>1</v>
      </c>
      <c r="D40" s="1" t="s">
        <v>596</v>
      </c>
      <c r="E40" s="1" t="s">
        <v>597</v>
      </c>
      <c r="F40" s="1" t="s">
        <v>598</v>
      </c>
      <c r="H40" s="2" t="s">
        <v>5</v>
      </c>
      <c r="I40" s="2" t="s">
        <v>6</v>
      </c>
      <c r="J40" s="2" t="s">
        <v>5</v>
      </c>
      <c r="K40" s="2" t="s">
        <v>5</v>
      </c>
      <c r="L40" s="2" t="s">
        <v>7</v>
      </c>
      <c r="M40" s="1" t="s">
        <v>599</v>
      </c>
      <c r="N40" s="1" t="s">
        <v>600</v>
      </c>
      <c r="O40" s="2" t="s">
        <v>601</v>
      </c>
      <c r="Q40" s="2" t="s">
        <v>11</v>
      </c>
      <c r="R40" s="2" t="s">
        <v>12</v>
      </c>
      <c r="S40" s="1" t="s">
        <v>602</v>
      </c>
      <c r="T40" s="2" t="s">
        <v>520</v>
      </c>
      <c r="U40" s="3">
        <v>3</v>
      </c>
      <c r="V40" s="3">
        <v>3</v>
      </c>
      <c r="W40" s="4" t="s">
        <v>603</v>
      </c>
      <c r="X40" s="4" t="s">
        <v>603</v>
      </c>
      <c r="Y40" s="4" t="s">
        <v>604</v>
      </c>
      <c r="Z40" s="4" t="s">
        <v>604</v>
      </c>
      <c r="AA40" s="3">
        <v>274</v>
      </c>
      <c r="AB40" s="3">
        <v>251</v>
      </c>
      <c r="AC40" s="3">
        <v>253</v>
      </c>
      <c r="AD40" s="3">
        <v>4</v>
      </c>
      <c r="AE40" s="3">
        <v>4</v>
      </c>
      <c r="AF40" s="3">
        <v>16</v>
      </c>
      <c r="AG40" s="3">
        <v>16</v>
      </c>
      <c r="AH40" s="3">
        <v>4</v>
      </c>
      <c r="AI40" s="3">
        <v>4</v>
      </c>
      <c r="AJ40" s="3">
        <v>6</v>
      </c>
      <c r="AK40" s="3">
        <v>6</v>
      </c>
      <c r="AL40" s="3">
        <v>7</v>
      </c>
      <c r="AM40" s="3">
        <v>7</v>
      </c>
      <c r="AN40" s="3">
        <v>2</v>
      </c>
      <c r="AO40" s="3">
        <v>2</v>
      </c>
      <c r="AP40" s="3">
        <v>0</v>
      </c>
      <c r="AQ40" s="3">
        <v>0</v>
      </c>
      <c r="AR40" s="2" t="s">
        <v>5</v>
      </c>
      <c r="AS40" s="2" t="s">
        <v>16</v>
      </c>
      <c r="AT40" s="5" t="str">
        <f>HYPERLINK("http://catalog.hathitrust.org/Record/002994742","HathiTrust Record")</f>
        <v>HathiTrust Record</v>
      </c>
      <c r="AU40" s="5" t="str">
        <f>HYPERLINK("https://creighton-primo.hosted.exlibrisgroup.com/primo-explore/search?tab=default_tab&amp;search_scope=EVERYTHING&amp;vid=01CRU&amp;lang=en_US&amp;offset=0&amp;query=any,contains,991000255809702656","Catalog Record")</f>
        <v>Catalog Record</v>
      </c>
      <c r="AV40" s="5" t="str">
        <f>HYPERLINK("http://www.worldcat.org/oclc/32764404","WorldCat Record")</f>
        <v>WorldCat Record</v>
      </c>
      <c r="AW40" s="2" t="s">
        <v>605</v>
      </c>
      <c r="AX40" s="2" t="s">
        <v>606</v>
      </c>
      <c r="AY40" s="2" t="s">
        <v>607</v>
      </c>
      <c r="AZ40" s="2" t="s">
        <v>607</v>
      </c>
      <c r="BA40" s="2" t="s">
        <v>608</v>
      </c>
      <c r="BB40" s="2" t="s">
        <v>21</v>
      </c>
      <c r="BD40" s="2" t="s">
        <v>609</v>
      </c>
      <c r="BE40" s="2" t="s">
        <v>610</v>
      </c>
      <c r="BF40" s="2" t="s">
        <v>611</v>
      </c>
    </row>
    <row r="41" spans="1:58" ht="41.25" customHeight="1" x14ac:dyDescent="0.25">
      <c r="A41" s="8" t="s">
        <v>5</v>
      </c>
      <c r="B41" s="1" t="s">
        <v>0</v>
      </c>
      <c r="C41" s="1" t="s">
        <v>1</v>
      </c>
      <c r="D41" s="1" t="s">
        <v>612</v>
      </c>
      <c r="E41" s="1" t="s">
        <v>613</v>
      </c>
      <c r="F41" s="1" t="s">
        <v>614</v>
      </c>
      <c r="H41" s="2" t="s">
        <v>5</v>
      </c>
      <c r="I41" s="2" t="s">
        <v>6</v>
      </c>
      <c r="J41" s="2" t="s">
        <v>5</v>
      </c>
      <c r="K41" s="2" t="s">
        <v>5</v>
      </c>
      <c r="L41" s="2" t="s">
        <v>7</v>
      </c>
      <c r="M41" s="1" t="s">
        <v>615</v>
      </c>
      <c r="N41" s="1" t="s">
        <v>616</v>
      </c>
      <c r="O41" s="2" t="s">
        <v>617</v>
      </c>
      <c r="Q41" s="2" t="s">
        <v>11</v>
      </c>
      <c r="R41" s="2" t="s">
        <v>12</v>
      </c>
      <c r="T41" s="2" t="s">
        <v>520</v>
      </c>
      <c r="U41" s="3">
        <v>2</v>
      </c>
      <c r="V41" s="3">
        <v>2</v>
      </c>
      <c r="W41" s="4" t="s">
        <v>562</v>
      </c>
      <c r="X41" s="4" t="s">
        <v>562</v>
      </c>
      <c r="Y41" s="4" t="s">
        <v>49</v>
      </c>
      <c r="Z41" s="4" t="s">
        <v>49</v>
      </c>
      <c r="AA41" s="3">
        <v>66</v>
      </c>
      <c r="AB41" s="3">
        <v>57</v>
      </c>
      <c r="AC41" s="3">
        <v>58</v>
      </c>
      <c r="AD41" s="3">
        <v>1</v>
      </c>
      <c r="AE41" s="3">
        <v>1</v>
      </c>
      <c r="AF41" s="3">
        <v>4</v>
      </c>
      <c r="AG41" s="3">
        <v>4</v>
      </c>
      <c r="AH41" s="3">
        <v>0</v>
      </c>
      <c r="AI41" s="3">
        <v>0</v>
      </c>
      <c r="AJ41" s="3">
        <v>0</v>
      </c>
      <c r="AK41" s="3">
        <v>0</v>
      </c>
      <c r="AL41" s="3">
        <v>4</v>
      </c>
      <c r="AM41" s="3">
        <v>4</v>
      </c>
      <c r="AN41" s="3">
        <v>0</v>
      </c>
      <c r="AO41" s="3">
        <v>0</v>
      </c>
      <c r="AP41" s="3">
        <v>0</v>
      </c>
      <c r="AQ41" s="3">
        <v>0</v>
      </c>
      <c r="AR41" s="2" t="s">
        <v>5</v>
      </c>
      <c r="AS41" s="2" t="s">
        <v>16</v>
      </c>
      <c r="AT41" s="5" t="str">
        <f>HYPERLINK("http://catalog.hathitrust.org/Record/101665838","HathiTrust Record")</f>
        <v>HathiTrust Record</v>
      </c>
      <c r="AU41" s="5" t="str">
        <f>HYPERLINK("https://creighton-primo.hosted.exlibrisgroup.com/primo-explore/search?tab=default_tab&amp;search_scope=EVERYTHING&amp;vid=01CRU&amp;lang=en_US&amp;offset=0&amp;query=any,contains,991001039109702656","Catalog Record")</f>
        <v>Catalog Record</v>
      </c>
      <c r="AV41" s="5" t="str">
        <f>HYPERLINK("http://www.worldcat.org/oclc/7603627","WorldCat Record")</f>
        <v>WorldCat Record</v>
      </c>
      <c r="AW41" s="2" t="s">
        <v>618</v>
      </c>
      <c r="AX41" s="2" t="s">
        <v>619</v>
      </c>
      <c r="AY41" s="2" t="s">
        <v>620</v>
      </c>
      <c r="AZ41" s="2" t="s">
        <v>620</v>
      </c>
      <c r="BA41" s="2" t="s">
        <v>621</v>
      </c>
      <c r="BB41" s="2" t="s">
        <v>21</v>
      </c>
      <c r="BE41" s="2" t="s">
        <v>622</v>
      </c>
      <c r="BF41" s="2" t="s">
        <v>623</v>
      </c>
    </row>
    <row r="42" spans="1:58" ht="41.25" customHeight="1" x14ac:dyDescent="0.25">
      <c r="A42" s="8" t="s">
        <v>5</v>
      </c>
      <c r="B42" s="1" t="s">
        <v>0</v>
      </c>
      <c r="C42" s="1" t="s">
        <v>1</v>
      </c>
      <c r="D42" s="1" t="s">
        <v>624</v>
      </c>
      <c r="E42" s="1" t="s">
        <v>625</v>
      </c>
      <c r="F42" s="1" t="s">
        <v>626</v>
      </c>
      <c r="H42" s="2" t="s">
        <v>5</v>
      </c>
      <c r="I42" s="2" t="s">
        <v>6</v>
      </c>
      <c r="J42" s="2" t="s">
        <v>5</v>
      </c>
      <c r="K42" s="2" t="s">
        <v>5</v>
      </c>
      <c r="L42" s="2" t="s">
        <v>7</v>
      </c>
      <c r="M42" s="1" t="s">
        <v>627</v>
      </c>
      <c r="N42" s="1" t="s">
        <v>628</v>
      </c>
      <c r="O42" s="2" t="s">
        <v>285</v>
      </c>
      <c r="Q42" s="2" t="s">
        <v>11</v>
      </c>
      <c r="R42" s="2" t="s">
        <v>31</v>
      </c>
      <c r="T42" s="2" t="s">
        <v>520</v>
      </c>
      <c r="U42" s="3">
        <v>1</v>
      </c>
      <c r="V42" s="3">
        <v>1</v>
      </c>
      <c r="W42" s="4" t="s">
        <v>562</v>
      </c>
      <c r="X42" s="4" t="s">
        <v>562</v>
      </c>
      <c r="Y42" s="4" t="s">
        <v>183</v>
      </c>
      <c r="Z42" s="4" t="s">
        <v>183</v>
      </c>
      <c r="AA42" s="3">
        <v>224</v>
      </c>
      <c r="AB42" s="3">
        <v>172</v>
      </c>
      <c r="AC42" s="3">
        <v>183</v>
      </c>
      <c r="AD42" s="3">
        <v>4</v>
      </c>
      <c r="AE42" s="3">
        <v>4</v>
      </c>
      <c r="AF42" s="3">
        <v>11</v>
      </c>
      <c r="AG42" s="3">
        <v>11</v>
      </c>
      <c r="AH42" s="3">
        <v>4</v>
      </c>
      <c r="AI42" s="3">
        <v>4</v>
      </c>
      <c r="AJ42" s="3">
        <v>0</v>
      </c>
      <c r="AK42" s="3">
        <v>0</v>
      </c>
      <c r="AL42" s="3">
        <v>6</v>
      </c>
      <c r="AM42" s="3">
        <v>6</v>
      </c>
      <c r="AN42" s="3">
        <v>3</v>
      </c>
      <c r="AO42" s="3">
        <v>3</v>
      </c>
      <c r="AP42" s="3">
        <v>0</v>
      </c>
      <c r="AQ42" s="3">
        <v>0</v>
      </c>
      <c r="AR42" s="2" t="s">
        <v>5</v>
      </c>
      <c r="AS42" s="2" t="s">
        <v>16</v>
      </c>
      <c r="AT42" s="5" t="str">
        <f>HYPERLINK("http://catalog.hathitrust.org/Record/000255652","HathiTrust Record")</f>
        <v>HathiTrust Record</v>
      </c>
      <c r="AU42" s="5" t="str">
        <f>HYPERLINK("https://creighton-primo.hosted.exlibrisgroup.com/primo-explore/search?tab=default_tab&amp;search_scope=EVERYTHING&amp;vid=01CRU&amp;lang=en_US&amp;offset=0&amp;query=any,contains,991001036829702656","Catalog Record")</f>
        <v>Catalog Record</v>
      </c>
      <c r="AV42" s="5" t="str">
        <f>HYPERLINK("http://www.worldcat.org/oclc/4492952","WorldCat Record")</f>
        <v>WorldCat Record</v>
      </c>
      <c r="AW42" s="2" t="s">
        <v>629</v>
      </c>
      <c r="AX42" s="2" t="s">
        <v>630</v>
      </c>
      <c r="AY42" s="2" t="s">
        <v>631</v>
      </c>
      <c r="AZ42" s="2" t="s">
        <v>631</v>
      </c>
      <c r="BA42" s="2" t="s">
        <v>632</v>
      </c>
      <c r="BB42" s="2" t="s">
        <v>21</v>
      </c>
      <c r="BD42" s="2" t="s">
        <v>633</v>
      </c>
      <c r="BE42" s="2" t="s">
        <v>634</v>
      </c>
      <c r="BF42" s="2" t="s">
        <v>635</v>
      </c>
    </row>
    <row r="43" spans="1:58" ht="41.25" customHeight="1" x14ac:dyDescent="0.25">
      <c r="A43" s="8" t="s">
        <v>5</v>
      </c>
      <c r="B43" s="1" t="s">
        <v>0</v>
      </c>
      <c r="C43" s="1" t="s">
        <v>1</v>
      </c>
      <c r="D43" s="1" t="s">
        <v>636</v>
      </c>
      <c r="E43" s="1" t="s">
        <v>637</v>
      </c>
      <c r="F43" s="1" t="s">
        <v>638</v>
      </c>
      <c r="H43" s="2" t="s">
        <v>5</v>
      </c>
      <c r="I43" s="2" t="s">
        <v>6</v>
      </c>
      <c r="J43" s="2" t="s">
        <v>5</v>
      </c>
      <c r="K43" s="2" t="s">
        <v>16</v>
      </c>
      <c r="L43" s="2" t="s">
        <v>7</v>
      </c>
      <c r="M43" s="1" t="s">
        <v>639</v>
      </c>
      <c r="N43" s="1" t="s">
        <v>640</v>
      </c>
      <c r="O43" s="2" t="s">
        <v>136</v>
      </c>
      <c r="P43" s="1" t="s">
        <v>211</v>
      </c>
      <c r="Q43" s="2" t="s">
        <v>11</v>
      </c>
      <c r="R43" s="2" t="s">
        <v>78</v>
      </c>
      <c r="S43" s="1" t="s">
        <v>641</v>
      </c>
      <c r="T43" s="2" t="s">
        <v>520</v>
      </c>
      <c r="U43" s="3">
        <v>3</v>
      </c>
      <c r="V43" s="3">
        <v>3</v>
      </c>
      <c r="W43" s="4" t="s">
        <v>603</v>
      </c>
      <c r="X43" s="4" t="s">
        <v>603</v>
      </c>
      <c r="Y43" s="4" t="s">
        <v>604</v>
      </c>
      <c r="Z43" s="4" t="s">
        <v>604</v>
      </c>
      <c r="AA43" s="3">
        <v>513</v>
      </c>
      <c r="AB43" s="3">
        <v>500</v>
      </c>
      <c r="AC43" s="3">
        <v>863</v>
      </c>
      <c r="AD43" s="3">
        <v>4</v>
      </c>
      <c r="AE43" s="3">
        <v>9</v>
      </c>
      <c r="AF43" s="3">
        <v>16</v>
      </c>
      <c r="AG43" s="3">
        <v>36</v>
      </c>
      <c r="AH43" s="3">
        <v>7</v>
      </c>
      <c r="AI43" s="3">
        <v>12</v>
      </c>
      <c r="AJ43" s="3">
        <v>3</v>
      </c>
      <c r="AK43" s="3">
        <v>8</v>
      </c>
      <c r="AL43" s="3">
        <v>7</v>
      </c>
      <c r="AM43" s="3">
        <v>14</v>
      </c>
      <c r="AN43" s="3">
        <v>2</v>
      </c>
      <c r="AO43" s="3">
        <v>6</v>
      </c>
      <c r="AP43" s="3">
        <v>0</v>
      </c>
      <c r="AQ43" s="3">
        <v>0</v>
      </c>
      <c r="AR43" s="2" t="s">
        <v>5</v>
      </c>
      <c r="AS43" s="2" t="s">
        <v>16</v>
      </c>
      <c r="AT43" s="5" t="str">
        <f>HYPERLINK("http://catalog.hathitrust.org/Record/002652130","HathiTrust Record")</f>
        <v>HathiTrust Record</v>
      </c>
      <c r="AU43" s="5" t="str">
        <f>HYPERLINK("https://creighton-primo.hosted.exlibrisgroup.com/primo-explore/search?tab=default_tab&amp;search_scope=EVERYTHING&amp;vid=01CRU&amp;lang=en_US&amp;offset=0&amp;query=any,contains,991000232029702656","Catalog Record")</f>
        <v>Catalog Record</v>
      </c>
      <c r="AV43" s="5" t="str">
        <f>HYPERLINK("http://www.worldcat.org/oclc/24941653","WorldCat Record")</f>
        <v>WorldCat Record</v>
      </c>
      <c r="AW43" s="2" t="s">
        <v>642</v>
      </c>
      <c r="AX43" s="2" t="s">
        <v>643</v>
      </c>
      <c r="AY43" s="2" t="s">
        <v>644</v>
      </c>
      <c r="AZ43" s="2" t="s">
        <v>644</v>
      </c>
      <c r="BA43" s="2" t="s">
        <v>645</v>
      </c>
      <c r="BB43" s="2" t="s">
        <v>21</v>
      </c>
      <c r="BD43" s="2" t="s">
        <v>646</v>
      </c>
      <c r="BE43" s="2" t="s">
        <v>647</v>
      </c>
      <c r="BF43" s="2" t="s">
        <v>648</v>
      </c>
    </row>
    <row r="44" spans="1:58" ht="41.25" customHeight="1" x14ac:dyDescent="0.25">
      <c r="A44" s="8" t="s">
        <v>5</v>
      </c>
      <c r="B44" s="1" t="s">
        <v>0</v>
      </c>
      <c r="C44" s="1" t="s">
        <v>1</v>
      </c>
      <c r="D44" s="1" t="s">
        <v>649</v>
      </c>
      <c r="E44" s="1" t="s">
        <v>650</v>
      </c>
      <c r="F44" s="1" t="s">
        <v>651</v>
      </c>
      <c r="H44" s="2" t="s">
        <v>5</v>
      </c>
      <c r="I44" s="2" t="s">
        <v>6</v>
      </c>
      <c r="J44" s="2" t="s">
        <v>5</v>
      </c>
      <c r="K44" s="2" t="s">
        <v>5</v>
      </c>
      <c r="L44" s="2" t="s">
        <v>7</v>
      </c>
      <c r="M44" s="1" t="s">
        <v>652</v>
      </c>
      <c r="N44" s="1" t="s">
        <v>653</v>
      </c>
      <c r="O44" s="2" t="s">
        <v>654</v>
      </c>
      <c r="Q44" s="2" t="s">
        <v>11</v>
      </c>
      <c r="R44" s="2" t="s">
        <v>12</v>
      </c>
      <c r="T44" s="2" t="s">
        <v>520</v>
      </c>
      <c r="U44" s="3">
        <v>7</v>
      </c>
      <c r="V44" s="3">
        <v>7</v>
      </c>
      <c r="W44" s="4" t="s">
        <v>655</v>
      </c>
      <c r="X44" s="4" t="s">
        <v>655</v>
      </c>
      <c r="Y44" s="4" t="s">
        <v>49</v>
      </c>
      <c r="Z44" s="4" t="s">
        <v>49</v>
      </c>
      <c r="AA44" s="3">
        <v>284</v>
      </c>
      <c r="AB44" s="3">
        <v>264</v>
      </c>
      <c r="AC44" s="3">
        <v>266</v>
      </c>
      <c r="AD44" s="3">
        <v>5</v>
      </c>
      <c r="AE44" s="3">
        <v>5</v>
      </c>
      <c r="AF44" s="3">
        <v>18</v>
      </c>
      <c r="AG44" s="3">
        <v>18</v>
      </c>
      <c r="AH44" s="3">
        <v>6</v>
      </c>
      <c r="AI44" s="3">
        <v>6</v>
      </c>
      <c r="AJ44" s="3">
        <v>3</v>
      </c>
      <c r="AK44" s="3">
        <v>3</v>
      </c>
      <c r="AL44" s="3">
        <v>8</v>
      </c>
      <c r="AM44" s="3">
        <v>8</v>
      </c>
      <c r="AN44" s="3">
        <v>3</v>
      </c>
      <c r="AO44" s="3">
        <v>3</v>
      </c>
      <c r="AP44" s="3">
        <v>0</v>
      </c>
      <c r="AQ44" s="3">
        <v>0</v>
      </c>
      <c r="AR44" s="2" t="s">
        <v>5</v>
      </c>
      <c r="AS44" s="2" t="s">
        <v>16</v>
      </c>
      <c r="AT44" s="5" t="str">
        <f>HYPERLINK("http://catalog.hathitrust.org/Record/001132215","HathiTrust Record")</f>
        <v>HathiTrust Record</v>
      </c>
      <c r="AU44" s="5" t="str">
        <f>HYPERLINK("https://creighton-primo.hosted.exlibrisgroup.com/primo-explore/search?tab=default_tab&amp;search_scope=EVERYTHING&amp;vid=01CRU&amp;lang=en_US&amp;offset=0&amp;query=any,contains,991001038959702656","Catalog Record")</f>
        <v>Catalog Record</v>
      </c>
      <c r="AV44" s="5" t="str">
        <f>HYPERLINK("http://www.worldcat.org/oclc/1247541","WorldCat Record")</f>
        <v>WorldCat Record</v>
      </c>
      <c r="AW44" s="2" t="s">
        <v>656</v>
      </c>
      <c r="AX44" s="2" t="s">
        <v>657</v>
      </c>
      <c r="AY44" s="2" t="s">
        <v>658</v>
      </c>
      <c r="AZ44" s="2" t="s">
        <v>658</v>
      </c>
      <c r="BA44" s="2" t="s">
        <v>659</v>
      </c>
      <c r="BB44" s="2" t="s">
        <v>21</v>
      </c>
      <c r="BE44" s="2" t="s">
        <v>660</v>
      </c>
      <c r="BF44" s="2" t="s">
        <v>661</v>
      </c>
    </row>
    <row r="45" spans="1:58" ht="41.25" customHeight="1" x14ac:dyDescent="0.25">
      <c r="A45" s="8" t="s">
        <v>5</v>
      </c>
      <c r="B45" s="1" t="s">
        <v>0</v>
      </c>
      <c r="C45" s="1" t="s">
        <v>1</v>
      </c>
      <c r="D45" s="1" t="s">
        <v>662</v>
      </c>
      <c r="E45" s="1" t="s">
        <v>663</v>
      </c>
      <c r="F45" s="1" t="s">
        <v>664</v>
      </c>
      <c r="H45" s="2" t="s">
        <v>5</v>
      </c>
      <c r="I45" s="2" t="s">
        <v>6</v>
      </c>
      <c r="J45" s="2" t="s">
        <v>5</v>
      </c>
      <c r="K45" s="2" t="s">
        <v>5</v>
      </c>
      <c r="L45" s="2" t="s">
        <v>7</v>
      </c>
      <c r="N45" s="1" t="s">
        <v>665</v>
      </c>
      <c r="O45" s="2" t="s">
        <v>92</v>
      </c>
      <c r="Q45" s="2" t="s">
        <v>11</v>
      </c>
      <c r="R45" s="2" t="s">
        <v>31</v>
      </c>
      <c r="S45" s="1" t="s">
        <v>666</v>
      </c>
      <c r="T45" s="2" t="s">
        <v>520</v>
      </c>
      <c r="U45" s="3">
        <v>6</v>
      </c>
      <c r="V45" s="3">
        <v>6</v>
      </c>
      <c r="W45" s="4" t="s">
        <v>667</v>
      </c>
      <c r="X45" s="4" t="s">
        <v>667</v>
      </c>
      <c r="Y45" s="4" t="s">
        <v>15</v>
      </c>
      <c r="Z45" s="4" t="s">
        <v>15</v>
      </c>
      <c r="AA45" s="3">
        <v>551</v>
      </c>
      <c r="AB45" s="3">
        <v>529</v>
      </c>
      <c r="AC45" s="3">
        <v>539</v>
      </c>
      <c r="AD45" s="3">
        <v>6</v>
      </c>
      <c r="AE45" s="3">
        <v>6</v>
      </c>
      <c r="AF45" s="3">
        <v>26</v>
      </c>
      <c r="AG45" s="3">
        <v>26</v>
      </c>
      <c r="AH45" s="3">
        <v>9</v>
      </c>
      <c r="AI45" s="3">
        <v>9</v>
      </c>
      <c r="AJ45" s="3">
        <v>5</v>
      </c>
      <c r="AK45" s="3">
        <v>5</v>
      </c>
      <c r="AL45" s="3">
        <v>12</v>
      </c>
      <c r="AM45" s="3">
        <v>12</v>
      </c>
      <c r="AN45" s="3">
        <v>4</v>
      </c>
      <c r="AO45" s="3">
        <v>4</v>
      </c>
      <c r="AP45" s="3">
        <v>0</v>
      </c>
      <c r="AQ45" s="3">
        <v>0</v>
      </c>
      <c r="AR45" s="2" t="s">
        <v>5</v>
      </c>
      <c r="AS45" s="2" t="s">
        <v>16</v>
      </c>
      <c r="AT45" s="5" t="str">
        <f>HYPERLINK("http://catalog.hathitrust.org/Record/000743731","HathiTrust Record")</f>
        <v>HathiTrust Record</v>
      </c>
      <c r="AU45" s="5" t="str">
        <f>HYPERLINK("https://creighton-primo.hosted.exlibrisgroup.com/primo-explore/search?tab=default_tab&amp;search_scope=EVERYTHING&amp;vid=01CRU&amp;lang=en_US&amp;offset=0&amp;query=any,contains,991001038989702656","Catalog Record")</f>
        <v>Catalog Record</v>
      </c>
      <c r="AV45" s="5" t="str">
        <f>HYPERLINK("http://www.worldcat.org/oclc/2409813","WorldCat Record")</f>
        <v>WorldCat Record</v>
      </c>
      <c r="AW45" s="2" t="s">
        <v>668</v>
      </c>
      <c r="AX45" s="2" t="s">
        <v>669</v>
      </c>
      <c r="AY45" s="2" t="s">
        <v>670</v>
      </c>
      <c r="AZ45" s="2" t="s">
        <v>670</v>
      </c>
      <c r="BA45" s="2" t="s">
        <v>671</v>
      </c>
      <c r="BB45" s="2" t="s">
        <v>21</v>
      </c>
      <c r="BD45" s="2" t="s">
        <v>672</v>
      </c>
      <c r="BE45" s="2" t="s">
        <v>673</v>
      </c>
      <c r="BF45" s="2" t="s">
        <v>674</v>
      </c>
    </row>
    <row r="46" spans="1:58" ht="41.25" customHeight="1" x14ac:dyDescent="0.25">
      <c r="A46" s="8" t="s">
        <v>5</v>
      </c>
      <c r="B46" s="1" t="s">
        <v>0</v>
      </c>
      <c r="C46" s="1" t="s">
        <v>1</v>
      </c>
      <c r="D46" s="1" t="s">
        <v>675</v>
      </c>
      <c r="E46" s="1" t="s">
        <v>676</v>
      </c>
      <c r="F46" s="1" t="s">
        <v>677</v>
      </c>
      <c r="H46" s="2" t="s">
        <v>5</v>
      </c>
      <c r="I46" s="2" t="s">
        <v>6</v>
      </c>
      <c r="J46" s="2" t="s">
        <v>5</v>
      </c>
      <c r="K46" s="2" t="s">
        <v>5</v>
      </c>
      <c r="L46" s="2" t="s">
        <v>7</v>
      </c>
      <c r="M46" s="1" t="s">
        <v>678</v>
      </c>
      <c r="N46" s="1" t="s">
        <v>679</v>
      </c>
      <c r="O46" s="2" t="s">
        <v>680</v>
      </c>
      <c r="Q46" s="2" t="s">
        <v>11</v>
      </c>
      <c r="R46" s="2" t="s">
        <v>12</v>
      </c>
      <c r="T46" s="2" t="s">
        <v>520</v>
      </c>
      <c r="U46" s="3">
        <v>5</v>
      </c>
      <c r="V46" s="3">
        <v>5</v>
      </c>
      <c r="W46" s="4" t="s">
        <v>603</v>
      </c>
      <c r="X46" s="4" t="s">
        <v>603</v>
      </c>
      <c r="Y46" s="4" t="s">
        <v>681</v>
      </c>
      <c r="Z46" s="4" t="s">
        <v>681</v>
      </c>
      <c r="AA46" s="3">
        <v>470</v>
      </c>
      <c r="AB46" s="3">
        <v>440</v>
      </c>
      <c r="AC46" s="3">
        <v>467</v>
      </c>
      <c r="AD46" s="3">
        <v>7</v>
      </c>
      <c r="AE46" s="3">
        <v>7</v>
      </c>
      <c r="AF46" s="3">
        <v>27</v>
      </c>
      <c r="AG46" s="3">
        <v>27</v>
      </c>
      <c r="AH46" s="3">
        <v>12</v>
      </c>
      <c r="AI46" s="3">
        <v>12</v>
      </c>
      <c r="AJ46" s="3">
        <v>3</v>
      </c>
      <c r="AK46" s="3">
        <v>3</v>
      </c>
      <c r="AL46" s="3">
        <v>11</v>
      </c>
      <c r="AM46" s="3">
        <v>11</v>
      </c>
      <c r="AN46" s="3">
        <v>5</v>
      </c>
      <c r="AO46" s="3">
        <v>5</v>
      </c>
      <c r="AP46" s="3">
        <v>0</v>
      </c>
      <c r="AQ46" s="3">
        <v>0</v>
      </c>
      <c r="AR46" s="2" t="s">
        <v>5</v>
      </c>
      <c r="AS46" s="2" t="s">
        <v>16</v>
      </c>
      <c r="AT46" s="5" t="str">
        <f>HYPERLINK("http://catalog.hathitrust.org/Record/001574064","HathiTrust Record")</f>
        <v>HathiTrust Record</v>
      </c>
      <c r="AU46" s="5" t="str">
        <f>HYPERLINK("https://creighton-primo.hosted.exlibrisgroup.com/primo-explore/search?tab=default_tab&amp;search_scope=EVERYTHING&amp;vid=01CRU&amp;lang=en_US&amp;offset=0&amp;query=any,contains,991000741719702656","Catalog Record")</f>
        <v>Catalog Record</v>
      </c>
      <c r="AV46" s="5" t="str">
        <f>HYPERLINK("http://www.worldcat.org/oclc/743081","WorldCat Record")</f>
        <v>WorldCat Record</v>
      </c>
      <c r="AW46" s="2" t="s">
        <v>682</v>
      </c>
      <c r="AX46" s="2" t="s">
        <v>683</v>
      </c>
      <c r="AY46" s="2" t="s">
        <v>684</v>
      </c>
      <c r="AZ46" s="2" t="s">
        <v>684</v>
      </c>
      <c r="BA46" s="2" t="s">
        <v>685</v>
      </c>
      <c r="BB46" s="2" t="s">
        <v>21</v>
      </c>
      <c r="BE46" s="2" t="s">
        <v>686</v>
      </c>
      <c r="BF46" s="2" t="s">
        <v>687</v>
      </c>
    </row>
    <row r="47" spans="1:58" ht="41.25" customHeight="1" x14ac:dyDescent="0.25">
      <c r="A47" s="8" t="s">
        <v>5</v>
      </c>
      <c r="B47" s="1" t="s">
        <v>0</v>
      </c>
      <c r="C47" s="1" t="s">
        <v>1</v>
      </c>
      <c r="D47" s="1" t="s">
        <v>688</v>
      </c>
      <c r="E47" s="1" t="s">
        <v>689</v>
      </c>
      <c r="F47" s="1" t="s">
        <v>690</v>
      </c>
      <c r="H47" s="2" t="s">
        <v>5</v>
      </c>
      <c r="I47" s="2" t="s">
        <v>6</v>
      </c>
      <c r="J47" s="2" t="s">
        <v>5</v>
      </c>
      <c r="K47" s="2" t="s">
        <v>16</v>
      </c>
      <c r="L47" s="2" t="s">
        <v>7</v>
      </c>
      <c r="M47" s="1" t="s">
        <v>691</v>
      </c>
      <c r="N47" s="1" t="s">
        <v>692</v>
      </c>
      <c r="O47" s="2" t="s">
        <v>62</v>
      </c>
      <c r="P47" s="1" t="s">
        <v>693</v>
      </c>
      <c r="Q47" s="2" t="s">
        <v>11</v>
      </c>
      <c r="R47" s="2" t="s">
        <v>78</v>
      </c>
      <c r="T47" s="2" t="s">
        <v>520</v>
      </c>
      <c r="U47" s="3">
        <v>6</v>
      </c>
      <c r="V47" s="3">
        <v>6</v>
      </c>
      <c r="W47" s="4" t="s">
        <v>694</v>
      </c>
      <c r="X47" s="4" t="s">
        <v>694</v>
      </c>
      <c r="Y47" s="4" t="s">
        <v>695</v>
      </c>
      <c r="Z47" s="4" t="s">
        <v>695</v>
      </c>
      <c r="AA47" s="3">
        <v>424</v>
      </c>
      <c r="AB47" s="3">
        <v>317</v>
      </c>
      <c r="AC47" s="3">
        <v>881</v>
      </c>
      <c r="AD47" s="3">
        <v>4</v>
      </c>
      <c r="AE47" s="3">
        <v>11</v>
      </c>
      <c r="AF47" s="3">
        <v>11</v>
      </c>
      <c r="AG47" s="3">
        <v>31</v>
      </c>
      <c r="AH47" s="3">
        <v>2</v>
      </c>
      <c r="AI47" s="3">
        <v>13</v>
      </c>
      <c r="AJ47" s="3">
        <v>2</v>
      </c>
      <c r="AK47" s="3">
        <v>4</v>
      </c>
      <c r="AL47" s="3">
        <v>4</v>
      </c>
      <c r="AM47" s="3">
        <v>13</v>
      </c>
      <c r="AN47" s="3">
        <v>3</v>
      </c>
      <c r="AO47" s="3">
        <v>7</v>
      </c>
      <c r="AP47" s="3">
        <v>0</v>
      </c>
      <c r="AQ47" s="3">
        <v>0</v>
      </c>
      <c r="AR47" s="2" t="s">
        <v>5</v>
      </c>
      <c r="AS47" s="2" t="s">
        <v>16</v>
      </c>
      <c r="AT47" s="5" t="str">
        <f>HYPERLINK("http://catalog.hathitrust.org/Record/000176875","HathiTrust Record")</f>
        <v>HathiTrust Record</v>
      </c>
      <c r="AU47" s="5" t="str">
        <f>HYPERLINK("https://creighton-primo.hosted.exlibrisgroup.com/primo-explore/search?tab=default_tab&amp;search_scope=EVERYTHING&amp;vid=01CRU&amp;lang=en_US&amp;offset=0&amp;query=any,contains,991001035459702656","Catalog Record")</f>
        <v>Catalog Record</v>
      </c>
      <c r="AV47" s="5" t="str">
        <f>HYPERLINK("http://www.worldcat.org/oclc/4005219","WorldCat Record")</f>
        <v>WorldCat Record</v>
      </c>
      <c r="AW47" s="2" t="s">
        <v>696</v>
      </c>
      <c r="AX47" s="2" t="s">
        <v>697</v>
      </c>
      <c r="AY47" s="2" t="s">
        <v>698</v>
      </c>
      <c r="AZ47" s="2" t="s">
        <v>698</v>
      </c>
      <c r="BA47" s="2" t="s">
        <v>699</v>
      </c>
      <c r="BB47" s="2" t="s">
        <v>21</v>
      </c>
      <c r="BD47" s="2" t="s">
        <v>700</v>
      </c>
      <c r="BE47" s="2" t="s">
        <v>701</v>
      </c>
      <c r="BF47" s="2" t="s">
        <v>702</v>
      </c>
    </row>
    <row r="48" spans="1:58" ht="41.25" customHeight="1" x14ac:dyDescent="0.25">
      <c r="A48" s="8" t="s">
        <v>5</v>
      </c>
      <c r="B48" s="1" t="s">
        <v>0</v>
      </c>
      <c r="C48" s="1" t="s">
        <v>1</v>
      </c>
      <c r="D48" s="1" t="s">
        <v>703</v>
      </c>
      <c r="E48" s="1" t="s">
        <v>704</v>
      </c>
      <c r="F48" s="1" t="s">
        <v>705</v>
      </c>
      <c r="H48" s="2" t="s">
        <v>5</v>
      </c>
      <c r="I48" s="2" t="s">
        <v>6</v>
      </c>
      <c r="J48" s="2" t="s">
        <v>5</v>
      </c>
      <c r="K48" s="2" t="s">
        <v>5</v>
      </c>
      <c r="L48" s="2" t="s">
        <v>7</v>
      </c>
      <c r="M48" s="1" t="s">
        <v>706</v>
      </c>
      <c r="N48" s="1" t="s">
        <v>707</v>
      </c>
      <c r="O48" s="2" t="s">
        <v>708</v>
      </c>
      <c r="P48" s="1" t="s">
        <v>355</v>
      </c>
      <c r="Q48" s="2" t="s">
        <v>11</v>
      </c>
      <c r="R48" s="2" t="s">
        <v>12</v>
      </c>
      <c r="T48" s="2" t="s">
        <v>520</v>
      </c>
      <c r="U48" s="3">
        <v>1</v>
      </c>
      <c r="V48" s="3">
        <v>1</v>
      </c>
      <c r="W48" s="4" t="s">
        <v>709</v>
      </c>
      <c r="X48" s="4" t="s">
        <v>709</v>
      </c>
      <c r="Y48" s="4" t="s">
        <v>49</v>
      </c>
      <c r="Z48" s="4" t="s">
        <v>49</v>
      </c>
      <c r="AA48" s="3">
        <v>494</v>
      </c>
      <c r="AB48" s="3">
        <v>470</v>
      </c>
      <c r="AC48" s="3">
        <v>734</v>
      </c>
      <c r="AD48" s="3">
        <v>5</v>
      </c>
      <c r="AE48" s="3">
        <v>7</v>
      </c>
      <c r="AF48" s="3">
        <v>13</v>
      </c>
      <c r="AG48" s="3">
        <v>21</v>
      </c>
      <c r="AH48" s="3">
        <v>4</v>
      </c>
      <c r="AI48" s="3">
        <v>8</v>
      </c>
      <c r="AJ48" s="3">
        <v>4</v>
      </c>
      <c r="AK48" s="3">
        <v>4</v>
      </c>
      <c r="AL48" s="3">
        <v>4</v>
      </c>
      <c r="AM48" s="3">
        <v>8</v>
      </c>
      <c r="AN48" s="3">
        <v>2</v>
      </c>
      <c r="AO48" s="3">
        <v>3</v>
      </c>
      <c r="AP48" s="3">
        <v>0</v>
      </c>
      <c r="AQ48" s="3">
        <v>0</v>
      </c>
      <c r="AR48" s="2" t="s">
        <v>5</v>
      </c>
      <c r="AS48" s="2" t="s">
        <v>16</v>
      </c>
      <c r="AT48" s="5" t="str">
        <f>HYPERLINK("http://catalog.hathitrust.org/Record/001558784","HathiTrust Record")</f>
        <v>HathiTrust Record</v>
      </c>
      <c r="AU48" s="5" t="str">
        <f>HYPERLINK("https://creighton-primo.hosted.exlibrisgroup.com/primo-explore/search?tab=default_tab&amp;search_scope=EVERYTHING&amp;vid=01CRU&amp;lang=en_US&amp;offset=0&amp;query=any,contains,991001035119702656","Catalog Record")</f>
        <v>Catalog Record</v>
      </c>
      <c r="AV48" s="5" t="str">
        <f>HYPERLINK("http://www.worldcat.org/oclc/299354","WorldCat Record")</f>
        <v>WorldCat Record</v>
      </c>
      <c r="AW48" s="2" t="s">
        <v>710</v>
      </c>
      <c r="AX48" s="2" t="s">
        <v>711</v>
      </c>
      <c r="AY48" s="2" t="s">
        <v>712</v>
      </c>
      <c r="AZ48" s="2" t="s">
        <v>712</v>
      </c>
      <c r="BA48" s="2" t="s">
        <v>713</v>
      </c>
      <c r="BB48" s="2" t="s">
        <v>21</v>
      </c>
      <c r="BE48" s="2" t="s">
        <v>714</v>
      </c>
      <c r="BF48" s="2" t="s">
        <v>715</v>
      </c>
    </row>
    <row r="49" spans="1:58" ht="41.25" customHeight="1" x14ac:dyDescent="0.25">
      <c r="A49" s="8" t="s">
        <v>5</v>
      </c>
      <c r="B49" s="1" t="s">
        <v>0</v>
      </c>
      <c r="C49" s="1" t="s">
        <v>1</v>
      </c>
      <c r="D49" s="1" t="s">
        <v>716</v>
      </c>
      <c r="E49" s="1" t="s">
        <v>717</v>
      </c>
      <c r="F49" s="1" t="s">
        <v>718</v>
      </c>
      <c r="H49" s="2" t="s">
        <v>5</v>
      </c>
      <c r="I49" s="2" t="s">
        <v>6</v>
      </c>
      <c r="J49" s="2" t="s">
        <v>5</v>
      </c>
      <c r="K49" s="2" t="s">
        <v>5</v>
      </c>
      <c r="L49" s="2" t="s">
        <v>7</v>
      </c>
      <c r="M49" s="1" t="s">
        <v>719</v>
      </c>
      <c r="N49" s="1" t="s">
        <v>720</v>
      </c>
      <c r="O49" s="2" t="s">
        <v>721</v>
      </c>
      <c r="Q49" s="2" t="s">
        <v>11</v>
      </c>
      <c r="R49" s="2" t="s">
        <v>12</v>
      </c>
      <c r="T49" s="2" t="s">
        <v>520</v>
      </c>
      <c r="U49" s="3">
        <v>2</v>
      </c>
      <c r="V49" s="3">
        <v>2</v>
      </c>
      <c r="W49" s="4" t="s">
        <v>123</v>
      </c>
      <c r="X49" s="4" t="s">
        <v>123</v>
      </c>
      <c r="Y49" s="4" t="s">
        <v>722</v>
      </c>
      <c r="Z49" s="4" t="s">
        <v>722</v>
      </c>
      <c r="AA49" s="3">
        <v>407</v>
      </c>
      <c r="AB49" s="3">
        <v>372</v>
      </c>
      <c r="AC49" s="3">
        <v>712</v>
      </c>
      <c r="AD49" s="3">
        <v>6</v>
      </c>
      <c r="AE49" s="3">
        <v>8</v>
      </c>
      <c r="AF49" s="3">
        <v>14</v>
      </c>
      <c r="AG49" s="3">
        <v>30</v>
      </c>
      <c r="AH49" s="3">
        <v>4</v>
      </c>
      <c r="AI49" s="3">
        <v>10</v>
      </c>
      <c r="AJ49" s="3">
        <v>1</v>
      </c>
      <c r="AK49" s="3">
        <v>5</v>
      </c>
      <c r="AL49" s="3">
        <v>4</v>
      </c>
      <c r="AM49" s="3">
        <v>13</v>
      </c>
      <c r="AN49" s="3">
        <v>5</v>
      </c>
      <c r="AO49" s="3">
        <v>7</v>
      </c>
      <c r="AP49" s="3">
        <v>0</v>
      </c>
      <c r="AQ49" s="3">
        <v>0</v>
      </c>
      <c r="AR49" s="2" t="s">
        <v>5</v>
      </c>
      <c r="AS49" s="2" t="s">
        <v>16</v>
      </c>
      <c r="AT49" s="5" t="str">
        <f>HYPERLINK("http://catalog.hathitrust.org/Record/001574103","HathiTrust Record")</f>
        <v>HathiTrust Record</v>
      </c>
      <c r="AU49" s="5" t="str">
        <f>HYPERLINK("https://creighton-primo.hosted.exlibrisgroup.com/primo-explore/search?tab=default_tab&amp;search_scope=EVERYTHING&amp;vid=01CRU&amp;lang=en_US&amp;offset=0&amp;query=any,contains,991001035239702656","Catalog Record")</f>
        <v>Catalog Record</v>
      </c>
      <c r="AV49" s="5" t="str">
        <f>HYPERLINK("http://www.worldcat.org/oclc/965283","WorldCat Record")</f>
        <v>WorldCat Record</v>
      </c>
      <c r="AW49" s="2" t="s">
        <v>723</v>
      </c>
      <c r="AX49" s="2" t="s">
        <v>724</v>
      </c>
      <c r="AY49" s="2" t="s">
        <v>725</v>
      </c>
      <c r="AZ49" s="2" t="s">
        <v>725</v>
      </c>
      <c r="BA49" s="2" t="s">
        <v>726</v>
      </c>
      <c r="BB49" s="2" t="s">
        <v>21</v>
      </c>
      <c r="BE49" s="2" t="s">
        <v>727</v>
      </c>
      <c r="BF49" s="2" t="s">
        <v>728</v>
      </c>
    </row>
    <row r="50" spans="1:58" ht="41.25" customHeight="1" x14ac:dyDescent="0.25">
      <c r="A50" s="8" t="s">
        <v>5</v>
      </c>
      <c r="B50" s="1" t="s">
        <v>0</v>
      </c>
      <c r="C50" s="1" t="s">
        <v>1</v>
      </c>
      <c r="D50" s="1" t="s">
        <v>729</v>
      </c>
      <c r="E50" s="1" t="s">
        <v>730</v>
      </c>
      <c r="F50" s="1" t="s">
        <v>731</v>
      </c>
      <c r="H50" s="2" t="s">
        <v>5</v>
      </c>
      <c r="I50" s="2" t="s">
        <v>6</v>
      </c>
      <c r="J50" s="2" t="s">
        <v>5</v>
      </c>
      <c r="K50" s="2" t="s">
        <v>5</v>
      </c>
      <c r="L50" s="2" t="s">
        <v>7</v>
      </c>
      <c r="M50" s="1" t="s">
        <v>732</v>
      </c>
      <c r="N50" s="1" t="s">
        <v>733</v>
      </c>
      <c r="O50" s="2" t="s">
        <v>734</v>
      </c>
      <c r="Q50" s="2" t="s">
        <v>11</v>
      </c>
      <c r="R50" s="2" t="s">
        <v>12</v>
      </c>
      <c r="S50" s="1" t="s">
        <v>735</v>
      </c>
      <c r="T50" s="2" t="s">
        <v>520</v>
      </c>
      <c r="U50" s="3">
        <v>2</v>
      </c>
      <c r="V50" s="3">
        <v>2</v>
      </c>
      <c r="W50" s="4" t="s">
        <v>694</v>
      </c>
      <c r="X50" s="4" t="s">
        <v>694</v>
      </c>
      <c r="Y50" s="4" t="s">
        <v>736</v>
      </c>
      <c r="Z50" s="4" t="s">
        <v>736</v>
      </c>
      <c r="AA50" s="3">
        <v>199</v>
      </c>
      <c r="AB50" s="3">
        <v>181</v>
      </c>
      <c r="AC50" s="3">
        <v>183</v>
      </c>
      <c r="AD50" s="3">
        <v>2</v>
      </c>
      <c r="AE50" s="3">
        <v>2</v>
      </c>
      <c r="AF50" s="3">
        <v>7</v>
      </c>
      <c r="AG50" s="3">
        <v>7</v>
      </c>
      <c r="AH50" s="3">
        <v>2</v>
      </c>
      <c r="AI50" s="3">
        <v>2</v>
      </c>
      <c r="AJ50" s="3">
        <v>2</v>
      </c>
      <c r="AK50" s="3">
        <v>2</v>
      </c>
      <c r="AL50" s="3">
        <v>4</v>
      </c>
      <c r="AM50" s="3">
        <v>4</v>
      </c>
      <c r="AN50" s="3">
        <v>0</v>
      </c>
      <c r="AO50" s="3">
        <v>0</v>
      </c>
      <c r="AP50" s="3">
        <v>0</v>
      </c>
      <c r="AQ50" s="3">
        <v>0</v>
      </c>
      <c r="AR50" s="2" t="s">
        <v>5</v>
      </c>
      <c r="AS50" s="2" t="s">
        <v>16</v>
      </c>
      <c r="AT50" s="5" t="str">
        <f>HYPERLINK("http://catalog.hathitrust.org/Record/000281061","HathiTrust Record")</f>
        <v>HathiTrust Record</v>
      </c>
      <c r="AU50" s="5" t="str">
        <f>HYPERLINK("https://creighton-primo.hosted.exlibrisgroup.com/primo-explore/search?tab=default_tab&amp;search_scope=EVERYTHING&amp;vid=01CRU&amp;lang=en_US&amp;offset=0&amp;query=any,contains,991001390339702656","Catalog Record")</f>
        <v>Catalog Record</v>
      </c>
      <c r="AV50" s="5" t="str">
        <f>HYPERLINK("http://www.worldcat.org/oclc/11291695","WorldCat Record")</f>
        <v>WorldCat Record</v>
      </c>
      <c r="AW50" s="2" t="s">
        <v>737</v>
      </c>
      <c r="AX50" s="2" t="s">
        <v>738</v>
      </c>
      <c r="AY50" s="2" t="s">
        <v>739</v>
      </c>
      <c r="AZ50" s="2" t="s">
        <v>739</v>
      </c>
      <c r="BA50" s="2" t="s">
        <v>740</v>
      </c>
      <c r="BB50" s="2" t="s">
        <v>21</v>
      </c>
      <c r="BE50" s="2" t="s">
        <v>741</v>
      </c>
      <c r="BF50" s="2" t="s">
        <v>742</v>
      </c>
    </row>
    <row r="51" spans="1:58" ht="41.25" customHeight="1" x14ac:dyDescent="0.25">
      <c r="A51" s="8" t="s">
        <v>5</v>
      </c>
      <c r="B51" s="1" t="s">
        <v>0</v>
      </c>
      <c r="C51" s="1" t="s">
        <v>1</v>
      </c>
      <c r="D51" s="1" t="s">
        <v>743</v>
      </c>
      <c r="E51" s="1" t="s">
        <v>744</v>
      </c>
      <c r="F51" s="1" t="s">
        <v>745</v>
      </c>
      <c r="H51" s="2" t="s">
        <v>5</v>
      </c>
      <c r="I51" s="2" t="s">
        <v>6</v>
      </c>
      <c r="J51" s="2" t="s">
        <v>5</v>
      </c>
      <c r="K51" s="2" t="s">
        <v>5</v>
      </c>
      <c r="L51" s="2" t="s">
        <v>7</v>
      </c>
      <c r="M51" s="1" t="s">
        <v>746</v>
      </c>
      <c r="N51" s="1" t="s">
        <v>747</v>
      </c>
      <c r="O51" s="2" t="s">
        <v>748</v>
      </c>
      <c r="Q51" s="2" t="s">
        <v>11</v>
      </c>
      <c r="R51" s="2" t="s">
        <v>78</v>
      </c>
      <c r="T51" s="2" t="s">
        <v>520</v>
      </c>
      <c r="U51" s="3">
        <v>4</v>
      </c>
      <c r="V51" s="3">
        <v>4</v>
      </c>
      <c r="W51" s="4" t="s">
        <v>694</v>
      </c>
      <c r="X51" s="4" t="s">
        <v>694</v>
      </c>
      <c r="Y51" s="4" t="s">
        <v>695</v>
      </c>
      <c r="Z51" s="4" t="s">
        <v>695</v>
      </c>
      <c r="AA51" s="3">
        <v>202</v>
      </c>
      <c r="AB51" s="3">
        <v>173</v>
      </c>
      <c r="AC51" s="3">
        <v>180</v>
      </c>
      <c r="AD51" s="3">
        <v>1</v>
      </c>
      <c r="AE51" s="3">
        <v>1</v>
      </c>
      <c r="AF51" s="3">
        <v>14</v>
      </c>
      <c r="AG51" s="3">
        <v>14</v>
      </c>
      <c r="AH51" s="3">
        <v>3</v>
      </c>
      <c r="AI51" s="3">
        <v>3</v>
      </c>
      <c r="AJ51" s="3">
        <v>6</v>
      </c>
      <c r="AK51" s="3">
        <v>6</v>
      </c>
      <c r="AL51" s="3">
        <v>8</v>
      </c>
      <c r="AM51" s="3">
        <v>8</v>
      </c>
      <c r="AN51" s="3">
        <v>0</v>
      </c>
      <c r="AO51" s="3">
        <v>0</v>
      </c>
      <c r="AP51" s="3">
        <v>0</v>
      </c>
      <c r="AQ51" s="3">
        <v>0</v>
      </c>
      <c r="AR51" s="2" t="s">
        <v>16</v>
      </c>
      <c r="AS51" s="2" t="s">
        <v>5</v>
      </c>
      <c r="AT51" s="5" t="str">
        <f>HYPERLINK("http://catalog.hathitrust.org/Record/001574111","HathiTrust Record")</f>
        <v>HathiTrust Record</v>
      </c>
      <c r="AU51" s="5" t="str">
        <f>HYPERLINK("https://creighton-primo.hosted.exlibrisgroup.com/primo-explore/search?tab=default_tab&amp;search_scope=EVERYTHING&amp;vid=01CRU&amp;lang=en_US&amp;offset=0&amp;query=any,contains,991001035659702656","Catalog Record")</f>
        <v>Catalog Record</v>
      </c>
      <c r="AV51" s="5" t="str">
        <f>HYPERLINK("http://www.worldcat.org/oclc/1355210","WorldCat Record")</f>
        <v>WorldCat Record</v>
      </c>
      <c r="AW51" s="2" t="s">
        <v>749</v>
      </c>
      <c r="AX51" s="2" t="s">
        <v>750</v>
      </c>
      <c r="AY51" s="2" t="s">
        <v>751</v>
      </c>
      <c r="AZ51" s="2" t="s">
        <v>751</v>
      </c>
      <c r="BA51" s="2" t="s">
        <v>752</v>
      </c>
      <c r="BB51" s="2" t="s">
        <v>21</v>
      </c>
      <c r="BE51" s="2" t="s">
        <v>753</v>
      </c>
      <c r="BF51" s="2" t="s">
        <v>754</v>
      </c>
    </row>
    <row r="52" spans="1:58" ht="41.25" customHeight="1" x14ac:dyDescent="0.25">
      <c r="A52" s="8" t="s">
        <v>5</v>
      </c>
      <c r="B52" s="1" t="s">
        <v>0</v>
      </c>
      <c r="C52" s="1" t="s">
        <v>1</v>
      </c>
      <c r="D52" s="1" t="s">
        <v>755</v>
      </c>
      <c r="E52" s="1" t="s">
        <v>756</v>
      </c>
      <c r="F52" s="1" t="s">
        <v>757</v>
      </c>
      <c r="H52" s="2" t="s">
        <v>5</v>
      </c>
      <c r="I52" s="2" t="s">
        <v>6</v>
      </c>
      <c r="J52" s="2" t="s">
        <v>5</v>
      </c>
      <c r="K52" s="2" t="s">
        <v>5</v>
      </c>
      <c r="L52" s="2" t="s">
        <v>7</v>
      </c>
      <c r="M52" s="1" t="s">
        <v>691</v>
      </c>
      <c r="N52" s="1" t="s">
        <v>758</v>
      </c>
      <c r="O52" s="2" t="s">
        <v>414</v>
      </c>
      <c r="P52" s="1" t="s">
        <v>759</v>
      </c>
      <c r="Q52" s="2" t="s">
        <v>11</v>
      </c>
      <c r="R52" s="2" t="s">
        <v>78</v>
      </c>
      <c r="T52" s="2" t="s">
        <v>520</v>
      </c>
      <c r="U52" s="3">
        <v>8</v>
      </c>
      <c r="V52" s="3">
        <v>8</v>
      </c>
      <c r="W52" s="4" t="s">
        <v>667</v>
      </c>
      <c r="X52" s="4" t="s">
        <v>667</v>
      </c>
      <c r="Y52" s="4" t="s">
        <v>49</v>
      </c>
      <c r="Z52" s="4" t="s">
        <v>49</v>
      </c>
      <c r="AA52" s="3">
        <v>388</v>
      </c>
      <c r="AB52" s="3">
        <v>322</v>
      </c>
      <c r="AC52" s="3">
        <v>474</v>
      </c>
      <c r="AD52" s="3">
        <v>5</v>
      </c>
      <c r="AE52" s="3">
        <v>6</v>
      </c>
      <c r="AF52" s="3">
        <v>17</v>
      </c>
      <c r="AG52" s="3">
        <v>20</v>
      </c>
      <c r="AH52" s="3">
        <v>6</v>
      </c>
      <c r="AI52" s="3">
        <v>7</v>
      </c>
      <c r="AJ52" s="3">
        <v>2</v>
      </c>
      <c r="AK52" s="3">
        <v>2</v>
      </c>
      <c r="AL52" s="3">
        <v>8</v>
      </c>
      <c r="AM52" s="3">
        <v>9</v>
      </c>
      <c r="AN52" s="3">
        <v>3</v>
      </c>
      <c r="AO52" s="3">
        <v>4</v>
      </c>
      <c r="AP52" s="3">
        <v>0</v>
      </c>
      <c r="AQ52" s="3">
        <v>0</v>
      </c>
      <c r="AR52" s="2" t="s">
        <v>5</v>
      </c>
      <c r="AS52" s="2" t="s">
        <v>5</v>
      </c>
      <c r="AU52" s="5" t="str">
        <f>HYPERLINK("https://creighton-primo.hosted.exlibrisgroup.com/primo-explore/search?tab=default_tab&amp;search_scope=EVERYTHING&amp;vid=01CRU&amp;lang=en_US&amp;offset=0&amp;query=any,contains,991001035789702656","Catalog Record")</f>
        <v>Catalog Record</v>
      </c>
      <c r="AV52" s="5" t="str">
        <f>HYPERLINK("http://www.worldcat.org/oclc/795696","WorldCat Record")</f>
        <v>WorldCat Record</v>
      </c>
      <c r="AW52" s="2" t="s">
        <v>760</v>
      </c>
      <c r="AX52" s="2" t="s">
        <v>761</v>
      </c>
      <c r="AY52" s="2" t="s">
        <v>762</v>
      </c>
      <c r="AZ52" s="2" t="s">
        <v>762</v>
      </c>
      <c r="BA52" s="2" t="s">
        <v>763</v>
      </c>
      <c r="BB52" s="2" t="s">
        <v>21</v>
      </c>
      <c r="BE52" s="2" t="s">
        <v>764</v>
      </c>
      <c r="BF52" s="2" t="s">
        <v>765</v>
      </c>
    </row>
    <row r="53" spans="1:58" ht="41.25" customHeight="1" x14ac:dyDescent="0.25">
      <c r="A53" s="8" t="s">
        <v>5</v>
      </c>
      <c r="B53" s="1" t="s">
        <v>0</v>
      </c>
      <c r="C53" s="1" t="s">
        <v>1</v>
      </c>
      <c r="D53" s="1" t="s">
        <v>766</v>
      </c>
      <c r="E53" s="1" t="s">
        <v>767</v>
      </c>
      <c r="F53" s="1" t="s">
        <v>768</v>
      </c>
      <c r="H53" s="2" t="s">
        <v>5</v>
      </c>
      <c r="I53" s="2" t="s">
        <v>6</v>
      </c>
      <c r="J53" s="2" t="s">
        <v>5</v>
      </c>
      <c r="K53" s="2" t="s">
        <v>5</v>
      </c>
      <c r="L53" s="2" t="s">
        <v>7</v>
      </c>
      <c r="M53" s="1" t="s">
        <v>769</v>
      </c>
      <c r="N53" s="1" t="s">
        <v>770</v>
      </c>
      <c r="O53" s="2" t="s">
        <v>46</v>
      </c>
      <c r="P53" s="1" t="s">
        <v>771</v>
      </c>
      <c r="Q53" s="2" t="s">
        <v>11</v>
      </c>
      <c r="R53" s="2" t="s">
        <v>78</v>
      </c>
      <c r="T53" s="2" t="s">
        <v>520</v>
      </c>
      <c r="U53" s="3">
        <v>3</v>
      </c>
      <c r="V53" s="3">
        <v>3</v>
      </c>
      <c r="W53" s="4" t="s">
        <v>32</v>
      </c>
      <c r="X53" s="4" t="s">
        <v>32</v>
      </c>
      <c r="Y53" s="4" t="s">
        <v>49</v>
      </c>
      <c r="Z53" s="4" t="s">
        <v>49</v>
      </c>
      <c r="AA53" s="3">
        <v>6</v>
      </c>
      <c r="AB53" s="3">
        <v>6</v>
      </c>
      <c r="AC53" s="3">
        <v>31</v>
      </c>
      <c r="AD53" s="3">
        <v>1</v>
      </c>
      <c r="AE53" s="3">
        <v>1</v>
      </c>
      <c r="AF53" s="3">
        <v>1</v>
      </c>
      <c r="AG53" s="3">
        <v>1</v>
      </c>
      <c r="AH53" s="3">
        <v>0</v>
      </c>
      <c r="AI53" s="3">
        <v>0</v>
      </c>
      <c r="AJ53" s="3">
        <v>0</v>
      </c>
      <c r="AK53" s="3">
        <v>0</v>
      </c>
      <c r="AL53" s="3">
        <v>1</v>
      </c>
      <c r="AM53" s="3">
        <v>1</v>
      </c>
      <c r="AN53" s="3">
        <v>0</v>
      </c>
      <c r="AO53" s="3">
        <v>0</v>
      </c>
      <c r="AP53" s="3">
        <v>0</v>
      </c>
      <c r="AQ53" s="3">
        <v>0</v>
      </c>
      <c r="AR53" s="2" t="s">
        <v>5</v>
      </c>
      <c r="AS53" s="2" t="s">
        <v>5</v>
      </c>
      <c r="AU53" s="5" t="str">
        <f>HYPERLINK("https://creighton-primo.hosted.exlibrisgroup.com/primo-explore/search?tab=default_tab&amp;search_scope=EVERYTHING&amp;vid=01CRU&amp;lang=en_US&amp;offset=0&amp;query=any,contains,991001035869702656","Catalog Record")</f>
        <v>Catalog Record</v>
      </c>
      <c r="AV53" s="5" t="str">
        <f>HYPERLINK("http://www.worldcat.org/oclc/15176554","WorldCat Record")</f>
        <v>WorldCat Record</v>
      </c>
      <c r="AW53" s="2" t="s">
        <v>772</v>
      </c>
      <c r="AX53" s="2" t="s">
        <v>773</v>
      </c>
      <c r="AY53" s="2" t="s">
        <v>774</v>
      </c>
      <c r="AZ53" s="2" t="s">
        <v>774</v>
      </c>
      <c r="BA53" s="2" t="s">
        <v>775</v>
      </c>
      <c r="BB53" s="2" t="s">
        <v>21</v>
      </c>
      <c r="BE53" s="2" t="s">
        <v>776</v>
      </c>
      <c r="BF53" s="2" t="s">
        <v>777</v>
      </c>
    </row>
    <row r="54" spans="1:58" ht="41.25" customHeight="1" x14ac:dyDescent="0.25">
      <c r="A54" s="8" t="s">
        <v>5</v>
      </c>
      <c r="B54" s="1" t="s">
        <v>0</v>
      </c>
      <c r="C54" s="1" t="s">
        <v>1</v>
      </c>
      <c r="D54" s="1" t="s">
        <v>778</v>
      </c>
      <c r="E54" s="1" t="s">
        <v>779</v>
      </c>
      <c r="F54" s="1" t="s">
        <v>780</v>
      </c>
      <c r="H54" s="2" t="s">
        <v>5</v>
      </c>
      <c r="I54" s="2" t="s">
        <v>6</v>
      </c>
      <c r="J54" s="2" t="s">
        <v>5</v>
      </c>
      <c r="K54" s="2" t="s">
        <v>5</v>
      </c>
      <c r="L54" s="2" t="s">
        <v>7</v>
      </c>
      <c r="M54" s="1" t="s">
        <v>769</v>
      </c>
      <c r="N54" s="1" t="s">
        <v>781</v>
      </c>
      <c r="O54" s="2" t="s">
        <v>561</v>
      </c>
      <c r="P54" s="1" t="s">
        <v>63</v>
      </c>
      <c r="Q54" s="2" t="s">
        <v>11</v>
      </c>
      <c r="R54" s="2" t="s">
        <v>93</v>
      </c>
      <c r="T54" s="2" t="s">
        <v>520</v>
      </c>
      <c r="U54" s="3">
        <v>5</v>
      </c>
      <c r="V54" s="3">
        <v>5</v>
      </c>
      <c r="W54" s="4" t="s">
        <v>782</v>
      </c>
      <c r="X54" s="4" t="s">
        <v>782</v>
      </c>
      <c r="Y54" s="4" t="s">
        <v>49</v>
      </c>
      <c r="Z54" s="4" t="s">
        <v>49</v>
      </c>
      <c r="AA54" s="3">
        <v>464</v>
      </c>
      <c r="AB54" s="3">
        <v>386</v>
      </c>
      <c r="AC54" s="3">
        <v>480</v>
      </c>
      <c r="AD54" s="3">
        <v>9</v>
      </c>
      <c r="AE54" s="3">
        <v>11</v>
      </c>
      <c r="AF54" s="3">
        <v>22</v>
      </c>
      <c r="AG54" s="3">
        <v>24</v>
      </c>
      <c r="AH54" s="3">
        <v>5</v>
      </c>
      <c r="AI54" s="3">
        <v>5</v>
      </c>
      <c r="AJ54" s="3">
        <v>2</v>
      </c>
      <c r="AK54" s="3">
        <v>3</v>
      </c>
      <c r="AL54" s="3">
        <v>9</v>
      </c>
      <c r="AM54" s="3">
        <v>9</v>
      </c>
      <c r="AN54" s="3">
        <v>7</v>
      </c>
      <c r="AO54" s="3">
        <v>8</v>
      </c>
      <c r="AP54" s="3">
        <v>0</v>
      </c>
      <c r="AQ54" s="3">
        <v>0</v>
      </c>
      <c r="AR54" s="2" t="s">
        <v>5</v>
      </c>
      <c r="AS54" s="2" t="s">
        <v>16</v>
      </c>
      <c r="AT54" s="5" t="str">
        <f>HYPERLINK("http://catalog.hathitrust.org/Record/001574117","HathiTrust Record")</f>
        <v>HathiTrust Record</v>
      </c>
      <c r="AU54" s="5" t="str">
        <f>HYPERLINK("https://creighton-primo.hosted.exlibrisgroup.com/primo-explore/search?tab=default_tab&amp;search_scope=EVERYTHING&amp;vid=01CRU&amp;lang=en_US&amp;offset=0&amp;query=any,contains,991001035929702656","Catalog Record")</f>
        <v>Catalog Record</v>
      </c>
      <c r="AV54" s="5" t="str">
        <f>HYPERLINK("http://www.worldcat.org/oclc/625033","WorldCat Record")</f>
        <v>WorldCat Record</v>
      </c>
      <c r="AW54" s="2" t="s">
        <v>783</v>
      </c>
      <c r="AX54" s="2" t="s">
        <v>784</v>
      </c>
      <c r="AY54" s="2" t="s">
        <v>785</v>
      </c>
      <c r="AZ54" s="2" t="s">
        <v>785</v>
      </c>
      <c r="BA54" s="2" t="s">
        <v>786</v>
      </c>
      <c r="BB54" s="2" t="s">
        <v>21</v>
      </c>
      <c r="BE54" s="2" t="s">
        <v>787</v>
      </c>
      <c r="BF54" s="2" t="s">
        <v>788</v>
      </c>
    </row>
    <row r="55" spans="1:58" ht="41.25" customHeight="1" x14ac:dyDescent="0.25">
      <c r="A55" s="8" t="s">
        <v>5</v>
      </c>
      <c r="B55" s="1" t="s">
        <v>0</v>
      </c>
      <c r="C55" s="1" t="s">
        <v>1</v>
      </c>
      <c r="D55" s="1" t="s">
        <v>789</v>
      </c>
      <c r="E55" s="1" t="s">
        <v>790</v>
      </c>
      <c r="F55" s="1" t="s">
        <v>791</v>
      </c>
      <c r="H55" s="2" t="s">
        <v>5</v>
      </c>
      <c r="I55" s="2" t="s">
        <v>6</v>
      </c>
      <c r="J55" s="2" t="s">
        <v>5</v>
      </c>
      <c r="K55" s="2" t="s">
        <v>5</v>
      </c>
      <c r="L55" s="2" t="s">
        <v>7</v>
      </c>
      <c r="M55" s="1" t="s">
        <v>792</v>
      </c>
      <c r="N55" s="1" t="s">
        <v>793</v>
      </c>
      <c r="O55" s="2" t="s">
        <v>794</v>
      </c>
      <c r="Q55" s="2" t="s">
        <v>11</v>
      </c>
      <c r="R55" s="2" t="s">
        <v>12</v>
      </c>
      <c r="S55" s="1" t="s">
        <v>795</v>
      </c>
      <c r="T55" s="2" t="s">
        <v>520</v>
      </c>
      <c r="U55" s="3">
        <v>3</v>
      </c>
      <c r="V55" s="3">
        <v>3</v>
      </c>
      <c r="W55" s="4" t="s">
        <v>796</v>
      </c>
      <c r="X55" s="4" t="s">
        <v>796</v>
      </c>
      <c r="Y55" s="4" t="s">
        <v>604</v>
      </c>
      <c r="Z55" s="4" t="s">
        <v>604</v>
      </c>
      <c r="AA55" s="3">
        <v>340</v>
      </c>
      <c r="AB55" s="3">
        <v>314</v>
      </c>
      <c r="AC55" s="3">
        <v>627</v>
      </c>
      <c r="AD55" s="3">
        <v>5</v>
      </c>
      <c r="AE55" s="3">
        <v>8</v>
      </c>
      <c r="AF55" s="3">
        <v>16</v>
      </c>
      <c r="AG55" s="3">
        <v>38</v>
      </c>
      <c r="AH55" s="3">
        <v>6</v>
      </c>
      <c r="AI55" s="3">
        <v>14</v>
      </c>
      <c r="AJ55" s="3">
        <v>3</v>
      </c>
      <c r="AK55" s="3">
        <v>7</v>
      </c>
      <c r="AL55" s="3">
        <v>7</v>
      </c>
      <c r="AM55" s="3">
        <v>19</v>
      </c>
      <c r="AN55" s="3">
        <v>3</v>
      </c>
      <c r="AO55" s="3">
        <v>5</v>
      </c>
      <c r="AP55" s="3">
        <v>0</v>
      </c>
      <c r="AQ55" s="3">
        <v>1</v>
      </c>
      <c r="AR55" s="2" t="s">
        <v>5</v>
      </c>
      <c r="AS55" s="2" t="s">
        <v>16</v>
      </c>
      <c r="AT55" s="5" t="str">
        <f>HYPERLINK("http://catalog.hathitrust.org/Record/003045963","HathiTrust Record")</f>
        <v>HathiTrust Record</v>
      </c>
      <c r="AU55" s="5" t="str">
        <f>HYPERLINK("https://creighton-primo.hosted.exlibrisgroup.com/primo-explore/search?tab=default_tab&amp;search_scope=EVERYTHING&amp;vid=01CRU&amp;lang=en_US&amp;offset=0&amp;query=any,contains,991000259799702656","Catalog Record")</f>
        <v>Catalog Record</v>
      </c>
      <c r="AV55" s="5" t="str">
        <f>HYPERLINK("http://www.worldcat.org/oclc/34245000","WorldCat Record")</f>
        <v>WorldCat Record</v>
      </c>
      <c r="AW55" s="2" t="s">
        <v>797</v>
      </c>
      <c r="AX55" s="2" t="s">
        <v>798</v>
      </c>
      <c r="AY55" s="2" t="s">
        <v>799</v>
      </c>
      <c r="AZ55" s="2" t="s">
        <v>799</v>
      </c>
      <c r="BA55" s="2" t="s">
        <v>800</v>
      </c>
      <c r="BB55" s="2" t="s">
        <v>21</v>
      </c>
      <c r="BD55" s="2" t="s">
        <v>801</v>
      </c>
      <c r="BE55" s="2" t="s">
        <v>802</v>
      </c>
      <c r="BF55" s="2" t="s">
        <v>803</v>
      </c>
    </row>
    <row r="56" spans="1:58" ht="41.25" customHeight="1" x14ac:dyDescent="0.25">
      <c r="A56" s="8" t="s">
        <v>5</v>
      </c>
      <c r="B56" s="1" t="s">
        <v>0</v>
      </c>
      <c r="C56" s="1" t="s">
        <v>1</v>
      </c>
      <c r="D56" s="1" t="s">
        <v>804</v>
      </c>
      <c r="E56" s="1" t="s">
        <v>805</v>
      </c>
      <c r="F56" s="1" t="s">
        <v>806</v>
      </c>
      <c r="H56" s="2" t="s">
        <v>5</v>
      </c>
      <c r="I56" s="2" t="s">
        <v>6</v>
      </c>
      <c r="J56" s="2" t="s">
        <v>5</v>
      </c>
      <c r="K56" s="2" t="s">
        <v>5</v>
      </c>
      <c r="L56" s="2" t="s">
        <v>7</v>
      </c>
      <c r="M56" s="1" t="s">
        <v>807</v>
      </c>
      <c r="N56" s="1" t="s">
        <v>808</v>
      </c>
      <c r="O56" s="2" t="s">
        <v>809</v>
      </c>
      <c r="Q56" s="2" t="s">
        <v>11</v>
      </c>
      <c r="R56" s="2" t="s">
        <v>78</v>
      </c>
      <c r="T56" s="2" t="s">
        <v>520</v>
      </c>
      <c r="U56" s="3">
        <v>6</v>
      </c>
      <c r="V56" s="3">
        <v>6</v>
      </c>
      <c r="W56" s="4" t="s">
        <v>810</v>
      </c>
      <c r="X56" s="4" t="s">
        <v>810</v>
      </c>
      <c r="Y56" s="4" t="s">
        <v>49</v>
      </c>
      <c r="Z56" s="4" t="s">
        <v>49</v>
      </c>
      <c r="AA56" s="3">
        <v>20</v>
      </c>
      <c r="AB56" s="3">
        <v>18</v>
      </c>
      <c r="AC56" s="3">
        <v>40</v>
      </c>
      <c r="AD56" s="3">
        <v>1</v>
      </c>
      <c r="AE56" s="3">
        <v>1</v>
      </c>
      <c r="AF56" s="3">
        <v>2</v>
      </c>
      <c r="AG56" s="3">
        <v>4</v>
      </c>
      <c r="AH56" s="3">
        <v>0</v>
      </c>
      <c r="AI56" s="3">
        <v>2</v>
      </c>
      <c r="AJ56" s="3">
        <v>1</v>
      </c>
      <c r="AK56" s="3">
        <v>1</v>
      </c>
      <c r="AL56" s="3">
        <v>1</v>
      </c>
      <c r="AM56" s="3">
        <v>2</v>
      </c>
      <c r="AN56" s="3">
        <v>0</v>
      </c>
      <c r="AO56" s="3">
        <v>0</v>
      </c>
      <c r="AP56" s="3">
        <v>0</v>
      </c>
      <c r="AQ56" s="3">
        <v>0</v>
      </c>
      <c r="AR56" s="2" t="s">
        <v>5</v>
      </c>
      <c r="AS56" s="2" t="s">
        <v>5</v>
      </c>
      <c r="AU56" s="5" t="str">
        <f>HYPERLINK("https://creighton-primo.hosted.exlibrisgroup.com/primo-explore/search?tab=default_tab&amp;search_scope=EVERYTHING&amp;vid=01CRU&amp;lang=en_US&amp;offset=0&amp;query=any,contains,991001036289702656","Catalog Record")</f>
        <v>Catalog Record</v>
      </c>
      <c r="AV56" s="5" t="str">
        <f>HYPERLINK("http://www.worldcat.org/oclc/1846656","WorldCat Record")</f>
        <v>WorldCat Record</v>
      </c>
      <c r="AW56" s="2" t="s">
        <v>811</v>
      </c>
      <c r="AX56" s="2" t="s">
        <v>812</v>
      </c>
      <c r="AY56" s="2" t="s">
        <v>813</v>
      </c>
      <c r="AZ56" s="2" t="s">
        <v>813</v>
      </c>
      <c r="BA56" s="2" t="s">
        <v>814</v>
      </c>
      <c r="BB56" s="2" t="s">
        <v>21</v>
      </c>
      <c r="BE56" s="2" t="s">
        <v>815</v>
      </c>
      <c r="BF56" s="2" t="s">
        <v>816</v>
      </c>
    </row>
    <row r="57" spans="1:58" ht="41.25" customHeight="1" x14ac:dyDescent="0.25">
      <c r="A57" s="8" t="s">
        <v>5</v>
      </c>
      <c r="B57" s="1" t="s">
        <v>0</v>
      </c>
      <c r="C57" s="1" t="s">
        <v>1</v>
      </c>
      <c r="D57" s="1" t="s">
        <v>817</v>
      </c>
      <c r="E57" s="1" t="s">
        <v>818</v>
      </c>
      <c r="F57" s="1" t="s">
        <v>819</v>
      </c>
      <c r="G57" s="2" t="s">
        <v>820</v>
      </c>
      <c r="H57" s="2" t="s">
        <v>16</v>
      </c>
      <c r="I57" s="2" t="s">
        <v>6</v>
      </c>
      <c r="J57" s="2" t="s">
        <v>5</v>
      </c>
      <c r="K57" s="2" t="s">
        <v>5</v>
      </c>
      <c r="L57" s="2" t="s">
        <v>7</v>
      </c>
      <c r="M57" s="1" t="s">
        <v>821</v>
      </c>
      <c r="N57" s="1" t="s">
        <v>822</v>
      </c>
      <c r="O57" s="2" t="s">
        <v>823</v>
      </c>
      <c r="Q57" s="2" t="s">
        <v>11</v>
      </c>
      <c r="R57" s="2" t="s">
        <v>12</v>
      </c>
      <c r="T57" s="2" t="s">
        <v>520</v>
      </c>
      <c r="U57" s="3">
        <v>10</v>
      </c>
      <c r="V57" s="3">
        <v>30</v>
      </c>
      <c r="W57" s="4" t="s">
        <v>824</v>
      </c>
      <c r="X57" s="4" t="s">
        <v>824</v>
      </c>
      <c r="Y57" s="4" t="s">
        <v>49</v>
      </c>
      <c r="Z57" s="4" t="s">
        <v>825</v>
      </c>
      <c r="AA57" s="3">
        <v>391</v>
      </c>
      <c r="AB57" s="3">
        <v>319</v>
      </c>
      <c r="AC57" s="3">
        <v>586</v>
      </c>
      <c r="AD57" s="3">
        <v>4</v>
      </c>
      <c r="AE57" s="3">
        <v>7</v>
      </c>
      <c r="AF57" s="3">
        <v>15</v>
      </c>
      <c r="AG57" s="3">
        <v>30</v>
      </c>
      <c r="AH57" s="3">
        <v>3</v>
      </c>
      <c r="AI57" s="3">
        <v>7</v>
      </c>
      <c r="AJ57" s="3">
        <v>4</v>
      </c>
      <c r="AK57" s="3">
        <v>7</v>
      </c>
      <c r="AL57" s="3">
        <v>6</v>
      </c>
      <c r="AM57" s="3">
        <v>14</v>
      </c>
      <c r="AN57" s="3">
        <v>3</v>
      </c>
      <c r="AO57" s="3">
        <v>5</v>
      </c>
      <c r="AP57" s="3">
        <v>0</v>
      </c>
      <c r="AQ57" s="3">
        <v>1</v>
      </c>
      <c r="AR57" s="2" t="s">
        <v>16</v>
      </c>
      <c r="AS57" s="2" t="s">
        <v>5</v>
      </c>
      <c r="AT57" s="5" t="str">
        <f>HYPERLINK("http://catalog.hathitrust.org/Record/001574122","HathiTrust Record")</f>
        <v>HathiTrust Record</v>
      </c>
      <c r="AU57" s="5" t="str">
        <f>HYPERLINK("https://creighton-primo.hosted.exlibrisgroup.com/primo-explore/search?tab=default_tab&amp;search_scope=EVERYTHING&amp;vid=01CRU&amp;lang=en_US&amp;offset=0&amp;query=any,contains,991001036439702656","Catalog Record")</f>
        <v>Catalog Record</v>
      </c>
      <c r="AV57" s="5" t="str">
        <f>HYPERLINK("http://www.worldcat.org/oclc/1351332","WorldCat Record")</f>
        <v>WorldCat Record</v>
      </c>
      <c r="AW57" s="2" t="s">
        <v>826</v>
      </c>
      <c r="AX57" s="2" t="s">
        <v>827</v>
      </c>
      <c r="AY57" s="2" t="s">
        <v>828</v>
      </c>
      <c r="AZ57" s="2" t="s">
        <v>828</v>
      </c>
      <c r="BA57" s="2" t="s">
        <v>829</v>
      </c>
      <c r="BB57" s="2" t="s">
        <v>21</v>
      </c>
      <c r="BE57" s="2" t="s">
        <v>830</v>
      </c>
      <c r="BF57" s="2" t="s">
        <v>831</v>
      </c>
    </row>
    <row r="58" spans="1:58" ht="41.25" customHeight="1" x14ac:dyDescent="0.25">
      <c r="A58" s="8" t="s">
        <v>5</v>
      </c>
      <c r="B58" s="1" t="s">
        <v>0</v>
      </c>
      <c r="C58" s="1" t="s">
        <v>1</v>
      </c>
      <c r="D58" s="1" t="s">
        <v>817</v>
      </c>
      <c r="E58" s="1" t="s">
        <v>818</v>
      </c>
      <c r="F58" s="1" t="s">
        <v>819</v>
      </c>
      <c r="G58" s="2" t="s">
        <v>832</v>
      </c>
      <c r="H58" s="2" t="s">
        <v>16</v>
      </c>
      <c r="I58" s="2" t="s">
        <v>6</v>
      </c>
      <c r="J58" s="2" t="s">
        <v>5</v>
      </c>
      <c r="K58" s="2" t="s">
        <v>5</v>
      </c>
      <c r="L58" s="2" t="s">
        <v>7</v>
      </c>
      <c r="M58" s="1" t="s">
        <v>821</v>
      </c>
      <c r="N58" s="1" t="s">
        <v>822</v>
      </c>
      <c r="O58" s="2" t="s">
        <v>823</v>
      </c>
      <c r="Q58" s="2" t="s">
        <v>11</v>
      </c>
      <c r="R58" s="2" t="s">
        <v>12</v>
      </c>
      <c r="T58" s="2" t="s">
        <v>520</v>
      </c>
      <c r="U58" s="3">
        <v>3</v>
      </c>
      <c r="V58" s="3">
        <v>30</v>
      </c>
      <c r="W58" s="4" t="s">
        <v>833</v>
      </c>
      <c r="X58" s="4" t="s">
        <v>824</v>
      </c>
      <c r="Y58" s="4" t="s">
        <v>825</v>
      </c>
      <c r="Z58" s="4" t="s">
        <v>825</v>
      </c>
      <c r="AA58" s="3">
        <v>391</v>
      </c>
      <c r="AB58" s="3">
        <v>319</v>
      </c>
      <c r="AC58" s="3">
        <v>586</v>
      </c>
      <c r="AD58" s="3">
        <v>4</v>
      </c>
      <c r="AE58" s="3">
        <v>7</v>
      </c>
      <c r="AF58" s="3">
        <v>15</v>
      </c>
      <c r="AG58" s="3">
        <v>30</v>
      </c>
      <c r="AH58" s="3">
        <v>3</v>
      </c>
      <c r="AI58" s="3">
        <v>7</v>
      </c>
      <c r="AJ58" s="3">
        <v>4</v>
      </c>
      <c r="AK58" s="3">
        <v>7</v>
      </c>
      <c r="AL58" s="3">
        <v>6</v>
      </c>
      <c r="AM58" s="3">
        <v>14</v>
      </c>
      <c r="AN58" s="3">
        <v>3</v>
      </c>
      <c r="AO58" s="3">
        <v>5</v>
      </c>
      <c r="AP58" s="3">
        <v>0</v>
      </c>
      <c r="AQ58" s="3">
        <v>1</v>
      </c>
      <c r="AR58" s="2" t="s">
        <v>16</v>
      </c>
      <c r="AS58" s="2" t="s">
        <v>5</v>
      </c>
      <c r="AT58" s="5" t="str">
        <f>HYPERLINK("http://catalog.hathitrust.org/Record/001574122","HathiTrust Record")</f>
        <v>HathiTrust Record</v>
      </c>
      <c r="AU58" s="5" t="str">
        <f>HYPERLINK("https://creighton-primo.hosted.exlibrisgroup.com/primo-explore/search?tab=default_tab&amp;search_scope=EVERYTHING&amp;vid=01CRU&amp;lang=en_US&amp;offset=0&amp;query=any,contains,991001036439702656","Catalog Record")</f>
        <v>Catalog Record</v>
      </c>
      <c r="AV58" s="5" t="str">
        <f>HYPERLINK("http://www.worldcat.org/oclc/1351332","WorldCat Record")</f>
        <v>WorldCat Record</v>
      </c>
      <c r="AW58" s="2" t="s">
        <v>826</v>
      </c>
      <c r="AX58" s="2" t="s">
        <v>827</v>
      </c>
      <c r="AY58" s="2" t="s">
        <v>828</v>
      </c>
      <c r="AZ58" s="2" t="s">
        <v>828</v>
      </c>
      <c r="BA58" s="2" t="s">
        <v>829</v>
      </c>
      <c r="BB58" s="2" t="s">
        <v>21</v>
      </c>
      <c r="BE58" s="2" t="s">
        <v>834</v>
      </c>
      <c r="BF58" s="2" t="s">
        <v>835</v>
      </c>
    </row>
    <row r="59" spans="1:58" ht="41.25" customHeight="1" x14ac:dyDescent="0.25">
      <c r="A59" s="8" t="s">
        <v>5</v>
      </c>
      <c r="B59" s="1" t="s">
        <v>0</v>
      </c>
      <c r="C59" s="1" t="s">
        <v>1</v>
      </c>
      <c r="D59" s="1" t="s">
        <v>817</v>
      </c>
      <c r="E59" s="1" t="s">
        <v>818</v>
      </c>
      <c r="F59" s="1" t="s">
        <v>819</v>
      </c>
      <c r="G59" s="2" t="s">
        <v>836</v>
      </c>
      <c r="H59" s="2" t="s">
        <v>16</v>
      </c>
      <c r="I59" s="2" t="s">
        <v>6</v>
      </c>
      <c r="J59" s="2" t="s">
        <v>5</v>
      </c>
      <c r="K59" s="2" t="s">
        <v>5</v>
      </c>
      <c r="L59" s="2" t="s">
        <v>7</v>
      </c>
      <c r="M59" s="1" t="s">
        <v>821</v>
      </c>
      <c r="N59" s="1" t="s">
        <v>822</v>
      </c>
      <c r="O59" s="2" t="s">
        <v>823</v>
      </c>
      <c r="Q59" s="2" t="s">
        <v>11</v>
      </c>
      <c r="R59" s="2" t="s">
        <v>12</v>
      </c>
      <c r="T59" s="2" t="s">
        <v>520</v>
      </c>
      <c r="U59" s="3">
        <v>13</v>
      </c>
      <c r="V59" s="3">
        <v>30</v>
      </c>
      <c r="W59" s="4" t="s">
        <v>824</v>
      </c>
      <c r="X59" s="4" t="s">
        <v>824</v>
      </c>
      <c r="Y59" s="4" t="s">
        <v>49</v>
      </c>
      <c r="Z59" s="4" t="s">
        <v>825</v>
      </c>
      <c r="AA59" s="3">
        <v>391</v>
      </c>
      <c r="AB59" s="3">
        <v>319</v>
      </c>
      <c r="AC59" s="3">
        <v>586</v>
      </c>
      <c r="AD59" s="3">
        <v>4</v>
      </c>
      <c r="AE59" s="3">
        <v>7</v>
      </c>
      <c r="AF59" s="3">
        <v>15</v>
      </c>
      <c r="AG59" s="3">
        <v>30</v>
      </c>
      <c r="AH59" s="3">
        <v>3</v>
      </c>
      <c r="AI59" s="3">
        <v>7</v>
      </c>
      <c r="AJ59" s="3">
        <v>4</v>
      </c>
      <c r="AK59" s="3">
        <v>7</v>
      </c>
      <c r="AL59" s="3">
        <v>6</v>
      </c>
      <c r="AM59" s="3">
        <v>14</v>
      </c>
      <c r="AN59" s="3">
        <v>3</v>
      </c>
      <c r="AO59" s="3">
        <v>5</v>
      </c>
      <c r="AP59" s="3">
        <v>0</v>
      </c>
      <c r="AQ59" s="3">
        <v>1</v>
      </c>
      <c r="AR59" s="2" t="s">
        <v>16</v>
      </c>
      <c r="AS59" s="2" t="s">
        <v>5</v>
      </c>
      <c r="AT59" s="5" t="str">
        <f>HYPERLINK("http://catalog.hathitrust.org/Record/001574122","HathiTrust Record")</f>
        <v>HathiTrust Record</v>
      </c>
      <c r="AU59" s="5" t="str">
        <f>HYPERLINK("https://creighton-primo.hosted.exlibrisgroup.com/primo-explore/search?tab=default_tab&amp;search_scope=EVERYTHING&amp;vid=01CRU&amp;lang=en_US&amp;offset=0&amp;query=any,contains,991001036439702656","Catalog Record")</f>
        <v>Catalog Record</v>
      </c>
      <c r="AV59" s="5" t="str">
        <f>HYPERLINK("http://www.worldcat.org/oclc/1351332","WorldCat Record")</f>
        <v>WorldCat Record</v>
      </c>
      <c r="AW59" s="2" t="s">
        <v>826</v>
      </c>
      <c r="AX59" s="2" t="s">
        <v>827</v>
      </c>
      <c r="AY59" s="2" t="s">
        <v>828</v>
      </c>
      <c r="AZ59" s="2" t="s">
        <v>828</v>
      </c>
      <c r="BA59" s="2" t="s">
        <v>829</v>
      </c>
      <c r="BB59" s="2" t="s">
        <v>21</v>
      </c>
      <c r="BE59" s="2" t="s">
        <v>837</v>
      </c>
      <c r="BF59" s="2" t="s">
        <v>838</v>
      </c>
    </row>
    <row r="60" spans="1:58" ht="41.25" customHeight="1" x14ac:dyDescent="0.25">
      <c r="A60" s="8" t="s">
        <v>5</v>
      </c>
      <c r="B60" s="1" t="s">
        <v>0</v>
      </c>
      <c r="C60" s="1" t="s">
        <v>1</v>
      </c>
      <c r="D60" s="1" t="s">
        <v>817</v>
      </c>
      <c r="E60" s="1" t="s">
        <v>818</v>
      </c>
      <c r="F60" s="1" t="s">
        <v>819</v>
      </c>
      <c r="G60" s="2" t="s">
        <v>839</v>
      </c>
      <c r="H60" s="2" t="s">
        <v>16</v>
      </c>
      <c r="I60" s="2" t="s">
        <v>6</v>
      </c>
      <c r="J60" s="2" t="s">
        <v>5</v>
      </c>
      <c r="K60" s="2" t="s">
        <v>5</v>
      </c>
      <c r="L60" s="2" t="s">
        <v>7</v>
      </c>
      <c r="M60" s="1" t="s">
        <v>821</v>
      </c>
      <c r="N60" s="1" t="s">
        <v>822</v>
      </c>
      <c r="O60" s="2" t="s">
        <v>823</v>
      </c>
      <c r="Q60" s="2" t="s">
        <v>11</v>
      </c>
      <c r="R60" s="2" t="s">
        <v>12</v>
      </c>
      <c r="T60" s="2" t="s">
        <v>520</v>
      </c>
      <c r="U60" s="3">
        <v>4</v>
      </c>
      <c r="V60" s="3">
        <v>30</v>
      </c>
      <c r="W60" s="4" t="s">
        <v>833</v>
      </c>
      <c r="X60" s="4" t="s">
        <v>824</v>
      </c>
      <c r="Y60" s="4" t="s">
        <v>49</v>
      </c>
      <c r="Z60" s="4" t="s">
        <v>825</v>
      </c>
      <c r="AA60" s="3">
        <v>391</v>
      </c>
      <c r="AB60" s="3">
        <v>319</v>
      </c>
      <c r="AC60" s="3">
        <v>586</v>
      </c>
      <c r="AD60" s="3">
        <v>4</v>
      </c>
      <c r="AE60" s="3">
        <v>7</v>
      </c>
      <c r="AF60" s="3">
        <v>15</v>
      </c>
      <c r="AG60" s="3">
        <v>30</v>
      </c>
      <c r="AH60" s="3">
        <v>3</v>
      </c>
      <c r="AI60" s="3">
        <v>7</v>
      </c>
      <c r="AJ60" s="3">
        <v>4</v>
      </c>
      <c r="AK60" s="3">
        <v>7</v>
      </c>
      <c r="AL60" s="3">
        <v>6</v>
      </c>
      <c r="AM60" s="3">
        <v>14</v>
      </c>
      <c r="AN60" s="3">
        <v>3</v>
      </c>
      <c r="AO60" s="3">
        <v>5</v>
      </c>
      <c r="AP60" s="3">
        <v>0</v>
      </c>
      <c r="AQ60" s="3">
        <v>1</v>
      </c>
      <c r="AR60" s="2" t="s">
        <v>16</v>
      </c>
      <c r="AS60" s="2" t="s">
        <v>5</v>
      </c>
      <c r="AT60" s="5" t="str">
        <f>HYPERLINK("http://catalog.hathitrust.org/Record/001574122","HathiTrust Record")</f>
        <v>HathiTrust Record</v>
      </c>
      <c r="AU60" s="5" t="str">
        <f>HYPERLINK("https://creighton-primo.hosted.exlibrisgroup.com/primo-explore/search?tab=default_tab&amp;search_scope=EVERYTHING&amp;vid=01CRU&amp;lang=en_US&amp;offset=0&amp;query=any,contains,991001036439702656","Catalog Record")</f>
        <v>Catalog Record</v>
      </c>
      <c r="AV60" s="5" t="str">
        <f>HYPERLINK("http://www.worldcat.org/oclc/1351332","WorldCat Record")</f>
        <v>WorldCat Record</v>
      </c>
      <c r="AW60" s="2" t="s">
        <v>826</v>
      </c>
      <c r="AX60" s="2" t="s">
        <v>827</v>
      </c>
      <c r="AY60" s="2" t="s">
        <v>828</v>
      </c>
      <c r="AZ60" s="2" t="s">
        <v>828</v>
      </c>
      <c r="BA60" s="2" t="s">
        <v>829</v>
      </c>
      <c r="BB60" s="2" t="s">
        <v>21</v>
      </c>
      <c r="BE60" s="2" t="s">
        <v>840</v>
      </c>
      <c r="BF60" s="2" t="s">
        <v>841</v>
      </c>
    </row>
    <row r="61" spans="1:58" ht="41.25" customHeight="1" x14ac:dyDescent="0.25">
      <c r="A61" s="8" t="s">
        <v>5</v>
      </c>
      <c r="B61" s="1" t="s">
        <v>0</v>
      </c>
      <c r="C61" s="1" t="s">
        <v>1</v>
      </c>
      <c r="D61" s="1" t="s">
        <v>842</v>
      </c>
      <c r="E61" s="1" t="s">
        <v>843</v>
      </c>
      <c r="F61" s="1" t="s">
        <v>844</v>
      </c>
      <c r="H61" s="2" t="s">
        <v>5</v>
      </c>
      <c r="I61" s="2" t="s">
        <v>6</v>
      </c>
      <c r="J61" s="2" t="s">
        <v>5</v>
      </c>
      <c r="K61" s="2" t="s">
        <v>5</v>
      </c>
      <c r="L61" s="2" t="s">
        <v>7</v>
      </c>
      <c r="M61" s="1" t="s">
        <v>845</v>
      </c>
      <c r="N61" s="1" t="s">
        <v>846</v>
      </c>
      <c r="O61" s="2" t="s">
        <v>46</v>
      </c>
      <c r="Q61" s="2" t="s">
        <v>11</v>
      </c>
      <c r="R61" s="2" t="s">
        <v>575</v>
      </c>
      <c r="T61" s="2" t="s">
        <v>520</v>
      </c>
      <c r="U61" s="3">
        <v>2</v>
      </c>
      <c r="V61" s="3">
        <v>2</v>
      </c>
      <c r="W61" s="4" t="s">
        <v>847</v>
      </c>
      <c r="X61" s="4" t="s">
        <v>847</v>
      </c>
      <c r="Y61" s="4" t="s">
        <v>15</v>
      </c>
      <c r="Z61" s="4" t="s">
        <v>15</v>
      </c>
      <c r="AA61" s="3">
        <v>115</v>
      </c>
      <c r="AB61" s="3">
        <v>101</v>
      </c>
      <c r="AC61" s="3">
        <v>244</v>
      </c>
      <c r="AD61" s="3">
        <v>2</v>
      </c>
      <c r="AE61" s="3">
        <v>3</v>
      </c>
      <c r="AF61" s="3">
        <v>8</v>
      </c>
      <c r="AG61" s="3">
        <v>13</v>
      </c>
      <c r="AH61" s="3">
        <v>2</v>
      </c>
      <c r="AI61" s="3">
        <v>5</v>
      </c>
      <c r="AJ61" s="3">
        <v>0</v>
      </c>
      <c r="AK61" s="3">
        <v>1</v>
      </c>
      <c r="AL61" s="3">
        <v>6</v>
      </c>
      <c r="AM61" s="3">
        <v>7</v>
      </c>
      <c r="AN61" s="3">
        <v>1</v>
      </c>
      <c r="AO61" s="3">
        <v>2</v>
      </c>
      <c r="AP61" s="3">
        <v>0</v>
      </c>
      <c r="AQ61" s="3">
        <v>0</v>
      </c>
      <c r="AR61" s="2" t="s">
        <v>5</v>
      </c>
      <c r="AS61" s="2" t="s">
        <v>16</v>
      </c>
      <c r="AT61" s="5" t="str">
        <f>HYPERLINK("http://catalog.hathitrust.org/Record/100959588","HathiTrust Record")</f>
        <v>HathiTrust Record</v>
      </c>
      <c r="AU61" s="5" t="str">
        <f>HYPERLINK("https://creighton-primo.hosted.exlibrisgroup.com/primo-explore/search?tab=default_tab&amp;search_scope=EVERYTHING&amp;vid=01CRU&amp;lang=en_US&amp;offset=0&amp;query=any,contains,991001036599702656","Catalog Record")</f>
        <v>Catalog Record</v>
      </c>
      <c r="AV61" s="5" t="str">
        <f>HYPERLINK("http://www.worldcat.org/oclc/1349095","WorldCat Record")</f>
        <v>WorldCat Record</v>
      </c>
      <c r="AW61" s="2" t="s">
        <v>848</v>
      </c>
      <c r="AX61" s="2" t="s">
        <v>849</v>
      </c>
      <c r="AY61" s="2" t="s">
        <v>850</v>
      </c>
      <c r="AZ61" s="2" t="s">
        <v>850</v>
      </c>
      <c r="BA61" s="2" t="s">
        <v>851</v>
      </c>
      <c r="BB61" s="2" t="s">
        <v>21</v>
      </c>
      <c r="BE61" s="2" t="s">
        <v>852</v>
      </c>
      <c r="BF61" s="2" t="s">
        <v>853</v>
      </c>
    </row>
    <row r="62" spans="1:58" ht="41.25" customHeight="1" x14ac:dyDescent="0.25">
      <c r="A62" s="8" t="s">
        <v>5</v>
      </c>
      <c r="B62" s="1" t="s">
        <v>0</v>
      </c>
      <c r="C62" s="1" t="s">
        <v>1</v>
      </c>
      <c r="D62" s="1" t="s">
        <v>854</v>
      </c>
      <c r="E62" s="1" t="s">
        <v>855</v>
      </c>
      <c r="F62" s="1" t="s">
        <v>856</v>
      </c>
      <c r="H62" s="2" t="s">
        <v>5</v>
      </c>
      <c r="I62" s="2" t="s">
        <v>6</v>
      </c>
      <c r="J62" s="2" t="s">
        <v>5</v>
      </c>
      <c r="K62" s="2" t="s">
        <v>5</v>
      </c>
      <c r="L62" s="2" t="s">
        <v>7</v>
      </c>
      <c r="M62" s="1" t="s">
        <v>857</v>
      </c>
      <c r="N62" s="1" t="s">
        <v>858</v>
      </c>
      <c r="O62" s="2" t="s">
        <v>859</v>
      </c>
      <c r="Q62" s="2" t="s">
        <v>11</v>
      </c>
      <c r="R62" s="2" t="s">
        <v>12</v>
      </c>
      <c r="T62" s="2" t="s">
        <v>520</v>
      </c>
      <c r="U62" s="3">
        <v>3</v>
      </c>
      <c r="V62" s="3">
        <v>3</v>
      </c>
      <c r="W62" s="4" t="s">
        <v>860</v>
      </c>
      <c r="X62" s="4" t="s">
        <v>860</v>
      </c>
      <c r="Y62" s="4" t="s">
        <v>183</v>
      </c>
      <c r="Z62" s="4" t="s">
        <v>183</v>
      </c>
      <c r="AA62" s="3">
        <v>187</v>
      </c>
      <c r="AB62" s="3">
        <v>170</v>
      </c>
      <c r="AC62" s="3">
        <v>373</v>
      </c>
      <c r="AD62" s="3">
        <v>4</v>
      </c>
      <c r="AE62" s="3">
        <v>4</v>
      </c>
      <c r="AF62" s="3">
        <v>8</v>
      </c>
      <c r="AG62" s="3">
        <v>18</v>
      </c>
      <c r="AH62" s="3">
        <v>2</v>
      </c>
      <c r="AI62" s="3">
        <v>8</v>
      </c>
      <c r="AJ62" s="3">
        <v>1</v>
      </c>
      <c r="AK62" s="3">
        <v>2</v>
      </c>
      <c r="AL62" s="3">
        <v>3</v>
      </c>
      <c r="AM62" s="3">
        <v>9</v>
      </c>
      <c r="AN62" s="3">
        <v>3</v>
      </c>
      <c r="AO62" s="3">
        <v>3</v>
      </c>
      <c r="AP62" s="3">
        <v>0</v>
      </c>
      <c r="AQ62" s="3">
        <v>0</v>
      </c>
      <c r="AR62" s="2" t="s">
        <v>5</v>
      </c>
      <c r="AS62" s="2" t="s">
        <v>5</v>
      </c>
      <c r="AU62" s="5" t="str">
        <f>HYPERLINK("https://creighton-primo.hosted.exlibrisgroup.com/primo-explore/search?tab=default_tab&amp;search_scope=EVERYTHING&amp;vid=01CRU&amp;lang=en_US&amp;offset=0&amp;query=any,contains,991001036669702656","Catalog Record")</f>
        <v>Catalog Record</v>
      </c>
      <c r="AV62" s="5" t="str">
        <f>HYPERLINK("http://www.worldcat.org/oclc/1880989","WorldCat Record")</f>
        <v>WorldCat Record</v>
      </c>
      <c r="AW62" s="2" t="s">
        <v>861</v>
      </c>
      <c r="AX62" s="2" t="s">
        <v>862</v>
      </c>
      <c r="AY62" s="2" t="s">
        <v>863</v>
      </c>
      <c r="AZ62" s="2" t="s">
        <v>863</v>
      </c>
      <c r="BA62" s="2" t="s">
        <v>864</v>
      </c>
      <c r="BB62" s="2" t="s">
        <v>21</v>
      </c>
      <c r="BE62" s="2" t="s">
        <v>865</v>
      </c>
      <c r="BF62" s="2" t="s">
        <v>866</v>
      </c>
    </row>
    <row r="63" spans="1:58" ht="41.25" customHeight="1" x14ac:dyDescent="0.25">
      <c r="A63" s="8" t="s">
        <v>5</v>
      </c>
      <c r="B63" s="1" t="s">
        <v>0</v>
      </c>
      <c r="C63" s="1" t="s">
        <v>1</v>
      </c>
      <c r="D63" s="1" t="s">
        <v>867</v>
      </c>
      <c r="E63" s="1" t="s">
        <v>868</v>
      </c>
      <c r="F63" s="1" t="s">
        <v>869</v>
      </c>
      <c r="H63" s="2" t="s">
        <v>5</v>
      </c>
      <c r="I63" s="2" t="s">
        <v>6</v>
      </c>
      <c r="J63" s="2" t="s">
        <v>5</v>
      </c>
      <c r="K63" s="2" t="s">
        <v>5</v>
      </c>
      <c r="L63" s="2" t="s">
        <v>7</v>
      </c>
      <c r="M63" s="1" t="s">
        <v>870</v>
      </c>
      <c r="N63" s="1" t="s">
        <v>871</v>
      </c>
      <c r="O63" s="2" t="s">
        <v>872</v>
      </c>
      <c r="Q63" s="2" t="s">
        <v>11</v>
      </c>
      <c r="R63" s="2" t="s">
        <v>12</v>
      </c>
      <c r="S63" s="1" t="s">
        <v>873</v>
      </c>
      <c r="T63" s="2" t="s">
        <v>520</v>
      </c>
      <c r="U63" s="3">
        <v>1</v>
      </c>
      <c r="V63" s="3">
        <v>1</v>
      </c>
      <c r="W63" s="4" t="s">
        <v>874</v>
      </c>
      <c r="X63" s="4" t="s">
        <v>874</v>
      </c>
      <c r="Y63" s="4" t="s">
        <v>875</v>
      </c>
      <c r="Z63" s="4" t="s">
        <v>875</v>
      </c>
      <c r="AA63" s="3">
        <v>237</v>
      </c>
      <c r="AB63" s="3">
        <v>213</v>
      </c>
      <c r="AC63" s="3">
        <v>215</v>
      </c>
      <c r="AD63" s="3">
        <v>4</v>
      </c>
      <c r="AE63" s="3">
        <v>4</v>
      </c>
      <c r="AF63" s="3">
        <v>10</v>
      </c>
      <c r="AG63" s="3">
        <v>10</v>
      </c>
      <c r="AH63" s="3">
        <v>2</v>
      </c>
      <c r="AI63" s="3">
        <v>2</v>
      </c>
      <c r="AJ63" s="3">
        <v>2</v>
      </c>
      <c r="AK63" s="3">
        <v>2</v>
      </c>
      <c r="AL63" s="3">
        <v>5</v>
      </c>
      <c r="AM63" s="3">
        <v>5</v>
      </c>
      <c r="AN63" s="3">
        <v>2</v>
      </c>
      <c r="AO63" s="3">
        <v>2</v>
      </c>
      <c r="AP63" s="3">
        <v>0</v>
      </c>
      <c r="AQ63" s="3">
        <v>0</v>
      </c>
      <c r="AR63" s="2" t="s">
        <v>5</v>
      </c>
      <c r="AS63" s="2" t="s">
        <v>16</v>
      </c>
      <c r="AT63" s="5" t="str">
        <f>HYPERLINK("http://catalog.hathitrust.org/Record/002506788","HathiTrust Record")</f>
        <v>HathiTrust Record</v>
      </c>
      <c r="AU63" s="5" t="str">
        <f>HYPERLINK("https://creighton-primo.hosted.exlibrisgroup.com/primo-explore/search?tab=default_tab&amp;search_scope=EVERYTHING&amp;vid=01CRU&amp;lang=en_US&amp;offset=0&amp;query=any,contains,991001382849702656","Catalog Record")</f>
        <v>Catalog Record</v>
      </c>
      <c r="AV63" s="5" t="str">
        <f>HYPERLINK("http://www.worldcat.org/oclc/21163894","WorldCat Record")</f>
        <v>WorldCat Record</v>
      </c>
      <c r="AW63" s="2" t="s">
        <v>876</v>
      </c>
      <c r="AX63" s="2" t="s">
        <v>877</v>
      </c>
      <c r="AY63" s="2" t="s">
        <v>878</v>
      </c>
      <c r="AZ63" s="2" t="s">
        <v>878</v>
      </c>
      <c r="BA63" s="2" t="s">
        <v>879</v>
      </c>
      <c r="BB63" s="2" t="s">
        <v>21</v>
      </c>
      <c r="BD63" s="2" t="s">
        <v>880</v>
      </c>
      <c r="BE63" s="2" t="s">
        <v>881</v>
      </c>
      <c r="BF63" s="2" t="s">
        <v>882</v>
      </c>
    </row>
    <row r="64" spans="1:58" ht="41.25" customHeight="1" x14ac:dyDescent="0.25">
      <c r="A64" s="8" t="s">
        <v>5</v>
      </c>
      <c r="B64" s="1" t="s">
        <v>0</v>
      </c>
      <c r="C64" s="1" t="s">
        <v>1</v>
      </c>
      <c r="D64" s="1" t="s">
        <v>883</v>
      </c>
      <c r="E64" s="1" t="s">
        <v>884</v>
      </c>
      <c r="F64" s="1" t="s">
        <v>885</v>
      </c>
      <c r="H64" s="2" t="s">
        <v>5</v>
      </c>
      <c r="I64" s="2" t="s">
        <v>6</v>
      </c>
      <c r="J64" s="2" t="s">
        <v>5</v>
      </c>
      <c r="K64" s="2" t="s">
        <v>5</v>
      </c>
      <c r="L64" s="2" t="s">
        <v>7</v>
      </c>
      <c r="M64" s="1" t="s">
        <v>886</v>
      </c>
      <c r="N64" s="1" t="s">
        <v>887</v>
      </c>
      <c r="O64" s="2" t="s">
        <v>888</v>
      </c>
      <c r="Q64" s="2" t="s">
        <v>11</v>
      </c>
      <c r="R64" s="2" t="s">
        <v>426</v>
      </c>
      <c r="T64" s="2" t="s">
        <v>520</v>
      </c>
      <c r="U64" s="3">
        <v>11</v>
      </c>
      <c r="V64" s="3">
        <v>11</v>
      </c>
      <c r="W64" s="4" t="s">
        <v>889</v>
      </c>
      <c r="X64" s="4" t="s">
        <v>889</v>
      </c>
      <c r="Y64" s="4" t="s">
        <v>15</v>
      </c>
      <c r="Z64" s="4" t="s">
        <v>15</v>
      </c>
      <c r="AA64" s="3">
        <v>411</v>
      </c>
      <c r="AB64" s="3">
        <v>358</v>
      </c>
      <c r="AC64" s="3">
        <v>360</v>
      </c>
      <c r="AD64" s="3">
        <v>2</v>
      </c>
      <c r="AE64" s="3">
        <v>2</v>
      </c>
      <c r="AF64" s="3">
        <v>14</v>
      </c>
      <c r="AG64" s="3">
        <v>14</v>
      </c>
      <c r="AH64" s="3">
        <v>9</v>
      </c>
      <c r="AI64" s="3">
        <v>9</v>
      </c>
      <c r="AJ64" s="3">
        <v>1</v>
      </c>
      <c r="AK64" s="3">
        <v>1</v>
      </c>
      <c r="AL64" s="3">
        <v>7</v>
      </c>
      <c r="AM64" s="3">
        <v>7</v>
      </c>
      <c r="AN64" s="3">
        <v>1</v>
      </c>
      <c r="AO64" s="3">
        <v>1</v>
      </c>
      <c r="AP64" s="3">
        <v>0</v>
      </c>
      <c r="AQ64" s="3">
        <v>0</v>
      </c>
      <c r="AR64" s="2" t="s">
        <v>5</v>
      </c>
      <c r="AS64" s="2" t="s">
        <v>16</v>
      </c>
      <c r="AT64" s="5" t="str">
        <f>HYPERLINK("http://catalog.hathitrust.org/Record/000783587","HathiTrust Record")</f>
        <v>HathiTrust Record</v>
      </c>
      <c r="AU64" s="5" t="str">
        <f>HYPERLINK("https://creighton-primo.hosted.exlibrisgroup.com/primo-explore/search?tab=default_tab&amp;search_scope=EVERYTHING&amp;vid=01CRU&amp;lang=en_US&amp;offset=0&amp;query=any,contains,991001037039702656","Catalog Record")</f>
        <v>Catalog Record</v>
      </c>
      <c r="AV64" s="5" t="str">
        <f>HYPERLINK("http://www.worldcat.org/oclc/10208334","WorldCat Record")</f>
        <v>WorldCat Record</v>
      </c>
      <c r="AW64" s="2" t="s">
        <v>890</v>
      </c>
      <c r="AX64" s="2" t="s">
        <v>891</v>
      </c>
      <c r="AY64" s="2" t="s">
        <v>892</v>
      </c>
      <c r="AZ64" s="2" t="s">
        <v>892</v>
      </c>
      <c r="BA64" s="2" t="s">
        <v>893</v>
      </c>
      <c r="BB64" s="2" t="s">
        <v>21</v>
      </c>
      <c r="BD64" s="2" t="s">
        <v>894</v>
      </c>
      <c r="BE64" s="2" t="s">
        <v>895</v>
      </c>
      <c r="BF64" s="2" t="s">
        <v>896</v>
      </c>
    </row>
    <row r="65" spans="1:58" ht="41.25" customHeight="1" x14ac:dyDescent="0.25">
      <c r="A65" s="8" t="s">
        <v>5</v>
      </c>
      <c r="B65" s="1" t="s">
        <v>0</v>
      </c>
      <c r="C65" s="1" t="s">
        <v>1</v>
      </c>
      <c r="D65" s="1" t="s">
        <v>897</v>
      </c>
      <c r="E65" s="1" t="s">
        <v>898</v>
      </c>
      <c r="F65" s="1" t="s">
        <v>899</v>
      </c>
      <c r="H65" s="2" t="s">
        <v>5</v>
      </c>
      <c r="I65" s="2" t="s">
        <v>6</v>
      </c>
      <c r="J65" s="2" t="s">
        <v>5</v>
      </c>
      <c r="K65" s="2" t="s">
        <v>16</v>
      </c>
      <c r="L65" s="2" t="s">
        <v>7</v>
      </c>
      <c r="M65" s="1" t="s">
        <v>639</v>
      </c>
      <c r="N65" s="1" t="s">
        <v>900</v>
      </c>
      <c r="O65" s="2" t="s">
        <v>601</v>
      </c>
      <c r="P65" s="1" t="s">
        <v>901</v>
      </c>
      <c r="Q65" s="2" t="s">
        <v>11</v>
      </c>
      <c r="R65" s="2" t="s">
        <v>12</v>
      </c>
      <c r="S65" s="1" t="s">
        <v>902</v>
      </c>
      <c r="T65" s="2" t="s">
        <v>520</v>
      </c>
      <c r="U65" s="3">
        <v>0</v>
      </c>
      <c r="V65" s="3">
        <v>0</v>
      </c>
      <c r="W65" s="4" t="s">
        <v>903</v>
      </c>
      <c r="X65" s="4" t="s">
        <v>903</v>
      </c>
      <c r="Y65" s="4" t="s">
        <v>604</v>
      </c>
      <c r="Z65" s="4" t="s">
        <v>604</v>
      </c>
      <c r="AA65" s="3">
        <v>527</v>
      </c>
      <c r="AB65" s="3">
        <v>502</v>
      </c>
      <c r="AC65" s="3">
        <v>863</v>
      </c>
      <c r="AD65" s="3">
        <v>4</v>
      </c>
      <c r="AE65" s="3">
        <v>9</v>
      </c>
      <c r="AF65" s="3">
        <v>26</v>
      </c>
      <c r="AG65" s="3">
        <v>36</v>
      </c>
      <c r="AH65" s="3">
        <v>8</v>
      </c>
      <c r="AI65" s="3">
        <v>12</v>
      </c>
      <c r="AJ65" s="3">
        <v>8</v>
      </c>
      <c r="AK65" s="3">
        <v>8</v>
      </c>
      <c r="AL65" s="3">
        <v>11</v>
      </c>
      <c r="AM65" s="3">
        <v>14</v>
      </c>
      <c r="AN65" s="3">
        <v>2</v>
      </c>
      <c r="AO65" s="3">
        <v>6</v>
      </c>
      <c r="AP65" s="3">
        <v>0</v>
      </c>
      <c r="AQ65" s="3">
        <v>0</v>
      </c>
      <c r="AR65" s="2" t="s">
        <v>5</v>
      </c>
      <c r="AS65" s="2" t="s">
        <v>16</v>
      </c>
      <c r="AT65" s="5" t="str">
        <f>HYPERLINK("http://catalog.hathitrust.org/Record/004537424","HathiTrust Record")</f>
        <v>HathiTrust Record</v>
      </c>
      <c r="AU65" s="5" t="str">
        <f>HYPERLINK("https://creighton-primo.hosted.exlibrisgroup.com/primo-explore/search?tab=default_tab&amp;search_scope=EVERYTHING&amp;vid=01CRU&amp;lang=en_US&amp;offset=0&amp;query=any,contains,991000252529702656","Catalog Record")</f>
        <v>Catalog Record</v>
      </c>
      <c r="AV65" s="5" t="str">
        <f>HYPERLINK("http://www.worldcat.org/oclc/31819658","WorldCat Record")</f>
        <v>WorldCat Record</v>
      </c>
      <c r="AW65" s="2" t="s">
        <v>642</v>
      </c>
      <c r="AX65" s="2" t="s">
        <v>904</v>
      </c>
      <c r="AY65" s="2" t="s">
        <v>905</v>
      </c>
      <c r="AZ65" s="2" t="s">
        <v>905</v>
      </c>
      <c r="BA65" s="2" t="s">
        <v>906</v>
      </c>
      <c r="BB65" s="2" t="s">
        <v>21</v>
      </c>
      <c r="BD65" s="2" t="s">
        <v>907</v>
      </c>
      <c r="BE65" s="2" t="s">
        <v>908</v>
      </c>
      <c r="BF65" s="2" t="s">
        <v>909</v>
      </c>
    </row>
    <row r="66" spans="1:58" ht="41.25" customHeight="1" x14ac:dyDescent="0.25">
      <c r="A66" s="8" t="s">
        <v>5</v>
      </c>
      <c r="B66" s="1" t="s">
        <v>0</v>
      </c>
      <c r="C66" s="1" t="s">
        <v>1</v>
      </c>
      <c r="D66" s="1" t="s">
        <v>910</v>
      </c>
      <c r="E66" s="1" t="s">
        <v>911</v>
      </c>
      <c r="F66" s="1" t="s">
        <v>912</v>
      </c>
      <c r="H66" s="2" t="s">
        <v>5</v>
      </c>
      <c r="I66" s="2" t="s">
        <v>6</v>
      </c>
      <c r="J66" s="2" t="s">
        <v>5</v>
      </c>
      <c r="K66" s="2" t="s">
        <v>16</v>
      </c>
      <c r="L66" s="2" t="s">
        <v>7</v>
      </c>
      <c r="M66" s="1" t="s">
        <v>691</v>
      </c>
      <c r="N66" s="1" t="s">
        <v>913</v>
      </c>
      <c r="O66" s="2" t="s">
        <v>734</v>
      </c>
      <c r="P66" s="1" t="s">
        <v>914</v>
      </c>
      <c r="Q66" s="2" t="s">
        <v>11</v>
      </c>
      <c r="R66" s="2" t="s">
        <v>426</v>
      </c>
      <c r="T66" s="2" t="s">
        <v>520</v>
      </c>
      <c r="U66" s="3">
        <v>10</v>
      </c>
      <c r="V66" s="3">
        <v>10</v>
      </c>
      <c r="W66" s="4" t="s">
        <v>833</v>
      </c>
      <c r="X66" s="4" t="s">
        <v>833</v>
      </c>
      <c r="Y66" s="4" t="s">
        <v>15</v>
      </c>
      <c r="Z66" s="4" t="s">
        <v>15</v>
      </c>
      <c r="AA66" s="3">
        <v>721</v>
      </c>
      <c r="AB66" s="3">
        <v>583</v>
      </c>
      <c r="AC66" s="3">
        <v>881</v>
      </c>
      <c r="AD66" s="3">
        <v>7</v>
      </c>
      <c r="AE66" s="3">
        <v>11</v>
      </c>
      <c r="AF66" s="3">
        <v>26</v>
      </c>
      <c r="AG66" s="3">
        <v>31</v>
      </c>
      <c r="AH66" s="3">
        <v>12</v>
      </c>
      <c r="AI66" s="3">
        <v>13</v>
      </c>
      <c r="AJ66" s="3">
        <v>4</v>
      </c>
      <c r="AK66" s="3">
        <v>4</v>
      </c>
      <c r="AL66" s="3">
        <v>12</v>
      </c>
      <c r="AM66" s="3">
        <v>13</v>
      </c>
      <c r="AN66" s="3">
        <v>4</v>
      </c>
      <c r="AO66" s="3">
        <v>7</v>
      </c>
      <c r="AP66" s="3">
        <v>0</v>
      </c>
      <c r="AQ66" s="3">
        <v>0</v>
      </c>
      <c r="AR66" s="2" t="s">
        <v>5</v>
      </c>
      <c r="AS66" s="2" t="s">
        <v>16</v>
      </c>
      <c r="AT66" s="5" t="str">
        <f>HYPERLINK("http://catalog.hathitrust.org/Record/000276141","HathiTrust Record")</f>
        <v>HathiTrust Record</v>
      </c>
      <c r="AU66" s="5" t="str">
        <f>HYPERLINK("https://creighton-primo.hosted.exlibrisgroup.com/primo-explore/search?tab=default_tab&amp;search_scope=EVERYTHING&amp;vid=01CRU&amp;lang=en_US&amp;offset=0&amp;query=any,contains,991001036999702656","Catalog Record")</f>
        <v>Catalog Record</v>
      </c>
      <c r="AV66" s="5" t="str">
        <f>HYPERLINK("http://www.worldcat.org/oclc/8954506","WorldCat Record")</f>
        <v>WorldCat Record</v>
      </c>
      <c r="AW66" s="2" t="s">
        <v>696</v>
      </c>
      <c r="AX66" s="2" t="s">
        <v>915</v>
      </c>
      <c r="AY66" s="2" t="s">
        <v>916</v>
      </c>
      <c r="AZ66" s="2" t="s">
        <v>916</v>
      </c>
      <c r="BA66" s="2" t="s">
        <v>917</v>
      </c>
      <c r="BB66" s="2" t="s">
        <v>21</v>
      </c>
      <c r="BD66" s="2" t="s">
        <v>918</v>
      </c>
      <c r="BE66" s="2" t="s">
        <v>919</v>
      </c>
      <c r="BF66" s="2" t="s">
        <v>920</v>
      </c>
    </row>
    <row r="67" spans="1:58" ht="41.25" customHeight="1" x14ac:dyDescent="0.25">
      <c r="A67" s="8" t="s">
        <v>5</v>
      </c>
      <c r="B67" s="1" t="s">
        <v>0</v>
      </c>
      <c r="C67" s="1" t="s">
        <v>1</v>
      </c>
      <c r="D67" s="1" t="s">
        <v>921</v>
      </c>
      <c r="E67" s="1" t="s">
        <v>922</v>
      </c>
      <c r="F67" s="1" t="s">
        <v>923</v>
      </c>
      <c r="H67" s="2" t="s">
        <v>5</v>
      </c>
      <c r="I67" s="2" t="s">
        <v>6</v>
      </c>
      <c r="J67" s="2" t="s">
        <v>5</v>
      </c>
      <c r="K67" s="2" t="s">
        <v>16</v>
      </c>
      <c r="L67" s="2" t="s">
        <v>7</v>
      </c>
      <c r="M67" s="1" t="s">
        <v>924</v>
      </c>
      <c r="N67" s="1" t="s">
        <v>925</v>
      </c>
      <c r="O67" s="2" t="s">
        <v>382</v>
      </c>
      <c r="Q67" s="2" t="s">
        <v>11</v>
      </c>
      <c r="R67" s="2" t="s">
        <v>426</v>
      </c>
      <c r="T67" s="2" t="s">
        <v>520</v>
      </c>
      <c r="U67" s="3">
        <v>10</v>
      </c>
      <c r="V67" s="3">
        <v>10</v>
      </c>
      <c r="W67" s="4" t="s">
        <v>926</v>
      </c>
      <c r="X67" s="4" t="s">
        <v>926</v>
      </c>
      <c r="Y67" s="4" t="s">
        <v>927</v>
      </c>
      <c r="Z67" s="4" t="s">
        <v>927</v>
      </c>
      <c r="AA67" s="3">
        <v>1476</v>
      </c>
      <c r="AB67" s="3">
        <v>1307</v>
      </c>
      <c r="AC67" s="3">
        <v>1918</v>
      </c>
      <c r="AD67" s="3">
        <v>10</v>
      </c>
      <c r="AE67" s="3">
        <v>18</v>
      </c>
      <c r="AF67" s="3">
        <v>29</v>
      </c>
      <c r="AG67" s="3">
        <v>45</v>
      </c>
      <c r="AH67" s="3">
        <v>11</v>
      </c>
      <c r="AI67" s="3">
        <v>18</v>
      </c>
      <c r="AJ67" s="3">
        <v>5</v>
      </c>
      <c r="AK67" s="3">
        <v>7</v>
      </c>
      <c r="AL67" s="3">
        <v>12</v>
      </c>
      <c r="AM67" s="3">
        <v>15</v>
      </c>
      <c r="AN67" s="3">
        <v>5</v>
      </c>
      <c r="AO67" s="3">
        <v>11</v>
      </c>
      <c r="AP67" s="3">
        <v>0</v>
      </c>
      <c r="AQ67" s="3">
        <v>0</v>
      </c>
      <c r="AR67" s="2" t="s">
        <v>5</v>
      </c>
      <c r="AS67" s="2" t="s">
        <v>16</v>
      </c>
      <c r="AT67" s="5" t="str">
        <f>HYPERLINK("http://catalog.hathitrust.org/Record/000649985","HathiTrust Record")</f>
        <v>HathiTrust Record</v>
      </c>
      <c r="AU67" s="5" t="str">
        <f>HYPERLINK("https://creighton-primo.hosted.exlibrisgroup.com/primo-explore/search?tab=default_tab&amp;search_scope=EVERYTHING&amp;vid=01CRU&amp;lang=en_US&amp;offset=0&amp;query=any,contains,991001036869702656","Catalog Record")</f>
        <v>Catalog Record</v>
      </c>
      <c r="AV67" s="5" t="str">
        <f>HYPERLINK("http://www.worldcat.org/oclc/11621540","WorldCat Record")</f>
        <v>WorldCat Record</v>
      </c>
      <c r="AW67" s="2" t="s">
        <v>928</v>
      </c>
      <c r="AX67" s="2" t="s">
        <v>929</v>
      </c>
      <c r="AY67" s="2" t="s">
        <v>930</v>
      </c>
      <c r="AZ67" s="2" t="s">
        <v>930</v>
      </c>
      <c r="BA67" s="2" t="s">
        <v>931</v>
      </c>
      <c r="BB67" s="2" t="s">
        <v>21</v>
      </c>
      <c r="BD67" s="2" t="s">
        <v>932</v>
      </c>
      <c r="BE67" s="2" t="s">
        <v>933</v>
      </c>
      <c r="BF67" s="2" t="s">
        <v>934</v>
      </c>
    </row>
    <row r="68" spans="1:58" ht="41.25" customHeight="1" x14ac:dyDescent="0.25">
      <c r="A68" s="8" t="s">
        <v>5</v>
      </c>
      <c r="B68" s="1" t="s">
        <v>0</v>
      </c>
      <c r="C68" s="1" t="s">
        <v>1</v>
      </c>
      <c r="D68" s="1" t="s">
        <v>935</v>
      </c>
      <c r="E68" s="1" t="s">
        <v>936</v>
      </c>
      <c r="F68" s="1" t="s">
        <v>937</v>
      </c>
      <c r="H68" s="2" t="s">
        <v>5</v>
      </c>
      <c r="I68" s="2" t="s">
        <v>6</v>
      </c>
      <c r="J68" s="2" t="s">
        <v>5</v>
      </c>
      <c r="K68" s="2" t="s">
        <v>5</v>
      </c>
      <c r="L68" s="2" t="s">
        <v>7</v>
      </c>
      <c r="N68" s="1" t="s">
        <v>938</v>
      </c>
      <c r="O68" s="2" t="s">
        <v>939</v>
      </c>
      <c r="Q68" s="2" t="s">
        <v>11</v>
      </c>
      <c r="R68" s="2" t="s">
        <v>426</v>
      </c>
      <c r="T68" s="2" t="s">
        <v>520</v>
      </c>
      <c r="U68" s="3">
        <v>8</v>
      </c>
      <c r="V68" s="3">
        <v>8</v>
      </c>
      <c r="W68" s="4" t="s">
        <v>889</v>
      </c>
      <c r="X68" s="4" t="s">
        <v>889</v>
      </c>
      <c r="Y68" s="4" t="s">
        <v>940</v>
      </c>
      <c r="Z68" s="4" t="s">
        <v>940</v>
      </c>
      <c r="AA68" s="3">
        <v>679</v>
      </c>
      <c r="AB68" s="3">
        <v>582</v>
      </c>
      <c r="AC68" s="3">
        <v>585</v>
      </c>
      <c r="AD68" s="3">
        <v>6</v>
      </c>
      <c r="AE68" s="3">
        <v>6</v>
      </c>
      <c r="AF68" s="3">
        <v>34</v>
      </c>
      <c r="AG68" s="3">
        <v>34</v>
      </c>
      <c r="AH68" s="3">
        <v>13</v>
      </c>
      <c r="AI68" s="3">
        <v>13</v>
      </c>
      <c r="AJ68" s="3">
        <v>7</v>
      </c>
      <c r="AK68" s="3">
        <v>7</v>
      </c>
      <c r="AL68" s="3">
        <v>16</v>
      </c>
      <c r="AM68" s="3">
        <v>16</v>
      </c>
      <c r="AN68" s="3">
        <v>5</v>
      </c>
      <c r="AO68" s="3">
        <v>5</v>
      </c>
      <c r="AP68" s="3">
        <v>0</v>
      </c>
      <c r="AQ68" s="3">
        <v>0</v>
      </c>
      <c r="AR68" s="2" t="s">
        <v>5</v>
      </c>
      <c r="AS68" s="2" t="s">
        <v>16</v>
      </c>
      <c r="AT68" s="5" t="str">
        <f>HYPERLINK("http://catalog.hathitrust.org/Record/001074506","HathiTrust Record")</f>
        <v>HathiTrust Record</v>
      </c>
      <c r="AU68" s="5" t="str">
        <f>HYPERLINK("https://creighton-primo.hosted.exlibrisgroup.com/primo-explore/search?tab=default_tab&amp;search_scope=EVERYTHING&amp;vid=01CRU&amp;lang=en_US&amp;offset=0&amp;query=any,contains,991001321619702656","Catalog Record")</f>
        <v>Catalog Record</v>
      </c>
      <c r="AV68" s="5" t="str">
        <f>HYPERLINK("http://www.worldcat.org/oclc/16682241","WorldCat Record")</f>
        <v>WorldCat Record</v>
      </c>
      <c r="AW68" s="2" t="s">
        <v>941</v>
      </c>
      <c r="AX68" s="2" t="s">
        <v>942</v>
      </c>
      <c r="AY68" s="2" t="s">
        <v>943</v>
      </c>
      <c r="AZ68" s="2" t="s">
        <v>943</v>
      </c>
      <c r="BA68" s="2" t="s">
        <v>944</v>
      </c>
      <c r="BB68" s="2" t="s">
        <v>21</v>
      </c>
      <c r="BD68" s="2" t="s">
        <v>945</v>
      </c>
      <c r="BE68" s="2" t="s">
        <v>946</v>
      </c>
      <c r="BF68" s="2" t="s">
        <v>947</v>
      </c>
    </row>
    <row r="69" spans="1:58" ht="41.25" customHeight="1" x14ac:dyDescent="0.25">
      <c r="A69" s="8" t="s">
        <v>5</v>
      </c>
      <c r="B69" s="1" t="s">
        <v>0</v>
      </c>
      <c r="C69" s="1" t="s">
        <v>1</v>
      </c>
      <c r="D69" s="1" t="s">
        <v>948</v>
      </c>
      <c r="E69" s="1" t="s">
        <v>949</v>
      </c>
      <c r="F69" s="1" t="s">
        <v>950</v>
      </c>
      <c r="H69" s="2" t="s">
        <v>5</v>
      </c>
      <c r="I69" s="2" t="s">
        <v>6</v>
      </c>
      <c r="J69" s="2" t="s">
        <v>5</v>
      </c>
      <c r="K69" s="2" t="s">
        <v>5</v>
      </c>
      <c r="L69" s="2" t="s">
        <v>7</v>
      </c>
      <c r="N69" s="1" t="s">
        <v>951</v>
      </c>
      <c r="O69" s="2" t="s">
        <v>734</v>
      </c>
      <c r="Q69" s="2" t="s">
        <v>11</v>
      </c>
      <c r="R69" s="2" t="s">
        <v>426</v>
      </c>
      <c r="T69" s="2" t="s">
        <v>520</v>
      </c>
      <c r="U69" s="3">
        <v>4</v>
      </c>
      <c r="V69" s="3">
        <v>4</v>
      </c>
      <c r="W69" s="4" t="s">
        <v>952</v>
      </c>
      <c r="X69" s="4" t="s">
        <v>952</v>
      </c>
      <c r="Y69" s="4" t="s">
        <v>15</v>
      </c>
      <c r="Z69" s="4" t="s">
        <v>15</v>
      </c>
      <c r="AA69" s="3">
        <v>460</v>
      </c>
      <c r="AB69" s="3">
        <v>402</v>
      </c>
      <c r="AC69" s="3">
        <v>408</v>
      </c>
      <c r="AD69" s="3">
        <v>4</v>
      </c>
      <c r="AE69" s="3">
        <v>4</v>
      </c>
      <c r="AF69" s="3">
        <v>21</v>
      </c>
      <c r="AG69" s="3">
        <v>21</v>
      </c>
      <c r="AH69" s="3">
        <v>9</v>
      </c>
      <c r="AI69" s="3">
        <v>9</v>
      </c>
      <c r="AJ69" s="3">
        <v>5</v>
      </c>
      <c r="AK69" s="3">
        <v>5</v>
      </c>
      <c r="AL69" s="3">
        <v>9</v>
      </c>
      <c r="AM69" s="3">
        <v>9</v>
      </c>
      <c r="AN69" s="3">
        <v>3</v>
      </c>
      <c r="AO69" s="3">
        <v>3</v>
      </c>
      <c r="AP69" s="3">
        <v>0</v>
      </c>
      <c r="AQ69" s="3">
        <v>0</v>
      </c>
      <c r="AR69" s="2" t="s">
        <v>5</v>
      </c>
      <c r="AS69" s="2" t="s">
        <v>5</v>
      </c>
      <c r="AU69" s="5" t="str">
        <f>HYPERLINK("https://creighton-primo.hosted.exlibrisgroup.com/primo-explore/search?tab=default_tab&amp;search_scope=EVERYTHING&amp;vid=01CRU&amp;lang=en_US&amp;offset=0&amp;query=any,contains,991001037289702656","Catalog Record")</f>
        <v>Catalog Record</v>
      </c>
      <c r="AV69" s="5" t="str">
        <f>HYPERLINK("http://www.worldcat.org/oclc/8552297","WorldCat Record")</f>
        <v>WorldCat Record</v>
      </c>
      <c r="AW69" s="2" t="s">
        <v>953</v>
      </c>
      <c r="AX69" s="2" t="s">
        <v>954</v>
      </c>
      <c r="AY69" s="2" t="s">
        <v>955</v>
      </c>
      <c r="AZ69" s="2" t="s">
        <v>955</v>
      </c>
      <c r="BA69" s="2" t="s">
        <v>956</v>
      </c>
      <c r="BB69" s="2" t="s">
        <v>21</v>
      </c>
      <c r="BD69" s="2" t="s">
        <v>957</v>
      </c>
      <c r="BE69" s="2" t="s">
        <v>958</v>
      </c>
      <c r="BF69" s="2" t="s">
        <v>959</v>
      </c>
    </row>
    <row r="70" spans="1:58" ht="41.25" customHeight="1" x14ac:dyDescent="0.25">
      <c r="A70" s="8" t="s">
        <v>5</v>
      </c>
      <c r="B70" s="1" t="s">
        <v>0</v>
      </c>
      <c r="C70" s="1" t="s">
        <v>1</v>
      </c>
      <c r="D70" s="1" t="s">
        <v>960</v>
      </c>
      <c r="E70" s="1" t="s">
        <v>961</v>
      </c>
      <c r="F70" s="1" t="s">
        <v>962</v>
      </c>
      <c r="H70" s="2" t="s">
        <v>5</v>
      </c>
      <c r="I70" s="2" t="s">
        <v>6</v>
      </c>
      <c r="J70" s="2" t="s">
        <v>5</v>
      </c>
      <c r="K70" s="2" t="s">
        <v>5</v>
      </c>
      <c r="L70" s="2" t="s">
        <v>7</v>
      </c>
      <c r="N70" s="1" t="s">
        <v>963</v>
      </c>
      <c r="O70" s="2" t="s">
        <v>888</v>
      </c>
      <c r="Q70" s="2" t="s">
        <v>11</v>
      </c>
      <c r="R70" s="2" t="s">
        <v>12</v>
      </c>
      <c r="T70" s="2" t="s">
        <v>520</v>
      </c>
      <c r="U70" s="3">
        <v>9</v>
      </c>
      <c r="V70" s="3">
        <v>9</v>
      </c>
      <c r="W70" s="4" t="s">
        <v>964</v>
      </c>
      <c r="X70" s="4" t="s">
        <v>964</v>
      </c>
      <c r="Y70" s="4" t="s">
        <v>33</v>
      </c>
      <c r="Z70" s="4" t="s">
        <v>33</v>
      </c>
      <c r="AA70" s="3">
        <v>240</v>
      </c>
      <c r="AB70" s="3">
        <v>224</v>
      </c>
      <c r="AC70" s="3">
        <v>224</v>
      </c>
      <c r="AD70" s="3">
        <v>4</v>
      </c>
      <c r="AE70" s="3">
        <v>4</v>
      </c>
      <c r="AF70" s="3">
        <v>11</v>
      </c>
      <c r="AG70" s="3">
        <v>11</v>
      </c>
      <c r="AH70" s="3">
        <v>4</v>
      </c>
      <c r="AI70" s="3">
        <v>4</v>
      </c>
      <c r="AJ70" s="3">
        <v>1</v>
      </c>
      <c r="AK70" s="3">
        <v>1</v>
      </c>
      <c r="AL70" s="3">
        <v>5</v>
      </c>
      <c r="AM70" s="3">
        <v>5</v>
      </c>
      <c r="AN70" s="3">
        <v>2</v>
      </c>
      <c r="AO70" s="3">
        <v>2</v>
      </c>
      <c r="AP70" s="3">
        <v>0</v>
      </c>
      <c r="AQ70" s="3">
        <v>0</v>
      </c>
      <c r="AR70" s="2" t="s">
        <v>5</v>
      </c>
      <c r="AS70" s="2" t="s">
        <v>5</v>
      </c>
      <c r="AU70" s="5" t="str">
        <f>HYPERLINK("https://creighton-primo.hosted.exlibrisgroup.com/primo-explore/search?tab=default_tab&amp;search_scope=EVERYTHING&amp;vid=01CRU&amp;lang=en_US&amp;offset=0&amp;query=any,contains,991000741589702656","Catalog Record")</f>
        <v>Catalog Record</v>
      </c>
      <c r="AV70" s="5" t="str">
        <f>HYPERLINK("http://www.worldcat.org/oclc/11640555","WorldCat Record")</f>
        <v>WorldCat Record</v>
      </c>
      <c r="AW70" s="2" t="s">
        <v>965</v>
      </c>
      <c r="AX70" s="2" t="s">
        <v>966</v>
      </c>
      <c r="AY70" s="2" t="s">
        <v>967</v>
      </c>
      <c r="AZ70" s="2" t="s">
        <v>967</v>
      </c>
      <c r="BA70" s="2" t="s">
        <v>968</v>
      </c>
      <c r="BB70" s="2" t="s">
        <v>21</v>
      </c>
      <c r="BE70" s="2" t="s">
        <v>969</v>
      </c>
      <c r="BF70" s="2" t="s">
        <v>970</v>
      </c>
    </row>
    <row r="71" spans="1:58" ht="41.25" customHeight="1" x14ac:dyDescent="0.25">
      <c r="A71" s="8" t="s">
        <v>5</v>
      </c>
      <c r="B71" s="1" t="s">
        <v>0</v>
      </c>
      <c r="C71" s="1" t="s">
        <v>1</v>
      </c>
      <c r="D71" s="1" t="s">
        <v>971</v>
      </c>
      <c r="E71" s="1" t="s">
        <v>972</v>
      </c>
      <c r="F71" s="1" t="s">
        <v>973</v>
      </c>
      <c r="H71" s="2" t="s">
        <v>5</v>
      </c>
      <c r="I71" s="2" t="s">
        <v>6</v>
      </c>
      <c r="J71" s="2" t="s">
        <v>5</v>
      </c>
      <c r="K71" s="2" t="s">
        <v>16</v>
      </c>
      <c r="L71" s="2" t="s">
        <v>974</v>
      </c>
      <c r="N71" s="1" t="s">
        <v>975</v>
      </c>
      <c r="O71" s="2" t="s">
        <v>107</v>
      </c>
      <c r="P71" s="1" t="s">
        <v>211</v>
      </c>
      <c r="Q71" s="2" t="s">
        <v>11</v>
      </c>
      <c r="R71" s="2" t="s">
        <v>12</v>
      </c>
      <c r="T71" s="2" t="s">
        <v>520</v>
      </c>
      <c r="U71" s="3">
        <v>2</v>
      </c>
      <c r="V71" s="3">
        <v>2</v>
      </c>
      <c r="W71" s="4" t="s">
        <v>976</v>
      </c>
      <c r="X71" s="4" t="s">
        <v>976</v>
      </c>
      <c r="Y71" s="4" t="s">
        <v>977</v>
      </c>
      <c r="Z71" s="4" t="s">
        <v>977</v>
      </c>
      <c r="AA71" s="3">
        <v>538</v>
      </c>
      <c r="AB71" s="3">
        <v>447</v>
      </c>
      <c r="AC71" s="3">
        <v>1564</v>
      </c>
      <c r="AD71" s="3">
        <v>2</v>
      </c>
      <c r="AE71" s="3">
        <v>17</v>
      </c>
      <c r="AF71" s="3">
        <v>16</v>
      </c>
      <c r="AG71" s="3">
        <v>61</v>
      </c>
      <c r="AH71" s="3">
        <v>6</v>
      </c>
      <c r="AI71" s="3">
        <v>23</v>
      </c>
      <c r="AJ71" s="3">
        <v>3</v>
      </c>
      <c r="AK71" s="3">
        <v>11</v>
      </c>
      <c r="AL71" s="3">
        <v>9</v>
      </c>
      <c r="AM71" s="3">
        <v>21</v>
      </c>
      <c r="AN71" s="3">
        <v>1</v>
      </c>
      <c r="AO71" s="3">
        <v>15</v>
      </c>
      <c r="AP71" s="3">
        <v>0</v>
      </c>
      <c r="AQ71" s="3">
        <v>2</v>
      </c>
      <c r="AR71" s="2" t="s">
        <v>5</v>
      </c>
      <c r="AS71" s="2" t="s">
        <v>16</v>
      </c>
      <c r="AT71" s="5" t="str">
        <f>HYPERLINK("http://catalog.hathitrust.org/Record/005092629","HathiTrust Record")</f>
        <v>HathiTrust Record</v>
      </c>
      <c r="AU71" s="5" t="str">
        <f>HYPERLINK("https://creighton-primo.hosted.exlibrisgroup.com/primo-explore/search?tab=default_tab&amp;search_scope=EVERYTHING&amp;vid=01CRU&amp;lang=en_US&amp;offset=0&amp;query=any,contains,991000445729702656","Catalog Record")</f>
        <v>Catalog Record</v>
      </c>
      <c r="AV71" s="5" t="str">
        <f>HYPERLINK("http://www.worldcat.org/oclc/60705659","WorldCat Record")</f>
        <v>WorldCat Record</v>
      </c>
      <c r="AW71" s="2" t="s">
        <v>978</v>
      </c>
      <c r="AX71" s="2" t="s">
        <v>979</v>
      </c>
      <c r="AY71" s="2" t="s">
        <v>980</v>
      </c>
      <c r="AZ71" s="2" t="s">
        <v>980</v>
      </c>
      <c r="BA71" s="2" t="s">
        <v>981</v>
      </c>
      <c r="BB71" s="2" t="s">
        <v>21</v>
      </c>
      <c r="BD71" s="2" t="s">
        <v>982</v>
      </c>
      <c r="BE71" s="2" t="s">
        <v>983</v>
      </c>
      <c r="BF71" s="2" t="s">
        <v>984</v>
      </c>
    </row>
    <row r="72" spans="1:58" ht="41.25" customHeight="1" x14ac:dyDescent="0.25">
      <c r="A72" s="8" t="s">
        <v>5</v>
      </c>
      <c r="B72" s="1" t="s">
        <v>0</v>
      </c>
      <c r="C72" s="1" t="s">
        <v>1</v>
      </c>
      <c r="D72" s="1" t="s">
        <v>985</v>
      </c>
      <c r="E72" s="1" t="s">
        <v>986</v>
      </c>
      <c r="F72" s="1" t="s">
        <v>987</v>
      </c>
      <c r="H72" s="2" t="s">
        <v>5</v>
      </c>
      <c r="I72" s="2" t="s">
        <v>6</v>
      </c>
      <c r="J72" s="2" t="s">
        <v>5</v>
      </c>
      <c r="K72" s="2" t="s">
        <v>16</v>
      </c>
      <c r="L72" s="2" t="s">
        <v>7</v>
      </c>
      <c r="N72" s="1" t="s">
        <v>988</v>
      </c>
      <c r="O72" s="2" t="s">
        <v>989</v>
      </c>
      <c r="P72" s="1" t="s">
        <v>990</v>
      </c>
      <c r="Q72" s="2" t="s">
        <v>11</v>
      </c>
      <c r="R72" s="2" t="s">
        <v>31</v>
      </c>
      <c r="T72" s="2" t="s">
        <v>520</v>
      </c>
      <c r="U72" s="3">
        <v>32</v>
      </c>
      <c r="V72" s="3">
        <v>32</v>
      </c>
      <c r="W72" s="4" t="s">
        <v>991</v>
      </c>
      <c r="X72" s="4" t="s">
        <v>991</v>
      </c>
      <c r="Y72" s="4" t="s">
        <v>992</v>
      </c>
      <c r="Z72" s="4" t="s">
        <v>992</v>
      </c>
      <c r="AA72" s="3">
        <v>438</v>
      </c>
      <c r="AB72" s="3">
        <v>356</v>
      </c>
      <c r="AC72" s="3">
        <v>1206</v>
      </c>
      <c r="AD72" s="3">
        <v>2</v>
      </c>
      <c r="AE72" s="3">
        <v>3</v>
      </c>
      <c r="AF72" s="3">
        <v>6</v>
      </c>
      <c r="AG72" s="3">
        <v>15</v>
      </c>
      <c r="AH72" s="3">
        <v>1</v>
      </c>
      <c r="AI72" s="3">
        <v>3</v>
      </c>
      <c r="AJ72" s="3">
        <v>1</v>
      </c>
      <c r="AK72" s="3">
        <v>4</v>
      </c>
      <c r="AL72" s="3">
        <v>4</v>
      </c>
      <c r="AM72" s="3">
        <v>9</v>
      </c>
      <c r="AN72" s="3">
        <v>0</v>
      </c>
      <c r="AO72" s="3">
        <v>0</v>
      </c>
      <c r="AP72" s="3">
        <v>1</v>
      </c>
      <c r="AQ72" s="3">
        <v>1</v>
      </c>
      <c r="AR72" s="2" t="s">
        <v>5</v>
      </c>
      <c r="AS72" s="2" t="s">
        <v>16</v>
      </c>
      <c r="AT72" s="5" t="str">
        <f>HYPERLINK("http://catalog.hathitrust.org/Record/001830106","HathiTrust Record")</f>
        <v>HathiTrust Record</v>
      </c>
      <c r="AU72" s="5" t="str">
        <f>HYPERLINK("https://creighton-primo.hosted.exlibrisgroup.com/primo-explore/search?tab=default_tab&amp;search_scope=EVERYTHING&amp;vid=01CRU&amp;lang=en_US&amp;offset=0&amp;query=any,contains,991001367759702656","Catalog Record")</f>
        <v>Catalog Record</v>
      </c>
      <c r="AV72" s="5" t="str">
        <f>HYPERLINK("http://www.worldcat.org/oclc/20811002","WorldCat Record")</f>
        <v>WorldCat Record</v>
      </c>
      <c r="AW72" s="2" t="s">
        <v>993</v>
      </c>
      <c r="AX72" s="2" t="s">
        <v>994</v>
      </c>
      <c r="AY72" s="2" t="s">
        <v>995</v>
      </c>
      <c r="AZ72" s="2" t="s">
        <v>995</v>
      </c>
      <c r="BA72" s="2" t="s">
        <v>996</v>
      </c>
      <c r="BB72" s="2" t="s">
        <v>21</v>
      </c>
      <c r="BD72" s="2" t="s">
        <v>997</v>
      </c>
      <c r="BE72" s="2" t="s">
        <v>998</v>
      </c>
      <c r="BF72" s="2" t="s">
        <v>999</v>
      </c>
    </row>
    <row r="73" spans="1:58" ht="41.25" customHeight="1" x14ac:dyDescent="0.25">
      <c r="A73" s="8" t="s">
        <v>5</v>
      </c>
      <c r="B73" s="1" t="s">
        <v>0</v>
      </c>
      <c r="C73" s="1" t="s">
        <v>1</v>
      </c>
      <c r="D73" s="1" t="s">
        <v>1000</v>
      </c>
      <c r="E73" s="1" t="s">
        <v>1001</v>
      </c>
      <c r="F73" s="1" t="s">
        <v>1002</v>
      </c>
      <c r="H73" s="2" t="s">
        <v>5</v>
      </c>
      <c r="I73" s="2" t="s">
        <v>6</v>
      </c>
      <c r="J73" s="2" t="s">
        <v>5</v>
      </c>
      <c r="K73" s="2" t="s">
        <v>5</v>
      </c>
      <c r="L73" s="2" t="s">
        <v>7</v>
      </c>
      <c r="N73" s="1" t="s">
        <v>1003</v>
      </c>
      <c r="O73" s="2" t="s">
        <v>1004</v>
      </c>
      <c r="Q73" s="2" t="s">
        <v>11</v>
      </c>
      <c r="R73" s="2" t="s">
        <v>12</v>
      </c>
      <c r="T73" s="2" t="s">
        <v>520</v>
      </c>
      <c r="U73" s="3">
        <v>4</v>
      </c>
      <c r="V73" s="3">
        <v>4</v>
      </c>
      <c r="W73" s="4" t="s">
        <v>1005</v>
      </c>
      <c r="X73" s="4" t="s">
        <v>1005</v>
      </c>
      <c r="Y73" s="4" t="s">
        <v>1006</v>
      </c>
      <c r="Z73" s="4" t="s">
        <v>1006</v>
      </c>
      <c r="AA73" s="3">
        <v>114</v>
      </c>
      <c r="AB73" s="3">
        <v>98</v>
      </c>
      <c r="AC73" s="3">
        <v>100</v>
      </c>
      <c r="AD73" s="3">
        <v>1</v>
      </c>
      <c r="AE73" s="3">
        <v>1</v>
      </c>
      <c r="AF73" s="3">
        <v>6</v>
      </c>
      <c r="AG73" s="3">
        <v>6</v>
      </c>
      <c r="AH73" s="3">
        <v>2</v>
      </c>
      <c r="AI73" s="3">
        <v>2</v>
      </c>
      <c r="AJ73" s="3">
        <v>1</v>
      </c>
      <c r="AK73" s="3">
        <v>1</v>
      </c>
      <c r="AL73" s="3">
        <v>4</v>
      </c>
      <c r="AM73" s="3">
        <v>4</v>
      </c>
      <c r="AN73" s="3">
        <v>0</v>
      </c>
      <c r="AO73" s="3">
        <v>0</v>
      </c>
      <c r="AP73" s="3">
        <v>0</v>
      </c>
      <c r="AQ73" s="3">
        <v>0</v>
      </c>
      <c r="AR73" s="2" t="s">
        <v>5</v>
      </c>
      <c r="AS73" s="2" t="s">
        <v>16</v>
      </c>
      <c r="AT73" s="5" t="str">
        <f>HYPERLINK("http://catalog.hathitrust.org/Record/004096576","HathiTrust Record")</f>
        <v>HathiTrust Record</v>
      </c>
      <c r="AU73" s="5" t="str">
        <f>HYPERLINK("https://creighton-primo.hosted.exlibrisgroup.com/primo-explore/search?tab=default_tab&amp;search_scope=EVERYTHING&amp;vid=01CRU&amp;lang=en_US&amp;offset=0&amp;query=any,contains,991001441869702656","Catalog Record")</f>
        <v>Catalog Record</v>
      </c>
      <c r="AV73" s="5" t="str">
        <f>HYPERLINK("http://www.worldcat.org/oclc/41156512","WorldCat Record")</f>
        <v>WorldCat Record</v>
      </c>
      <c r="AW73" s="2" t="s">
        <v>1007</v>
      </c>
      <c r="AX73" s="2" t="s">
        <v>1008</v>
      </c>
      <c r="AY73" s="2" t="s">
        <v>1009</v>
      </c>
      <c r="AZ73" s="2" t="s">
        <v>1009</v>
      </c>
      <c r="BA73" s="2" t="s">
        <v>1010</v>
      </c>
      <c r="BB73" s="2" t="s">
        <v>21</v>
      </c>
      <c r="BD73" s="2" t="s">
        <v>1011</v>
      </c>
      <c r="BE73" s="2" t="s">
        <v>1012</v>
      </c>
      <c r="BF73" s="2" t="s">
        <v>1013</v>
      </c>
    </row>
    <row r="74" spans="1:58" ht="41.25" customHeight="1" x14ac:dyDescent="0.25">
      <c r="A74" s="8" t="s">
        <v>5</v>
      </c>
      <c r="B74" s="1" t="s">
        <v>0</v>
      </c>
      <c r="C74" s="1" t="s">
        <v>1</v>
      </c>
      <c r="D74" s="1" t="s">
        <v>1014</v>
      </c>
      <c r="E74" s="1" t="s">
        <v>1015</v>
      </c>
      <c r="F74" s="1" t="s">
        <v>1016</v>
      </c>
      <c r="H74" s="2" t="s">
        <v>5</v>
      </c>
      <c r="I74" s="2" t="s">
        <v>6</v>
      </c>
      <c r="J74" s="2" t="s">
        <v>5</v>
      </c>
      <c r="K74" s="2" t="s">
        <v>5</v>
      </c>
      <c r="L74" s="2" t="s">
        <v>6</v>
      </c>
      <c r="M74" s="1" t="s">
        <v>1017</v>
      </c>
      <c r="N74" s="1" t="s">
        <v>1018</v>
      </c>
      <c r="O74" s="2" t="s">
        <v>989</v>
      </c>
      <c r="Q74" s="2" t="s">
        <v>11</v>
      </c>
      <c r="R74" s="2" t="s">
        <v>1019</v>
      </c>
      <c r="T74" s="2" t="s">
        <v>520</v>
      </c>
      <c r="U74" s="3">
        <v>2</v>
      </c>
      <c r="V74" s="3">
        <v>2</v>
      </c>
      <c r="W74" s="4" t="s">
        <v>1020</v>
      </c>
      <c r="X74" s="4" t="s">
        <v>1020</v>
      </c>
      <c r="Y74" s="4" t="s">
        <v>1021</v>
      </c>
      <c r="Z74" s="4" t="s">
        <v>1021</v>
      </c>
      <c r="AA74" s="3">
        <v>251</v>
      </c>
      <c r="AB74" s="3">
        <v>181</v>
      </c>
      <c r="AC74" s="3">
        <v>1694</v>
      </c>
      <c r="AD74" s="3">
        <v>2</v>
      </c>
      <c r="AE74" s="3">
        <v>17</v>
      </c>
      <c r="AF74" s="3">
        <v>4</v>
      </c>
      <c r="AG74" s="3">
        <v>61</v>
      </c>
      <c r="AH74" s="3">
        <v>0</v>
      </c>
      <c r="AI74" s="3">
        <v>23</v>
      </c>
      <c r="AJ74" s="3">
        <v>1</v>
      </c>
      <c r="AK74" s="3">
        <v>11</v>
      </c>
      <c r="AL74" s="3">
        <v>2</v>
      </c>
      <c r="AM74" s="3">
        <v>20</v>
      </c>
      <c r="AN74" s="3">
        <v>1</v>
      </c>
      <c r="AO74" s="3">
        <v>15</v>
      </c>
      <c r="AP74" s="3">
        <v>0</v>
      </c>
      <c r="AQ74" s="3">
        <v>3</v>
      </c>
      <c r="AR74" s="2" t="s">
        <v>5</v>
      </c>
      <c r="AS74" s="2" t="s">
        <v>5</v>
      </c>
      <c r="AU74" s="5" t="str">
        <f>HYPERLINK("https://creighton-primo.hosted.exlibrisgroup.com/primo-explore/search?tab=default_tab&amp;search_scope=EVERYTHING&amp;vid=01CRU&amp;lang=en_US&amp;offset=0&amp;query=any,contains,991000644959702656","Catalog Record")</f>
        <v>Catalog Record</v>
      </c>
      <c r="AV74" s="5" t="str">
        <f>HYPERLINK("http://www.worldcat.org/oclc/20492149","WorldCat Record")</f>
        <v>WorldCat Record</v>
      </c>
      <c r="AW74" s="2" t="s">
        <v>1022</v>
      </c>
      <c r="AX74" s="2" t="s">
        <v>1023</v>
      </c>
      <c r="AY74" s="2" t="s">
        <v>1024</v>
      </c>
      <c r="AZ74" s="2" t="s">
        <v>1024</v>
      </c>
      <c r="BA74" s="2" t="s">
        <v>1025</v>
      </c>
      <c r="BB74" s="2" t="s">
        <v>21</v>
      </c>
      <c r="BD74" s="2" t="s">
        <v>1026</v>
      </c>
      <c r="BE74" s="2" t="s">
        <v>1027</v>
      </c>
      <c r="BF74" s="2" t="s">
        <v>1028</v>
      </c>
    </row>
    <row r="75" spans="1:58" ht="41.25" customHeight="1" x14ac:dyDescent="0.25">
      <c r="A75" s="8" t="s">
        <v>5</v>
      </c>
      <c r="B75" s="1" t="s">
        <v>0</v>
      </c>
      <c r="C75" s="1" t="s">
        <v>1</v>
      </c>
      <c r="D75" s="1" t="s">
        <v>1029</v>
      </c>
      <c r="E75" s="1" t="s">
        <v>1030</v>
      </c>
      <c r="F75" s="1" t="s">
        <v>1031</v>
      </c>
      <c r="H75" s="2" t="s">
        <v>5</v>
      </c>
      <c r="I75" s="2" t="s">
        <v>6</v>
      </c>
      <c r="J75" s="2" t="s">
        <v>5</v>
      </c>
      <c r="K75" s="2" t="s">
        <v>5</v>
      </c>
      <c r="L75" s="2" t="s">
        <v>7</v>
      </c>
      <c r="M75" s="1" t="s">
        <v>1032</v>
      </c>
      <c r="N75" s="1" t="s">
        <v>1033</v>
      </c>
      <c r="O75" s="2" t="s">
        <v>1004</v>
      </c>
      <c r="Q75" s="2" t="s">
        <v>11</v>
      </c>
      <c r="R75" s="2" t="s">
        <v>1019</v>
      </c>
      <c r="T75" s="2" t="s">
        <v>520</v>
      </c>
      <c r="U75" s="3">
        <v>2</v>
      </c>
      <c r="V75" s="3">
        <v>2</v>
      </c>
      <c r="W75" s="4" t="s">
        <v>14</v>
      </c>
      <c r="X75" s="4" t="s">
        <v>14</v>
      </c>
      <c r="Y75" s="4" t="s">
        <v>1034</v>
      </c>
      <c r="Z75" s="4" t="s">
        <v>1034</v>
      </c>
      <c r="AA75" s="3">
        <v>1145</v>
      </c>
      <c r="AB75" s="3">
        <v>1013</v>
      </c>
      <c r="AC75" s="3">
        <v>1030</v>
      </c>
      <c r="AD75" s="3">
        <v>3</v>
      </c>
      <c r="AE75" s="3">
        <v>4</v>
      </c>
      <c r="AF75" s="3">
        <v>28</v>
      </c>
      <c r="AG75" s="3">
        <v>28</v>
      </c>
      <c r="AH75" s="3">
        <v>12</v>
      </c>
      <c r="AI75" s="3">
        <v>12</v>
      </c>
      <c r="AJ75" s="3">
        <v>7</v>
      </c>
      <c r="AK75" s="3">
        <v>7</v>
      </c>
      <c r="AL75" s="3">
        <v>12</v>
      </c>
      <c r="AM75" s="3">
        <v>12</v>
      </c>
      <c r="AN75" s="3">
        <v>2</v>
      </c>
      <c r="AO75" s="3">
        <v>2</v>
      </c>
      <c r="AP75" s="3">
        <v>0</v>
      </c>
      <c r="AQ75" s="3">
        <v>0</v>
      </c>
      <c r="AR75" s="2" t="s">
        <v>5</v>
      </c>
      <c r="AS75" s="2" t="s">
        <v>16</v>
      </c>
      <c r="AT75" s="5" t="str">
        <f>HYPERLINK("http://catalog.hathitrust.org/Record/004146942","HathiTrust Record")</f>
        <v>HathiTrust Record</v>
      </c>
      <c r="AU75" s="5" t="str">
        <f>HYPERLINK("https://creighton-primo.hosted.exlibrisgroup.com/primo-explore/search?tab=default_tab&amp;search_scope=EVERYTHING&amp;vid=01CRU&amp;lang=en_US&amp;offset=0&amp;query=any,contains,991000426329702656","Catalog Record")</f>
        <v>Catalog Record</v>
      </c>
      <c r="AV75" s="5" t="str">
        <f>HYPERLINK("http://www.worldcat.org/oclc/42290243","WorldCat Record")</f>
        <v>WorldCat Record</v>
      </c>
      <c r="AW75" s="2" t="s">
        <v>1035</v>
      </c>
      <c r="AX75" s="2" t="s">
        <v>1036</v>
      </c>
      <c r="AY75" s="2" t="s">
        <v>1037</v>
      </c>
      <c r="AZ75" s="2" t="s">
        <v>1037</v>
      </c>
      <c r="BA75" s="2" t="s">
        <v>1038</v>
      </c>
      <c r="BB75" s="2" t="s">
        <v>21</v>
      </c>
      <c r="BD75" s="2" t="s">
        <v>1039</v>
      </c>
      <c r="BE75" s="2" t="s">
        <v>1040</v>
      </c>
      <c r="BF75" s="2" t="s">
        <v>1041</v>
      </c>
    </row>
    <row r="76" spans="1:58" ht="41.25" customHeight="1" x14ac:dyDescent="0.25">
      <c r="A76" s="8" t="s">
        <v>5</v>
      </c>
      <c r="B76" s="1" t="s">
        <v>0</v>
      </c>
      <c r="C76" s="1" t="s">
        <v>1</v>
      </c>
      <c r="D76" s="1" t="s">
        <v>1042</v>
      </c>
      <c r="E76" s="1" t="s">
        <v>1043</v>
      </c>
      <c r="F76" s="1" t="s">
        <v>1044</v>
      </c>
      <c r="H76" s="2" t="s">
        <v>5</v>
      </c>
      <c r="I76" s="2" t="s">
        <v>6</v>
      </c>
      <c r="J76" s="2" t="s">
        <v>5</v>
      </c>
      <c r="K76" s="2" t="s">
        <v>5</v>
      </c>
      <c r="L76" s="2" t="s">
        <v>7</v>
      </c>
      <c r="N76" s="1" t="s">
        <v>1045</v>
      </c>
      <c r="O76" s="2" t="s">
        <v>1046</v>
      </c>
      <c r="Q76" s="2" t="s">
        <v>11</v>
      </c>
      <c r="R76" s="2" t="s">
        <v>78</v>
      </c>
      <c r="T76" s="2" t="s">
        <v>520</v>
      </c>
      <c r="U76" s="3">
        <v>2</v>
      </c>
      <c r="V76" s="3">
        <v>2</v>
      </c>
      <c r="W76" s="4" t="s">
        <v>1047</v>
      </c>
      <c r="X76" s="4" t="s">
        <v>1047</v>
      </c>
      <c r="Y76" s="4" t="s">
        <v>1048</v>
      </c>
      <c r="Z76" s="4" t="s">
        <v>1048</v>
      </c>
      <c r="AA76" s="3">
        <v>87</v>
      </c>
      <c r="AB76" s="3">
        <v>78</v>
      </c>
      <c r="AC76" s="3">
        <v>84</v>
      </c>
      <c r="AD76" s="3">
        <v>1</v>
      </c>
      <c r="AE76" s="3">
        <v>1</v>
      </c>
      <c r="AF76" s="3">
        <v>2</v>
      </c>
      <c r="AG76" s="3">
        <v>2</v>
      </c>
      <c r="AH76" s="3">
        <v>0</v>
      </c>
      <c r="AI76" s="3">
        <v>0</v>
      </c>
      <c r="AJ76" s="3">
        <v>0</v>
      </c>
      <c r="AK76" s="3">
        <v>0</v>
      </c>
      <c r="AL76" s="3">
        <v>2</v>
      </c>
      <c r="AM76" s="3">
        <v>2</v>
      </c>
      <c r="AN76" s="3">
        <v>0</v>
      </c>
      <c r="AO76" s="3">
        <v>0</v>
      </c>
      <c r="AP76" s="3">
        <v>0</v>
      </c>
      <c r="AQ76" s="3">
        <v>0</v>
      </c>
      <c r="AR76" s="2" t="s">
        <v>5</v>
      </c>
      <c r="AS76" s="2" t="s">
        <v>5</v>
      </c>
      <c r="AU76" s="5" t="str">
        <f>HYPERLINK("https://creighton-primo.hosted.exlibrisgroup.com/primo-explore/search?tab=default_tab&amp;search_scope=EVERYTHING&amp;vid=01CRU&amp;lang=en_US&amp;offset=0&amp;query=any,contains,991000369559702656","Catalog Record")</f>
        <v>Catalog Record</v>
      </c>
      <c r="AV76" s="5" t="str">
        <f>HYPERLINK("http://www.worldcat.org/oclc/52381723","WorldCat Record")</f>
        <v>WorldCat Record</v>
      </c>
      <c r="AW76" s="2" t="s">
        <v>1049</v>
      </c>
      <c r="AX76" s="2" t="s">
        <v>1050</v>
      </c>
      <c r="AY76" s="2" t="s">
        <v>1051</v>
      </c>
      <c r="AZ76" s="2" t="s">
        <v>1051</v>
      </c>
      <c r="BA76" s="2" t="s">
        <v>1052</v>
      </c>
      <c r="BB76" s="2" t="s">
        <v>21</v>
      </c>
      <c r="BD76" s="2" t="s">
        <v>1053</v>
      </c>
      <c r="BE76" s="2" t="s">
        <v>1054</v>
      </c>
      <c r="BF76" s="2" t="s">
        <v>1055</v>
      </c>
    </row>
    <row r="77" spans="1:58" ht="41.25" customHeight="1" x14ac:dyDescent="0.25">
      <c r="A77" s="8" t="s">
        <v>5</v>
      </c>
      <c r="B77" s="1" t="s">
        <v>0</v>
      </c>
      <c r="C77" s="1" t="s">
        <v>1</v>
      </c>
      <c r="D77" s="1" t="s">
        <v>1056</v>
      </c>
      <c r="E77" s="1" t="s">
        <v>1057</v>
      </c>
      <c r="F77" s="1" t="s">
        <v>1058</v>
      </c>
      <c r="H77" s="2" t="s">
        <v>5</v>
      </c>
      <c r="I77" s="2" t="s">
        <v>6</v>
      </c>
      <c r="J77" s="2" t="s">
        <v>5</v>
      </c>
      <c r="K77" s="2" t="s">
        <v>5</v>
      </c>
      <c r="L77" s="2" t="s">
        <v>7</v>
      </c>
      <c r="N77" s="1" t="s">
        <v>1059</v>
      </c>
      <c r="O77" s="2" t="s">
        <v>1060</v>
      </c>
      <c r="Q77" s="2" t="s">
        <v>11</v>
      </c>
      <c r="R77" s="2" t="s">
        <v>78</v>
      </c>
      <c r="T77" s="2" t="s">
        <v>520</v>
      </c>
      <c r="U77" s="3">
        <v>1</v>
      </c>
      <c r="V77" s="3">
        <v>1</v>
      </c>
      <c r="W77" s="4" t="s">
        <v>1061</v>
      </c>
      <c r="X77" s="4" t="s">
        <v>1061</v>
      </c>
      <c r="Y77" s="4" t="s">
        <v>1062</v>
      </c>
      <c r="Z77" s="4" t="s">
        <v>1062</v>
      </c>
      <c r="AA77" s="3">
        <v>92</v>
      </c>
      <c r="AB77" s="3">
        <v>85</v>
      </c>
      <c r="AC77" s="3">
        <v>85</v>
      </c>
      <c r="AD77" s="3">
        <v>1</v>
      </c>
      <c r="AE77" s="3">
        <v>1</v>
      </c>
      <c r="AF77" s="3">
        <v>4</v>
      </c>
      <c r="AG77" s="3">
        <v>4</v>
      </c>
      <c r="AH77" s="3">
        <v>1</v>
      </c>
      <c r="AI77" s="3">
        <v>1</v>
      </c>
      <c r="AJ77" s="3">
        <v>1</v>
      </c>
      <c r="AK77" s="3">
        <v>1</v>
      </c>
      <c r="AL77" s="3">
        <v>3</v>
      </c>
      <c r="AM77" s="3">
        <v>3</v>
      </c>
      <c r="AN77" s="3">
        <v>0</v>
      </c>
      <c r="AO77" s="3">
        <v>0</v>
      </c>
      <c r="AP77" s="3">
        <v>0</v>
      </c>
      <c r="AQ77" s="3">
        <v>0</v>
      </c>
      <c r="AR77" s="2" t="s">
        <v>5</v>
      </c>
      <c r="AS77" s="2" t="s">
        <v>5</v>
      </c>
      <c r="AU77" s="5" t="str">
        <f>HYPERLINK("https://creighton-primo.hosted.exlibrisgroup.com/primo-explore/search?tab=default_tab&amp;search_scope=EVERYTHING&amp;vid=01CRU&amp;lang=en_US&amp;offset=0&amp;query=any,contains,991001736059702656","Catalog Record")</f>
        <v>Catalog Record</v>
      </c>
      <c r="AV77" s="5" t="str">
        <f>HYPERLINK("http://www.worldcat.org/oclc/58460878","WorldCat Record")</f>
        <v>WorldCat Record</v>
      </c>
      <c r="AW77" s="2" t="s">
        <v>1063</v>
      </c>
      <c r="AX77" s="2" t="s">
        <v>1064</v>
      </c>
      <c r="AY77" s="2" t="s">
        <v>1065</v>
      </c>
      <c r="AZ77" s="2" t="s">
        <v>1065</v>
      </c>
      <c r="BA77" s="2" t="s">
        <v>1066</v>
      </c>
      <c r="BB77" s="2" t="s">
        <v>21</v>
      </c>
      <c r="BD77" s="2" t="s">
        <v>1067</v>
      </c>
      <c r="BE77" s="2" t="s">
        <v>1068</v>
      </c>
      <c r="BF77" s="2" t="s">
        <v>1069</v>
      </c>
    </row>
    <row r="78" spans="1:58" ht="41.25" customHeight="1" x14ac:dyDescent="0.25">
      <c r="A78" s="8" t="s">
        <v>5</v>
      </c>
      <c r="B78" s="1" t="s">
        <v>0</v>
      </c>
      <c r="C78" s="1" t="s">
        <v>1</v>
      </c>
      <c r="D78" s="1" t="s">
        <v>1070</v>
      </c>
      <c r="E78" s="1" t="s">
        <v>1071</v>
      </c>
      <c r="F78" s="1" t="s">
        <v>1072</v>
      </c>
      <c r="H78" s="2" t="s">
        <v>5</v>
      </c>
      <c r="I78" s="2" t="s">
        <v>6</v>
      </c>
      <c r="J78" s="2" t="s">
        <v>5</v>
      </c>
      <c r="K78" s="2" t="s">
        <v>5</v>
      </c>
      <c r="L78" s="2" t="s">
        <v>7</v>
      </c>
      <c r="M78" s="1" t="s">
        <v>1073</v>
      </c>
      <c r="N78" s="1" t="s">
        <v>1074</v>
      </c>
      <c r="O78" s="2" t="s">
        <v>354</v>
      </c>
      <c r="Q78" s="2" t="s">
        <v>11</v>
      </c>
      <c r="R78" s="2" t="s">
        <v>1075</v>
      </c>
      <c r="T78" s="2" t="s">
        <v>520</v>
      </c>
      <c r="U78" s="3">
        <v>2</v>
      </c>
      <c r="V78" s="3">
        <v>2</v>
      </c>
      <c r="W78" s="4" t="s">
        <v>1076</v>
      </c>
      <c r="X78" s="4" t="s">
        <v>1076</v>
      </c>
      <c r="Y78" s="4" t="s">
        <v>15</v>
      </c>
      <c r="Z78" s="4" t="s">
        <v>15</v>
      </c>
      <c r="AA78" s="3">
        <v>205</v>
      </c>
      <c r="AB78" s="3">
        <v>151</v>
      </c>
      <c r="AC78" s="3">
        <v>211</v>
      </c>
      <c r="AD78" s="3">
        <v>2</v>
      </c>
      <c r="AE78" s="3">
        <v>3</v>
      </c>
      <c r="AF78" s="3">
        <v>7</v>
      </c>
      <c r="AG78" s="3">
        <v>11</v>
      </c>
      <c r="AH78" s="3">
        <v>1</v>
      </c>
      <c r="AI78" s="3">
        <v>3</v>
      </c>
      <c r="AJ78" s="3">
        <v>3</v>
      </c>
      <c r="AK78" s="3">
        <v>3</v>
      </c>
      <c r="AL78" s="3">
        <v>4</v>
      </c>
      <c r="AM78" s="3">
        <v>6</v>
      </c>
      <c r="AN78" s="3">
        <v>1</v>
      </c>
      <c r="AO78" s="3">
        <v>2</v>
      </c>
      <c r="AP78" s="3">
        <v>0</v>
      </c>
      <c r="AQ78" s="3">
        <v>0</v>
      </c>
      <c r="AR78" s="2" t="s">
        <v>5</v>
      </c>
      <c r="AS78" s="2" t="s">
        <v>16</v>
      </c>
      <c r="AT78" s="5" t="str">
        <f>HYPERLINK("http://catalog.hathitrust.org/Record/000225516","HathiTrust Record")</f>
        <v>HathiTrust Record</v>
      </c>
      <c r="AU78" s="5" t="str">
        <f>HYPERLINK("https://creighton-primo.hosted.exlibrisgroup.com/primo-explore/search?tab=default_tab&amp;search_scope=EVERYTHING&amp;vid=01CRU&amp;lang=en_US&amp;offset=0&amp;query=any,contains,991001037319702656","Catalog Record")</f>
        <v>Catalog Record</v>
      </c>
      <c r="AV78" s="5" t="str">
        <f>HYPERLINK("http://www.worldcat.org/oclc/6952715","WorldCat Record")</f>
        <v>WorldCat Record</v>
      </c>
      <c r="AW78" s="2" t="s">
        <v>1077</v>
      </c>
      <c r="AX78" s="2" t="s">
        <v>1078</v>
      </c>
      <c r="AY78" s="2" t="s">
        <v>1079</v>
      </c>
      <c r="AZ78" s="2" t="s">
        <v>1079</v>
      </c>
      <c r="BA78" s="2" t="s">
        <v>1080</v>
      </c>
      <c r="BB78" s="2" t="s">
        <v>21</v>
      </c>
      <c r="BD78" s="2" t="s">
        <v>1081</v>
      </c>
      <c r="BE78" s="2" t="s">
        <v>1082</v>
      </c>
      <c r="BF78" s="2" t="s">
        <v>1083</v>
      </c>
    </row>
    <row r="79" spans="1:58" ht="41.25" customHeight="1" x14ac:dyDescent="0.25">
      <c r="A79" s="8" t="s">
        <v>5</v>
      </c>
      <c r="B79" s="1" t="s">
        <v>0</v>
      </c>
      <c r="C79" s="1" t="s">
        <v>1</v>
      </c>
      <c r="D79" s="1" t="s">
        <v>1084</v>
      </c>
      <c r="E79" s="1" t="s">
        <v>1085</v>
      </c>
      <c r="F79" s="1" t="s">
        <v>1086</v>
      </c>
      <c r="H79" s="2" t="s">
        <v>5</v>
      </c>
      <c r="I79" s="2" t="s">
        <v>6</v>
      </c>
      <c r="J79" s="2" t="s">
        <v>5</v>
      </c>
      <c r="K79" s="2" t="s">
        <v>5</v>
      </c>
      <c r="L79" s="2" t="s">
        <v>7</v>
      </c>
      <c r="M79" s="1" t="s">
        <v>1087</v>
      </c>
      <c r="N79" s="1" t="s">
        <v>1088</v>
      </c>
      <c r="O79" s="2" t="s">
        <v>393</v>
      </c>
      <c r="Q79" s="2" t="s">
        <v>11</v>
      </c>
      <c r="R79" s="2" t="s">
        <v>426</v>
      </c>
      <c r="T79" s="2" t="s">
        <v>520</v>
      </c>
      <c r="U79" s="3">
        <v>6</v>
      </c>
      <c r="V79" s="3">
        <v>6</v>
      </c>
      <c r="W79" s="4" t="s">
        <v>1089</v>
      </c>
      <c r="X79" s="4" t="s">
        <v>1089</v>
      </c>
      <c r="Y79" s="4" t="s">
        <v>15</v>
      </c>
      <c r="Z79" s="4" t="s">
        <v>15</v>
      </c>
      <c r="AA79" s="3">
        <v>137</v>
      </c>
      <c r="AB79" s="3">
        <v>127</v>
      </c>
      <c r="AC79" s="3">
        <v>127</v>
      </c>
      <c r="AD79" s="3">
        <v>2</v>
      </c>
      <c r="AE79" s="3">
        <v>2</v>
      </c>
      <c r="AF79" s="3">
        <v>2</v>
      </c>
      <c r="AG79" s="3">
        <v>2</v>
      </c>
      <c r="AH79" s="3">
        <v>0</v>
      </c>
      <c r="AI79" s="3">
        <v>0</v>
      </c>
      <c r="AJ79" s="3">
        <v>0</v>
      </c>
      <c r="AK79" s="3">
        <v>0</v>
      </c>
      <c r="AL79" s="3">
        <v>1</v>
      </c>
      <c r="AM79" s="3">
        <v>1</v>
      </c>
      <c r="AN79" s="3">
        <v>1</v>
      </c>
      <c r="AO79" s="3">
        <v>1</v>
      </c>
      <c r="AP79" s="3">
        <v>0</v>
      </c>
      <c r="AQ79" s="3">
        <v>0</v>
      </c>
      <c r="AR79" s="2" t="s">
        <v>5</v>
      </c>
      <c r="AS79" s="2" t="s">
        <v>5</v>
      </c>
      <c r="AU79" s="5" t="str">
        <f>HYPERLINK("https://creighton-primo.hosted.exlibrisgroup.com/primo-explore/search?tab=default_tab&amp;search_scope=EVERYTHING&amp;vid=01CRU&amp;lang=en_US&amp;offset=0&amp;query=any,contains,991001037349702656","Catalog Record")</f>
        <v>Catalog Record</v>
      </c>
      <c r="AV79" s="5" t="str">
        <f>HYPERLINK("http://www.worldcat.org/oclc/7553284","WorldCat Record")</f>
        <v>WorldCat Record</v>
      </c>
      <c r="AW79" s="2" t="s">
        <v>1090</v>
      </c>
      <c r="AX79" s="2" t="s">
        <v>1091</v>
      </c>
      <c r="AY79" s="2" t="s">
        <v>1092</v>
      </c>
      <c r="AZ79" s="2" t="s">
        <v>1092</v>
      </c>
      <c r="BA79" s="2" t="s">
        <v>1093</v>
      </c>
      <c r="BB79" s="2" t="s">
        <v>21</v>
      </c>
      <c r="BD79" s="2" t="s">
        <v>1094</v>
      </c>
      <c r="BE79" s="2" t="s">
        <v>1095</v>
      </c>
      <c r="BF79" s="2" t="s">
        <v>1096</v>
      </c>
    </row>
    <row r="80" spans="1:58" ht="41.25" customHeight="1" x14ac:dyDescent="0.25">
      <c r="A80" s="8" t="s">
        <v>5</v>
      </c>
      <c r="B80" s="1" t="s">
        <v>0</v>
      </c>
      <c r="C80" s="1" t="s">
        <v>1</v>
      </c>
      <c r="D80" s="1" t="s">
        <v>1097</v>
      </c>
      <c r="E80" s="1" t="s">
        <v>1098</v>
      </c>
      <c r="F80" s="1" t="s">
        <v>1099</v>
      </c>
      <c r="H80" s="2" t="s">
        <v>5</v>
      </c>
      <c r="I80" s="2" t="s">
        <v>6</v>
      </c>
      <c r="J80" s="2" t="s">
        <v>5</v>
      </c>
      <c r="K80" s="2" t="s">
        <v>5</v>
      </c>
      <c r="L80" s="2" t="s">
        <v>7</v>
      </c>
      <c r="M80" s="1" t="s">
        <v>1100</v>
      </c>
      <c r="N80" s="1" t="s">
        <v>1101</v>
      </c>
      <c r="O80" s="2" t="s">
        <v>1102</v>
      </c>
      <c r="Q80" s="2" t="s">
        <v>11</v>
      </c>
      <c r="R80" s="2" t="s">
        <v>31</v>
      </c>
      <c r="S80" s="1" t="s">
        <v>1103</v>
      </c>
      <c r="T80" s="2" t="s">
        <v>520</v>
      </c>
      <c r="U80" s="3">
        <v>1</v>
      </c>
      <c r="V80" s="3">
        <v>1</v>
      </c>
      <c r="W80" s="4" t="s">
        <v>1104</v>
      </c>
      <c r="X80" s="4" t="s">
        <v>1104</v>
      </c>
      <c r="Y80" s="4" t="s">
        <v>1105</v>
      </c>
      <c r="Z80" s="4" t="s">
        <v>1105</v>
      </c>
      <c r="AA80" s="3">
        <v>91</v>
      </c>
      <c r="AB80" s="3">
        <v>83</v>
      </c>
      <c r="AC80" s="3">
        <v>86</v>
      </c>
      <c r="AD80" s="3">
        <v>2</v>
      </c>
      <c r="AE80" s="3">
        <v>2</v>
      </c>
      <c r="AF80" s="3">
        <v>4</v>
      </c>
      <c r="AG80" s="3">
        <v>4</v>
      </c>
      <c r="AH80" s="3">
        <v>0</v>
      </c>
      <c r="AI80" s="3">
        <v>0</v>
      </c>
      <c r="AJ80" s="3">
        <v>1</v>
      </c>
      <c r="AK80" s="3">
        <v>1</v>
      </c>
      <c r="AL80" s="3">
        <v>4</v>
      </c>
      <c r="AM80" s="3">
        <v>4</v>
      </c>
      <c r="AN80" s="3">
        <v>0</v>
      </c>
      <c r="AO80" s="3">
        <v>0</v>
      </c>
      <c r="AP80" s="3">
        <v>0</v>
      </c>
      <c r="AQ80" s="3">
        <v>0</v>
      </c>
      <c r="AR80" s="2" t="s">
        <v>5</v>
      </c>
      <c r="AS80" s="2" t="s">
        <v>16</v>
      </c>
      <c r="AT80" s="5" t="str">
        <f>HYPERLINK("http://catalog.hathitrust.org/Record/000628944","HathiTrust Record")</f>
        <v>HathiTrust Record</v>
      </c>
      <c r="AU80" s="5" t="str">
        <f>HYPERLINK("https://creighton-primo.hosted.exlibrisgroup.com/primo-explore/search?tab=default_tab&amp;search_scope=EVERYTHING&amp;vid=01CRU&amp;lang=en_US&amp;offset=0&amp;query=any,contains,991001519469702656","Catalog Record")</f>
        <v>Catalog Record</v>
      </c>
      <c r="AV80" s="5" t="str">
        <f>HYPERLINK("http://www.worldcat.org/oclc/13582751","WorldCat Record")</f>
        <v>WorldCat Record</v>
      </c>
      <c r="AW80" s="2" t="s">
        <v>1106</v>
      </c>
      <c r="AX80" s="2" t="s">
        <v>1107</v>
      </c>
      <c r="AY80" s="2" t="s">
        <v>1108</v>
      </c>
      <c r="AZ80" s="2" t="s">
        <v>1108</v>
      </c>
      <c r="BA80" s="2" t="s">
        <v>1109</v>
      </c>
      <c r="BB80" s="2" t="s">
        <v>21</v>
      </c>
      <c r="BE80" s="2" t="s">
        <v>1110</v>
      </c>
      <c r="BF80" s="2" t="s">
        <v>1111</v>
      </c>
    </row>
    <row r="81" spans="1:58" ht="41.25" customHeight="1" x14ac:dyDescent="0.25">
      <c r="A81" s="8" t="s">
        <v>5</v>
      </c>
      <c r="B81" s="1" t="s">
        <v>0</v>
      </c>
      <c r="C81" s="1" t="s">
        <v>1</v>
      </c>
      <c r="D81" s="1" t="s">
        <v>1112</v>
      </c>
      <c r="E81" s="1" t="s">
        <v>1113</v>
      </c>
      <c r="F81" s="1" t="s">
        <v>1114</v>
      </c>
      <c r="H81" s="2" t="s">
        <v>5</v>
      </c>
      <c r="I81" s="2" t="s">
        <v>6</v>
      </c>
      <c r="J81" s="2" t="s">
        <v>5</v>
      </c>
      <c r="K81" s="2" t="s">
        <v>5</v>
      </c>
      <c r="L81" s="2" t="s">
        <v>7</v>
      </c>
      <c r="M81" s="1" t="s">
        <v>90</v>
      </c>
      <c r="N81" s="1" t="s">
        <v>1115</v>
      </c>
      <c r="O81" s="2" t="s">
        <v>285</v>
      </c>
      <c r="Q81" s="2" t="s">
        <v>11</v>
      </c>
      <c r="R81" s="2" t="s">
        <v>31</v>
      </c>
      <c r="S81" s="1" t="s">
        <v>1116</v>
      </c>
      <c r="T81" s="2" t="s">
        <v>520</v>
      </c>
      <c r="U81" s="3">
        <v>2</v>
      </c>
      <c r="V81" s="3">
        <v>2</v>
      </c>
      <c r="W81" s="4" t="s">
        <v>1117</v>
      </c>
      <c r="X81" s="4" t="s">
        <v>1117</v>
      </c>
      <c r="Y81" s="4" t="s">
        <v>15</v>
      </c>
      <c r="Z81" s="4" t="s">
        <v>15</v>
      </c>
      <c r="AA81" s="3">
        <v>124</v>
      </c>
      <c r="AB81" s="3">
        <v>105</v>
      </c>
      <c r="AC81" s="3">
        <v>107</v>
      </c>
      <c r="AD81" s="3">
        <v>2</v>
      </c>
      <c r="AE81" s="3">
        <v>2</v>
      </c>
      <c r="AF81" s="3">
        <v>2</v>
      </c>
      <c r="AG81" s="3">
        <v>2</v>
      </c>
      <c r="AH81" s="3">
        <v>0</v>
      </c>
      <c r="AI81" s="3">
        <v>0</v>
      </c>
      <c r="AJ81" s="3">
        <v>0</v>
      </c>
      <c r="AK81" s="3">
        <v>0</v>
      </c>
      <c r="AL81" s="3">
        <v>2</v>
      </c>
      <c r="AM81" s="3">
        <v>2</v>
      </c>
      <c r="AN81" s="3">
        <v>0</v>
      </c>
      <c r="AO81" s="3">
        <v>0</v>
      </c>
      <c r="AP81" s="3">
        <v>0</v>
      </c>
      <c r="AQ81" s="3">
        <v>0</v>
      </c>
      <c r="AR81" s="2" t="s">
        <v>5</v>
      </c>
      <c r="AS81" s="2" t="s">
        <v>16</v>
      </c>
      <c r="AT81" s="5" t="str">
        <f>HYPERLINK("http://catalog.hathitrust.org/Record/000702858","HathiTrust Record")</f>
        <v>HathiTrust Record</v>
      </c>
      <c r="AU81" s="5" t="str">
        <f>HYPERLINK("https://creighton-primo.hosted.exlibrisgroup.com/primo-explore/search?tab=default_tab&amp;search_scope=EVERYTHING&amp;vid=01CRU&amp;lang=en_US&amp;offset=0&amp;query=any,contains,991001037579702656","Catalog Record")</f>
        <v>Catalog Record</v>
      </c>
      <c r="AV81" s="5" t="str">
        <f>HYPERLINK("http://www.worldcat.org/oclc/5100284","WorldCat Record")</f>
        <v>WorldCat Record</v>
      </c>
      <c r="AW81" s="2" t="s">
        <v>1118</v>
      </c>
      <c r="AX81" s="2" t="s">
        <v>1119</v>
      </c>
      <c r="AY81" s="2" t="s">
        <v>1120</v>
      </c>
      <c r="AZ81" s="2" t="s">
        <v>1120</v>
      </c>
      <c r="BA81" s="2" t="s">
        <v>1121</v>
      </c>
      <c r="BB81" s="2" t="s">
        <v>21</v>
      </c>
      <c r="BE81" s="2" t="s">
        <v>1122</v>
      </c>
      <c r="BF81" s="2" t="s">
        <v>1123</v>
      </c>
    </row>
    <row r="82" spans="1:58" ht="41.25" customHeight="1" x14ac:dyDescent="0.25">
      <c r="A82" s="8" t="s">
        <v>5</v>
      </c>
      <c r="B82" s="1" t="s">
        <v>0</v>
      </c>
      <c r="C82" s="1" t="s">
        <v>1</v>
      </c>
      <c r="D82" s="1" t="s">
        <v>1124</v>
      </c>
      <c r="E82" s="1" t="s">
        <v>1125</v>
      </c>
      <c r="F82" s="1" t="s">
        <v>1126</v>
      </c>
      <c r="H82" s="2" t="s">
        <v>5</v>
      </c>
      <c r="I82" s="2" t="s">
        <v>6</v>
      </c>
      <c r="J82" s="2" t="s">
        <v>5</v>
      </c>
      <c r="K82" s="2" t="s">
        <v>16</v>
      </c>
      <c r="L82" s="2" t="s">
        <v>7</v>
      </c>
      <c r="M82" s="1" t="s">
        <v>90</v>
      </c>
      <c r="N82" s="1" t="s">
        <v>1127</v>
      </c>
      <c r="O82" s="2" t="s">
        <v>1102</v>
      </c>
      <c r="Q82" s="2" t="s">
        <v>11</v>
      </c>
      <c r="R82" s="2" t="s">
        <v>31</v>
      </c>
      <c r="S82" s="1" t="s">
        <v>1128</v>
      </c>
      <c r="T82" s="2" t="s">
        <v>520</v>
      </c>
      <c r="U82" s="3">
        <v>1</v>
      </c>
      <c r="V82" s="3">
        <v>1</v>
      </c>
      <c r="W82" s="4" t="s">
        <v>1129</v>
      </c>
      <c r="X82" s="4" t="s">
        <v>1129</v>
      </c>
      <c r="Y82" s="4" t="s">
        <v>1105</v>
      </c>
      <c r="Z82" s="4" t="s">
        <v>1105</v>
      </c>
      <c r="AA82" s="3">
        <v>143</v>
      </c>
      <c r="AB82" s="3">
        <v>129</v>
      </c>
      <c r="AC82" s="3">
        <v>169</v>
      </c>
      <c r="AD82" s="3">
        <v>1</v>
      </c>
      <c r="AE82" s="3">
        <v>1</v>
      </c>
      <c r="AF82" s="3">
        <v>8</v>
      </c>
      <c r="AG82" s="3">
        <v>9</v>
      </c>
      <c r="AH82" s="3">
        <v>3</v>
      </c>
      <c r="AI82" s="3">
        <v>4</v>
      </c>
      <c r="AJ82" s="3">
        <v>1</v>
      </c>
      <c r="AK82" s="3">
        <v>1</v>
      </c>
      <c r="AL82" s="3">
        <v>5</v>
      </c>
      <c r="AM82" s="3">
        <v>5</v>
      </c>
      <c r="AN82" s="3">
        <v>0</v>
      </c>
      <c r="AO82" s="3">
        <v>0</v>
      </c>
      <c r="AP82" s="3">
        <v>0</v>
      </c>
      <c r="AQ82" s="3">
        <v>0</v>
      </c>
      <c r="AR82" s="2" t="s">
        <v>5</v>
      </c>
      <c r="AS82" s="2" t="s">
        <v>16</v>
      </c>
      <c r="AT82" s="5" t="str">
        <f>HYPERLINK("http://catalog.hathitrust.org/Record/000807947","HathiTrust Record")</f>
        <v>HathiTrust Record</v>
      </c>
      <c r="AU82" s="5" t="str">
        <f>HYPERLINK("https://creighton-primo.hosted.exlibrisgroup.com/primo-explore/search?tab=default_tab&amp;search_scope=EVERYTHING&amp;vid=01CRU&amp;lang=en_US&amp;offset=0&amp;query=any,contains,991001519029702656","Catalog Record")</f>
        <v>Catalog Record</v>
      </c>
      <c r="AV82" s="5" t="str">
        <f>HYPERLINK("http://www.worldcat.org/oclc/14412086","WorldCat Record")</f>
        <v>WorldCat Record</v>
      </c>
      <c r="AW82" s="2" t="s">
        <v>1130</v>
      </c>
      <c r="AX82" s="2" t="s">
        <v>1131</v>
      </c>
      <c r="AY82" s="2" t="s">
        <v>1132</v>
      </c>
      <c r="AZ82" s="2" t="s">
        <v>1132</v>
      </c>
      <c r="BA82" s="2" t="s">
        <v>1133</v>
      </c>
      <c r="BB82" s="2" t="s">
        <v>21</v>
      </c>
      <c r="BE82" s="2" t="s">
        <v>1134</v>
      </c>
      <c r="BF82" s="2" t="s">
        <v>1135</v>
      </c>
    </row>
    <row r="83" spans="1:58" ht="41.25" customHeight="1" x14ac:dyDescent="0.25">
      <c r="A83" s="8" t="s">
        <v>5</v>
      </c>
      <c r="B83" s="1" t="s">
        <v>0</v>
      </c>
      <c r="C83" s="1" t="s">
        <v>1</v>
      </c>
      <c r="D83" s="1" t="s">
        <v>1136</v>
      </c>
      <c r="E83" s="1" t="s">
        <v>1137</v>
      </c>
      <c r="F83" s="1" t="s">
        <v>1138</v>
      </c>
      <c r="G83" s="2" t="s">
        <v>820</v>
      </c>
      <c r="H83" s="2" t="s">
        <v>5</v>
      </c>
      <c r="I83" s="2" t="s">
        <v>6</v>
      </c>
      <c r="J83" s="2" t="s">
        <v>5</v>
      </c>
      <c r="K83" s="2" t="s">
        <v>5</v>
      </c>
      <c r="L83" s="2" t="s">
        <v>7</v>
      </c>
      <c r="N83" s="1" t="s">
        <v>1139</v>
      </c>
      <c r="O83" s="2" t="s">
        <v>136</v>
      </c>
      <c r="Q83" s="2" t="s">
        <v>11</v>
      </c>
      <c r="R83" s="2" t="s">
        <v>1140</v>
      </c>
      <c r="S83" s="1" t="s">
        <v>1141</v>
      </c>
      <c r="T83" s="2" t="s">
        <v>520</v>
      </c>
      <c r="U83" s="3">
        <v>8</v>
      </c>
      <c r="V83" s="3">
        <v>8</v>
      </c>
      <c r="W83" s="4" t="s">
        <v>1142</v>
      </c>
      <c r="X83" s="4" t="s">
        <v>1142</v>
      </c>
      <c r="Y83" s="4" t="s">
        <v>1143</v>
      </c>
      <c r="Z83" s="4" t="s">
        <v>1143</v>
      </c>
      <c r="AA83" s="3">
        <v>247</v>
      </c>
      <c r="AB83" s="3">
        <v>200</v>
      </c>
      <c r="AC83" s="3">
        <v>202</v>
      </c>
      <c r="AD83" s="3">
        <v>2</v>
      </c>
      <c r="AE83" s="3">
        <v>2</v>
      </c>
      <c r="AF83" s="3">
        <v>7</v>
      </c>
      <c r="AG83" s="3">
        <v>7</v>
      </c>
      <c r="AH83" s="3">
        <v>2</v>
      </c>
      <c r="AI83" s="3">
        <v>2</v>
      </c>
      <c r="AJ83" s="3">
        <v>2</v>
      </c>
      <c r="AK83" s="3">
        <v>2</v>
      </c>
      <c r="AL83" s="3">
        <v>5</v>
      </c>
      <c r="AM83" s="3">
        <v>5</v>
      </c>
      <c r="AN83" s="3">
        <v>0</v>
      </c>
      <c r="AO83" s="3">
        <v>0</v>
      </c>
      <c r="AP83" s="3">
        <v>0</v>
      </c>
      <c r="AQ83" s="3">
        <v>0</v>
      </c>
      <c r="AR83" s="2" t="s">
        <v>5</v>
      </c>
      <c r="AS83" s="2" t="s">
        <v>16</v>
      </c>
      <c r="AT83" s="5" t="str">
        <f>HYPERLINK("http://catalog.hathitrust.org/Record/002478632","HathiTrust Record")</f>
        <v>HathiTrust Record</v>
      </c>
      <c r="AU83" s="5" t="str">
        <f>HYPERLINK("https://creighton-primo.hosted.exlibrisgroup.com/primo-explore/search?tab=default_tab&amp;search_scope=EVERYTHING&amp;vid=01CRU&amp;lang=en_US&amp;offset=0&amp;query=any,contains,991001472119702656","Catalog Record")</f>
        <v>Catalog Record</v>
      </c>
      <c r="AV83" s="5" t="str">
        <f>HYPERLINK("http://www.worldcat.org/oclc/22983378","WorldCat Record")</f>
        <v>WorldCat Record</v>
      </c>
      <c r="AW83" s="2" t="s">
        <v>1144</v>
      </c>
      <c r="AX83" s="2" t="s">
        <v>1145</v>
      </c>
      <c r="AY83" s="2" t="s">
        <v>1146</v>
      </c>
      <c r="AZ83" s="2" t="s">
        <v>1146</v>
      </c>
      <c r="BA83" s="2" t="s">
        <v>1147</v>
      </c>
      <c r="BB83" s="2" t="s">
        <v>21</v>
      </c>
      <c r="BD83" s="2" t="s">
        <v>1148</v>
      </c>
      <c r="BE83" s="2" t="s">
        <v>1149</v>
      </c>
      <c r="BF83" s="2" t="s">
        <v>1150</v>
      </c>
    </row>
    <row r="84" spans="1:58" ht="41.25" customHeight="1" x14ac:dyDescent="0.25">
      <c r="A84" s="8" t="s">
        <v>5</v>
      </c>
      <c r="B84" s="1" t="s">
        <v>0</v>
      </c>
      <c r="C84" s="1" t="s">
        <v>1</v>
      </c>
      <c r="D84" s="1" t="s">
        <v>1151</v>
      </c>
      <c r="E84" s="1" t="s">
        <v>1152</v>
      </c>
      <c r="F84" s="1" t="s">
        <v>1153</v>
      </c>
      <c r="H84" s="2" t="s">
        <v>5</v>
      </c>
      <c r="I84" s="2" t="s">
        <v>6</v>
      </c>
      <c r="J84" s="2" t="s">
        <v>5</v>
      </c>
      <c r="K84" s="2" t="s">
        <v>5</v>
      </c>
      <c r="L84" s="2" t="s">
        <v>7</v>
      </c>
      <c r="M84" s="1" t="s">
        <v>1154</v>
      </c>
      <c r="N84" s="1" t="s">
        <v>1155</v>
      </c>
      <c r="O84" s="2" t="s">
        <v>1004</v>
      </c>
      <c r="Q84" s="2" t="s">
        <v>11</v>
      </c>
      <c r="R84" s="2" t="s">
        <v>271</v>
      </c>
      <c r="T84" s="2" t="s">
        <v>520</v>
      </c>
      <c r="U84" s="3">
        <v>3</v>
      </c>
      <c r="V84" s="3">
        <v>3</v>
      </c>
      <c r="W84" s="4" t="s">
        <v>1156</v>
      </c>
      <c r="X84" s="4" t="s">
        <v>1156</v>
      </c>
      <c r="Y84" s="4" t="s">
        <v>1157</v>
      </c>
      <c r="Z84" s="4" t="s">
        <v>1157</v>
      </c>
      <c r="AA84" s="3">
        <v>155</v>
      </c>
      <c r="AB84" s="3">
        <v>73</v>
      </c>
      <c r="AC84" s="3">
        <v>78</v>
      </c>
      <c r="AD84" s="3">
        <v>1</v>
      </c>
      <c r="AE84" s="3">
        <v>1</v>
      </c>
      <c r="AF84" s="3">
        <v>2</v>
      </c>
      <c r="AG84" s="3">
        <v>2</v>
      </c>
      <c r="AH84" s="3">
        <v>1</v>
      </c>
      <c r="AI84" s="3">
        <v>1</v>
      </c>
      <c r="AJ84" s="3">
        <v>1</v>
      </c>
      <c r="AK84" s="3">
        <v>1</v>
      </c>
      <c r="AL84" s="3">
        <v>0</v>
      </c>
      <c r="AM84" s="3">
        <v>0</v>
      </c>
      <c r="AN84" s="3">
        <v>0</v>
      </c>
      <c r="AO84" s="3">
        <v>0</v>
      </c>
      <c r="AP84" s="3">
        <v>0</v>
      </c>
      <c r="AQ84" s="3">
        <v>0</v>
      </c>
      <c r="AR84" s="2" t="s">
        <v>5</v>
      </c>
      <c r="AS84" s="2" t="s">
        <v>5</v>
      </c>
      <c r="AU84" s="5" t="str">
        <f>HYPERLINK("https://creighton-primo.hosted.exlibrisgroup.com/primo-explore/search?tab=default_tab&amp;search_scope=EVERYTHING&amp;vid=01CRU&amp;lang=en_US&amp;offset=0&amp;query=any,contains,991000321119702656","Catalog Record")</f>
        <v>Catalog Record</v>
      </c>
      <c r="AV84" s="5" t="str">
        <f>HYPERLINK("http://www.worldcat.org/oclc/41452682","WorldCat Record")</f>
        <v>WorldCat Record</v>
      </c>
      <c r="AW84" s="2" t="s">
        <v>1158</v>
      </c>
      <c r="AX84" s="2" t="s">
        <v>1159</v>
      </c>
      <c r="AY84" s="2" t="s">
        <v>1160</v>
      </c>
      <c r="AZ84" s="2" t="s">
        <v>1160</v>
      </c>
      <c r="BA84" s="2" t="s">
        <v>1161</v>
      </c>
      <c r="BB84" s="2" t="s">
        <v>21</v>
      </c>
      <c r="BD84" s="2" t="s">
        <v>1162</v>
      </c>
      <c r="BE84" s="2" t="s">
        <v>1163</v>
      </c>
      <c r="BF84" s="2" t="s">
        <v>1164</v>
      </c>
    </row>
    <row r="85" spans="1:58" ht="41.25" customHeight="1" x14ac:dyDescent="0.25">
      <c r="A85" s="8" t="s">
        <v>5</v>
      </c>
      <c r="B85" s="1" t="s">
        <v>0</v>
      </c>
      <c r="C85" s="1" t="s">
        <v>1</v>
      </c>
      <c r="D85" s="1" t="s">
        <v>1165</v>
      </c>
      <c r="E85" s="1" t="s">
        <v>1166</v>
      </c>
      <c r="F85" s="1" t="s">
        <v>1167</v>
      </c>
      <c r="H85" s="2" t="s">
        <v>5</v>
      </c>
      <c r="I85" s="2" t="s">
        <v>6</v>
      </c>
      <c r="J85" s="2" t="s">
        <v>5</v>
      </c>
      <c r="K85" s="2" t="s">
        <v>5</v>
      </c>
      <c r="L85" s="2" t="s">
        <v>7</v>
      </c>
      <c r="M85" s="1" t="s">
        <v>1168</v>
      </c>
      <c r="N85" s="1" t="s">
        <v>1169</v>
      </c>
      <c r="O85" s="2" t="s">
        <v>1170</v>
      </c>
      <c r="Q85" s="2" t="s">
        <v>11</v>
      </c>
      <c r="R85" s="2" t="s">
        <v>12</v>
      </c>
      <c r="T85" s="2" t="s">
        <v>520</v>
      </c>
      <c r="U85" s="3">
        <v>1</v>
      </c>
      <c r="V85" s="3">
        <v>1</v>
      </c>
      <c r="W85" s="4" t="s">
        <v>694</v>
      </c>
      <c r="X85" s="4" t="s">
        <v>694</v>
      </c>
      <c r="Y85" s="4" t="s">
        <v>33</v>
      </c>
      <c r="Z85" s="4" t="s">
        <v>33</v>
      </c>
      <c r="AA85" s="3">
        <v>437</v>
      </c>
      <c r="AB85" s="3">
        <v>388</v>
      </c>
      <c r="AC85" s="3">
        <v>417</v>
      </c>
      <c r="AD85" s="3">
        <v>3</v>
      </c>
      <c r="AE85" s="3">
        <v>3</v>
      </c>
      <c r="AF85" s="3">
        <v>15</v>
      </c>
      <c r="AG85" s="3">
        <v>17</v>
      </c>
      <c r="AH85" s="3">
        <v>5</v>
      </c>
      <c r="AI85" s="3">
        <v>6</v>
      </c>
      <c r="AJ85" s="3">
        <v>4</v>
      </c>
      <c r="AK85" s="3">
        <v>4</v>
      </c>
      <c r="AL85" s="3">
        <v>8</v>
      </c>
      <c r="AM85" s="3">
        <v>9</v>
      </c>
      <c r="AN85" s="3">
        <v>2</v>
      </c>
      <c r="AO85" s="3">
        <v>2</v>
      </c>
      <c r="AP85" s="3">
        <v>0</v>
      </c>
      <c r="AQ85" s="3">
        <v>0</v>
      </c>
      <c r="AR85" s="2" t="s">
        <v>5</v>
      </c>
      <c r="AS85" s="2" t="s">
        <v>16</v>
      </c>
      <c r="AT85" s="5" t="str">
        <f>HYPERLINK("http://catalog.hathitrust.org/Record/001574669","HathiTrust Record")</f>
        <v>HathiTrust Record</v>
      </c>
      <c r="AU85" s="5" t="str">
        <f>HYPERLINK("https://creighton-primo.hosted.exlibrisgroup.com/primo-explore/search?tab=default_tab&amp;search_scope=EVERYTHING&amp;vid=01CRU&amp;lang=en_US&amp;offset=0&amp;query=any,contains,991000741459702656","Catalog Record")</f>
        <v>Catalog Record</v>
      </c>
      <c r="AV85" s="5" t="str">
        <f>HYPERLINK("http://www.worldcat.org/oclc/1242576","WorldCat Record")</f>
        <v>WorldCat Record</v>
      </c>
      <c r="AW85" s="2" t="s">
        <v>1171</v>
      </c>
      <c r="AX85" s="2" t="s">
        <v>1172</v>
      </c>
      <c r="AY85" s="2" t="s">
        <v>1173</v>
      </c>
      <c r="AZ85" s="2" t="s">
        <v>1173</v>
      </c>
      <c r="BA85" s="2" t="s">
        <v>1174</v>
      </c>
      <c r="BB85" s="2" t="s">
        <v>21</v>
      </c>
      <c r="BE85" s="2" t="s">
        <v>1175</v>
      </c>
      <c r="BF85" s="2" t="s">
        <v>1176</v>
      </c>
    </row>
    <row r="86" spans="1:58" ht="41.25" customHeight="1" x14ac:dyDescent="0.25">
      <c r="A86" s="8" t="s">
        <v>5</v>
      </c>
      <c r="B86" s="1" t="s">
        <v>0</v>
      </c>
      <c r="C86" s="1" t="s">
        <v>1</v>
      </c>
      <c r="D86" s="1" t="s">
        <v>1177</v>
      </c>
      <c r="E86" s="1" t="s">
        <v>1178</v>
      </c>
      <c r="F86" s="1" t="s">
        <v>1179</v>
      </c>
      <c r="H86" s="2" t="s">
        <v>5</v>
      </c>
      <c r="I86" s="2" t="s">
        <v>6</v>
      </c>
      <c r="J86" s="2" t="s">
        <v>5</v>
      </c>
      <c r="K86" s="2" t="s">
        <v>5</v>
      </c>
      <c r="L86" s="2" t="s">
        <v>7</v>
      </c>
      <c r="M86" s="1" t="s">
        <v>1180</v>
      </c>
      <c r="N86" s="1" t="s">
        <v>1181</v>
      </c>
      <c r="O86" s="2" t="s">
        <v>794</v>
      </c>
      <c r="Q86" s="2" t="s">
        <v>11</v>
      </c>
      <c r="R86" s="2" t="s">
        <v>78</v>
      </c>
      <c r="T86" s="2" t="s">
        <v>520</v>
      </c>
      <c r="U86" s="3">
        <v>17</v>
      </c>
      <c r="V86" s="3">
        <v>17</v>
      </c>
      <c r="W86" s="4" t="s">
        <v>1182</v>
      </c>
      <c r="X86" s="4" t="s">
        <v>1182</v>
      </c>
      <c r="Y86" s="4" t="s">
        <v>1183</v>
      </c>
      <c r="Z86" s="4" t="s">
        <v>1183</v>
      </c>
      <c r="AA86" s="3">
        <v>281</v>
      </c>
      <c r="AB86" s="3">
        <v>235</v>
      </c>
      <c r="AC86" s="3">
        <v>243</v>
      </c>
      <c r="AD86" s="3">
        <v>1</v>
      </c>
      <c r="AE86" s="3">
        <v>1</v>
      </c>
      <c r="AF86" s="3">
        <v>10</v>
      </c>
      <c r="AG86" s="3">
        <v>10</v>
      </c>
      <c r="AH86" s="3">
        <v>4</v>
      </c>
      <c r="AI86" s="3">
        <v>4</v>
      </c>
      <c r="AJ86" s="3">
        <v>2</v>
      </c>
      <c r="AK86" s="3">
        <v>2</v>
      </c>
      <c r="AL86" s="3">
        <v>8</v>
      </c>
      <c r="AM86" s="3">
        <v>8</v>
      </c>
      <c r="AN86" s="3">
        <v>0</v>
      </c>
      <c r="AO86" s="3">
        <v>0</v>
      </c>
      <c r="AP86" s="3">
        <v>0</v>
      </c>
      <c r="AQ86" s="3">
        <v>0</v>
      </c>
      <c r="AR86" s="2" t="s">
        <v>5</v>
      </c>
      <c r="AS86" s="2" t="s">
        <v>16</v>
      </c>
      <c r="AT86" s="5" t="str">
        <f>HYPERLINK("http://catalog.hathitrust.org/Record/003052702","HathiTrust Record")</f>
        <v>HathiTrust Record</v>
      </c>
      <c r="AU86" s="5" t="str">
        <f>HYPERLINK("https://creighton-primo.hosted.exlibrisgroup.com/primo-explore/search?tab=default_tab&amp;search_scope=EVERYTHING&amp;vid=01CRU&amp;lang=en_US&amp;offset=0&amp;query=any,contains,991001356059702656","Catalog Record")</f>
        <v>Catalog Record</v>
      </c>
      <c r="AV86" s="5" t="str">
        <f>HYPERLINK("http://www.worldcat.org/oclc/33489225","WorldCat Record")</f>
        <v>WorldCat Record</v>
      </c>
      <c r="AW86" s="2" t="s">
        <v>1184</v>
      </c>
      <c r="AX86" s="2" t="s">
        <v>1185</v>
      </c>
      <c r="AY86" s="2" t="s">
        <v>1186</v>
      </c>
      <c r="AZ86" s="2" t="s">
        <v>1186</v>
      </c>
      <c r="BA86" s="2" t="s">
        <v>1187</v>
      </c>
      <c r="BB86" s="2" t="s">
        <v>21</v>
      </c>
      <c r="BD86" s="2" t="s">
        <v>1188</v>
      </c>
      <c r="BE86" s="2" t="s">
        <v>1189</v>
      </c>
      <c r="BF86" s="2" t="s">
        <v>1190</v>
      </c>
    </row>
    <row r="87" spans="1:58" ht="41.25" customHeight="1" x14ac:dyDescent="0.25">
      <c r="A87" s="8" t="s">
        <v>5</v>
      </c>
      <c r="B87" s="1" t="s">
        <v>0</v>
      </c>
      <c r="C87" s="1" t="s">
        <v>1</v>
      </c>
      <c r="D87" s="1" t="s">
        <v>1191</v>
      </c>
      <c r="E87" s="1" t="s">
        <v>1192</v>
      </c>
      <c r="F87" s="1" t="s">
        <v>1193</v>
      </c>
      <c r="H87" s="2" t="s">
        <v>5</v>
      </c>
      <c r="I87" s="2" t="s">
        <v>6</v>
      </c>
      <c r="J87" s="2" t="s">
        <v>5</v>
      </c>
      <c r="K87" s="2" t="s">
        <v>16</v>
      </c>
      <c r="L87" s="2" t="s">
        <v>7</v>
      </c>
      <c r="M87" s="1" t="s">
        <v>1180</v>
      </c>
      <c r="N87" s="1" t="s">
        <v>1194</v>
      </c>
      <c r="O87" s="2" t="s">
        <v>1195</v>
      </c>
      <c r="P87" s="1" t="s">
        <v>211</v>
      </c>
      <c r="Q87" s="2" t="s">
        <v>11</v>
      </c>
      <c r="R87" s="2" t="s">
        <v>78</v>
      </c>
      <c r="T87" s="2" t="s">
        <v>520</v>
      </c>
      <c r="U87" s="3">
        <v>10</v>
      </c>
      <c r="V87" s="3">
        <v>10</v>
      </c>
      <c r="W87" s="4" t="s">
        <v>1196</v>
      </c>
      <c r="X87" s="4" t="s">
        <v>1196</v>
      </c>
      <c r="Y87" s="4" t="s">
        <v>1197</v>
      </c>
      <c r="Z87" s="4" t="s">
        <v>1197</v>
      </c>
      <c r="AA87" s="3">
        <v>219</v>
      </c>
      <c r="AB87" s="3">
        <v>184</v>
      </c>
      <c r="AC87" s="3">
        <v>1316</v>
      </c>
      <c r="AD87" s="3">
        <v>2</v>
      </c>
      <c r="AE87" s="3">
        <v>22</v>
      </c>
      <c r="AF87" s="3">
        <v>5</v>
      </c>
      <c r="AG87" s="3">
        <v>42</v>
      </c>
      <c r="AH87" s="3">
        <v>2</v>
      </c>
      <c r="AI87" s="3">
        <v>15</v>
      </c>
      <c r="AJ87" s="3">
        <v>0</v>
      </c>
      <c r="AK87" s="3">
        <v>8</v>
      </c>
      <c r="AL87" s="3">
        <v>2</v>
      </c>
      <c r="AM87" s="3">
        <v>12</v>
      </c>
      <c r="AN87" s="3">
        <v>1</v>
      </c>
      <c r="AO87" s="3">
        <v>11</v>
      </c>
      <c r="AP87" s="3">
        <v>0</v>
      </c>
      <c r="AQ87" s="3">
        <v>1</v>
      </c>
      <c r="AR87" s="2" t="s">
        <v>5</v>
      </c>
      <c r="AS87" s="2" t="s">
        <v>16</v>
      </c>
      <c r="AT87" s="5" t="str">
        <f>HYPERLINK("http://catalog.hathitrust.org/Record/004070817","HathiTrust Record")</f>
        <v>HathiTrust Record</v>
      </c>
      <c r="AU87" s="5" t="str">
        <f>HYPERLINK("https://creighton-primo.hosted.exlibrisgroup.com/primo-explore/search?tab=default_tab&amp;search_scope=EVERYTHING&amp;vid=01CRU&amp;lang=en_US&amp;offset=0&amp;query=any,contains,991001410319702656","Catalog Record")</f>
        <v>Catalog Record</v>
      </c>
      <c r="AV87" s="5" t="str">
        <f>HYPERLINK("http://www.worldcat.org/oclc/41945015","WorldCat Record")</f>
        <v>WorldCat Record</v>
      </c>
      <c r="AW87" s="2" t="s">
        <v>1198</v>
      </c>
      <c r="AX87" s="2" t="s">
        <v>1199</v>
      </c>
      <c r="AY87" s="2" t="s">
        <v>1200</v>
      </c>
      <c r="AZ87" s="2" t="s">
        <v>1200</v>
      </c>
      <c r="BA87" s="2" t="s">
        <v>1201</v>
      </c>
      <c r="BB87" s="2" t="s">
        <v>21</v>
      </c>
      <c r="BD87" s="2" t="s">
        <v>1202</v>
      </c>
      <c r="BE87" s="2" t="s">
        <v>1203</v>
      </c>
      <c r="BF87" s="2" t="s">
        <v>1204</v>
      </c>
    </row>
    <row r="88" spans="1:58" ht="41.25" customHeight="1" x14ac:dyDescent="0.25">
      <c r="A88" s="8" t="s">
        <v>5</v>
      </c>
      <c r="B88" s="1" t="s">
        <v>0</v>
      </c>
      <c r="C88" s="1" t="s">
        <v>1</v>
      </c>
      <c r="D88" s="1" t="s">
        <v>1205</v>
      </c>
      <c r="E88" s="1" t="s">
        <v>1206</v>
      </c>
      <c r="F88" s="1" t="s">
        <v>1193</v>
      </c>
      <c r="H88" s="2" t="s">
        <v>5</v>
      </c>
      <c r="I88" s="2" t="s">
        <v>6</v>
      </c>
      <c r="J88" s="2" t="s">
        <v>5</v>
      </c>
      <c r="K88" s="2" t="s">
        <v>16</v>
      </c>
      <c r="L88" s="2" t="s">
        <v>7</v>
      </c>
      <c r="M88" s="1" t="s">
        <v>1180</v>
      </c>
      <c r="N88" s="1" t="s">
        <v>1207</v>
      </c>
      <c r="O88" s="2" t="s">
        <v>107</v>
      </c>
      <c r="P88" s="1" t="s">
        <v>1208</v>
      </c>
      <c r="Q88" s="2" t="s">
        <v>11</v>
      </c>
      <c r="R88" s="2" t="s">
        <v>78</v>
      </c>
      <c r="T88" s="2" t="s">
        <v>520</v>
      </c>
      <c r="U88" s="3">
        <v>1</v>
      </c>
      <c r="V88" s="3">
        <v>1</v>
      </c>
      <c r="W88" s="4" t="s">
        <v>1209</v>
      </c>
      <c r="X88" s="4" t="s">
        <v>1209</v>
      </c>
      <c r="Y88" s="4" t="s">
        <v>1210</v>
      </c>
      <c r="Z88" s="4" t="s">
        <v>1210</v>
      </c>
      <c r="AA88" s="3">
        <v>299</v>
      </c>
      <c r="AB88" s="3">
        <v>240</v>
      </c>
      <c r="AC88" s="3">
        <v>1316</v>
      </c>
      <c r="AD88" s="3">
        <v>2</v>
      </c>
      <c r="AE88" s="3">
        <v>22</v>
      </c>
      <c r="AF88" s="3">
        <v>5</v>
      </c>
      <c r="AG88" s="3">
        <v>42</v>
      </c>
      <c r="AH88" s="3">
        <v>1</v>
      </c>
      <c r="AI88" s="3">
        <v>15</v>
      </c>
      <c r="AJ88" s="3">
        <v>0</v>
      </c>
      <c r="AK88" s="3">
        <v>8</v>
      </c>
      <c r="AL88" s="3">
        <v>3</v>
      </c>
      <c r="AM88" s="3">
        <v>12</v>
      </c>
      <c r="AN88" s="3">
        <v>1</v>
      </c>
      <c r="AO88" s="3">
        <v>11</v>
      </c>
      <c r="AP88" s="3">
        <v>0</v>
      </c>
      <c r="AQ88" s="3">
        <v>1</v>
      </c>
      <c r="AR88" s="2" t="s">
        <v>5</v>
      </c>
      <c r="AS88" s="2" t="s">
        <v>5</v>
      </c>
      <c r="AU88" s="5" t="str">
        <f>HYPERLINK("https://creighton-primo.hosted.exlibrisgroup.com/primo-explore/search?tab=default_tab&amp;search_scope=EVERYTHING&amp;vid=01CRU&amp;lang=en_US&amp;offset=0&amp;query=any,contains,991000535389702656","Catalog Record")</f>
        <v>Catalog Record</v>
      </c>
      <c r="AV88" s="5" t="str">
        <f>HYPERLINK("http://www.worldcat.org/oclc/61518280","WorldCat Record")</f>
        <v>WorldCat Record</v>
      </c>
      <c r="AW88" s="2" t="s">
        <v>1198</v>
      </c>
      <c r="AX88" s="2" t="s">
        <v>1211</v>
      </c>
      <c r="AY88" s="2" t="s">
        <v>1212</v>
      </c>
      <c r="AZ88" s="2" t="s">
        <v>1212</v>
      </c>
      <c r="BA88" s="2" t="s">
        <v>1213</v>
      </c>
      <c r="BB88" s="2" t="s">
        <v>21</v>
      </c>
      <c r="BD88" s="2" t="s">
        <v>1214</v>
      </c>
      <c r="BE88" s="2" t="s">
        <v>1215</v>
      </c>
      <c r="BF88" s="2" t="s">
        <v>1216</v>
      </c>
    </row>
    <row r="89" spans="1:58" ht="41.25" customHeight="1" x14ac:dyDescent="0.25">
      <c r="A89" s="8" t="s">
        <v>5</v>
      </c>
      <c r="B89" s="1" t="s">
        <v>0</v>
      </c>
      <c r="C89" s="1" t="s">
        <v>1</v>
      </c>
      <c r="D89" s="1" t="s">
        <v>1217</v>
      </c>
      <c r="E89" s="1" t="s">
        <v>1218</v>
      </c>
      <c r="F89" s="1" t="s">
        <v>1219</v>
      </c>
      <c r="H89" s="2" t="s">
        <v>5</v>
      </c>
      <c r="I89" s="2" t="s">
        <v>6</v>
      </c>
      <c r="J89" s="2" t="s">
        <v>5</v>
      </c>
      <c r="K89" s="2" t="s">
        <v>5</v>
      </c>
      <c r="L89" s="2" t="s">
        <v>7</v>
      </c>
      <c r="N89" s="1" t="s">
        <v>1220</v>
      </c>
      <c r="O89" s="2" t="s">
        <v>62</v>
      </c>
      <c r="Q89" s="2" t="s">
        <v>11</v>
      </c>
      <c r="R89" s="2" t="s">
        <v>12</v>
      </c>
      <c r="S89" s="1" t="s">
        <v>1221</v>
      </c>
      <c r="T89" s="2" t="s">
        <v>520</v>
      </c>
      <c r="U89" s="3">
        <v>3</v>
      </c>
      <c r="V89" s="3">
        <v>3</v>
      </c>
      <c r="W89" s="4" t="s">
        <v>1222</v>
      </c>
      <c r="X89" s="4" t="s">
        <v>1222</v>
      </c>
      <c r="Y89" s="4" t="s">
        <v>1223</v>
      </c>
      <c r="Z89" s="4" t="s">
        <v>1223</v>
      </c>
      <c r="AA89" s="3">
        <v>79</v>
      </c>
      <c r="AB89" s="3">
        <v>70</v>
      </c>
      <c r="AC89" s="3">
        <v>71</v>
      </c>
      <c r="AD89" s="3">
        <v>1</v>
      </c>
      <c r="AE89" s="3">
        <v>1</v>
      </c>
      <c r="AF89" s="3">
        <v>2</v>
      </c>
      <c r="AG89" s="3">
        <v>2</v>
      </c>
      <c r="AH89" s="3">
        <v>0</v>
      </c>
      <c r="AI89" s="3">
        <v>0</v>
      </c>
      <c r="AJ89" s="3">
        <v>0</v>
      </c>
      <c r="AK89" s="3">
        <v>0</v>
      </c>
      <c r="AL89" s="3">
        <v>2</v>
      </c>
      <c r="AM89" s="3">
        <v>2</v>
      </c>
      <c r="AN89" s="3">
        <v>0</v>
      </c>
      <c r="AO89" s="3">
        <v>0</v>
      </c>
      <c r="AP89" s="3">
        <v>0</v>
      </c>
      <c r="AQ89" s="3">
        <v>0</v>
      </c>
      <c r="AR89" s="2" t="s">
        <v>5</v>
      </c>
      <c r="AS89" s="2" t="s">
        <v>5</v>
      </c>
      <c r="AU89" s="5" t="str">
        <f>HYPERLINK("https://creighton-primo.hosted.exlibrisgroup.com/primo-explore/search?tab=default_tab&amp;search_scope=EVERYTHING&amp;vid=01CRU&amp;lang=en_US&amp;offset=0&amp;query=any,contains,991001388409702656","Catalog Record")</f>
        <v>Catalog Record</v>
      </c>
      <c r="AV89" s="5" t="str">
        <f>HYPERLINK("http://www.worldcat.org/oclc/4529169","WorldCat Record")</f>
        <v>WorldCat Record</v>
      </c>
      <c r="AW89" s="2" t="s">
        <v>1224</v>
      </c>
      <c r="AX89" s="2" t="s">
        <v>1225</v>
      </c>
      <c r="AY89" s="2" t="s">
        <v>1226</v>
      </c>
      <c r="AZ89" s="2" t="s">
        <v>1226</v>
      </c>
      <c r="BA89" s="2" t="s">
        <v>1227</v>
      </c>
      <c r="BB89" s="2" t="s">
        <v>21</v>
      </c>
      <c r="BE89" s="2" t="s">
        <v>1228</v>
      </c>
      <c r="BF89" s="2" t="s">
        <v>1229</v>
      </c>
    </row>
    <row r="90" spans="1:58" ht="41.25" customHeight="1" x14ac:dyDescent="0.25">
      <c r="A90" s="8" t="s">
        <v>5</v>
      </c>
      <c r="B90" s="1" t="s">
        <v>0</v>
      </c>
      <c r="C90" s="1" t="s">
        <v>1</v>
      </c>
      <c r="D90" s="1" t="s">
        <v>1230</v>
      </c>
      <c r="E90" s="1" t="s">
        <v>1231</v>
      </c>
      <c r="F90" s="1" t="s">
        <v>1232</v>
      </c>
      <c r="H90" s="2" t="s">
        <v>5</v>
      </c>
      <c r="I90" s="2" t="s">
        <v>6</v>
      </c>
      <c r="J90" s="2" t="s">
        <v>5</v>
      </c>
      <c r="K90" s="2" t="s">
        <v>5</v>
      </c>
      <c r="L90" s="2" t="s">
        <v>7</v>
      </c>
      <c r="N90" s="1" t="s">
        <v>1233</v>
      </c>
      <c r="O90" s="2" t="s">
        <v>136</v>
      </c>
      <c r="Q90" s="2" t="s">
        <v>11</v>
      </c>
      <c r="R90" s="2" t="s">
        <v>31</v>
      </c>
      <c r="T90" s="2" t="s">
        <v>520</v>
      </c>
      <c r="U90" s="3">
        <v>5</v>
      </c>
      <c r="V90" s="3">
        <v>5</v>
      </c>
      <c r="W90" s="4" t="s">
        <v>1234</v>
      </c>
      <c r="X90" s="4" t="s">
        <v>1234</v>
      </c>
      <c r="Y90" s="4" t="s">
        <v>1143</v>
      </c>
      <c r="Z90" s="4" t="s">
        <v>1143</v>
      </c>
      <c r="AA90" s="3">
        <v>253</v>
      </c>
      <c r="AB90" s="3">
        <v>189</v>
      </c>
      <c r="AC90" s="3">
        <v>282</v>
      </c>
      <c r="AD90" s="3">
        <v>2</v>
      </c>
      <c r="AE90" s="3">
        <v>2</v>
      </c>
      <c r="AF90" s="3">
        <v>10</v>
      </c>
      <c r="AG90" s="3">
        <v>12</v>
      </c>
      <c r="AH90" s="3">
        <v>5</v>
      </c>
      <c r="AI90" s="3">
        <v>6</v>
      </c>
      <c r="AJ90" s="3">
        <v>2</v>
      </c>
      <c r="AK90" s="3">
        <v>2</v>
      </c>
      <c r="AL90" s="3">
        <v>6</v>
      </c>
      <c r="AM90" s="3">
        <v>7</v>
      </c>
      <c r="AN90" s="3">
        <v>1</v>
      </c>
      <c r="AO90" s="3">
        <v>1</v>
      </c>
      <c r="AP90" s="3">
        <v>0</v>
      </c>
      <c r="AQ90" s="3">
        <v>0</v>
      </c>
      <c r="AR90" s="2" t="s">
        <v>5</v>
      </c>
      <c r="AS90" s="2" t="s">
        <v>16</v>
      </c>
      <c r="AT90" s="5" t="str">
        <f>HYPERLINK("http://catalog.hathitrust.org/Record/002473825","HathiTrust Record")</f>
        <v>HathiTrust Record</v>
      </c>
      <c r="AU90" s="5" t="str">
        <f>HYPERLINK("https://creighton-primo.hosted.exlibrisgroup.com/primo-explore/search?tab=default_tab&amp;search_scope=EVERYTHING&amp;vid=01CRU&amp;lang=en_US&amp;offset=0&amp;query=any,contains,991001476479702656","Catalog Record")</f>
        <v>Catalog Record</v>
      </c>
      <c r="AV90" s="5" t="str">
        <f>HYPERLINK("http://www.worldcat.org/oclc/22859837","WorldCat Record")</f>
        <v>WorldCat Record</v>
      </c>
      <c r="AW90" s="2" t="s">
        <v>1235</v>
      </c>
      <c r="AX90" s="2" t="s">
        <v>1236</v>
      </c>
      <c r="AY90" s="2" t="s">
        <v>1237</v>
      </c>
      <c r="AZ90" s="2" t="s">
        <v>1237</v>
      </c>
      <c r="BA90" s="2" t="s">
        <v>1238</v>
      </c>
      <c r="BB90" s="2" t="s">
        <v>21</v>
      </c>
      <c r="BD90" s="2" t="s">
        <v>1239</v>
      </c>
      <c r="BE90" s="2" t="s">
        <v>1240</v>
      </c>
      <c r="BF90" s="2" t="s">
        <v>1241</v>
      </c>
    </row>
    <row r="91" spans="1:58" ht="41.25" customHeight="1" x14ac:dyDescent="0.25">
      <c r="A91" s="8" t="s">
        <v>5</v>
      </c>
      <c r="B91" s="1" t="s">
        <v>0</v>
      </c>
      <c r="C91" s="1" t="s">
        <v>1</v>
      </c>
      <c r="D91" s="1" t="s">
        <v>1242</v>
      </c>
      <c r="E91" s="1" t="s">
        <v>1243</v>
      </c>
      <c r="F91" s="1" t="s">
        <v>1244</v>
      </c>
      <c r="H91" s="2" t="s">
        <v>5</v>
      </c>
      <c r="I91" s="2" t="s">
        <v>6</v>
      </c>
      <c r="J91" s="2" t="s">
        <v>5</v>
      </c>
      <c r="K91" s="2" t="s">
        <v>5</v>
      </c>
      <c r="L91" s="2" t="s">
        <v>7</v>
      </c>
      <c r="N91" s="1" t="s">
        <v>1245</v>
      </c>
      <c r="O91" s="2" t="s">
        <v>1246</v>
      </c>
      <c r="Q91" s="2" t="s">
        <v>11</v>
      </c>
      <c r="R91" s="2" t="s">
        <v>12</v>
      </c>
      <c r="S91" s="1" t="s">
        <v>1247</v>
      </c>
      <c r="T91" s="2" t="s">
        <v>520</v>
      </c>
      <c r="U91" s="3">
        <v>3</v>
      </c>
      <c r="V91" s="3">
        <v>3</v>
      </c>
      <c r="W91" s="4" t="s">
        <v>1248</v>
      </c>
      <c r="X91" s="4" t="s">
        <v>1248</v>
      </c>
      <c r="Y91" s="4" t="s">
        <v>1249</v>
      </c>
      <c r="Z91" s="4" t="s">
        <v>1249</v>
      </c>
      <c r="AA91" s="3">
        <v>66</v>
      </c>
      <c r="AB91" s="3">
        <v>55</v>
      </c>
      <c r="AC91" s="3">
        <v>57</v>
      </c>
      <c r="AD91" s="3">
        <v>1</v>
      </c>
      <c r="AE91" s="3">
        <v>1</v>
      </c>
      <c r="AF91" s="3">
        <v>1</v>
      </c>
      <c r="AG91" s="3">
        <v>1</v>
      </c>
      <c r="AH91" s="3">
        <v>0</v>
      </c>
      <c r="AI91" s="3">
        <v>0</v>
      </c>
      <c r="AJ91" s="3">
        <v>0</v>
      </c>
      <c r="AK91" s="3">
        <v>0</v>
      </c>
      <c r="AL91" s="3">
        <v>1</v>
      </c>
      <c r="AM91" s="3">
        <v>1</v>
      </c>
      <c r="AN91" s="3">
        <v>0</v>
      </c>
      <c r="AO91" s="3">
        <v>0</v>
      </c>
      <c r="AP91" s="3">
        <v>0</v>
      </c>
      <c r="AQ91" s="3">
        <v>0</v>
      </c>
      <c r="AR91" s="2" t="s">
        <v>5</v>
      </c>
      <c r="AS91" s="2" t="s">
        <v>16</v>
      </c>
      <c r="AT91" s="5" t="str">
        <f>HYPERLINK("http://catalog.hathitrust.org/Record/001574060","HathiTrust Record")</f>
        <v>HathiTrust Record</v>
      </c>
      <c r="AU91" s="5" t="str">
        <f>HYPERLINK("https://creighton-primo.hosted.exlibrisgroup.com/primo-explore/search?tab=default_tab&amp;search_scope=EVERYTHING&amp;vid=01CRU&amp;lang=en_US&amp;offset=0&amp;query=any,contains,991001384349702656","Catalog Record")</f>
        <v>Catalog Record</v>
      </c>
      <c r="AV91" s="5" t="str">
        <f>HYPERLINK("http://www.worldcat.org/oclc/829187","WorldCat Record")</f>
        <v>WorldCat Record</v>
      </c>
      <c r="AW91" s="2" t="s">
        <v>1250</v>
      </c>
      <c r="AX91" s="2" t="s">
        <v>1251</v>
      </c>
      <c r="AY91" s="2" t="s">
        <v>1252</v>
      </c>
      <c r="AZ91" s="2" t="s">
        <v>1252</v>
      </c>
      <c r="BA91" s="2" t="s">
        <v>1253</v>
      </c>
      <c r="BB91" s="2" t="s">
        <v>21</v>
      </c>
      <c r="BE91" s="2" t="s">
        <v>1254</v>
      </c>
      <c r="BF91" s="2" t="s">
        <v>1255</v>
      </c>
    </row>
    <row r="92" spans="1:58" ht="41.25" customHeight="1" x14ac:dyDescent="0.25">
      <c r="A92" s="8" t="s">
        <v>5</v>
      </c>
      <c r="B92" s="1" t="s">
        <v>0</v>
      </c>
      <c r="C92" s="1" t="s">
        <v>1</v>
      </c>
      <c r="D92" s="1" t="s">
        <v>1256</v>
      </c>
      <c r="E92" s="1" t="s">
        <v>1257</v>
      </c>
      <c r="F92" s="1" t="s">
        <v>1258</v>
      </c>
      <c r="H92" s="2" t="s">
        <v>5</v>
      </c>
      <c r="I92" s="2" t="s">
        <v>6</v>
      </c>
      <c r="J92" s="2" t="s">
        <v>5</v>
      </c>
      <c r="K92" s="2" t="s">
        <v>16</v>
      </c>
      <c r="L92" s="2" t="s">
        <v>7</v>
      </c>
      <c r="N92" s="1" t="s">
        <v>1259</v>
      </c>
      <c r="O92" s="2" t="s">
        <v>136</v>
      </c>
      <c r="Q92" s="2" t="s">
        <v>11</v>
      </c>
      <c r="R92" s="2" t="s">
        <v>12</v>
      </c>
      <c r="S92" s="1" t="s">
        <v>1260</v>
      </c>
      <c r="T92" s="2" t="s">
        <v>520</v>
      </c>
      <c r="U92" s="3">
        <v>3</v>
      </c>
      <c r="V92" s="3">
        <v>3</v>
      </c>
      <c r="W92" s="4" t="s">
        <v>903</v>
      </c>
      <c r="X92" s="4" t="s">
        <v>903</v>
      </c>
      <c r="Y92" s="4" t="s">
        <v>604</v>
      </c>
      <c r="Z92" s="4" t="s">
        <v>604</v>
      </c>
      <c r="AA92" s="3">
        <v>431</v>
      </c>
      <c r="AB92" s="3">
        <v>339</v>
      </c>
      <c r="AC92" s="3">
        <v>803</v>
      </c>
      <c r="AD92" s="3">
        <v>3</v>
      </c>
      <c r="AE92" s="3">
        <v>9</v>
      </c>
      <c r="AF92" s="3">
        <v>22</v>
      </c>
      <c r="AG92" s="3">
        <v>37</v>
      </c>
      <c r="AH92" s="3">
        <v>9</v>
      </c>
      <c r="AI92" s="3">
        <v>16</v>
      </c>
      <c r="AJ92" s="3">
        <v>4</v>
      </c>
      <c r="AK92" s="3">
        <v>6</v>
      </c>
      <c r="AL92" s="3">
        <v>13</v>
      </c>
      <c r="AM92" s="3">
        <v>15</v>
      </c>
      <c r="AN92" s="3">
        <v>2</v>
      </c>
      <c r="AO92" s="3">
        <v>7</v>
      </c>
      <c r="AP92" s="3">
        <v>0</v>
      </c>
      <c r="AQ92" s="3">
        <v>0</v>
      </c>
      <c r="AR92" s="2" t="s">
        <v>5</v>
      </c>
      <c r="AS92" s="2" t="s">
        <v>5</v>
      </c>
      <c r="AU92" s="5" t="str">
        <f>HYPERLINK("https://creighton-primo.hosted.exlibrisgroup.com/primo-explore/search?tab=default_tab&amp;search_scope=EVERYTHING&amp;vid=01CRU&amp;lang=en_US&amp;offset=0&amp;query=any,contains,991000232099702656","Catalog Record")</f>
        <v>Catalog Record</v>
      </c>
      <c r="AV92" s="5" t="str">
        <f>HYPERLINK("http://www.worldcat.org/oclc/24992989","WorldCat Record")</f>
        <v>WorldCat Record</v>
      </c>
      <c r="AW92" s="2" t="s">
        <v>1261</v>
      </c>
      <c r="AX92" s="2" t="s">
        <v>1262</v>
      </c>
      <c r="AY92" s="2" t="s">
        <v>1263</v>
      </c>
      <c r="AZ92" s="2" t="s">
        <v>1263</v>
      </c>
      <c r="BA92" s="2" t="s">
        <v>1264</v>
      </c>
      <c r="BB92" s="2" t="s">
        <v>21</v>
      </c>
      <c r="BD92" s="2" t="s">
        <v>1265</v>
      </c>
      <c r="BE92" s="2" t="s">
        <v>1266</v>
      </c>
      <c r="BF92" s="2" t="s">
        <v>1267</v>
      </c>
    </row>
    <row r="93" spans="1:58" ht="41.25" customHeight="1" x14ac:dyDescent="0.25">
      <c r="A93" s="8" t="s">
        <v>5</v>
      </c>
      <c r="B93" s="1" t="s">
        <v>0</v>
      </c>
      <c r="C93" s="1" t="s">
        <v>1</v>
      </c>
      <c r="D93" s="1" t="s">
        <v>1268</v>
      </c>
      <c r="E93" s="1" t="s">
        <v>1269</v>
      </c>
      <c r="F93" s="1" t="s">
        <v>1270</v>
      </c>
      <c r="H93" s="2" t="s">
        <v>5</v>
      </c>
      <c r="I93" s="2" t="s">
        <v>6</v>
      </c>
      <c r="J93" s="2" t="s">
        <v>5</v>
      </c>
      <c r="K93" s="2" t="s">
        <v>16</v>
      </c>
      <c r="L93" s="2" t="s">
        <v>7</v>
      </c>
      <c r="N93" s="1" t="s">
        <v>988</v>
      </c>
      <c r="O93" s="2" t="s">
        <v>989</v>
      </c>
      <c r="P93" s="1" t="s">
        <v>901</v>
      </c>
      <c r="Q93" s="2" t="s">
        <v>11</v>
      </c>
      <c r="R93" s="2" t="s">
        <v>426</v>
      </c>
      <c r="T93" s="2" t="s">
        <v>520</v>
      </c>
      <c r="U93" s="3">
        <v>19</v>
      </c>
      <c r="V93" s="3">
        <v>19</v>
      </c>
      <c r="W93" s="4" t="s">
        <v>1271</v>
      </c>
      <c r="X93" s="4" t="s">
        <v>1271</v>
      </c>
      <c r="Y93" s="4" t="s">
        <v>1272</v>
      </c>
      <c r="Z93" s="4" t="s">
        <v>1272</v>
      </c>
      <c r="AA93" s="3">
        <v>285</v>
      </c>
      <c r="AB93" s="3">
        <v>215</v>
      </c>
      <c r="AC93" s="3">
        <v>577</v>
      </c>
      <c r="AD93" s="3">
        <v>3</v>
      </c>
      <c r="AE93" s="3">
        <v>5</v>
      </c>
      <c r="AF93" s="3">
        <v>7</v>
      </c>
      <c r="AG93" s="3">
        <v>21</v>
      </c>
      <c r="AH93" s="3">
        <v>2</v>
      </c>
      <c r="AI93" s="3">
        <v>9</v>
      </c>
      <c r="AJ93" s="3">
        <v>2</v>
      </c>
      <c r="AK93" s="3">
        <v>4</v>
      </c>
      <c r="AL93" s="3">
        <v>5</v>
      </c>
      <c r="AM93" s="3">
        <v>11</v>
      </c>
      <c r="AN93" s="3">
        <v>0</v>
      </c>
      <c r="AO93" s="3">
        <v>2</v>
      </c>
      <c r="AP93" s="3">
        <v>0</v>
      </c>
      <c r="AQ93" s="3">
        <v>0</v>
      </c>
      <c r="AR93" s="2" t="s">
        <v>5</v>
      </c>
      <c r="AS93" s="2" t="s">
        <v>16</v>
      </c>
      <c r="AT93" s="5" t="str">
        <f>HYPERLINK("http://catalog.hathitrust.org/Record/001831825","HathiTrust Record")</f>
        <v>HathiTrust Record</v>
      </c>
      <c r="AU93" s="5" t="str">
        <f>HYPERLINK("https://creighton-primo.hosted.exlibrisgroup.com/primo-explore/search?tab=default_tab&amp;search_scope=EVERYTHING&amp;vid=01CRU&amp;lang=en_US&amp;offset=0&amp;query=any,contains,991001451939702656","Catalog Record")</f>
        <v>Catalog Record</v>
      </c>
      <c r="AV93" s="5" t="str">
        <f>HYPERLINK("http://www.worldcat.org/oclc/20265308","WorldCat Record")</f>
        <v>WorldCat Record</v>
      </c>
      <c r="AW93" s="2" t="s">
        <v>1273</v>
      </c>
      <c r="AX93" s="2" t="s">
        <v>1274</v>
      </c>
      <c r="AY93" s="2" t="s">
        <v>1275</v>
      </c>
      <c r="AZ93" s="2" t="s">
        <v>1275</v>
      </c>
      <c r="BA93" s="2" t="s">
        <v>1276</v>
      </c>
      <c r="BB93" s="2" t="s">
        <v>21</v>
      </c>
      <c r="BD93" s="2" t="s">
        <v>1277</v>
      </c>
      <c r="BE93" s="2" t="s">
        <v>1278</v>
      </c>
      <c r="BF93" s="2" t="s">
        <v>1279</v>
      </c>
    </row>
    <row r="94" spans="1:58" ht="41.25" customHeight="1" x14ac:dyDescent="0.25">
      <c r="A94" s="8" t="s">
        <v>5</v>
      </c>
      <c r="B94" s="1" t="s">
        <v>0</v>
      </c>
      <c r="C94" s="1" t="s">
        <v>1</v>
      </c>
      <c r="D94" s="1" t="s">
        <v>1280</v>
      </c>
      <c r="E94" s="1" t="s">
        <v>1281</v>
      </c>
      <c r="F94" s="1" t="s">
        <v>1270</v>
      </c>
      <c r="H94" s="2" t="s">
        <v>5</v>
      </c>
      <c r="I94" s="2" t="s">
        <v>6</v>
      </c>
      <c r="J94" s="2" t="s">
        <v>5</v>
      </c>
      <c r="K94" s="2" t="s">
        <v>16</v>
      </c>
      <c r="L94" s="2" t="s">
        <v>7</v>
      </c>
      <c r="N94" s="1" t="s">
        <v>1282</v>
      </c>
      <c r="O94" s="2" t="s">
        <v>1283</v>
      </c>
      <c r="P94" s="1" t="s">
        <v>1284</v>
      </c>
      <c r="Q94" s="2" t="s">
        <v>11</v>
      </c>
      <c r="R94" s="2" t="s">
        <v>31</v>
      </c>
      <c r="T94" s="2" t="s">
        <v>520</v>
      </c>
      <c r="U94" s="3">
        <v>5</v>
      </c>
      <c r="V94" s="3">
        <v>5</v>
      </c>
      <c r="W94" s="4" t="s">
        <v>1285</v>
      </c>
      <c r="X94" s="4" t="s">
        <v>1285</v>
      </c>
      <c r="Y94" s="4" t="s">
        <v>1286</v>
      </c>
      <c r="Z94" s="4" t="s">
        <v>1286</v>
      </c>
      <c r="AA94" s="3">
        <v>317</v>
      </c>
      <c r="AB94" s="3">
        <v>257</v>
      </c>
      <c r="AC94" s="3">
        <v>577</v>
      </c>
      <c r="AD94" s="3">
        <v>3</v>
      </c>
      <c r="AE94" s="3">
        <v>5</v>
      </c>
      <c r="AF94" s="3">
        <v>12</v>
      </c>
      <c r="AG94" s="3">
        <v>21</v>
      </c>
      <c r="AH94" s="3">
        <v>5</v>
      </c>
      <c r="AI94" s="3">
        <v>9</v>
      </c>
      <c r="AJ94" s="3">
        <v>2</v>
      </c>
      <c r="AK94" s="3">
        <v>4</v>
      </c>
      <c r="AL94" s="3">
        <v>8</v>
      </c>
      <c r="AM94" s="3">
        <v>11</v>
      </c>
      <c r="AN94" s="3">
        <v>1</v>
      </c>
      <c r="AO94" s="3">
        <v>2</v>
      </c>
      <c r="AP94" s="3">
        <v>0</v>
      </c>
      <c r="AQ94" s="3">
        <v>0</v>
      </c>
      <c r="AR94" s="2" t="s">
        <v>5</v>
      </c>
      <c r="AS94" s="2" t="s">
        <v>16</v>
      </c>
      <c r="AT94" s="5" t="str">
        <f>HYPERLINK("http://catalog.hathitrust.org/Record/003135759","HathiTrust Record")</f>
        <v>HathiTrust Record</v>
      </c>
      <c r="AU94" s="5" t="str">
        <f>HYPERLINK("https://creighton-primo.hosted.exlibrisgroup.com/primo-explore/search?tab=default_tab&amp;search_scope=EVERYTHING&amp;vid=01CRU&amp;lang=en_US&amp;offset=0&amp;query=any,contains,991001551639702656","Catalog Record")</f>
        <v>Catalog Record</v>
      </c>
      <c r="AV94" s="5" t="str">
        <f>HYPERLINK("http://www.worldcat.org/oclc/35450341","WorldCat Record")</f>
        <v>WorldCat Record</v>
      </c>
      <c r="AW94" s="2" t="s">
        <v>1273</v>
      </c>
      <c r="AX94" s="2" t="s">
        <v>1287</v>
      </c>
      <c r="AY94" s="2" t="s">
        <v>1288</v>
      </c>
      <c r="AZ94" s="2" t="s">
        <v>1288</v>
      </c>
      <c r="BA94" s="2" t="s">
        <v>1289</v>
      </c>
      <c r="BB94" s="2" t="s">
        <v>21</v>
      </c>
      <c r="BD94" s="2" t="s">
        <v>1290</v>
      </c>
      <c r="BE94" s="2" t="s">
        <v>1291</v>
      </c>
      <c r="BF94" s="2" t="s">
        <v>1292</v>
      </c>
    </row>
    <row r="95" spans="1:58" ht="41.25" customHeight="1" x14ac:dyDescent="0.25">
      <c r="A95" s="8" t="s">
        <v>5</v>
      </c>
      <c r="B95" s="1" t="s">
        <v>0</v>
      </c>
      <c r="C95" s="1" t="s">
        <v>1</v>
      </c>
      <c r="D95" s="1" t="s">
        <v>1293</v>
      </c>
      <c r="E95" s="1" t="s">
        <v>1294</v>
      </c>
      <c r="F95" s="1" t="s">
        <v>1295</v>
      </c>
      <c r="H95" s="2" t="s">
        <v>5</v>
      </c>
      <c r="I95" s="2" t="s">
        <v>6</v>
      </c>
      <c r="J95" s="2" t="s">
        <v>5</v>
      </c>
      <c r="K95" s="2" t="s">
        <v>5</v>
      </c>
      <c r="L95" s="2" t="s">
        <v>7</v>
      </c>
      <c r="M95" s="1" t="s">
        <v>1296</v>
      </c>
      <c r="N95" s="1" t="s">
        <v>1297</v>
      </c>
      <c r="O95" s="2" t="s">
        <v>794</v>
      </c>
      <c r="Q95" s="2" t="s">
        <v>11</v>
      </c>
      <c r="R95" s="2" t="s">
        <v>78</v>
      </c>
      <c r="T95" s="2" t="s">
        <v>520</v>
      </c>
      <c r="U95" s="3">
        <v>2</v>
      </c>
      <c r="V95" s="3">
        <v>2</v>
      </c>
      <c r="W95" s="4" t="s">
        <v>1298</v>
      </c>
      <c r="X95" s="4" t="s">
        <v>1298</v>
      </c>
      <c r="Y95" s="4" t="s">
        <v>1299</v>
      </c>
      <c r="Z95" s="4" t="s">
        <v>1299</v>
      </c>
      <c r="AA95" s="3">
        <v>217</v>
      </c>
      <c r="AB95" s="3">
        <v>177</v>
      </c>
      <c r="AC95" s="3">
        <v>179</v>
      </c>
      <c r="AD95" s="3">
        <v>1</v>
      </c>
      <c r="AE95" s="3">
        <v>1</v>
      </c>
      <c r="AF95" s="3">
        <v>9</v>
      </c>
      <c r="AG95" s="3">
        <v>9</v>
      </c>
      <c r="AH95" s="3">
        <v>3</v>
      </c>
      <c r="AI95" s="3">
        <v>3</v>
      </c>
      <c r="AJ95" s="3">
        <v>2</v>
      </c>
      <c r="AK95" s="3">
        <v>2</v>
      </c>
      <c r="AL95" s="3">
        <v>8</v>
      </c>
      <c r="AM95" s="3">
        <v>8</v>
      </c>
      <c r="AN95" s="3">
        <v>0</v>
      </c>
      <c r="AO95" s="3">
        <v>0</v>
      </c>
      <c r="AP95" s="3">
        <v>0</v>
      </c>
      <c r="AQ95" s="3">
        <v>0</v>
      </c>
      <c r="AR95" s="2" t="s">
        <v>5</v>
      </c>
      <c r="AS95" s="2" t="s">
        <v>16</v>
      </c>
      <c r="AT95" s="5" t="str">
        <f>HYPERLINK("http://catalog.hathitrust.org/Record/003013516","HathiTrust Record")</f>
        <v>HathiTrust Record</v>
      </c>
      <c r="AU95" s="5" t="str">
        <f>HYPERLINK("https://creighton-primo.hosted.exlibrisgroup.com/primo-explore/search?tab=default_tab&amp;search_scope=EVERYTHING&amp;vid=01CRU&amp;lang=en_US&amp;offset=0&amp;query=any,contains,991000569809702656","Catalog Record")</f>
        <v>Catalog Record</v>
      </c>
      <c r="AV95" s="5" t="str">
        <f>HYPERLINK("http://www.worldcat.org/oclc/32705500","WorldCat Record")</f>
        <v>WorldCat Record</v>
      </c>
      <c r="AW95" s="2" t="s">
        <v>1300</v>
      </c>
      <c r="AX95" s="2" t="s">
        <v>1301</v>
      </c>
      <c r="AY95" s="2" t="s">
        <v>1302</v>
      </c>
      <c r="AZ95" s="2" t="s">
        <v>1302</v>
      </c>
      <c r="BA95" s="2" t="s">
        <v>1303</v>
      </c>
      <c r="BB95" s="2" t="s">
        <v>21</v>
      </c>
      <c r="BD95" s="2" t="s">
        <v>1304</v>
      </c>
      <c r="BE95" s="2" t="s">
        <v>1305</v>
      </c>
      <c r="BF95" s="2" t="s">
        <v>1306</v>
      </c>
    </row>
    <row r="96" spans="1:58" ht="41.25" customHeight="1" x14ac:dyDescent="0.25">
      <c r="A96" s="8" t="s">
        <v>5</v>
      </c>
      <c r="B96" s="1" t="s">
        <v>0</v>
      </c>
      <c r="C96" s="1" t="s">
        <v>1</v>
      </c>
      <c r="D96" s="1" t="s">
        <v>1307</v>
      </c>
      <c r="E96" s="1" t="s">
        <v>1308</v>
      </c>
      <c r="F96" s="1" t="s">
        <v>1309</v>
      </c>
      <c r="G96" s="2" t="s">
        <v>820</v>
      </c>
      <c r="H96" s="2" t="s">
        <v>5</v>
      </c>
      <c r="I96" s="2" t="s">
        <v>6</v>
      </c>
      <c r="J96" s="2" t="s">
        <v>5</v>
      </c>
      <c r="K96" s="2" t="s">
        <v>5</v>
      </c>
      <c r="L96" s="2" t="s">
        <v>7</v>
      </c>
      <c r="N96" s="1" t="s">
        <v>1310</v>
      </c>
      <c r="O96" s="2" t="s">
        <v>354</v>
      </c>
      <c r="Q96" s="2" t="s">
        <v>11</v>
      </c>
      <c r="R96" s="2" t="s">
        <v>426</v>
      </c>
      <c r="S96" s="1" t="s">
        <v>1311</v>
      </c>
      <c r="T96" s="2" t="s">
        <v>520</v>
      </c>
      <c r="U96" s="3">
        <v>3</v>
      </c>
      <c r="V96" s="3">
        <v>3</v>
      </c>
      <c r="W96" s="4" t="s">
        <v>1312</v>
      </c>
      <c r="X96" s="4" t="s">
        <v>1312</v>
      </c>
      <c r="Y96" s="4" t="s">
        <v>15</v>
      </c>
      <c r="Z96" s="4" t="s">
        <v>15</v>
      </c>
      <c r="AA96" s="3">
        <v>22</v>
      </c>
      <c r="AB96" s="3">
        <v>20</v>
      </c>
      <c r="AC96" s="3">
        <v>20</v>
      </c>
      <c r="AD96" s="3">
        <v>1</v>
      </c>
      <c r="AE96" s="3">
        <v>1</v>
      </c>
      <c r="AF96" s="3">
        <v>1</v>
      </c>
      <c r="AG96" s="3">
        <v>1</v>
      </c>
      <c r="AH96" s="3">
        <v>1</v>
      </c>
      <c r="AI96" s="3">
        <v>1</v>
      </c>
      <c r="AJ96" s="3">
        <v>0</v>
      </c>
      <c r="AK96" s="3">
        <v>0</v>
      </c>
      <c r="AL96" s="3">
        <v>0</v>
      </c>
      <c r="AM96" s="3">
        <v>0</v>
      </c>
      <c r="AN96" s="3">
        <v>0</v>
      </c>
      <c r="AO96" s="3">
        <v>0</v>
      </c>
      <c r="AP96" s="3">
        <v>0</v>
      </c>
      <c r="AQ96" s="3">
        <v>0</v>
      </c>
      <c r="AR96" s="2" t="s">
        <v>5</v>
      </c>
      <c r="AS96" s="2" t="s">
        <v>5</v>
      </c>
      <c r="AU96" s="5" t="str">
        <f>HYPERLINK("https://creighton-primo.hosted.exlibrisgroup.com/primo-explore/search?tab=default_tab&amp;search_scope=EVERYTHING&amp;vid=01CRU&amp;lang=en_US&amp;offset=0&amp;query=any,contains,991001032639702656","Catalog Record")</f>
        <v>Catalog Record</v>
      </c>
      <c r="AV96" s="5" t="str">
        <f>HYPERLINK("http://www.worldcat.org/oclc/6420538","WorldCat Record")</f>
        <v>WorldCat Record</v>
      </c>
      <c r="AW96" s="2" t="s">
        <v>1313</v>
      </c>
      <c r="AX96" s="2" t="s">
        <v>1314</v>
      </c>
      <c r="AY96" s="2" t="s">
        <v>1315</v>
      </c>
      <c r="AZ96" s="2" t="s">
        <v>1315</v>
      </c>
      <c r="BA96" s="2" t="s">
        <v>1316</v>
      </c>
      <c r="BB96" s="2" t="s">
        <v>21</v>
      </c>
      <c r="BD96" s="2" t="s">
        <v>1317</v>
      </c>
      <c r="BE96" s="2" t="s">
        <v>1318</v>
      </c>
      <c r="BF96" s="2" t="s">
        <v>1319</v>
      </c>
    </row>
    <row r="97" spans="1:58" ht="41.25" customHeight="1" x14ac:dyDescent="0.25">
      <c r="A97" s="8" t="s">
        <v>5</v>
      </c>
      <c r="B97" s="1" t="s">
        <v>0</v>
      </c>
      <c r="C97" s="1" t="s">
        <v>1</v>
      </c>
      <c r="D97" s="1" t="s">
        <v>1320</v>
      </c>
      <c r="E97" s="1" t="s">
        <v>1321</v>
      </c>
      <c r="F97" s="1" t="s">
        <v>1322</v>
      </c>
      <c r="H97" s="2" t="s">
        <v>5</v>
      </c>
      <c r="I97" s="2" t="s">
        <v>6</v>
      </c>
      <c r="J97" s="2" t="s">
        <v>5</v>
      </c>
      <c r="K97" s="2" t="s">
        <v>5</v>
      </c>
      <c r="L97" s="2" t="s">
        <v>7</v>
      </c>
      <c r="M97" s="1" t="s">
        <v>1323</v>
      </c>
      <c r="N97" s="1" t="s">
        <v>1324</v>
      </c>
      <c r="O97" s="2" t="s">
        <v>210</v>
      </c>
      <c r="Q97" s="2" t="s">
        <v>11</v>
      </c>
      <c r="R97" s="2" t="s">
        <v>1325</v>
      </c>
      <c r="T97" s="2" t="s">
        <v>520</v>
      </c>
      <c r="U97" s="3">
        <v>2</v>
      </c>
      <c r="V97" s="3">
        <v>2</v>
      </c>
      <c r="W97" s="4" t="s">
        <v>1326</v>
      </c>
      <c r="X97" s="4" t="s">
        <v>1326</v>
      </c>
      <c r="Y97" s="4" t="s">
        <v>604</v>
      </c>
      <c r="Z97" s="4" t="s">
        <v>604</v>
      </c>
      <c r="AA97" s="3">
        <v>171</v>
      </c>
      <c r="AB97" s="3">
        <v>161</v>
      </c>
      <c r="AC97" s="3">
        <v>172</v>
      </c>
      <c r="AD97" s="3">
        <v>2</v>
      </c>
      <c r="AE97" s="3">
        <v>2</v>
      </c>
      <c r="AF97" s="3">
        <v>9</v>
      </c>
      <c r="AG97" s="3">
        <v>9</v>
      </c>
      <c r="AH97" s="3">
        <v>2</v>
      </c>
      <c r="AI97" s="3">
        <v>2</v>
      </c>
      <c r="AJ97" s="3">
        <v>3</v>
      </c>
      <c r="AK97" s="3">
        <v>3</v>
      </c>
      <c r="AL97" s="3">
        <v>6</v>
      </c>
      <c r="AM97" s="3">
        <v>6</v>
      </c>
      <c r="AN97" s="3">
        <v>0</v>
      </c>
      <c r="AO97" s="3">
        <v>0</v>
      </c>
      <c r="AP97" s="3">
        <v>0</v>
      </c>
      <c r="AQ97" s="3">
        <v>0</v>
      </c>
      <c r="AR97" s="2" t="s">
        <v>5</v>
      </c>
      <c r="AS97" s="2" t="s">
        <v>16</v>
      </c>
      <c r="AT97" s="5" t="str">
        <f>HYPERLINK("http://catalog.hathitrust.org/Record/002650345","HathiTrust Record")</f>
        <v>HathiTrust Record</v>
      </c>
      <c r="AU97" s="5" t="str">
        <f>HYPERLINK("https://creighton-primo.hosted.exlibrisgroup.com/primo-explore/search?tab=default_tab&amp;search_scope=EVERYTHING&amp;vid=01CRU&amp;lang=en_US&amp;offset=0&amp;query=any,contains,991000237669702656","Catalog Record")</f>
        <v>Catalog Record</v>
      </c>
      <c r="AV97" s="5" t="str">
        <f>HYPERLINK("http://www.worldcat.org/oclc/27150471","WorldCat Record")</f>
        <v>WorldCat Record</v>
      </c>
      <c r="AW97" s="2" t="s">
        <v>1327</v>
      </c>
      <c r="AX97" s="2" t="s">
        <v>1328</v>
      </c>
      <c r="AY97" s="2" t="s">
        <v>1329</v>
      </c>
      <c r="AZ97" s="2" t="s">
        <v>1329</v>
      </c>
      <c r="BA97" s="2" t="s">
        <v>1330</v>
      </c>
      <c r="BB97" s="2" t="s">
        <v>21</v>
      </c>
      <c r="BD97" s="2" t="s">
        <v>1331</v>
      </c>
      <c r="BE97" s="2" t="s">
        <v>1332</v>
      </c>
      <c r="BF97" s="2" t="s">
        <v>1333</v>
      </c>
    </row>
    <row r="98" spans="1:58" ht="41.25" customHeight="1" x14ac:dyDescent="0.25">
      <c r="A98" s="8" t="s">
        <v>5</v>
      </c>
      <c r="B98" s="1" t="s">
        <v>0</v>
      </c>
      <c r="C98" s="1" t="s">
        <v>1</v>
      </c>
      <c r="D98" s="1" t="s">
        <v>1334</v>
      </c>
      <c r="E98" s="1" t="s">
        <v>1335</v>
      </c>
      <c r="F98" s="1" t="s">
        <v>1336</v>
      </c>
      <c r="H98" s="2" t="s">
        <v>5</v>
      </c>
      <c r="I98" s="2" t="s">
        <v>6</v>
      </c>
      <c r="J98" s="2" t="s">
        <v>5</v>
      </c>
      <c r="K98" s="2" t="s">
        <v>5</v>
      </c>
      <c r="L98" s="2" t="s">
        <v>7</v>
      </c>
      <c r="M98" s="1" t="s">
        <v>1337</v>
      </c>
      <c r="N98" s="1" t="s">
        <v>1338</v>
      </c>
      <c r="O98" s="2" t="s">
        <v>1339</v>
      </c>
      <c r="P98" s="1" t="s">
        <v>211</v>
      </c>
      <c r="Q98" s="2" t="s">
        <v>11</v>
      </c>
      <c r="R98" s="2" t="s">
        <v>426</v>
      </c>
      <c r="T98" s="2" t="s">
        <v>520</v>
      </c>
      <c r="U98" s="3">
        <v>5</v>
      </c>
      <c r="V98" s="3">
        <v>5</v>
      </c>
      <c r="W98" s="4" t="s">
        <v>1089</v>
      </c>
      <c r="X98" s="4" t="s">
        <v>1089</v>
      </c>
      <c r="Y98" s="4" t="s">
        <v>80</v>
      </c>
      <c r="Z98" s="4" t="s">
        <v>80</v>
      </c>
      <c r="AA98" s="3">
        <v>162</v>
      </c>
      <c r="AB98" s="3">
        <v>126</v>
      </c>
      <c r="AC98" s="3">
        <v>384</v>
      </c>
      <c r="AD98" s="3">
        <v>1</v>
      </c>
      <c r="AE98" s="3">
        <v>2</v>
      </c>
      <c r="AF98" s="3">
        <v>5</v>
      </c>
      <c r="AG98" s="3">
        <v>13</v>
      </c>
      <c r="AH98" s="3">
        <v>2</v>
      </c>
      <c r="AI98" s="3">
        <v>6</v>
      </c>
      <c r="AJ98" s="3">
        <v>1</v>
      </c>
      <c r="AK98" s="3">
        <v>1</v>
      </c>
      <c r="AL98" s="3">
        <v>2</v>
      </c>
      <c r="AM98" s="3">
        <v>7</v>
      </c>
      <c r="AN98" s="3">
        <v>0</v>
      </c>
      <c r="AO98" s="3">
        <v>1</v>
      </c>
      <c r="AP98" s="3">
        <v>0</v>
      </c>
      <c r="AQ98" s="3">
        <v>0</v>
      </c>
      <c r="AR98" s="2" t="s">
        <v>5</v>
      </c>
      <c r="AS98" s="2" t="s">
        <v>16</v>
      </c>
      <c r="AT98" s="5" t="str">
        <f>HYPERLINK("http://catalog.hathitrust.org/Record/001538231","HathiTrust Record")</f>
        <v>HathiTrust Record</v>
      </c>
      <c r="AU98" s="5" t="str">
        <f>HYPERLINK("https://creighton-primo.hosted.exlibrisgroup.com/primo-explore/search?tab=default_tab&amp;search_scope=EVERYTHING&amp;vid=01CRU&amp;lang=en_US&amp;offset=0&amp;query=any,contains,991001534909702656","Catalog Record")</f>
        <v>Catalog Record</v>
      </c>
      <c r="AV98" s="5" t="str">
        <f>HYPERLINK("http://www.worldcat.org/oclc/15489380","WorldCat Record")</f>
        <v>WorldCat Record</v>
      </c>
      <c r="AW98" s="2" t="s">
        <v>1340</v>
      </c>
      <c r="AX98" s="2" t="s">
        <v>1341</v>
      </c>
      <c r="AY98" s="2" t="s">
        <v>1342</v>
      </c>
      <c r="AZ98" s="2" t="s">
        <v>1342</v>
      </c>
      <c r="BA98" s="2" t="s">
        <v>1343</v>
      </c>
      <c r="BB98" s="2" t="s">
        <v>21</v>
      </c>
      <c r="BD98" s="2" t="s">
        <v>1344</v>
      </c>
      <c r="BE98" s="2" t="s">
        <v>1345</v>
      </c>
      <c r="BF98" s="2" t="s">
        <v>1346</v>
      </c>
    </row>
    <row r="99" spans="1:58" ht="41.25" customHeight="1" x14ac:dyDescent="0.25">
      <c r="A99" s="8" t="s">
        <v>5</v>
      </c>
      <c r="B99" s="1" t="s">
        <v>0</v>
      </c>
      <c r="C99" s="1" t="s">
        <v>1</v>
      </c>
      <c r="D99" s="1" t="s">
        <v>1347</v>
      </c>
      <c r="E99" s="1" t="s">
        <v>1348</v>
      </c>
      <c r="F99" s="1" t="s">
        <v>1349</v>
      </c>
      <c r="H99" s="2" t="s">
        <v>5</v>
      </c>
      <c r="I99" s="2" t="s">
        <v>6</v>
      </c>
      <c r="J99" s="2" t="s">
        <v>5</v>
      </c>
      <c r="K99" s="2" t="s">
        <v>5</v>
      </c>
      <c r="L99" s="2" t="s">
        <v>7</v>
      </c>
      <c r="M99" s="1" t="s">
        <v>1350</v>
      </c>
      <c r="N99" s="1" t="s">
        <v>1351</v>
      </c>
      <c r="O99" s="2" t="s">
        <v>1060</v>
      </c>
      <c r="Q99" s="2" t="s">
        <v>11</v>
      </c>
      <c r="R99" s="2" t="s">
        <v>78</v>
      </c>
      <c r="T99" s="2" t="s">
        <v>520</v>
      </c>
      <c r="U99" s="3">
        <v>2</v>
      </c>
      <c r="V99" s="3">
        <v>2</v>
      </c>
      <c r="W99" s="4" t="s">
        <v>1352</v>
      </c>
      <c r="X99" s="4" t="s">
        <v>1352</v>
      </c>
      <c r="Y99" s="4" t="s">
        <v>1353</v>
      </c>
      <c r="Z99" s="4" t="s">
        <v>1353</v>
      </c>
      <c r="AA99" s="3">
        <v>272</v>
      </c>
      <c r="AB99" s="3">
        <v>218</v>
      </c>
      <c r="AC99" s="3">
        <v>500</v>
      </c>
      <c r="AD99" s="3">
        <v>2</v>
      </c>
      <c r="AE99" s="3">
        <v>14</v>
      </c>
      <c r="AF99" s="3">
        <v>6</v>
      </c>
      <c r="AG99" s="3">
        <v>19</v>
      </c>
      <c r="AH99" s="3">
        <v>3</v>
      </c>
      <c r="AI99" s="3">
        <v>8</v>
      </c>
      <c r="AJ99" s="3">
        <v>0</v>
      </c>
      <c r="AK99" s="3">
        <v>1</v>
      </c>
      <c r="AL99" s="3">
        <v>2</v>
      </c>
      <c r="AM99" s="3">
        <v>3</v>
      </c>
      <c r="AN99" s="3">
        <v>1</v>
      </c>
      <c r="AO99" s="3">
        <v>9</v>
      </c>
      <c r="AP99" s="3">
        <v>0</v>
      </c>
      <c r="AQ99" s="3">
        <v>0</v>
      </c>
      <c r="AR99" s="2" t="s">
        <v>5</v>
      </c>
      <c r="AS99" s="2" t="s">
        <v>5</v>
      </c>
      <c r="AU99" s="5" t="str">
        <f>HYPERLINK("https://creighton-primo.hosted.exlibrisgroup.com/primo-explore/search?tab=default_tab&amp;search_scope=EVERYTHING&amp;vid=01CRU&amp;lang=en_US&amp;offset=0&amp;query=any,contains,991000575329702656","Catalog Record")</f>
        <v>Catalog Record</v>
      </c>
      <c r="AV99" s="5" t="str">
        <f>HYPERLINK("http://www.worldcat.org/oclc/57068342","WorldCat Record")</f>
        <v>WorldCat Record</v>
      </c>
      <c r="AW99" s="2" t="s">
        <v>1354</v>
      </c>
      <c r="AX99" s="2" t="s">
        <v>1355</v>
      </c>
      <c r="AY99" s="2" t="s">
        <v>1356</v>
      </c>
      <c r="AZ99" s="2" t="s">
        <v>1356</v>
      </c>
      <c r="BA99" s="2" t="s">
        <v>1357</v>
      </c>
      <c r="BB99" s="2" t="s">
        <v>21</v>
      </c>
      <c r="BD99" s="2" t="s">
        <v>1358</v>
      </c>
      <c r="BE99" s="2" t="s">
        <v>1359</v>
      </c>
      <c r="BF99" s="2" t="s">
        <v>1360</v>
      </c>
    </row>
    <row r="100" spans="1:58" ht="41.25" customHeight="1" x14ac:dyDescent="0.25">
      <c r="A100" s="8" t="s">
        <v>5</v>
      </c>
      <c r="B100" s="1" t="s">
        <v>0</v>
      </c>
      <c r="C100" s="1" t="s">
        <v>1</v>
      </c>
      <c r="D100" s="1" t="s">
        <v>1361</v>
      </c>
      <c r="E100" s="1" t="s">
        <v>1362</v>
      </c>
      <c r="F100" s="1" t="s">
        <v>1363</v>
      </c>
      <c r="H100" s="2" t="s">
        <v>5</v>
      </c>
      <c r="I100" s="2" t="s">
        <v>6</v>
      </c>
      <c r="J100" s="2" t="s">
        <v>5</v>
      </c>
      <c r="K100" s="2" t="s">
        <v>16</v>
      </c>
      <c r="L100" s="2" t="s">
        <v>7</v>
      </c>
      <c r="M100" s="1" t="s">
        <v>1364</v>
      </c>
      <c r="N100" s="1" t="s">
        <v>1365</v>
      </c>
      <c r="O100" s="2" t="s">
        <v>601</v>
      </c>
      <c r="P100" s="1" t="s">
        <v>1284</v>
      </c>
      <c r="Q100" s="2" t="s">
        <v>11</v>
      </c>
      <c r="R100" s="2" t="s">
        <v>78</v>
      </c>
      <c r="T100" s="2" t="s">
        <v>520</v>
      </c>
      <c r="U100" s="3">
        <v>4</v>
      </c>
      <c r="V100" s="3">
        <v>4</v>
      </c>
      <c r="W100" s="4" t="s">
        <v>1366</v>
      </c>
      <c r="X100" s="4" t="s">
        <v>1366</v>
      </c>
      <c r="Y100" s="4" t="s">
        <v>1367</v>
      </c>
      <c r="Z100" s="4" t="s">
        <v>1367</v>
      </c>
      <c r="AA100" s="3">
        <v>276</v>
      </c>
      <c r="AB100" s="3">
        <v>215</v>
      </c>
      <c r="AC100" s="3">
        <v>1118</v>
      </c>
      <c r="AD100" s="3">
        <v>1</v>
      </c>
      <c r="AE100" s="3">
        <v>6</v>
      </c>
      <c r="AF100" s="3">
        <v>10</v>
      </c>
      <c r="AG100" s="3">
        <v>34</v>
      </c>
      <c r="AH100" s="3">
        <v>4</v>
      </c>
      <c r="AI100" s="3">
        <v>15</v>
      </c>
      <c r="AJ100" s="3">
        <v>1</v>
      </c>
      <c r="AK100" s="3">
        <v>5</v>
      </c>
      <c r="AL100" s="3">
        <v>8</v>
      </c>
      <c r="AM100" s="3">
        <v>17</v>
      </c>
      <c r="AN100" s="3">
        <v>0</v>
      </c>
      <c r="AO100" s="3">
        <v>4</v>
      </c>
      <c r="AP100" s="3">
        <v>0</v>
      </c>
      <c r="AQ100" s="3">
        <v>0</v>
      </c>
      <c r="AR100" s="2" t="s">
        <v>5</v>
      </c>
      <c r="AS100" s="2" t="s">
        <v>16</v>
      </c>
      <c r="AT100" s="5" t="str">
        <f>HYPERLINK("http://catalog.hathitrust.org/Record/002932867","HathiTrust Record")</f>
        <v>HathiTrust Record</v>
      </c>
      <c r="AU100" s="5" t="str">
        <f>HYPERLINK("https://creighton-primo.hosted.exlibrisgroup.com/primo-explore/search?tab=default_tab&amp;search_scope=EVERYTHING&amp;vid=01CRU&amp;lang=en_US&amp;offset=0&amp;query=any,contains,991001507389702656","Catalog Record")</f>
        <v>Catalog Record</v>
      </c>
      <c r="AV100" s="5" t="str">
        <f>HYPERLINK("http://www.worldcat.org/oclc/31045529","WorldCat Record")</f>
        <v>WorldCat Record</v>
      </c>
      <c r="AW100" s="2" t="s">
        <v>1368</v>
      </c>
      <c r="AX100" s="2" t="s">
        <v>1369</v>
      </c>
      <c r="AY100" s="2" t="s">
        <v>1370</v>
      </c>
      <c r="AZ100" s="2" t="s">
        <v>1370</v>
      </c>
      <c r="BA100" s="2" t="s">
        <v>1371</v>
      </c>
      <c r="BB100" s="2" t="s">
        <v>21</v>
      </c>
      <c r="BD100" s="2" t="s">
        <v>1372</v>
      </c>
      <c r="BE100" s="2" t="s">
        <v>1373</v>
      </c>
      <c r="BF100" s="2" t="s">
        <v>1374</v>
      </c>
    </row>
    <row r="101" spans="1:58" ht="41.25" customHeight="1" x14ac:dyDescent="0.25">
      <c r="A101" s="8" t="s">
        <v>5</v>
      </c>
      <c r="B101" s="1" t="s">
        <v>0</v>
      </c>
      <c r="C101" s="1" t="s">
        <v>1</v>
      </c>
      <c r="D101" s="1" t="s">
        <v>1375</v>
      </c>
      <c r="E101" s="1" t="s">
        <v>1376</v>
      </c>
      <c r="F101" s="1" t="s">
        <v>1363</v>
      </c>
      <c r="H101" s="2" t="s">
        <v>5</v>
      </c>
      <c r="I101" s="2" t="s">
        <v>6</v>
      </c>
      <c r="J101" s="2" t="s">
        <v>5</v>
      </c>
      <c r="K101" s="2" t="s">
        <v>16</v>
      </c>
      <c r="L101" s="2" t="s">
        <v>7</v>
      </c>
      <c r="M101" s="1" t="s">
        <v>1364</v>
      </c>
      <c r="N101" s="1" t="s">
        <v>1377</v>
      </c>
      <c r="O101" s="2" t="s">
        <v>1378</v>
      </c>
      <c r="P101" s="1" t="s">
        <v>63</v>
      </c>
      <c r="Q101" s="2" t="s">
        <v>11</v>
      </c>
      <c r="R101" s="2" t="s">
        <v>78</v>
      </c>
      <c r="T101" s="2" t="s">
        <v>520</v>
      </c>
      <c r="U101" s="3">
        <v>3</v>
      </c>
      <c r="V101" s="3">
        <v>3</v>
      </c>
      <c r="W101" s="4" t="s">
        <v>1379</v>
      </c>
      <c r="X101" s="4" t="s">
        <v>1379</v>
      </c>
      <c r="Y101" s="4" t="s">
        <v>1380</v>
      </c>
      <c r="Z101" s="4" t="s">
        <v>1380</v>
      </c>
      <c r="AA101" s="3">
        <v>277</v>
      </c>
      <c r="AB101" s="3">
        <v>224</v>
      </c>
      <c r="AC101" s="3">
        <v>1118</v>
      </c>
      <c r="AD101" s="3">
        <v>1</v>
      </c>
      <c r="AE101" s="3">
        <v>6</v>
      </c>
      <c r="AF101" s="3">
        <v>8</v>
      </c>
      <c r="AG101" s="3">
        <v>34</v>
      </c>
      <c r="AH101" s="3">
        <v>3</v>
      </c>
      <c r="AI101" s="3">
        <v>15</v>
      </c>
      <c r="AJ101" s="3">
        <v>2</v>
      </c>
      <c r="AK101" s="3">
        <v>5</v>
      </c>
      <c r="AL101" s="3">
        <v>5</v>
      </c>
      <c r="AM101" s="3">
        <v>17</v>
      </c>
      <c r="AN101" s="3">
        <v>0</v>
      </c>
      <c r="AO101" s="3">
        <v>4</v>
      </c>
      <c r="AP101" s="3">
        <v>0</v>
      </c>
      <c r="AQ101" s="3">
        <v>0</v>
      </c>
      <c r="AR101" s="2" t="s">
        <v>5</v>
      </c>
      <c r="AS101" s="2" t="s">
        <v>16</v>
      </c>
      <c r="AT101" s="5" t="str">
        <f>HYPERLINK("http://catalog.hathitrust.org/Record/003951395","HathiTrust Record")</f>
        <v>HathiTrust Record</v>
      </c>
      <c r="AU101" s="5" t="str">
        <f>HYPERLINK("https://creighton-primo.hosted.exlibrisgroup.com/primo-explore/search?tab=default_tab&amp;search_scope=EVERYTHING&amp;vid=01CRU&amp;lang=en_US&amp;offset=0&amp;query=any,contains,991001226259702656","Catalog Record")</f>
        <v>Catalog Record</v>
      </c>
      <c r="AV101" s="5" t="str">
        <f>HYPERLINK("http://www.worldcat.org/oclc/36995371","WorldCat Record")</f>
        <v>WorldCat Record</v>
      </c>
      <c r="AW101" s="2" t="s">
        <v>1368</v>
      </c>
      <c r="AX101" s="2" t="s">
        <v>1381</v>
      </c>
      <c r="AY101" s="2" t="s">
        <v>1382</v>
      </c>
      <c r="AZ101" s="2" t="s">
        <v>1382</v>
      </c>
      <c r="BA101" s="2" t="s">
        <v>1383</v>
      </c>
      <c r="BB101" s="2" t="s">
        <v>21</v>
      </c>
      <c r="BD101" s="2" t="s">
        <v>1384</v>
      </c>
      <c r="BE101" s="2" t="s">
        <v>1385</v>
      </c>
      <c r="BF101" s="2" t="s">
        <v>1386</v>
      </c>
    </row>
    <row r="102" spans="1:58" ht="41.25" customHeight="1" x14ac:dyDescent="0.25">
      <c r="A102" s="8" t="s">
        <v>5</v>
      </c>
      <c r="B102" s="1" t="s">
        <v>0</v>
      </c>
      <c r="C102" s="1" t="s">
        <v>1</v>
      </c>
      <c r="D102" s="1" t="s">
        <v>1387</v>
      </c>
      <c r="E102" s="1" t="s">
        <v>1388</v>
      </c>
      <c r="F102" s="1" t="s">
        <v>1389</v>
      </c>
      <c r="H102" s="2" t="s">
        <v>5</v>
      </c>
      <c r="I102" s="2" t="s">
        <v>6</v>
      </c>
      <c r="J102" s="2" t="s">
        <v>5</v>
      </c>
      <c r="K102" s="2" t="s">
        <v>16</v>
      </c>
      <c r="L102" s="2" t="s">
        <v>7</v>
      </c>
      <c r="M102" s="1" t="s">
        <v>1364</v>
      </c>
      <c r="N102" s="1" t="s">
        <v>1390</v>
      </c>
      <c r="O102" s="2" t="s">
        <v>1391</v>
      </c>
      <c r="P102" s="1" t="s">
        <v>771</v>
      </c>
      <c r="Q102" s="2" t="s">
        <v>11</v>
      </c>
      <c r="R102" s="2" t="s">
        <v>78</v>
      </c>
      <c r="T102" s="2" t="s">
        <v>520</v>
      </c>
      <c r="U102" s="3">
        <v>2</v>
      </c>
      <c r="V102" s="3">
        <v>2</v>
      </c>
      <c r="W102" s="4" t="s">
        <v>1392</v>
      </c>
      <c r="X102" s="4" t="s">
        <v>1392</v>
      </c>
      <c r="Y102" s="4" t="s">
        <v>1393</v>
      </c>
      <c r="Z102" s="4" t="s">
        <v>1393</v>
      </c>
      <c r="AA102" s="3">
        <v>355</v>
      </c>
      <c r="AB102" s="3">
        <v>275</v>
      </c>
      <c r="AC102" s="3">
        <v>1118</v>
      </c>
      <c r="AD102" s="3">
        <v>1</v>
      </c>
      <c r="AE102" s="3">
        <v>6</v>
      </c>
      <c r="AF102" s="3">
        <v>7</v>
      </c>
      <c r="AG102" s="3">
        <v>34</v>
      </c>
      <c r="AH102" s="3">
        <v>3</v>
      </c>
      <c r="AI102" s="3">
        <v>15</v>
      </c>
      <c r="AJ102" s="3">
        <v>0</v>
      </c>
      <c r="AK102" s="3">
        <v>5</v>
      </c>
      <c r="AL102" s="3">
        <v>4</v>
      </c>
      <c r="AM102" s="3">
        <v>17</v>
      </c>
      <c r="AN102" s="3">
        <v>0</v>
      </c>
      <c r="AO102" s="3">
        <v>4</v>
      </c>
      <c r="AP102" s="3">
        <v>0</v>
      </c>
      <c r="AQ102" s="3">
        <v>0</v>
      </c>
      <c r="AR102" s="2" t="s">
        <v>5</v>
      </c>
      <c r="AS102" s="2" t="s">
        <v>5</v>
      </c>
      <c r="AU102" s="5" t="str">
        <f>HYPERLINK("https://creighton-primo.hosted.exlibrisgroup.com/primo-explore/search?tab=default_tab&amp;search_scope=EVERYTHING&amp;vid=01CRU&amp;lang=en_US&amp;offset=0&amp;query=any,contains,991000387089702656","Catalog Record")</f>
        <v>Catalog Record</v>
      </c>
      <c r="AV102" s="5" t="str">
        <f>HYPERLINK("http://www.worldcat.org/oclc/51811034","WorldCat Record")</f>
        <v>WorldCat Record</v>
      </c>
      <c r="AW102" s="2" t="s">
        <v>1368</v>
      </c>
      <c r="AX102" s="2" t="s">
        <v>1394</v>
      </c>
      <c r="AY102" s="2" t="s">
        <v>1395</v>
      </c>
      <c r="AZ102" s="2" t="s">
        <v>1395</v>
      </c>
      <c r="BA102" s="2" t="s">
        <v>1396</v>
      </c>
      <c r="BB102" s="2" t="s">
        <v>21</v>
      </c>
      <c r="BD102" s="2" t="s">
        <v>1397</v>
      </c>
      <c r="BE102" s="2" t="s">
        <v>1398</v>
      </c>
      <c r="BF102" s="2" t="s">
        <v>1399</v>
      </c>
    </row>
    <row r="103" spans="1:58" ht="41.25" customHeight="1" x14ac:dyDescent="0.25">
      <c r="A103" s="8" t="s">
        <v>5</v>
      </c>
      <c r="B103" s="1" t="s">
        <v>0</v>
      </c>
      <c r="C103" s="1" t="s">
        <v>1</v>
      </c>
      <c r="D103" s="1" t="s">
        <v>1400</v>
      </c>
      <c r="E103" s="1" t="s">
        <v>1401</v>
      </c>
      <c r="F103" s="1" t="s">
        <v>1402</v>
      </c>
      <c r="H103" s="2" t="s">
        <v>5</v>
      </c>
      <c r="I103" s="2" t="s">
        <v>6</v>
      </c>
      <c r="J103" s="2" t="s">
        <v>5</v>
      </c>
      <c r="K103" s="2" t="s">
        <v>5</v>
      </c>
      <c r="L103" s="2" t="s">
        <v>7</v>
      </c>
      <c r="N103" s="1" t="s">
        <v>1403</v>
      </c>
      <c r="O103" s="2" t="s">
        <v>62</v>
      </c>
      <c r="Q103" s="2" t="s">
        <v>11</v>
      </c>
      <c r="R103" s="2" t="s">
        <v>426</v>
      </c>
      <c r="S103" s="1" t="s">
        <v>1404</v>
      </c>
      <c r="T103" s="2" t="s">
        <v>520</v>
      </c>
      <c r="U103" s="3">
        <v>2</v>
      </c>
      <c r="V103" s="3">
        <v>2</v>
      </c>
      <c r="W103" s="4" t="s">
        <v>1405</v>
      </c>
      <c r="X103" s="4" t="s">
        <v>1405</v>
      </c>
      <c r="Y103" s="4" t="s">
        <v>736</v>
      </c>
      <c r="Z103" s="4" t="s">
        <v>736</v>
      </c>
      <c r="AA103" s="3">
        <v>124</v>
      </c>
      <c r="AB103" s="3">
        <v>105</v>
      </c>
      <c r="AC103" s="3">
        <v>107</v>
      </c>
      <c r="AD103" s="3">
        <v>3</v>
      </c>
      <c r="AE103" s="3">
        <v>3</v>
      </c>
      <c r="AF103" s="3">
        <v>6</v>
      </c>
      <c r="AG103" s="3">
        <v>6</v>
      </c>
      <c r="AH103" s="3">
        <v>2</v>
      </c>
      <c r="AI103" s="3">
        <v>2</v>
      </c>
      <c r="AJ103" s="3">
        <v>0</v>
      </c>
      <c r="AK103" s="3">
        <v>0</v>
      </c>
      <c r="AL103" s="3">
        <v>3</v>
      </c>
      <c r="AM103" s="3">
        <v>3</v>
      </c>
      <c r="AN103" s="3">
        <v>1</v>
      </c>
      <c r="AO103" s="3">
        <v>1</v>
      </c>
      <c r="AP103" s="3">
        <v>0</v>
      </c>
      <c r="AQ103" s="3">
        <v>0</v>
      </c>
      <c r="AR103" s="2" t="s">
        <v>5</v>
      </c>
      <c r="AS103" s="2" t="s">
        <v>16</v>
      </c>
      <c r="AT103" s="5" t="str">
        <f>HYPERLINK("http://catalog.hathitrust.org/Record/000758249","HathiTrust Record")</f>
        <v>HathiTrust Record</v>
      </c>
      <c r="AU103" s="5" t="str">
        <f>HYPERLINK("https://creighton-primo.hosted.exlibrisgroup.com/primo-explore/search?tab=default_tab&amp;search_scope=EVERYTHING&amp;vid=01CRU&amp;lang=en_US&amp;offset=0&amp;query=any,contains,991001517199702656","Catalog Record")</f>
        <v>Catalog Record</v>
      </c>
      <c r="AV103" s="5" t="str">
        <f>HYPERLINK("http://www.worldcat.org/oclc/5445922","WorldCat Record")</f>
        <v>WorldCat Record</v>
      </c>
      <c r="AW103" s="2" t="s">
        <v>1406</v>
      </c>
      <c r="AX103" s="2" t="s">
        <v>1407</v>
      </c>
      <c r="AY103" s="2" t="s">
        <v>1408</v>
      </c>
      <c r="AZ103" s="2" t="s">
        <v>1408</v>
      </c>
      <c r="BA103" s="2" t="s">
        <v>1409</v>
      </c>
      <c r="BB103" s="2" t="s">
        <v>21</v>
      </c>
      <c r="BE103" s="2" t="s">
        <v>1410</v>
      </c>
      <c r="BF103" s="2" t="s">
        <v>1411</v>
      </c>
    </row>
    <row r="104" spans="1:58" ht="41.25" customHeight="1" x14ac:dyDescent="0.25">
      <c r="A104" s="8" t="s">
        <v>5</v>
      </c>
      <c r="B104" s="1" t="s">
        <v>0</v>
      </c>
      <c r="C104" s="1" t="s">
        <v>1</v>
      </c>
      <c r="D104" s="1" t="s">
        <v>1412</v>
      </c>
      <c r="E104" s="1" t="s">
        <v>1413</v>
      </c>
      <c r="F104" s="1" t="s">
        <v>1414</v>
      </c>
      <c r="H104" s="2" t="s">
        <v>5</v>
      </c>
      <c r="I104" s="2" t="s">
        <v>6</v>
      </c>
      <c r="J104" s="2" t="s">
        <v>5</v>
      </c>
      <c r="K104" s="2" t="s">
        <v>5</v>
      </c>
      <c r="L104" s="2" t="s">
        <v>7</v>
      </c>
      <c r="N104" s="1" t="s">
        <v>1415</v>
      </c>
      <c r="O104" s="2" t="s">
        <v>62</v>
      </c>
      <c r="Q104" s="2" t="s">
        <v>11</v>
      </c>
      <c r="R104" s="2" t="s">
        <v>31</v>
      </c>
      <c r="T104" s="2" t="s">
        <v>520</v>
      </c>
      <c r="U104" s="3">
        <v>3</v>
      </c>
      <c r="V104" s="3">
        <v>3</v>
      </c>
      <c r="W104" s="4" t="s">
        <v>1416</v>
      </c>
      <c r="X104" s="4" t="s">
        <v>1416</v>
      </c>
      <c r="Y104" s="4" t="s">
        <v>15</v>
      </c>
      <c r="Z104" s="4" t="s">
        <v>15</v>
      </c>
      <c r="AA104" s="3">
        <v>97</v>
      </c>
      <c r="AB104" s="3">
        <v>94</v>
      </c>
      <c r="AC104" s="3">
        <v>95</v>
      </c>
      <c r="AD104" s="3">
        <v>2</v>
      </c>
      <c r="AE104" s="3">
        <v>2</v>
      </c>
      <c r="AF104" s="3">
        <v>6</v>
      </c>
      <c r="AG104" s="3">
        <v>6</v>
      </c>
      <c r="AH104" s="3">
        <v>1</v>
      </c>
      <c r="AI104" s="3">
        <v>1</v>
      </c>
      <c r="AJ104" s="3">
        <v>0</v>
      </c>
      <c r="AK104" s="3">
        <v>0</v>
      </c>
      <c r="AL104" s="3">
        <v>4</v>
      </c>
      <c r="AM104" s="3">
        <v>4</v>
      </c>
      <c r="AN104" s="3">
        <v>1</v>
      </c>
      <c r="AO104" s="3">
        <v>1</v>
      </c>
      <c r="AP104" s="3">
        <v>0</v>
      </c>
      <c r="AQ104" s="3">
        <v>0</v>
      </c>
      <c r="AR104" s="2" t="s">
        <v>5</v>
      </c>
      <c r="AS104" s="2" t="s">
        <v>5</v>
      </c>
      <c r="AU104" s="5" t="str">
        <f>HYPERLINK("https://creighton-primo.hosted.exlibrisgroup.com/primo-explore/search?tab=default_tab&amp;search_scope=EVERYTHING&amp;vid=01CRU&amp;lang=en_US&amp;offset=0&amp;query=any,contains,991001033179702656","Catalog Record")</f>
        <v>Catalog Record</v>
      </c>
      <c r="AV104" s="5" t="str">
        <f>HYPERLINK("http://www.worldcat.org/oclc/4883265","WorldCat Record")</f>
        <v>WorldCat Record</v>
      </c>
      <c r="AW104" s="2" t="s">
        <v>1417</v>
      </c>
      <c r="AX104" s="2" t="s">
        <v>1418</v>
      </c>
      <c r="AY104" s="2" t="s">
        <v>1419</v>
      </c>
      <c r="AZ104" s="2" t="s">
        <v>1419</v>
      </c>
      <c r="BA104" s="2" t="s">
        <v>1420</v>
      </c>
      <c r="BB104" s="2" t="s">
        <v>21</v>
      </c>
      <c r="BE104" s="2" t="s">
        <v>1421</v>
      </c>
      <c r="BF104" s="2" t="s">
        <v>1422</v>
      </c>
    </row>
    <row r="105" spans="1:58" ht="41.25" customHeight="1" x14ac:dyDescent="0.25">
      <c r="A105" s="8" t="s">
        <v>5</v>
      </c>
      <c r="B105" s="1" t="s">
        <v>0</v>
      </c>
      <c r="C105" s="1" t="s">
        <v>1</v>
      </c>
      <c r="D105" s="1" t="s">
        <v>1423</v>
      </c>
      <c r="E105" s="1" t="s">
        <v>1424</v>
      </c>
      <c r="F105" s="1" t="s">
        <v>1425</v>
      </c>
      <c r="H105" s="2" t="s">
        <v>5</v>
      </c>
      <c r="I105" s="2" t="s">
        <v>6</v>
      </c>
      <c r="J105" s="2" t="s">
        <v>5</v>
      </c>
      <c r="K105" s="2" t="s">
        <v>5</v>
      </c>
      <c r="L105" s="2" t="s">
        <v>7</v>
      </c>
      <c r="N105" s="1" t="s">
        <v>1426</v>
      </c>
      <c r="O105" s="2" t="s">
        <v>546</v>
      </c>
      <c r="Q105" s="2" t="s">
        <v>11</v>
      </c>
      <c r="R105" s="2" t="s">
        <v>1427</v>
      </c>
      <c r="T105" s="2" t="s">
        <v>520</v>
      </c>
      <c r="U105" s="3">
        <v>6</v>
      </c>
      <c r="V105" s="3">
        <v>6</v>
      </c>
      <c r="W105" s="4" t="s">
        <v>1428</v>
      </c>
      <c r="X105" s="4" t="s">
        <v>1428</v>
      </c>
      <c r="Y105" s="4" t="s">
        <v>1429</v>
      </c>
      <c r="Z105" s="4" t="s">
        <v>1429</v>
      </c>
      <c r="AA105" s="3">
        <v>198</v>
      </c>
      <c r="AB105" s="3">
        <v>79</v>
      </c>
      <c r="AC105" s="3">
        <v>80</v>
      </c>
      <c r="AD105" s="3">
        <v>1</v>
      </c>
      <c r="AE105" s="3">
        <v>1</v>
      </c>
      <c r="AF105" s="3">
        <v>4</v>
      </c>
      <c r="AG105" s="3">
        <v>4</v>
      </c>
      <c r="AH105" s="3">
        <v>2</v>
      </c>
      <c r="AI105" s="3">
        <v>2</v>
      </c>
      <c r="AJ105" s="3">
        <v>0</v>
      </c>
      <c r="AK105" s="3">
        <v>0</v>
      </c>
      <c r="AL105" s="3">
        <v>4</v>
      </c>
      <c r="AM105" s="3">
        <v>4</v>
      </c>
      <c r="AN105" s="3">
        <v>0</v>
      </c>
      <c r="AO105" s="3">
        <v>0</v>
      </c>
      <c r="AP105" s="3">
        <v>0</v>
      </c>
      <c r="AQ105" s="3">
        <v>0</v>
      </c>
      <c r="AR105" s="2" t="s">
        <v>5</v>
      </c>
      <c r="AS105" s="2" t="s">
        <v>5</v>
      </c>
      <c r="AU105" s="5" t="str">
        <f>HYPERLINK("https://creighton-primo.hosted.exlibrisgroup.com/primo-explore/search?tab=default_tab&amp;search_scope=EVERYTHING&amp;vid=01CRU&amp;lang=en_US&amp;offset=0&amp;query=any,contains,991000677949702656","Catalog Record")</f>
        <v>Catalog Record</v>
      </c>
      <c r="AV105" s="5" t="str">
        <f>HYPERLINK("http://www.worldcat.org/oclc/29565150","WorldCat Record")</f>
        <v>WorldCat Record</v>
      </c>
      <c r="AW105" s="2" t="s">
        <v>1430</v>
      </c>
      <c r="AX105" s="2" t="s">
        <v>1431</v>
      </c>
      <c r="AY105" s="2" t="s">
        <v>1432</v>
      </c>
      <c r="AZ105" s="2" t="s">
        <v>1432</v>
      </c>
      <c r="BA105" s="2" t="s">
        <v>1433</v>
      </c>
      <c r="BB105" s="2" t="s">
        <v>21</v>
      </c>
      <c r="BD105" s="2" t="s">
        <v>1434</v>
      </c>
      <c r="BE105" s="2" t="s">
        <v>1435</v>
      </c>
      <c r="BF105" s="2" t="s">
        <v>1436</v>
      </c>
    </row>
    <row r="106" spans="1:58" ht="41.25" customHeight="1" x14ac:dyDescent="0.25">
      <c r="A106" s="8" t="s">
        <v>5</v>
      </c>
      <c r="B106" s="1" t="s">
        <v>0</v>
      </c>
      <c r="C106" s="1" t="s">
        <v>1</v>
      </c>
      <c r="D106" s="1" t="s">
        <v>1437</v>
      </c>
      <c r="E106" s="1" t="s">
        <v>1438</v>
      </c>
      <c r="F106" s="1" t="s">
        <v>1439</v>
      </c>
      <c r="H106" s="2" t="s">
        <v>5</v>
      </c>
      <c r="I106" s="2" t="s">
        <v>6</v>
      </c>
      <c r="J106" s="2" t="s">
        <v>5</v>
      </c>
      <c r="K106" s="2" t="s">
        <v>5</v>
      </c>
      <c r="L106" s="2" t="s">
        <v>7</v>
      </c>
      <c r="N106" s="1" t="s">
        <v>1440</v>
      </c>
      <c r="O106" s="2" t="s">
        <v>1441</v>
      </c>
      <c r="Q106" s="2" t="s">
        <v>11</v>
      </c>
      <c r="R106" s="2" t="s">
        <v>12</v>
      </c>
      <c r="S106" s="1" t="s">
        <v>1442</v>
      </c>
      <c r="T106" s="2" t="s">
        <v>520</v>
      </c>
      <c r="U106" s="3">
        <v>2</v>
      </c>
      <c r="V106" s="3">
        <v>2</v>
      </c>
      <c r="W106" s="4" t="s">
        <v>1443</v>
      </c>
      <c r="X106" s="4" t="s">
        <v>1443</v>
      </c>
      <c r="Y106" s="4" t="s">
        <v>1444</v>
      </c>
      <c r="Z106" s="4" t="s">
        <v>1444</v>
      </c>
      <c r="AA106" s="3">
        <v>72</v>
      </c>
      <c r="AB106" s="3">
        <v>62</v>
      </c>
      <c r="AC106" s="3">
        <v>64</v>
      </c>
      <c r="AD106" s="3">
        <v>1</v>
      </c>
      <c r="AE106" s="3">
        <v>1</v>
      </c>
      <c r="AF106" s="3">
        <v>1</v>
      </c>
      <c r="AG106" s="3">
        <v>1</v>
      </c>
      <c r="AH106" s="3">
        <v>0</v>
      </c>
      <c r="AI106" s="3">
        <v>0</v>
      </c>
      <c r="AJ106" s="3">
        <v>0</v>
      </c>
      <c r="AK106" s="3">
        <v>0</v>
      </c>
      <c r="AL106" s="3">
        <v>1</v>
      </c>
      <c r="AM106" s="3">
        <v>1</v>
      </c>
      <c r="AN106" s="3">
        <v>0</v>
      </c>
      <c r="AO106" s="3">
        <v>0</v>
      </c>
      <c r="AP106" s="3">
        <v>0</v>
      </c>
      <c r="AQ106" s="3">
        <v>0</v>
      </c>
      <c r="AR106" s="2" t="s">
        <v>5</v>
      </c>
      <c r="AS106" s="2" t="s">
        <v>16</v>
      </c>
      <c r="AT106" s="5" t="str">
        <f>HYPERLINK("http://catalog.hathitrust.org/Record/001574039","HathiTrust Record")</f>
        <v>HathiTrust Record</v>
      </c>
      <c r="AU106" s="5" t="str">
        <f>HYPERLINK("https://creighton-primo.hosted.exlibrisgroup.com/primo-explore/search?tab=default_tab&amp;search_scope=EVERYTHING&amp;vid=01CRU&amp;lang=en_US&amp;offset=0&amp;query=any,contains,991001516149702656","Catalog Record")</f>
        <v>Catalog Record</v>
      </c>
      <c r="AV106" s="5" t="str">
        <f>HYPERLINK("http://www.worldcat.org/oclc/1218856","WorldCat Record")</f>
        <v>WorldCat Record</v>
      </c>
      <c r="AW106" s="2" t="s">
        <v>1445</v>
      </c>
      <c r="AX106" s="2" t="s">
        <v>1446</v>
      </c>
      <c r="AY106" s="2" t="s">
        <v>1447</v>
      </c>
      <c r="AZ106" s="2" t="s">
        <v>1447</v>
      </c>
      <c r="BA106" s="2" t="s">
        <v>1448</v>
      </c>
      <c r="BB106" s="2" t="s">
        <v>21</v>
      </c>
      <c r="BE106" s="2" t="s">
        <v>1449</v>
      </c>
      <c r="BF106" s="2" t="s">
        <v>1450</v>
      </c>
    </row>
    <row r="107" spans="1:58" ht="41.25" customHeight="1" x14ac:dyDescent="0.25">
      <c r="A107" s="8" t="s">
        <v>5</v>
      </c>
      <c r="B107" s="1" t="s">
        <v>0</v>
      </c>
      <c r="C107" s="1" t="s">
        <v>1</v>
      </c>
      <c r="D107" s="1" t="s">
        <v>1451</v>
      </c>
      <c r="E107" s="1" t="s">
        <v>1452</v>
      </c>
      <c r="F107" s="1" t="s">
        <v>1453</v>
      </c>
      <c r="H107" s="2" t="s">
        <v>5</v>
      </c>
      <c r="I107" s="2" t="s">
        <v>6</v>
      </c>
      <c r="J107" s="2" t="s">
        <v>5</v>
      </c>
      <c r="K107" s="2" t="s">
        <v>5</v>
      </c>
      <c r="L107" s="2" t="s">
        <v>7</v>
      </c>
      <c r="M107" s="1" t="s">
        <v>1454</v>
      </c>
      <c r="N107" s="1" t="s">
        <v>1455</v>
      </c>
      <c r="O107" s="2" t="s">
        <v>228</v>
      </c>
      <c r="Q107" s="2" t="s">
        <v>11</v>
      </c>
      <c r="R107" s="2" t="s">
        <v>1456</v>
      </c>
      <c r="S107" s="1" t="s">
        <v>1457</v>
      </c>
      <c r="T107" s="2" t="s">
        <v>520</v>
      </c>
      <c r="U107" s="3">
        <v>6</v>
      </c>
      <c r="V107" s="3">
        <v>6</v>
      </c>
      <c r="W107" s="4" t="s">
        <v>1458</v>
      </c>
      <c r="X107" s="4" t="s">
        <v>1458</v>
      </c>
      <c r="Y107" s="4" t="s">
        <v>15</v>
      </c>
      <c r="Z107" s="4" t="s">
        <v>15</v>
      </c>
      <c r="AA107" s="3">
        <v>10</v>
      </c>
      <c r="AB107" s="3">
        <v>9</v>
      </c>
      <c r="AC107" s="3">
        <v>9</v>
      </c>
      <c r="AD107" s="3">
        <v>1</v>
      </c>
      <c r="AE107" s="3">
        <v>1</v>
      </c>
      <c r="AF107" s="3">
        <v>0</v>
      </c>
      <c r="AG107" s="3">
        <v>0</v>
      </c>
      <c r="AH107" s="3">
        <v>0</v>
      </c>
      <c r="AI107" s="3">
        <v>0</v>
      </c>
      <c r="AJ107" s="3">
        <v>0</v>
      </c>
      <c r="AK107" s="3">
        <v>0</v>
      </c>
      <c r="AL107" s="3">
        <v>0</v>
      </c>
      <c r="AM107" s="3">
        <v>0</v>
      </c>
      <c r="AN107" s="3">
        <v>0</v>
      </c>
      <c r="AO107" s="3">
        <v>0</v>
      </c>
      <c r="AP107" s="3">
        <v>0</v>
      </c>
      <c r="AQ107" s="3">
        <v>0</v>
      </c>
      <c r="AR107" s="2" t="s">
        <v>5</v>
      </c>
      <c r="AS107" s="2" t="s">
        <v>5</v>
      </c>
      <c r="AU107" s="5" t="str">
        <f>HYPERLINK("https://creighton-primo.hosted.exlibrisgroup.com/primo-explore/search?tab=default_tab&amp;search_scope=EVERYTHING&amp;vid=01CRU&amp;lang=en_US&amp;offset=0&amp;query=any,contains,991001033219702656","Catalog Record")</f>
        <v>Catalog Record</v>
      </c>
      <c r="AV107" s="5" t="str">
        <f>HYPERLINK("http://www.worldcat.org/oclc/10629093","WorldCat Record")</f>
        <v>WorldCat Record</v>
      </c>
      <c r="AW107" s="2" t="s">
        <v>1459</v>
      </c>
      <c r="AX107" s="2" t="s">
        <v>1460</v>
      </c>
      <c r="AY107" s="2" t="s">
        <v>1461</v>
      </c>
      <c r="AZ107" s="2" t="s">
        <v>1461</v>
      </c>
      <c r="BA107" s="2" t="s">
        <v>1462</v>
      </c>
      <c r="BB107" s="2" t="s">
        <v>21</v>
      </c>
      <c r="BD107" s="2" t="s">
        <v>1463</v>
      </c>
      <c r="BE107" s="2" t="s">
        <v>1464</v>
      </c>
      <c r="BF107" s="2" t="s">
        <v>1465</v>
      </c>
    </row>
    <row r="108" spans="1:58" ht="41.25" customHeight="1" x14ac:dyDescent="0.25">
      <c r="A108" s="8" t="s">
        <v>5</v>
      </c>
      <c r="B108" s="1" t="s">
        <v>0</v>
      </c>
      <c r="C108" s="1" t="s">
        <v>1</v>
      </c>
      <c r="D108" s="1" t="s">
        <v>1466</v>
      </c>
      <c r="E108" s="1" t="s">
        <v>1467</v>
      </c>
      <c r="F108" s="1" t="s">
        <v>1468</v>
      </c>
      <c r="H108" s="2" t="s">
        <v>5</v>
      </c>
      <c r="I108" s="2" t="s">
        <v>6</v>
      </c>
      <c r="J108" s="2" t="s">
        <v>5</v>
      </c>
      <c r="K108" s="2" t="s">
        <v>5</v>
      </c>
      <c r="L108" s="2" t="s">
        <v>7</v>
      </c>
      <c r="M108" s="1" t="s">
        <v>1469</v>
      </c>
      <c r="N108" s="1" t="s">
        <v>988</v>
      </c>
      <c r="O108" s="2" t="s">
        <v>989</v>
      </c>
      <c r="Q108" s="2" t="s">
        <v>11</v>
      </c>
      <c r="R108" s="2" t="s">
        <v>426</v>
      </c>
      <c r="T108" s="2" t="s">
        <v>520</v>
      </c>
      <c r="U108" s="3">
        <v>7</v>
      </c>
      <c r="V108" s="3">
        <v>7</v>
      </c>
      <c r="W108" s="4" t="s">
        <v>1117</v>
      </c>
      <c r="X108" s="4" t="s">
        <v>1117</v>
      </c>
      <c r="Y108" s="4" t="s">
        <v>1470</v>
      </c>
      <c r="Z108" s="4" t="s">
        <v>1470</v>
      </c>
      <c r="AA108" s="3">
        <v>279</v>
      </c>
      <c r="AB108" s="3">
        <v>235</v>
      </c>
      <c r="AC108" s="3">
        <v>242</v>
      </c>
      <c r="AD108" s="3">
        <v>2</v>
      </c>
      <c r="AE108" s="3">
        <v>2</v>
      </c>
      <c r="AF108" s="3">
        <v>8</v>
      </c>
      <c r="AG108" s="3">
        <v>8</v>
      </c>
      <c r="AH108" s="3">
        <v>4</v>
      </c>
      <c r="AI108" s="3">
        <v>4</v>
      </c>
      <c r="AJ108" s="3">
        <v>1</v>
      </c>
      <c r="AK108" s="3">
        <v>1</v>
      </c>
      <c r="AL108" s="3">
        <v>4</v>
      </c>
      <c r="AM108" s="3">
        <v>4</v>
      </c>
      <c r="AN108" s="3">
        <v>1</v>
      </c>
      <c r="AO108" s="3">
        <v>1</v>
      </c>
      <c r="AP108" s="3">
        <v>0</v>
      </c>
      <c r="AQ108" s="3">
        <v>0</v>
      </c>
      <c r="AR108" s="2" t="s">
        <v>5</v>
      </c>
      <c r="AS108" s="2" t="s">
        <v>16</v>
      </c>
      <c r="AT108" s="5" t="str">
        <f>HYPERLINK("http://catalog.hathitrust.org/Record/001955634","HathiTrust Record")</f>
        <v>HathiTrust Record</v>
      </c>
      <c r="AU108" s="5" t="str">
        <f>HYPERLINK("https://creighton-primo.hosted.exlibrisgroup.com/primo-explore/search?tab=default_tab&amp;search_scope=EVERYTHING&amp;vid=01CRU&amp;lang=en_US&amp;offset=0&amp;query=any,contains,991000820789702656","Catalog Record")</f>
        <v>Catalog Record</v>
      </c>
      <c r="AV108" s="5" t="str">
        <f>HYPERLINK("http://www.worldcat.org/oclc/20167573","WorldCat Record")</f>
        <v>WorldCat Record</v>
      </c>
      <c r="AW108" s="2" t="s">
        <v>1471</v>
      </c>
      <c r="AX108" s="2" t="s">
        <v>1472</v>
      </c>
      <c r="AY108" s="2" t="s">
        <v>1473</v>
      </c>
      <c r="AZ108" s="2" t="s">
        <v>1473</v>
      </c>
      <c r="BA108" s="2" t="s">
        <v>1474</v>
      </c>
      <c r="BB108" s="2" t="s">
        <v>21</v>
      </c>
      <c r="BD108" s="2" t="s">
        <v>1475</v>
      </c>
      <c r="BE108" s="2" t="s">
        <v>1476</v>
      </c>
      <c r="BF108" s="2" t="s">
        <v>1477</v>
      </c>
    </row>
    <row r="109" spans="1:58" ht="41.25" customHeight="1" x14ac:dyDescent="0.25">
      <c r="A109" s="8" t="s">
        <v>5</v>
      </c>
      <c r="B109" s="1" t="s">
        <v>0</v>
      </c>
      <c r="C109" s="1" t="s">
        <v>1</v>
      </c>
      <c r="D109" s="1" t="s">
        <v>1478</v>
      </c>
      <c r="E109" s="1" t="s">
        <v>1479</v>
      </c>
      <c r="F109" s="1" t="s">
        <v>1480</v>
      </c>
      <c r="H109" s="2" t="s">
        <v>5</v>
      </c>
      <c r="I109" s="2" t="s">
        <v>6</v>
      </c>
      <c r="J109" s="2" t="s">
        <v>5</v>
      </c>
      <c r="K109" s="2" t="s">
        <v>5</v>
      </c>
      <c r="L109" s="2" t="s">
        <v>7</v>
      </c>
      <c r="M109" s="1" t="s">
        <v>1481</v>
      </c>
      <c r="N109" s="1" t="s">
        <v>1482</v>
      </c>
      <c r="O109" s="2" t="s">
        <v>872</v>
      </c>
      <c r="P109" s="1" t="s">
        <v>1483</v>
      </c>
      <c r="Q109" s="2" t="s">
        <v>11</v>
      </c>
      <c r="R109" s="2" t="s">
        <v>426</v>
      </c>
      <c r="T109" s="2" t="s">
        <v>520</v>
      </c>
      <c r="U109" s="3">
        <v>2</v>
      </c>
      <c r="V109" s="3">
        <v>2</v>
      </c>
      <c r="W109" s="4" t="s">
        <v>1484</v>
      </c>
      <c r="X109" s="4" t="s">
        <v>1484</v>
      </c>
      <c r="Y109" s="4" t="s">
        <v>1485</v>
      </c>
      <c r="Z109" s="4" t="s">
        <v>1485</v>
      </c>
      <c r="AA109" s="3">
        <v>146</v>
      </c>
      <c r="AB109" s="3">
        <v>110</v>
      </c>
      <c r="AC109" s="3">
        <v>398</v>
      </c>
      <c r="AD109" s="3">
        <v>2</v>
      </c>
      <c r="AE109" s="3">
        <v>3</v>
      </c>
      <c r="AF109" s="3">
        <v>1</v>
      </c>
      <c r="AG109" s="3">
        <v>10</v>
      </c>
      <c r="AH109" s="3">
        <v>0</v>
      </c>
      <c r="AI109" s="3">
        <v>4</v>
      </c>
      <c r="AJ109" s="3">
        <v>0</v>
      </c>
      <c r="AK109" s="3">
        <v>2</v>
      </c>
      <c r="AL109" s="3">
        <v>1</v>
      </c>
      <c r="AM109" s="3">
        <v>4</v>
      </c>
      <c r="AN109" s="3">
        <v>0</v>
      </c>
      <c r="AO109" s="3">
        <v>1</v>
      </c>
      <c r="AP109" s="3">
        <v>0</v>
      </c>
      <c r="AQ109" s="3">
        <v>0</v>
      </c>
      <c r="AR109" s="2" t="s">
        <v>5</v>
      </c>
      <c r="AS109" s="2" t="s">
        <v>16</v>
      </c>
      <c r="AT109" s="5" t="str">
        <f>HYPERLINK("http://catalog.hathitrust.org/Record/002059122","HathiTrust Record")</f>
        <v>HathiTrust Record</v>
      </c>
      <c r="AU109" s="5" t="str">
        <f>HYPERLINK("https://creighton-primo.hosted.exlibrisgroup.com/primo-explore/search?tab=default_tab&amp;search_scope=EVERYTHING&amp;vid=01CRU&amp;lang=en_US&amp;offset=0&amp;query=any,contains,991001312679702656","Catalog Record")</f>
        <v>Catalog Record</v>
      </c>
      <c r="AV109" s="5" t="str">
        <f>HYPERLINK("http://www.worldcat.org/oclc/18716020","WorldCat Record")</f>
        <v>WorldCat Record</v>
      </c>
      <c r="AW109" s="2" t="s">
        <v>1486</v>
      </c>
      <c r="AX109" s="2" t="s">
        <v>1487</v>
      </c>
      <c r="AY109" s="2" t="s">
        <v>1488</v>
      </c>
      <c r="AZ109" s="2" t="s">
        <v>1488</v>
      </c>
      <c r="BA109" s="2" t="s">
        <v>1489</v>
      </c>
      <c r="BB109" s="2" t="s">
        <v>21</v>
      </c>
      <c r="BD109" s="2" t="s">
        <v>1490</v>
      </c>
      <c r="BE109" s="2" t="s">
        <v>1491</v>
      </c>
      <c r="BF109" s="2" t="s">
        <v>1492</v>
      </c>
    </row>
    <row r="110" spans="1:58" ht="41.25" customHeight="1" x14ac:dyDescent="0.25">
      <c r="A110" s="8" t="s">
        <v>5</v>
      </c>
      <c r="B110" s="1" t="s">
        <v>0</v>
      </c>
      <c r="C110" s="1" t="s">
        <v>1</v>
      </c>
      <c r="D110" s="1" t="s">
        <v>1493</v>
      </c>
      <c r="E110" s="1" t="s">
        <v>1494</v>
      </c>
      <c r="F110" s="1" t="s">
        <v>1495</v>
      </c>
      <c r="H110" s="2" t="s">
        <v>5</v>
      </c>
      <c r="I110" s="2" t="s">
        <v>6</v>
      </c>
      <c r="J110" s="2" t="s">
        <v>5</v>
      </c>
      <c r="K110" s="2" t="s">
        <v>5</v>
      </c>
      <c r="L110" s="2" t="s">
        <v>7</v>
      </c>
      <c r="M110" s="1" t="s">
        <v>1496</v>
      </c>
      <c r="N110" s="1" t="s">
        <v>1497</v>
      </c>
      <c r="O110" s="2" t="s">
        <v>210</v>
      </c>
      <c r="Q110" s="2" t="s">
        <v>11</v>
      </c>
      <c r="R110" s="2" t="s">
        <v>1019</v>
      </c>
      <c r="T110" s="2" t="s">
        <v>520</v>
      </c>
      <c r="U110" s="3">
        <v>11</v>
      </c>
      <c r="V110" s="3">
        <v>11</v>
      </c>
      <c r="W110" s="4" t="s">
        <v>1498</v>
      </c>
      <c r="X110" s="4" t="s">
        <v>1498</v>
      </c>
      <c r="Y110" s="4" t="s">
        <v>1143</v>
      </c>
      <c r="Z110" s="4" t="s">
        <v>1143</v>
      </c>
      <c r="AA110" s="3">
        <v>236</v>
      </c>
      <c r="AB110" s="3">
        <v>197</v>
      </c>
      <c r="AC110" s="3">
        <v>359</v>
      </c>
      <c r="AD110" s="3">
        <v>2</v>
      </c>
      <c r="AE110" s="3">
        <v>2</v>
      </c>
      <c r="AF110" s="3">
        <v>8</v>
      </c>
      <c r="AG110" s="3">
        <v>12</v>
      </c>
      <c r="AH110" s="3">
        <v>3</v>
      </c>
      <c r="AI110" s="3">
        <v>5</v>
      </c>
      <c r="AJ110" s="3">
        <v>2</v>
      </c>
      <c r="AK110" s="3">
        <v>2</v>
      </c>
      <c r="AL110" s="3">
        <v>5</v>
      </c>
      <c r="AM110" s="3">
        <v>7</v>
      </c>
      <c r="AN110" s="3">
        <v>1</v>
      </c>
      <c r="AO110" s="3">
        <v>1</v>
      </c>
      <c r="AP110" s="3">
        <v>0</v>
      </c>
      <c r="AQ110" s="3">
        <v>0</v>
      </c>
      <c r="AR110" s="2" t="s">
        <v>5</v>
      </c>
      <c r="AS110" s="2" t="s">
        <v>16</v>
      </c>
      <c r="AT110" s="5" t="str">
        <f>HYPERLINK("http://catalog.hathitrust.org/Record/002975554","HathiTrust Record")</f>
        <v>HathiTrust Record</v>
      </c>
      <c r="AU110" s="5" t="str">
        <f>HYPERLINK("https://creighton-primo.hosted.exlibrisgroup.com/primo-explore/search?tab=default_tab&amp;search_scope=EVERYTHING&amp;vid=01CRU&amp;lang=en_US&amp;offset=0&amp;query=any,contains,991001476389702656","Catalog Record")</f>
        <v>Catalog Record</v>
      </c>
      <c r="AV110" s="5" t="str">
        <f>HYPERLINK("http://www.worldcat.org/oclc/24010894","WorldCat Record")</f>
        <v>WorldCat Record</v>
      </c>
      <c r="AW110" s="2" t="s">
        <v>1499</v>
      </c>
      <c r="AX110" s="2" t="s">
        <v>1500</v>
      </c>
      <c r="AY110" s="2" t="s">
        <v>1501</v>
      </c>
      <c r="AZ110" s="2" t="s">
        <v>1501</v>
      </c>
      <c r="BA110" s="2" t="s">
        <v>1502</v>
      </c>
      <c r="BB110" s="2" t="s">
        <v>21</v>
      </c>
      <c r="BD110" s="2" t="s">
        <v>1503</v>
      </c>
      <c r="BE110" s="2" t="s">
        <v>1504</v>
      </c>
      <c r="BF110" s="2" t="s">
        <v>1505</v>
      </c>
    </row>
    <row r="111" spans="1:58" ht="41.25" customHeight="1" x14ac:dyDescent="0.25">
      <c r="A111" s="8" t="s">
        <v>5</v>
      </c>
      <c r="B111" s="1" t="s">
        <v>0</v>
      </c>
      <c r="C111" s="1" t="s">
        <v>1</v>
      </c>
      <c r="D111" s="1" t="s">
        <v>1506</v>
      </c>
      <c r="E111" s="1" t="s">
        <v>1507</v>
      </c>
      <c r="F111" s="1" t="s">
        <v>1508</v>
      </c>
      <c r="H111" s="2" t="s">
        <v>5</v>
      </c>
      <c r="I111" s="2" t="s">
        <v>6</v>
      </c>
      <c r="J111" s="2" t="s">
        <v>5</v>
      </c>
      <c r="K111" s="2" t="s">
        <v>5</v>
      </c>
      <c r="L111" s="2" t="s">
        <v>7</v>
      </c>
      <c r="M111" s="1" t="s">
        <v>1509</v>
      </c>
      <c r="N111" s="1" t="s">
        <v>1510</v>
      </c>
      <c r="O111" s="2" t="s">
        <v>546</v>
      </c>
      <c r="P111" s="1" t="s">
        <v>211</v>
      </c>
      <c r="Q111" s="2" t="s">
        <v>11</v>
      </c>
      <c r="R111" s="2" t="s">
        <v>12</v>
      </c>
      <c r="S111" s="1" t="s">
        <v>1511</v>
      </c>
      <c r="T111" s="2" t="s">
        <v>520</v>
      </c>
      <c r="U111" s="3">
        <v>4</v>
      </c>
      <c r="V111" s="3">
        <v>4</v>
      </c>
      <c r="W111" s="4" t="s">
        <v>1458</v>
      </c>
      <c r="X111" s="4" t="s">
        <v>1458</v>
      </c>
      <c r="Y111" s="4" t="s">
        <v>604</v>
      </c>
      <c r="Z111" s="4" t="s">
        <v>604</v>
      </c>
      <c r="AA111" s="3">
        <v>257</v>
      </c>
      <c r="AB111" s="3">
        <v>232</v>
      </c>
      <c r="AC111" s="3">
        <v>293</v>
      </c>
      <c r="AD111" s="3">
        <v>2</v>
      </c>
      <c r="AE111" s="3">
        <v>2</v>
      </c>
      <c r="AF111" s="3">
        <v>10</v>
      </c>
      <c r="AG111" s="3">
        <v>11</v>
      </c>
      <c r="AH111" s="3">
        <v>4</v>
      </c>
      <c r="AI111" s="3">
        <v>4</v>
      </c>
      <c r="AJ111" s="3">
        <v>3</v>
      </c>
      <c r="AK111" s="3">
        <v>3</v>
      </c>
      <c r="AL111" s="3">
        <v>5</v>
      </c>
      <c r="AM111" s="3">
        <v>6</v>
      </c>
      <c r="AN111" s="3">
        <v>0</v>
      </c>
      <c r="AO111" s="3">
        <v>0</v>
      </c>
      <c r="AP111" s="3">
        <v>0</v>
      </c>
      <c r="AQ111" s="3">
        <v>0</v>
      </c>
      <c r="AR111" s="2" t="s">
        <v>5</v>
      </c>
      <c r="AS111" s="2" t="s">
        <v>16</v>
      </c>
      <c r="AT111" s="5" t="str">
        <f>HYPERLINK("http://catalog.hathitrust.org/Record/002914682","HathiTrust Record")</f>
        <v>HathiTrust Record</v>
      </c>
      <c r="AU111" s="5" t="str">
        <f>HYPERLINK("https://creighton-primo.hosted.exlibrisgroup.com/primo-explore/search?tab=default_tab&amp;search_scope=EVERYTHING&amp;vid=01CRU&amp;lang=en_US&amp;offset=0&amp;query=any,contains,991000251629702656","Catalog Record")</f>
        <v>Catalog Record</v>
      </c>
      <c r="AV111" s="5" t="str">
        <f>HYPERLINK("http://www.worldcat.org/oclc/31423749","WorldCat Record")</f>
        <v>WorldCat Record</v>
      </c>
      <c r="AW111" s="2" t="s">
        <v>1512</v>
      </c>
      <c r="AX111" s="2" t="s">
        <v>1513</v>
      </c>
      <c r="AY111" s="2" t="s">
        <v>1514</v>
      </c>
      <c r="AZ111" s="2" t="s">
        <v>1514</v>
      </c>
      <c r="BA111" s="2" t="s">
        <v>1515</v>
      </c>
      <c r="BB111" s="2" t="s">
        <v>21</v>
      </c>
      <c r="BD111" s="2" t="s">
        <v>1516</v>
      </c>
      <c r="BE111" s="2" t="s">
        <v>1517</v>
      </c>
      <c r="BF111" s="2" t="s">
        <v>1518</v>
      </c>
    </row>
    <row r="112" spans="1:58" ht="41.25" customHeight="1" x14ac:dyDescent="0.25">
      <c r="A112" s="8" t="s">
        <v>5</v>
      </c>
      <c r="B112" s="1" t="s">
        <v>0</v>
      </c>
      <c r="C112" s="1" t="s">
        <v>1</v>
      </c>
      <c r="D112" s="1" t="s">
        <v>1519</v>
      </c>
      <c r="E112" s="1" t="s">
        <v>1520</v>
      </c>
      <c r="F112" s="1" t="s">
        <v>1521</v>
      </c>
      <c r="H112" s="2" t="s">
        <v>5</v>
      </c>
      <c r="I112" s="2" t="s">
        <v>6</v>
      </c>
      <c r="J112" s="2" t="s">
        <v>5</v>
      </c>
      <c r="K112" s="2" t="s">
        <v>5</v>
      </c>
      <c r="L112" s="2" t="s">
        <v>7</v>
      </c>
      <c r="M112" s="1" t="s">
        <v>1522</v>
      </c>
      <c r="N112" s="1" t="s">
        <v>1523</v>
      </c>
      <c r="O112" s="2" t="s">
        <v>888</v>
      </c>
      <c r="Q112" s="2" t="s">
        <v>11</v>
      </c>
      <c r="R112" s="2" t="s">
        <v>426</v>
      </c>
      <c r="T112" s="2" t="s">
        <v>520</v>
      </c>
      <c r="U112" s="3">
        <v>4</v>
      </c>
      <c r="V112" s="3">
        <v>4</v>
      </c>
      <c r="W112" s="4" t="s">
        <v>1524</v>
      </c>
      <c r="X112" s="4" t="s">
        <v>1524</v>
      </c>
      <c r="Y112" s="4" t="s">
        <v>15</v>
      </c>
      <c r="Z112" s="4" t="s">
        <v>15</v>
      </c>
      <c r="AA112" s="3">
        <v>98</v>
      </c>
      <c r="AB112" s="3">
        <v>86</v>
      </c>
      <c r="AC112" s="3">
        <v>88</v>
      </c>
      <c r="AD112" s="3">
        <v>1</v>
      </c>
      <c r="AE112" s="3">
        <v>1</v>
      </c>
      <c r="AF112" s="3">
        <v>0</v>
      </c>
      <c r="AG112" s="3">
        <v>0</v>
      </c>
      <c r="AH112" s="3">
        <v>0</v>
      </c>
      <c r="AI112" s="3">
        <v>0</v>
      </c>
      <c r="AJ112" s="3">
        <v>0</v>
      </c>
      <c r="AK112" s="3">
        <v>0</v>
      </c>
      <c r="AL112" s="3">
        <v>0</v>
      </c>
      <c r="AM112" s="3">
        <v>0</v>
      </c>
      <c r="AN112" s="3">
        <v>0</v>
      </c>
      <c r="AO112" s="3">
        <v>0</v>
      </c>
      <c r="AP112" s="3">
        <v>0</v>
      </c>
      <c r="AQ112" s="3">
        <v>0</v>
      </c>
      <c r="AR112" s="2" t="s">
        <v>5</v>
      </c>
      <c r="AS112" s="2" t="s">
        <v>16</v>
      </c>
      <c r="AT112" s="5" t="str">
        <f>HYPERLINK("http://catalog.hathitrust.org/Record/010661550","HathiTrust Record")</f>
        <v>HathiTrust Record</v>
      </c>
      <c r="AU112" s="5" t="str">
        <f>HYPERLINK("https://creighton-primo.hosted.exlibrisgroup.com/primo-explore/search?tab=default_tab&amp;search_scope=EVERYTHING&amp;vid=01CRU&amp;lang=en_US&amp;offset=0&amp;query=any,contains,991001033449702656","Catalog Record")</f>
        <v>Catalog Record</v>
      </c>
      <c r="AV112" s="5" t="str">
        <f>HYPERLINK("http://www.worldcat.org/oclc/9576542","WorldCat Record")</f>
        <v>WorldCat Record</v>
      </c>
      <c r="AW112" s="2" t="s">
        <v>1525</v>
      </c>
      <c r="AX112" s="2" t="s">
        <v>1526</v>
      </c>
      <c r="AY112" s="2" t="s">
        <v>1527</v>
      </c>
      <c r="AZ112" s="2" t="s">
        <v>1527</v>
      </c>
      <c r="BA112" s="2" t="s">
        <v>1528</v>
      </c>
      <c r="BB112" s="2" t="s">
        <v>21</v>
      </c>
      <c r="BD112" s="2" t="s">
        <v>1529</v>
      </c>
      <c r="BE112" s="2" t="s">
        <v>1530</v>
      </c>
      <c r="BF112" s="2" t="s">
        <v>1531</v>
      </c>
    </row>
    <row r="113" spans="1:58" ht="41.25" customHeight="1" x14ac:dyDescent="0.25">
      <c r="A113" s="8" t="s">
        <v>5</v>
      </c>
      <c r="B113" s="1" t="s">
        <v>0</v>
      </c>
      <c r="C113" s="1" t="s">
        <v>1</v>
      </c>
      <c r="D113" s="1" t="s">
        <v>1532</v>
      </c>
      <c r="E113" s="1" t="s">
        <v>1533</v>
      </c>
      <c r="F113" s="1" t="s">
        <v>1534</v>
      </c>
      <c r="H113" s="2" t="s">
        <v>5</v>
      </c>
      <c r="I113" s="2" t="s">
        <v>6</v>
      </c>
      <c r="J113" s="2" t="s">
        <v>5</v>
      </c>
      <c r="K113" s="2" t="s">
        <v>5</v>
      </c>
      <c r="L113" s="2" t="s">
        <v>7</v>
      </c>
      <c r="M113" s="1" t="s">
        <v>1535</v>
      </c>
      <c r="N113" s="1" t="s">
        <v>1536</v>
      </c>
      <c r="O113" s="2" t="s">
        <v>1441</v>
      </c>
      <c r="Q113" s="2" t="s">
        <v>11</v>
      </c>
      <c r="R113" s="2" t="s">
        <v>426</v>
      </c>
      <c r="S113" s="1" t="s">
        <v>1537</v>
      </c>
      <c r="T113" s="2" t="s">
        <v>520</v>
      </c>
      <c r="U113" s="3">
        <v>3</v>
      </c>
      <c r="V113" s="3">
        <v>3</v>
      </c>
      <c r="W113" s="4" t="s">
        <v>1538</v>
      </c>
      <c r="X113" s="4" t="s">
        <v>1538</v>
      </c>
      <c r="Y113" s="4" t="s">
        <v>1539</v>
      </c>
      <c r="Z113" s="4" t="s">
        <v>1539</v>
      </c>
      <c r="AA113" s="3">
        <v>19</v>
      </c>
      <c r="AB113" s="3">
        <v>16</v>
      </c>
      <c r="AC113" s="3">
        <v>121</v>
      </c>
      <c r="AD113" s="3">
        <v>1</v>
      </c>
      <c r="AE113" s="3">
        <v>2</v>
      </c>
      <c r="AF113" s="3">
        <v>2</v>
      </c>
      <c r="AG113" s="3">
        <v>6</v>
      </c>
      <c r="AH113" s="3">
        <v>0</v>
      </c>
      <c r="AI113" s="3">
        <v>1</v>
      </c>
      <c r="AJ113" s="3">
        <v>1</v>
      </c>
      <c r="AK113" s="3">
        <v>1</v>
      </c>
      <c r="AL113" s="3">
        <v>1</v>
      </c>
      <c r="AM113" s="3">
        <v>3</v>
      </c>
      <c r="AN113" s="3">
        <v>0</v>
      </c>
      <c r="AO113" s="3">
        <v>1</v>
      </c>
      <c r="AP113" s="3">
        <v>0</v>
      </c>
      <c r="AQ113" s="3">
        <v>0</v>
      </c>
      <c r="AR113" s="2" t="s">
        <v>16</v>
      </c>
      <c r="AS113" s="2" t="s">
        <v>5</v>
      </c>
      <c r="AT113" s="5" t="str">
        <f>HYPERLINK("http://catalog.hathitrust.org/Record/000683874","HathiTrust Record")</f>
        <v>HathiTrust Record</v>
      </c>
      <c r="AU113" s="5" t="str">
        <f>HYPERLINK("https://creighton-primo.hosted.exlibrisgroup.com/primo-explore/search?tab=default_tab&amp;search_scope=EVERYTHING&amp;vid=01CRU&amp;lang=en_US&amp;offset=0&amp;query=any,contains,991001014119702656","Catalog Record")</f>
        <v>Catalog Record</v>
      </c>
      <c r="AV113" s="5" t="str">
        <f>HYPERLINK("http://www.worldcat.org/oclc/14422310","WorldCat Record")</f>
        <v>WorldCat Record</v>
      </c>
      <c r="AW113" s="2" t="s">
        <v>1540</v>
      </c>
      <c r="AX113" s="2" t="s">
        <v>1541</v>
      </c>
      <c r="AY113" s="2" t="s">
        <v>1542</v>
      </c>
      <c r="AZ113" s="2" t="s">
        <v>1542</v>
      </c>
      <c r="BA113" s="2" t="s">
        <v>1543</v>
      </c>
      <c r="BB113" s="2" t="s">
        <v>21</v>
      </c>
      <c r="BE113" s="2" t="s">
        <v>1544</v>
      </c>
      <c r="BF113" s="2" t="s">
        <v>1545</v>
      </c>
    </row>
    <row r="114" spans="1:58" ht="41.25" customHeight="1" x14ac:dyDescent="0.25">
      <c r="A114" s="8" t="s">
        <v>5</v>
      </c>
      <c r="B114" s="1" t="s">
        <v>0</v>
      </c>
      <c r="C114" s="1" t="s">
        <v>1</v>
      </c>
      <c r="D114" s="1" t="s">
        <v>1546</v>
      </c>
      <c r="E114" s="1" t="s">
        <v>1547</v>
      </c>
      <c r="F114" s="1" t="s">
        <v>1548</v>
      </c>
      <c r="H114" s="2" t="s">
        <v>5</v>
      </c>
      <c r="I114" s="2" t="s">
        <v>6</v>
      </c>
      <c r="J114" s="2" t="s">
        <v>5</v>
      </c>
      <c r="K114" s="2" t="s">
        <v>5</v>
      </c>
      <c r="L114" s="2" t="s">
        <v>7</v>
      </c>
      <c r="M114" s="1" t="s">
        <v>1549</v>
      </c>
      <c r="N114" s="1" t="s">
        <v>1550</v>
      </c>
      <c r="O114" s="2" t="s">
        <v>1551</v>
      </c>
      <c r="Q114" s="2" t="s">
        <v>11</v>
      </c>
      <c r="R114" s="2" t="s">
        <v>78</v>
      </c>
      <c r="T114" s="2" t="s">
        <v>520</v>
      </c>
      <c r="U114" s="3">
        <v>2</v>
      </c>
      <c r="V114" s="3">
        <v>2</v>
      </c>
      <c r="W114" s="4" t="s">
        <v>1552</v>
      </c>
      <c r="X114" s="4" t="s">
        <v>1552</v>
      </c>
      <c r="Y114" s="4" t="s">
        <v>722</v>
      </c>
      <c r="Z114" s="4" t="s">
        <v>722</v>
      </c>
      <c r="AA114" s="3">
        <v>271</v>
      </c>
      <c r="AB114" s="3">
        <v>241</v>
      </c>
      <c r="AC114" s="3">
        <v>261</v>
      </c>
      <c r="AD114" s="3">
        <v>6</v>
      </c>
      <c r="AE114" s="3">
        <v>6</v>
      </c>
      <c r="AF114" s="3">
        <v>14</v>
      </c>
      <c r="AG114" s="3">
        <v>15</v>
      </c>
      <c r="AH114" s="3">
        <v>1</v>
      </c>
      <c r="AI114" s="3">
        <v>1</v>
      </c>
      <c r="AJ114" s="3">
        <v>2</v>
      </c>
      <c r="AK114" s="3">
        <v>3</v>
      </c>
      <c r="AL114" s="3">
        <v>6</v>
      </c>
      <c r="AM114" s="3">
        <v>6</v>
      </c>
      <c r="AN114" s="3">
        <v>5</v>
      </c>
      <c r="AO114" s="3">
        <v>5</v>
      </c>
      <c r="AP114" s="3">
        <v>0</v>
      </c>
      <c r="AQ114" s="3">
        <v>0</v>
      </c>
      <c r="AR114" s="2" t="s">
        <v>5</v>
      </c>
      <c r="AS114" s="2" t="s">
        <v>16</v>
      </c>
      <c r="AT114" s="5" t="str">
        <f>HYPERLINK("http://catalog.hathitrust.org/Record/001574681","HathiTrust Record")</f>
        <v>HathiTrust Record</v>
      </c>
      <c r="AU114" s="5" t="str">
        <f>HYPERLINK("https://creighton-primo.hosted.exlibrisgroup.com/primo-explore/search?tab=default_tab&amp;search_scope=EVERYTHING&amp;vid=01CRU&amp;lang=en_US&amp;offset=0&amp;query=any,contains,991001033489702656","Catalog Record")</f>
        <v>Catalog Record</v>
      </c>
      <c r="AV114" s="5" t="str">
        <f>HYPERLINK("http://www.worldcat.org/oclc/1263795","WorldCat Record")</f>
        <v>WorldCat Record</v>
      </c>
      <c r="AW114" s="2" t="s">
        <v>1553</v>
      </c>
      <c r="AX114" s="2" t="s">
        <v>1554</v>
      </c>
      <c r="AY114" s="2" t="s">
        <v>1555</v>
      </c>
      <c r="AZ114" s="2" t="s">
        <v>1555</v>
      </c>
      <c r="BA114" s="2" t="s">
        <v>1556</v>
      </c>
      <c r="BB114" s="2" t="s">
        <v>21</v>
      </c>
      <c r="BE114" s="2" t="s">
        <v>1557</v>
      </c>
      <c r="BF114" s="2" t="s">
        <v>1558</v>
      </c>
    </row>
    <row r="115" spans="1:58" ht="41.25" customHeight="1" x14ac:dyDescent="0.25">
      <c r="A115" s="8" t="s">
        <v>5</v>
      </c>
      <c r="B115" s="1" t="s">
        <v>0</v>
      </c>
      <c r="C115" s="1" t="s">
        <v>1</v>
      </c>
      <c r="D115" s="1" t="s">
        <v>1559</v>
      </c>
      <c r="E115" s="1" t="s">
        <v>1560</v>
      </c>
      <c r="F115" s="1" t="s">
        <v>1561</v>
      </c>
      <c r="H115" s="2" t="s">
        <v>5</v>
      </c>
      <c r="I115" s="2" t="s">
        <v>6</v>
      </c>
      <c r="J115" s="2" t="s">
        <v>5</v>
      </c>
      <c r="K115" s="2" t="s">
        <v>16</v>
      </c>
      <c r="L115" s="2" t="s">
        <v>7</v>
      </c>
      <c r="N115" s="1" t="s">
        <v>1562</v>
      </c>
      <c r="O115" s="2" t="s">
        <v>210</v>
      </c>
      <c r="Q115" s="2" t="s">
        <v>11</v>
      </c>
      <c r="R115" s="2" t="s">
        <v>1140</v>
      </c>
      <c r="T115" s="2" t="s">
        <v>520</v>
      </c>
      <c r="U115" s="3">
        <v>8</v>
      </c>
      <c r="V115" s="3">
        <v>8</v>
      </c>
      <c r="W115" s="4" t="s">
        <v>1563</v>
      </c>
      <c r="X115" s="4" t="s">
        <v>1563</v>
      </c>
      <c r="Y115" s="4" t="s">
        <v>1564</v>
      </c>
      <c r="Z115" s="4" t="s">
        <v>1564</v>
      </c>
      <c r="AA115" s="3">
        <v>301</v>
      </c>
      <c r="AB115" s="3">
        <v>262</v>
      </c>
      <c r="AC115" s="3">
        <v>382</v>
      </c>
      <c r="AD115" s="3">
        <v>1</v>
      </c>
      <c r="AE115" s="3">
        <v>2</v>
      </c>
      <c r="AF115" s="3">
        <v>10</v>
      </c>
      <c r="AG115" s="3">
        <v>16</v>
      </c>
      <c r="AH115" s="3">
        <v>4</v>
      </c>
      <c r="AI115" s="3">
        <v>7</v>
      </c>
      <c r="AJ115" s="3">
        <v>3</v>
      </c>
      <c r="AK115" s="3">
        <v>3</v>
      </c>
      <c r="AL115" s="3">
        <v>6</v>
      </c>
      <c r="AM115" s="3">
        <v>10</v>
      </c>
      <c r="AN115" s="3">
        <v>0</v>
      </c>
      <c r="AO115" s="3">
        <v>1</v>
      </c>
      <c r="AP115" s="3">
        <v>0</v>
      </c>
      <c r="AQ115" s="3">
        <v>0</v>
      </c>
      <c r="AR115" s="2" t="s">
        <v>5</v>
      </c>
      <c r="AS115" s="2" t="s">
        <v>16</v>
      </c>
      <c r="AT115" s="5" t="str">
        <f>HYPERLINK("http://catalog.hathitrust.org/Record/002525566","HathiTrust Record")</f>
        <v>HathiTrust Record</v>
      </c>
      <c r="AU115" s="5" t="str">
        <f>HYPERLINK("https://creighton-primo.hosted.exlibrisgroup.com/primo-explore/search?tab=default_tab&amp;search_scope=EVERYTHING&amp;vid=01CRU&amp;lang=en_US&amp;offset=0&amp;query=any,contains,991001479819702656","Catalog Record")</f>
        <v>Catalog Record</v>
      </c>
      <c r="AV115" s="5" t="str">
        <f>HYPERLINK("http://www.worldcat.org/oclc/24629668","WorldCat Record")</f>
        <v>WorldCat Record</v>
      </c>
      <c r="AW115" s="2" t="s">
        <v>1565</v>
      </c>
      <c r="AX115" s="2" t="s">
        <v>1566</v>
      </c>
      <c r="AY115" s="2" t="s">
        <v>1567</v>
      </c>
      <c r="AZ115" s="2" t="s">
        <v>1567</v>
      </c>
      <c r="BA115" s="2" t="s">
        <v>1568</v>
      </c>
      <c r="BB115" s="2" t="s">
        <v>21</v>
      </c>
      <c r="BD115" s="2" t="s">
        <v>1569</v>
      </c>
      <c r="BE115" s="2" t="s">
        <v>1570</v>
      </c>
      <c r="BF115" s="2" t="s">
        <v>1571</v>
      </c>
    </row>
    <row r="116" spans="1:58" ht="41.25" customHeight="1" x14ac:dyDescent="0.25">
      <c r="A116" s="8" t="s">
        <v>5</v>
      </c>
      <c r="B116" s="1" t="s">
        <v>0</v>
      </c>
      <c r="C116" s="1" t="s">
        <v>1</v>
      </c>
      <c r="D116" s="1" t="s">
        <v>1572</v>
      </c>
      <c r="E116" s="1" t="s">
        <v>1573</v>
      </c>
      <c r="F116" s="1" t="s">
        <v>1574</v>
      </c>
      <c r="H116" s="2" t="s">
        <v>5</v>
      </c>
      <c r="I116" s="2" t="s">
        <v>6</v>
      </c>
      <c r="J116" s="2" t="s">
        <v>5</v>
      </c>
      <c r="K116" s="2" t="s">
        <v>5</v>
      </c>
      <c r="L116" s="2" t="s">
        <v>7</v>
      </c>
      <c r="N116" s="1" t="s">
        <v>1575</v>
      </c>
      <c r="O116" s="2" t="s">
        <v>228</v>
      </c>
      <c r="Q116" s="2" t="s">
        <v>11</v>
      </c>
      <c r="R116" s="2" t="s">
        <v>12</v>
      </c>
      <c r="S116" s="1" t="s">
        <v>1576</v>
      </c>
      <c r="T116" s="2" t="s">
        <v>520</v>
      </c>
      <c r="U116" s="3">
        <v>7</v>
      </c>
      <c r="V116" s="3">
        <v>7</v>
      </c>
      <c r="W116" s="4" t="s">
        <v>1577</v>
      </c>
      <c r="X116" s="4" t="s">
        <v>1577</v>
      </c>
      <c r="Y116" s="4" t="s">
        <v>1578</v>
      </c>
      <c r="Z116" s="4" t="s">
        <v>1578</v>
      </c>
      <c r="AA116" s="3">
        <v>12</v>
      </c>
      <c r="AB116" s="3">
        <v>12</v>
      </c>
      <c r="AC116" s="3">
        <v>12</v>
      </c>
      <c r="AD116" s="3">
        <v>1</v>
      </c>
      <c r="AE116" s="3">
        <v>1</v>
      </c>
      <c r="AF116" s="3">
        <v>0</v>
      </c>
      <c r="AG116" s="3">
        <v>0</v>
      </c>
      <c r="AH116" s="3">
        <v>0</v>
      </c>
      <c r="AI116" s="3">
        <v>0</v>
      </c>
      <c r="AJ116" s="3">
        <v>0</v>
      </c>
      <c r="AK116" s="3">
        <v>0</v>
      </c>
      <c r="AL116" s="3">
        <v>0</v>
      </c>
      <c r="AM116" s="3">
        <v>0</v>
      </c>
      <c r="AN116" s="3">
        <v>0</v>
      </c>
      <c r="AO116" s="3">
        <v>0</v>
      </c>
      <c r="AP116" s="3">
        <v>0</v>
      </c>
      <c r="AQ116" s="3">
        <v>0</v>
      </c>
      <c r="AR116" s="2" t="s">
        <v>5</v>
      </c>
      <c r="AS116" s="2" t="s">
        <v>5</v>
      </c>
      <c r="AU116" s="5" t="str">
        <f>HYPERLINK("https://creighton-primo.hosted.exlibrisgroup.com/primo-explore/search?tab=default_tab&amp;search_scope=EVERYTHING&amp;vid=01CRU&amp;lang=en_US&amp;offset=0&amp;query=any,contains,991001378679702656","Catalog Record")</f>
        <v>Catalog Record</v>
      </c>
      <c r="AV116" s="5" t="str">
        <f>HYPERLINK("http://www.worldcat.org/oclc/10419361","WorldCat Record")</f>
        <v>WorldCat Record</v>
      </c>
      <c r="AW116" s="2" t="s">
        <v>1579</v>
      </c>
      <c r="AX116" s="2" t="s">
        <v>1580</v>
      </c>
      <c r="AY116" s="2" t="s">
        <v>1581</v>
      </c>
      <c r="AZ116" s="2" t="s">
        <v>1581</v>
      </c>
      <c r="BA116" s="2" t="s">
        <v>1582</v>
      </c>
      <c r="BB116" s="2" t="s">
        <v>21</v>
      </c>
      <c r="BE116" s="2" t="s">
        <v>1583</v>
      </c>
      <c r="BF116" s="2" t="s">
        <v>1584</v>
      </c>
    </row>
    <row r="117" spans="1:58" ht="41.25" customHeight="1" x14ac:dyDescent="0.25">
      <c r="A117" s="8" t="s">
        <v>5</v>
      </c>
      <c r="B117" s="1" t="s">
        <v>0</v>
      </c>
      <c r="C117" s="1" t="s">
        <v>1</v>
      </c>
      <c r="D117" s="1" t="s">
        <v>1585</v>
      </c>
      <c r="E117" s="1" t="s">
        <v>1586</v>
      </c>
      <c r="F117" s="1" t="s">
        <v>1587</v>
      </c>
      <c r="H117" s="2" t="s">
        <v>5</v>
      </c>
      <c r="I117" s="2" t="s">
        <v>6</v>
      </c>
      <c r="J117" s="2" t="s">
        <v>5</v>
      </c>
      <c r="K117" s="2" t="s">
        <v>5</v>
      </c>
      <c r="L117" s="2" t="s">
        <v>7</v>
      </c>
      <c r="N117" s="1" t="s">
        <v>1588</v>
      </c>
      <c r="O117" s="2" t="s">
        <v>1102</v>
      </c>
      <c r="Q117" s="2" t="s">
        <v>11</v>
      </c>
      <c r="R117" s="2" t="s">
        <v>426</v>
      </c>
      <c r="S117" s="1" t="s">
        <v>1589</v>
      </c>
      <c r="T117" s="2" t="s">
        <v>520</v>
      </c>
      <c r="U117" s="3">
        <v>2</v>
      </c>
      <c r="V117" s="3">
        <v>2</v>
      </c>
      <c r="W117" s="4" t="s">
        <v>1590</v>
      </c>
      <c r="X117" s="4" t="s">
        <v>1590</v>
      </c>
      <c r="Y117" s="4" t="s">
        <v>1591</v>
      </c>
      <c r="Z117" s="4" t="s">
        <v>1591</v>
      </c>
      <c r="AA117" s="3">
        <v>183</v>
      </c>
      <c r="AB117" s="3">
        <v>162</v>
      </c>
      <c r="AC117" s="3">
        <v>164</v>
      </c>
      <c r="AD117" s="3">
        <v>2</v>
      </c>
      <c r="AE117" s="3">
        <v>2</v>
      </c>
      <c r="AF117" s="3">
        <v>9</v>
      </c>
      <c r="AG117" s="3">
        <v>9</v>
      </c>
      <c r="AH117" s="3">
        <v>3</v>
      </c>
      <c r="AI117" s="3">
        <v>3</v>
      </c>
      <c r="AJ117" s="3">
        <v>1</v>
      </c>
      <c r="AK117" s="3">
        <v>1</v>
      </c>
      <c r="AL117" s="3">
        <v>6</v>
      </c>
      <c r="AM117" s="3">
        <v>6</v>
      </c>
      <c r="AN117" s="3">
        <v>0</v>
      </c>
      <c r="AO117" s="3">
        <v>0</v>
      </c>
      <c r="AP117" s="3">
        <v>0</v>
      </c>
      <c r="AQ117" s="3">
        <v>0</v>
      </c>
      <c r="AR117" s="2" t="s">
        <v>5</v>
      </c>
      <c r="AS117" s="2" t="s">
        <v>16</v>
      </c>
      <c r="AT117" s="5" t="str">
        <f>HYPERLINK("http://catalog.hathitrust.org/Record/002505089","HathiTrust Record")</f>
        <v>HathiTrust Record</v>
      </c>
      <c r="AU117" s="5" t="str">
        <f>HYPERLINK("https://creighton-primo.hosted.exlibrisgroup.com/primo-explore/search?tab=default_tab&amp;search_scope=EVERYTHING&amp;vid=01CRU&amp;lang=en_US&amp;offset=0&amp;query=any,contains,991000803079702656","Catalog Record")</f>
        <v>Catalog Record</v>
      </c>
      <c r="AV117" s="5" t="str">
        <f>HYPERLINK("http://www.worldcat.org/oclc/13085188","WorldCat Record")</f>
        <v>WorldCat Record</v>
      </c>
      <c r="AW117" s="2" t="s">
        <v>1592</v>
      </c>
      <c r="AX117" s="2" t="s">
        <v>1593</v>
      </c>
      <c r="AY117" s="2" t="s">
        <v>1594</v>
      </c>
      <c r="AZ117" s="2" t="s">
        <v>1594</v>
      </c>
      <c r="BA117" s="2" t="s">
        <v>1595</v>
      </c>
      <c r="BB117" s="2" t="s">
        <v>21</v>
      </c>
      <c r="BD117" s="2" t="s">
        <v>1596</v>
      </c>
      <c r="BE117" s="2" t="s">
        <v>1597</v>
      </c>
      <c r="BF117" s="2" t="s">
        <v>1598</v>
      </c>
    </row>
    <row r="118" spans="1:58" ht="41.25" customHeight="1" x14ac:dyDescent="0.25">
      <c r="A118" s="8" t="s">
        <v>5</v>
      </c>
      <c r="B118" s="1" t="s">
        <v>0</v>
      </c>
      <c r="C118" s="1" t="s">
        <v>1</v>
      </c>
      <c r="D118" s="1" t="s">
        <v>1599</v>
      </c>
      <c r="E118" s="1" t="s">
        <v>1600</v>
      </c>
      <c r="F118" s="1" t="s">
        <v>1601</v>
      </c>
      <c r="H118" s="2" t="s">
        <v>5</v>
      </c>
      <c r="I118" s="2" t="s">
        <v>6</v>
      </c>
      <c r="J118" s="2" t="s">
        <v>5</v>
      </c>
      <c r="K118" s="2" t="s">
        <v>16</v>
      </c>
      <c r="L118" s="2" t="s">
        <v>7</v>
      </c>
      <c r="N118" s="1" t="s">
        <v>1602</v>
      </c>
      <c r="O118" s="2" t="s">
        <v>1378</v>
      </c>
      <c r="P118" s="1" t="s">
        <v>901</v>
      </c>
      <c r="Q118" s="2" t="s">
        <v>11</v>
      </c>
      <c r="R118" s="2" t="s">
        <v>31</v>
      </c>
      <c r="T118" s="2" t="s">
        <v>520</v>
      </c>
      <c r="U118" s="3">
        <v>5</v>
      </c>
      <c r="V118" s="3">
        <v>5</v>
      </c>
      <c r="W118" s="4" t="s">
        <v>1603</v>
      </c>
      <c r="X118" s="4" t="s">
        <v>1603</v>
      </c>
      <c r="Y118" s="4" t="s">
        <v>1604</v>
      </c>
      <c r="Z118" s="4" t="s">
        <v>1604</v>
      </c>
      <c r="AA118" s="3">
        <v>261</v>
      </c>
      <c r="AB118" s="3">
        <v>191</v>
      </c>
      <c r="AC118" s="3">
        <v>395</v>
      </c>
      <c r="AD118" s="3">
        <v>1</v>
      </c>
      <c r="AE118" s="3">
        <v>2</v>
      </c>
      <c r="AF118" s="3">
        <v>9</v>
      </c>
      <c r="AG118" s="3">
        <v>15</v>
      </c>
      <c r="AH118" s="3">
        <v>5</v>
      </c>
      <c r="AI118" s="3">
        <v>8</v>
      </c>
      <c r="AJ118" s="3">
        <v>1</v>
      </c>
      <c r="AK118" s="3">
        <v>1</v>
      </c>
      <c r="AL118" s="3">
        <v>4</v>
      </c>
      <c r="AM118" s="3">
        <v>8</v>
      </c>
      <c r="AN118" s="3">
        <v>0</v>
      </c>
      <c r="AO118" s="3">
        <v>0</v>
      </c>
      <c r="AP118" s="3">
        <v>0</v>
      </c>
      <c r="AQ118" s="3">
        <v>0</v>
      </c>
      <c r="AR118" s="2" t="s">
        <v>5</v>
      </c>
      <c r="AS118" s="2" t="s">
        <v>16</v>
      </c>
      <c r="AT118" s="5" t="str">
        <f>HYPERLINK("http://catalog.hathitrust.org/Record/003959839","HathiTrust Record")</f>
        <v>HathiTrust Record</v>
      </c>
      <c r="AU118" s="5" t="str">
        <f>HYPERLINK("https://creighton-primo.hosted.exlibrisgroup.com/primo-explore/search?tab=default_tab&amp;search_scope=EVERYTHING&amp;vid=01CRU&amp;lang=en_US&amp;offset=0&amp;query=any,contains,991000901179702656","Catalog Record")</f>
        <v>Catalog Record</v>
      </c>
      <c r="AV118" s="5" t="str">
        <f>HYPERLINK("http://www.worldcat.org/oclc/40535054","WorldCat Record")</f>
        <v>WorldCat Record</v>
      </c>
      <c r="AW118" s="2" t="s">
        <v>1605</v>
      </c>
      <c r="AX118" s="2" t="s">
        <v>1606</v>
      </c>
      <c r="AY118" s="2" t="s">
        <v>1607</v>
      </c>
      <c r="AZ118" s="2" t="s">
        <v>1607</v>
      </c>
      <c r="BA118" s="2" t="s">
        <v>1608</v>
      </c>
      <c r="BB118" s="2" t="s">
        <v>21</v>
      </c>
      <c r="BD118" s="2" t="s">
        <v>1609</v>
      </c>
      <c r="BE118" s="2" t="s">
        <v>1610</v>
      </c>
      <c r="BF118" s="2" t="s">
        <v>1611</v>
      </c>
    </row>
    <row r="119" spans="1:58" ht="41.25" customHeight="1" x14ac:dyDescent="0.25">
      <c r="A119" s="8" t="s">
        <v>5</v>
      </c>
      <c r="B119" s="1" t="s">
        <v>0</v>
      </c>
      <c r="C119" s="1" t="s">
        <v>1</v>
      </c>
      <c r="D119" s="1" t="s">
        <v>1612</v>
      </c>
      <c r="E119" s="1" t="s">
        <v>1613</v>
      </c>
      <c r="F119" s="1" t="s">
        <v>1614</v>
      </c>
      <c r="H119" s="2" t="s">
        <v>5</v>
      </c>
      <c r="I119" s="2" t="s">
        <v>6</v>
      </c>
      <c r="J119" s="2" t="s">
        <v>5</v>
      </c>
      <c r="K119" s="2" t="s">
        <v>16</v>
      </c>
      <c r="L119" s="2" t="s">
        <v>7</v>
      </c>
      <c r="N119" s="1" t="s">
        <v>1233</v>
      </c>
      <c r="O119" s="2" t="s">
        <v>136</v>
      </c>
      <c r="Q119" s="2" t="s">
        <v>11</v>
      </c>
      <c r="R119" s="2" t="s">
        <v>31</v>
      </c>
      <c r="T119" s="2" t="s">
        <v>520</v>
      </c>
      <c r="U119" s="3">
        <v>6</v>
      </c>
      <c r="V119" s="3">
        <v>6</v>
      </c>
      <c r="W119" s="4" t="s">
        <v>1615</v>
      </c>
      <c r="X119" s="4" t="s">
        <v>1615</v>
      </c>
      <c r="Y119" s="4" t="s">
        <v>1616</v>
      </c>
      <c r="Z119" s="4" t="s">
        <v>1616</v>
      </c>
      <c r="AA119" s="3">
        <v>266</v>
      </c>
      <c r="AB119" s="3">
        <v>199</v>
      </c>
      <c r="AC119" s="3">
        <v>395</v>
      </c>
      <c r="AD119" s="3">
        <v>1</v>
      </c>
      <c r="AE119" s="3">
        <v>2</v>
      </c>
      <c r="AF119" s="3">
        <v>7</v>
      </c>
      <c r="AG119" s="3">
        <v>15</v>
      </c>
      <c r="AH119" s="3">
        <v>3</v>
      </c>
      <c r="AI119" s="3">
        <v>8</v>
      </c>
      <c r="AJ119" s="3">
        <v>0</v>
      </c>
      <c r="AK119" s="3">
        <v>1</v>
      </c>
      <c r="AL119" s="3">
        <v>5</v>
      </c>
      <c r="AM119" s="3">
        <v>8</v>
      </c>
      <c r="AN119" s="3">
        <v>0</v>
      </c>
      <c r="AO119" s="3">
        <v>0</v>
      </c>
      <c r="AP119" s="3">
        <v>0</v>
      </c>
      <c r="AQ119" s="3">
        <v>0</v>
      </c>
      <c r="AR119" s="2" t="s">
        <v>5</v>
      </c>
      <c r="AS119" s="2" t="s">
        <v>16</v>
      </c>
      <c r="AT119" s="5" t="str">
        <f>HYPERLINK("http://catalog.hathitrust.org/Record/002443405","HathiTrust Record")</f>
        <v>HathiTrust Record</v>
      </c>
      <c r="AU119" s="5" t="str">
        <f>HYPERLINK("https://creighton-primo.hosted.exlibrisgroup.com/primo-explore/search?tab=default_tab&amp;search_scope=EVERYTHING&amp;vid=01CRU&amp;lang=en_US&amp;offset=0&amp;query=any,contains,991001194889702656","Catalog Record")</f>
        <v>Catalog Record</v>
      </c>
      <c r="AV119" s="5" t="str">
        <f>HYPERLINK("http://www.worldcat.org/oclc/22628781","WorldCat Record")</f>
        <v>WorldCat Record</v>
      </c>
      <c r="AW119" s="2" t="s">
        <v>1605</v>
      </c>
      <c r="AX119" s="2" t="s">
        <v>1617</v>
      </c>
      <c r="AY119" s="2" t="s">
        <v>1618</v>
      </c>
      <c r="AZ119" s="2" t="s">
        <v>1618</v>
      </c>
      <c r="BA119" s="2" t="s">
        <v>1619</v>
      </c>
      <c r="BB119" s="2" t="s">
        <v>21</v>
      </c>
      <c r="BD119" s="2" t="s">
        <v>1620</v>
      </c>
      <c r="BE119" s="2" t="s">
        <v>1621</v>
      </c>
      <c r="BF119" s="2" t="s">
        <v>1622</v>
      </c>
    </row>
    <row r="120" spans="1:58" ht="41.25" customHeight="1" x14ac:dyDescent="0.25">
      <c r="A120" s="8" t="s">
        <v>5</v>
      </c>
      <c r="B120" s="1" t="s">
        <v>0</v>
      </c>
      <c r="C120" s="1" t="s">
        <v>1</v>
      </c>
      <c r="D120" s="1" t="s">
        <v>1623</v>
      </c>
      <c r="E120" s="1" t="s">
        <v>1624</v>
      </c>
      <c r="F120" s="1" t="s">
        <v>1625</v>
      </c>
      <c r="H120" s="2" t="s">
        <v>5</v>
      </c>
      <c r="I120" s="2" t="s">
        <v>6</v>
      </c>
      <c r="J120" s="2" t="s">
        <v>5</v>
      </c>
      <c r="K120" s="2" t="s">
        <v>5</v>
      </c>
      <c r="L120" s="2" t="s">
        <v>7</v>
      </c>
      <c r="N120" s="1" t="s">
        <v>1626</v>
      </c>
      <c r="O120" s="2" t="s">
        <v>888</v>
      </c>
      <c r="Q120" s="2" t="s">
        <v>11</v>
      </c>
      <c r="R120" s="2" t="s">
        <v>31</v>
      </c>
      <c r="T120" s="2" t="s">
        <v>520</v>
      </c>
      <c r="U120" s="3">
        <v>14</v>
      </c>
      <c r="V120" s="3">
        <v>14</v>
      </c>
      <c r="W120" s="4" t="s">
        <v>1627</v>
      </c>
      <c r="X120" s="4" t="s">
        <v>1627</v>
      </c>
      <c r="Y120" s="4" t="s">
        <v>15</v>
      </c>
      <c r="Z120" s="4" t="s">
        <v>15</v>
      </c>
      <c r="AA120" s="3">
        <v>45</v>
      </c>
      <c r="AB120" s="3">
        <v>45</v>
      </c>
      <c r="AC120" s="3">
        <v>62</v>
      </c>
      <c r="AD120" s="3">
        <v>1</v>
      </c>
      <c r="AE120" s="3">
        <v>1</v>
      </c>
      <c r="AF120" s="3">
        <v>1</v>
      </c>
      <c r="AG120" s="3">
        <v>2</v>
      </c>
      <c r="AH120" s="3">
        <v>0</v>
      </c>
      <c r="AI120" s="3">
        <v>0</v>
      </c>
      <c r="AJ120" s="3">
        <v>0</v>
      </c>
      <c r="AK120" s="3">
        <v>1</v>
      </c>
      <c r="AL120" s="3">
        <v>1</v>
      </c>
      <c r="AM120" s="3">
        <v>1</v>
      </c>
      <c r="AN120" s="3">
        <v>0</v>
      </c>
      <c r="AO120" s="3">
        <v>0</v>
      </c>
      <c r="AP120" s="3">
        <v>0</v>
      </c>
      <c r="AQ120" s="3">
        <v>0</v>
      </c>
      <c r="AR120" s="2" t="s">
        <v>5</v>
      </c>
      <c r="AS120" s="2" t="s">
        <v>5</v>
      </c>
      <c r="AU120" s="5" t="str">
        <f>HYPERLINK("https://creighton-primo.hosted.exlibrisgroup.com/primo-explore/search?tab=default_tab&amp;search_scope=EVERYTHING&amp;vid=01CRU&amp;lang=en_US&amp;offset=0&amp;query=any,contains,991001033659702656","Catalog Record")</f>
        <v>Catalog Record</v>
      </c>
      <c r="AV120" s="5" t="str">
        <f>HYPERLINK("http://www.worldcat.org/oclc/10916239","WorldCat Record")</f>
        <v>WorldCat Record</v>
      </c>
      <c r="AW120" s="2" t="s">
        <v>1628</v>
      </c>
      <c r="AX120" s="2" t="s">
        <v>1629</v>
      </c>
      <c r="AY120" s="2" t="s">
        <v>1630</v>
      </c>
      <c r="AZ120" s="2" t="s">
        <v>1630</v>
      </c>
      <c r="BA120" s="2" t="s">
        <v>1631</v>
      </c>
      <c r="BB120" s="2" t="s">
        <v>21</v>
      </c>
      <c r="BE120" s="2" t="s">
        <v>1632</v>
      </c>
      <c r="BF120" s="2" t="s">
        <v>1633</v>
      </c>
    </row>
    <row r="121" spans="1:58" ht="41.25" customHeight="1" x14ac:dyDescent="0.25">
      <c r="A121" s="8" t="s">
        <v>5</v>
      </c>
      <c r="B121" s="1" t="s">
        <v>0</v>
      </c>
      <c r="C121" s="1" t="s">
        <v>1</v>
      </c>
      <c r="D121" s="1" t="s">
        <v>1634</v>
      </c>
      <c r="E121" s="1" t="s">
        <v>1635</v>
      </c>
      <c r="F121" s="1" t="s">
        <v>1636</v>
      </c>
      <c r="H121" s="2" t="s">
        <v>5</v>
      </c>
      <c r="I121" s="2" t="s">
        <v>6</v>
      </c>
      <c r="J121" s="2" t="s">
        <v>5</v>
      </c>
      <c r="K121" s="2" t="s">
        <v>5</v>
      </c>
      <c r="L121" s="2" t="s">
        <v>7</v>
      </c>
      <c r="M121" s="1" t="s">
        <v>1637</v>
      </c>
      <c r="N121" s="1" t="s">
        <v>1638</v>
      </c>
      <c r="O121" s="2" t="s">
        <v>734</v>
      </c>
      <c r="Q121" s="2" t="s">
        <v>11</v>
      </c>
      <c r="R121" s="2" t="s">
        <v>426</v>
      </c>
      <c r="T121" s="2" t="s">
        <v>520</v>
      </c>
      <c r="U121" s="3">
        <v>12</v>
      </c>
      <c r="V121" s="3">
        <v>12</v>
      </c>
      <c r="W121" s="4" t="s">
        <v>1524</v>
      </c>
      <c r="X121" s="4" t="s">
        <v>1524</v>
      </c>
      <c r="Y121" s="4" t="s">
        <v>1639</v>
      </c>
      <c r="Z121" s="4" t="s">
        <v>1639</v>
      </c>
      <c r="AA121" s="3">
        <v>262</v>
      </c>
      <c r="AB121" s="3">
        <v>212</v>
      </c>
      <c r="AC121" s="3">
        <v>214</v>
      </c>
      <c r="AD121" s="3">
        <v>2</v>
      </c>
      <c r="AE121" s="3">
        <v>2</v>
      </c>
      <c r="AF121" s="3">
        <v>6</v>
      </c>
      <c r="AG121" s="3">
        <v>6</v>
      </c>
      <c r="AH121" s="3">
        <v>4</v>
      </c>
      <c r="AI121" s="3">
        <v>4</v>
      </c>
      <c r="AJ121" s="3">
        <v>0</v>
      </c>
      <c r="AK121" s="3">
        <v>0</v>
      </c>
      <c r="AL121" s="3">
        <v>3</v>
      </c>
      <c r="AM121" s="3">
        <v>3</v>
      </c>
      <c r="AN121" s="3">
        <v>0</v>
      </c>
      <c r="AO121" s="3">
        <v>0</v>
      </c>
      <c r="AP121" s="3">
        <v>0</v>
      </c>
      <c r="AQ121" s="3">
        <v>0</v>
      </c>
      <c r="AR121" s="2" t="s">
        <v>5</v>
      </c>
      <c r="AS121" s="2" t="s">
        <v>16</v>
      </c>
      <c r="AT121" s="5" t="str">
        <f>HYPERLINK("http://catalog.hathitrust.org/Record/000323451","HathiTrust Record")</f>
        <v>HathiTrust Record</v>
      </c>
      <c r="AU121" s="5" t="str">
        <f>HYPERLINK("https://creighton-primo.hosted.exlibrisgroup.com/primo-explore/search?tab=default_tab&amp;search_scope=EVERYTHING&amp;vid=01CRU&amp;lang=en_US&amp;offset=0&amp;query=any,contains,991001033789702656","Catalog Record")</f>
        <v>Catalog Record</v>
      </c>
      <c r="AV121" s="5" t="str">
        <f>HYPERLINK("http://www.worldcat.org/oclc/9197043","WorldCat Record")</f>
        <v>WorldCat Record</v>
      </c>
      <c r="AW121" s="2" t="s">
        <v>1640</v>
      </c>
      <c r="AX121" s="2" t="s">
        <v>1641</v>
      </c>
      <c r="AY121" s="2" t="s">
        <v>1642</v>
      </c>
      <c r="AZ121" s="2" t="s">
        <v>1642</v>
      </c>
      <c r="BA121" s="2" t="s">
        <v>1643</v>
      </c>
      <c r="BB121" s="2" t="s">
        <v>21</v>
      </c>
      <c r="BD121" s="2" t="s">
        <v>1644</v>
      </c>
      <c r="BE121" s="2" t="s">
        <v>1645</v>
      </c>
      <c r="BF121" s="2" t="s">
        <v>1646</v>
      </c>
    </row>
    <row r="122" spans="1:58" ht="41.25" customHeight="1" x14ac:dyDescent="0.25">
      <c r="A122" s="8" t="s">
        <v>5</v>
      </c>
      <c r="B122" s="1" t="s">
        <v>0</v>
      </c>
      <c r="C122" s="1" t="s">
        <v>1</v>
      </c>
      <c r="D122" s="1" t="s">
        <v>1647</v>
      </c>
      <c r="E122" s="1" t="s">
        <v>1648</v>
      </c>
      <c r="F122" s="1" t="s">
        <v>1649</v>
      </c>
      <c r="H122" s="2" t="s">
        <v>5</v>
      </c>
      <c r="I122" s="2" t="s">
        <v>6</v>
      </c>
      <c r="J122" s="2" t="s">
        <v>5</v>
      </c>
      <c r="K122" s="2" t="s">
        <v>5</v>
      </c>
      <c r="L122" s="2" t="s">
        <v>7</v>
      </c>
      <c r="M122" s="1" t="s">
        <v>1650</v>
      </c>
      <c r="N122" s="1" t="s">
        <v>1651</v>
      </c>
      <c r="O122" s="2" t="s">
        <v>1046</v>
      </c>
      <c r="P122" s="1" t="s">
        <v>1652</v>
      </c>
      <c r="Q122" s="2" t="s">
        <v>11</v>
      </c>
      <c r="R122" s="2" t="s">
        <v>12</v>
      </c>
      <c r="T122" s="2" t="s">
        <v>520</v>
      </c>
      <c r="U122" s="3">
        <v>0</v>
      </c>
      <c r="V122" s="3">
        <v>0</v>
      </c>
      <c r="W122" s="4" t="s">
        <v>1653</v>
      </c>
      <c r="X122" s="4" t="s">
        <v>1653</v>
      </c>
      <c r="Y122" s="4" t="s">
        <v>1653</v>
      </c>
      <c r="Z122" s="4" t="s">
        <v>1653</v>
      </c>
      <c r="AA122" s="3">
        <v>341</v>
      </c>
      <c r="AB122" s="3">
        <v>280</v>
      </c>
      <c r="AC122" s="3">
        <v>421</v>
      </c>
      <c r="AD122" s="3">
        <v>1</v>
      </c>
      <c r="AE122" s="3">
        <v>1</v>
      </c>
      <c r="AF122" s="3">
        <v>7</v>
      </c>
      <c r="AG122" s="3">
        <v>10</v>
      </c>
      <c r="AH122" s="3">
        <v>4</v>
      </c>
      <c r="AI122" s="3">
        <v>5</v>
      </c>
      <c r="AJ122" s="3">
        <v>0</v>
      </c>
      <c r="AK122" s="3">
        <v>1</v>
      </c>
      <c r="AL122" s="3">
        <v>4</v>
      </c>
      <c r="AM122" s="3">
        <v>6</v>
      </c>
      <c r="AN122" s="3">
        <v>0</v>
      </c>
      <c r="AO122" s="3">
        <v>0</v>
      </c>
      <c r="AP122" s="3">
        <v>0</v>
      </c>
      <c r="AQ122" s="3">
        <v>0</v>
      </c>
      <c r="AR122" s="2" t="s">
        <v>5</v>
      </c>
      <c r="AS122" s="2" t="s">
        <v>16</v>
      </c>
      <c r="AT122" s="5" t="str">
        <f>HYPERLINK("http://catalog.hathitrust.org/Record/004318761","HathiTrust Record")</f>
        <v>HathiTrust Record</v>
      </c>
      <c r="AU122" s="5" t="str">
        <f>HYPERLINK("https://creighton-primo.hosted.exlibrisgroup.com/primo-explore/search?tab=default_tab&amp;search_scope=EVERYTHING&amp;vid=01CRU&amp;lang=en_US&amp;offset=0&amp;query=any,contains,991001723379702656","Catalog Record")</f>
        <v>Catalog Record</v>
      </c>
      <c r="AV122" s="5" t="str">
        <f>HYPERLINK("http://www.worldcat.org/oclc/51054159","WorldCat Record")</f>
        <v>WorldCat Record</v>
      </c>
      <c r="AW122" s="2" t="s">
        <v>1654</v>
      </c>
      <c r="AX122" s="2" t="s">
        <v>1655</v>
      </c>
      <c r="AY122" s="2" t="s">
        <v>1656</v>
      </c>
      <c r="AZ122" s="2" t="s">
        <v>1656</v>
      </c>
      <c r="BA122" s="2" t="s">
        <v>1657</v>
      </c>
      <c r="BB122" s="2" t="s">
        <v>21</v>
      </c>
      <c r="BD122" s="2" t="s">
        <v>1658</v>
      </c>
      <c r="BE122" s="2" t="s">
        <v>1659</v>
      </c>
      <c r="BF122" s="2" t="s">
        <v>1660</v>
      </c>
    </row>
    <row r="123" spans="1:58" ht="41.25" customHeight="1" x14ac:dyDescent="0.25">
      <c r="A123" s="8" t="s">
        <v>5</v>
      </c>
      <c r="B123" s="1" t="s">
        <v>0</v>
      </c>
      <c r="C123" s="1" t="s">
        <v>1</v>
      </c>
      <c r="D123" s="1" t="s">
        <v>1661</v>
      </c>
      <c r="E123" s="1" t="s">
        <v>1662</v>
      </c>
      <c r="F123" s="1" t="s">
        <v>1663</v>
      </c>
      <c r="H123" s="2" t="s">
        <v>5</v>
      </c>
      <c r="I123" s="2" t="s">
        <v>6</v>
      </c>
      <c r="J123" s="2" t="s">
        <v>5</v>
      </c>
      <c r="K123" s="2" t="s">
        <v>5</v>
      </c>
      <c r="L123" s="2" t="s">
        <v>7</v>
      </c>
      <c r="M123" s="1" t="s">
        <v>1664</v>
      </c>
      <c r="N123" s="1" t="s">
        <v>1665</v>
      </c>
      <c r="O123" s="2" t="s">
        <v>228</v>
      </c>
      <c r="Q123" s="2" t="s">
        <v>11</v>
      </c>
      <c r="R123" s="2" t="s">
        <v>426</v>
      </c>
      <c r="T123" s="2" t="s">
        <v>520</v>
      </c>
      <c r="U123" s="3">
        <v>3</v>
      </c>
      <c r="V123" s="3">
        <v>3</v>
      </c>
      <c r="W123" s="4" t="s">
        <v>1666</v>
      </c>
      <c r="X123" s="4" t="s">
        <v>1666</v>
      </c>
      <c r="Y123" s="4" t="s">
        <v>1667</v>
      </c>
      <c r="Z123" s="4" t="s">
        <v>1667</v>
      </c>
      <c r="AA123" s="3">
        <v>450</v>
      </c>
      <c r="AB123" s="3">
        <v>399</v>
      </c>
      <c r="AC123" s="3">
        <v>406</v>
      </c>
      <c r="AD123" s="3">
        <v>3</v>
      </c>
      <c r="AE123" s="3">
        <v>3</v>
      </c>
      <c r="AF123" s="3">
        <v>23</v>
      </c>
      <c r="AG123" s="3">
        <v>23</v>
      </c>
      <c r="AH123" s="3">
        <v>11</v>
      </c>
      <c r="AI123" s="3">
        <v>11</v>
      </c>
      <c r="AJ123" s="3">
        <v>4</v>
      </c>
      <c r="AK123" s="3">
        <v>4</v>
      </c>
      <c r="AL123" s="3">
        <v>11</v>
      </c>
      <c r="AM123" s="3">
        <v>11</v>
      </c>
      <c r="AN123" s="3">
        <v>1</v>
      </c>
      <c r="AO123" s="3">
        <v>1</v>
      </c>
      <c r="AP123" s="3">
        <v>0</v>
      </c>
      <c r="AQ123" s="3">
        <v>0</v>
      </c>
      <c r="AR123" s="2" t="s">
        <v>5</v>
      </c>
      <c r="AS123" s="2" t="s">
        <v>16</v>
      </c>
      <c r="AT123" s="5" t="str">
        <f>HYPERLINK("http://catalog.hathitrust.org/Record/000305838","HathiTrust Record")</f>
        <v>HathiTrust Record</v>
      </c>
      <c r="AU123" s="5" t="str">
        <f>HYPERLINK("https://creighton-primo.hosted.exlibrisgroup.com/primo-explore/search?tab=default_tab&amp;search_scope=EVERYTHING&amp;vid=01CRU&amp;lang=en_US&amp;offset=0&amp;query=any,contains,991001316089702656","Catalog Record")</f>
        <v>Catalog Record</v>
      </c>
      <c r="AV123" s="5" t="str">
        <f>HYPERLINK("http://www.worldcat.org/oclc/7572193","WorldCat Record")</f>
        <v>WorldCat Record</v>
      </c>
      <c r="AW123" s="2" t="s">
        <v>1668</v>
      </c>
      <c r="AX123" s="2" t="s">
        <v>1669</v>
      </c>
      <c r="AY123" s="2" t="s">
        <v>1670</v>
      </c>
      <c r="AZ123" s="2" t="s">
        <v>1670</v>
      </c>
      <c r="BA123" s="2" t="s">
        <v>1671</v>
      </c>
      <c r="BB123" s="2" t="s">
        <v>21</v>
      </c>
      <c r="BD123" s="2" t="s">
        <v>1672</v>
      </c>
      <c r="BE123" s="2" t="s">
        <v>1673</v>
      </c>
      <c r="BF123" s="2" t="s">
        <v>1674</v>
      </c>
    </row>
    <row r="124" spans="1:58" ht="41.25" customHeight="1" x14ac:dyDescent="0.25">
      <c r="A124" s="8" t="s">
        <v>5</v>
      </c>
      <c r="B124" s="1" t="s">
        <v>0</v>
      </c>
      <c r="C124" s="1" t="s">
        <v>1</v>
      </c>
      <c r="D124" s="1" t="s">
        <v>1675</v>
      </c>
      <c r="E124" s="1" t="s">
        <v>1676</v>
      </c>
      <c r="F124" s="1" t="s">
        <v>1677</v>
      </c>
      <c r="H124" s="2" t="s">
        <v>5</v>
      </c>
      <c r="I124" s="2" t="s">
        <v>6</v>
      </c>
      <c r="J124" s="2" t="s">
        <v>5</v>
      </c>
      <c r="K124" s="2" t="s">
        <v>16</v>
      </c>
      <c r="L124" s="2" t="s">
        <v>7</v>
      </c>
      <c r="M124" s="1" t="s">
        <v>1678</v>
      </c>
      <c r="N124" s="1" t="s">
        <v>1679</v>
      </c>
      <c r="O124" s="2" t="s">
        <v>1339</v>
      </c>
      <c r="Q124" s="2" t="s">
        <v>11</v>
      </c>
      <c r="R124" s="2" t="s">
        <v>426</v>
      </c>
      <c r="T124" s="2" t="s">
        <v>520</v>
      </c>
      <c r="U124" s="3">
        <v>12</v>
      </c>
      <c r="V124" s="3">
        <v>12</v>
      </c>
      <c r="W124" s="4" t="s">
        <v>1680</v>
      </c>
      <c r="X124" s="4" t="s">
        <v>1680</v>
      </c>
      <c r="Y124" s="4" t="s">
        <v>33</v>
      </c>
      <c r="Z124" s="4" t="s">
        <v>33</v>
      </c>
      <c r="AA124" s="3">
        <v>208</v>
      </c>
      <c r="AB124" s="3">
        <v>179</v>
      </c>
      <c r="AC124" s="3">
        <v>1387</v>
      </c>
      <c r="AD124" s="3">
        <v>3</v>
      </c>
      <c r="AE124" s="3">
        <v>34</v>
      </c>
      <c r="AF124" s="3">
        <v>7</v>
      </c>
      <c r="AG124" s="3">
        <v>47</v>
      </c>
      <c r="AH124" s="3">
        <v>1</v>
      </c>
      <c r="AI124" s="3">
        <v>18</v>
      </c>
      <c r="AJ124" s="3">
        <v>1</v>
      </c>
      <c r="AK124" s="3">
        <v>7</v>
      </c>
      <c r="AL124" s="3">
        <v>4</v>
      </c>
      <c r="AM124" s="3">
        <v>15</v>
      </c>
      <c r="AN124" s="3">
        <v>1</v>
      </c>
      <c r="AO124" s="3">
        <v>14</v>
      </c>
      <c r="AP124" s="3">
        <v>0</v>
      </c>
      <c r="AQ124" s="3">
        <v>0</v>
      </c>
      <c r="AR124" s="2" t="s">
        <v>5</v>
      </c>
      <c r="AS124" s="2" t="s">
        <v>16</v>
      </c>
      <c r="AT124" s="5" t="str">
        <f>HYPERLINK("http://catalog.hathitrust.org/Record/000807969","HathiTrust Record")</f>
        <v>HathiTrust Record</v>
      </c>
      <c r="AU124" s="5" t="str">
        <f>HYPERLINK("https://creighton-primo.hosted.exlibrisgroup.com/primo-explore/search?tab=default_tab&amp;search_scope=EVERYTHING&amp;vid=01CRU&amp;lang=en_US&amp;offset=0&amp;query=any,contains,991000763529702656","Catalog Record")</f>
        <v>Catalog Record</v>
      </c>
      <c r="AV124" s="5" t="str">
        <f>HYPERLINK("http://www.worldcat.org/oclc/14165858","WorldCat Record")</f>
        <v>WorldCat Record</v>
      </c>
      <c r="AW124" s="2" t="s">
        <v>1681</v>
      </c>
      <c r="AX124" s="2" t="s">
        <v>1682</v>
      </c>
      <c r="AY124" s="2" t="s">
        <v>1683</v>
      </c>
      <c r="AZ124" s="2" t="s">
        <v>1683</v>
      </c>
      <c r="BA124" s="2" t="s">
        <v>1684</v>
      </c>
      <c r="BB124" s="2" t="s">
        <v>21</v>
      </c>
      <c r="BD124" s="2" t="s">
        <v>1685</v>
      </c>
      <c r="BE124" s="2" t="s">
        <v>1686</v>
      </c>
      <c r="BF124" s="2" t="s">
        <v>1687</v>
      </c>
    </row>
    <row r="125" spans="1:58" ht="41.25" customHeight="1" x14ac:dyDescent="0.25">
      <c r="A125" s="8" t="s">
        <v>5</v>
      </c>
      <c r="B125" s="1" t="s">
        <v>0</v>
      </c>
      <c r="C125" s="1" t="s">
        <v>1</v>
      </c>
      <c r="D125" s="1" t="s">
        <v>1688</v>
      </c>
      <c r="E125" s="1" t="s">
        <v>1689</v>
      </c>
      <c r="F125" s="1" t="s">
        <v>1690</v>
      </c>
      <c r="H125" s="2" t="s">
        <v>5</v>
      </c>
      <c r="I125" s="2" t="s">
        <v>6</v>
      </c>
      <c r="J125" s="2" t="s">
        <v>5</v>
      </c>
      <c r="K125" s="2" t="s">
        <v>16</v>
      </c>
      <c r="L125" s="2" t="s">
        <v>7</v>
      </c>
      <c r="M125" s="1" t="s">
        <v>1678</v>
      </c>
      <c r="N125" s="1" t="s">
        <v>1691</v>
      </c>
      <c r="O125" s="2" t="s">
        <v>794</v>
      </c>
      <c r="P125" s="1" t="s">
        <v>901</v>
      </c>
      <c r="Q125" s="2" t="s">
        <v>11</v>
      </c>
      <c r="R125" s="2" t="s">
        <v>12</v>
      </c>
      <c r="T125" s="2" t="s">
        <v>520</v>
      </c>
      <c r="U125" s="3">
        <v>2</v>
      </c>
      <c r="V125" s="3">
        <v>2</v>
      </c>
      <c r="W125" s="4" t="s">
        <v>1692</v>
      </c>
      <c r="X125" s="4" t="s">
        <v>1692</v>
      </c>
      <c r="Y125" s="4" t="s">
        <v>1367</v>
      </c>
      <c r="Z125" s="4" t="s">
        <v>1367</v>
      </c>
      <c r="AA125" s="3">
        <v>280</v>
      </c>
      <c r="AB125" s="3">
        <v>241</v>
      </c>
      <c r="AC125" s="3">
        <v>1387</v>
      </c>
      <c r="AD125" s="3">
        <v>1</v>
      </c>
      <c r="AE125" s="3">
        <v>34</v>
      </c>
      <c r="AF125" s="3">
        <v>11</v>
      </c>
      <c r="AG125" s="3">
        <v>47</v>
      </c>
      <c r="AH125" s="3">
        <v>4</v>
      </c>
      <c r="AI125" s="3">
        <v>18</v>
      </c>
      <c r="AJ125" s="3">
        <v>2</v>
      </c>
      <c r="AK125" s="3">
        <v>7</v>
      </c>
      <c r="AL125" s="3">
        <v>6</v>
      </c>
      <c r="AM125" s="3">
        <v>15</v>
      </c>
      <c r="AN125" s="3">
        <v>0</v>
      </c>
      <c r="AO125" s="3">
        <v>14</v>
      </c>
      <c r="AP125" s="3">
        <v>0</v>
      </c>
      <c r="AQ125" s="3">
        <v>0</v>
      </c>
      <c r="AR125" s="2" t="s">
        <v>5</v>
      </c>
      <c r="AS125" s="2" t="s">
        <v>16</v>
      </c>
      <c r="AT125" s="5" t="str">
        <f>HYPERLINK("http://catalog.hathitrust.org/Record/003065129","HathiTrust Record")</f>
        <v>HathiTrust Record</v>
      </c>
      <c r="AU125" s="5" t="str">
        <f>HYPERLINK("https://creighton-primo.hosted.exlibrisgroup.com/primo-explore/search?tab=default_tab&amp;search_scope=EVERYTHING&amp;vid=01CRU&amp;lang=en_US&amp;offset=0&amp;query=any,contains,991000832829702656","Catalog Record")</f>
        <v>Catalog Record</v>
      </c>
      <c r="AV125" s="5" t="str">
        <f>HYPERLINK("http://www.worldcat.org/oclc/33008239","WorldCat Record")</f>
        <v>WorldCat Record</v>
      </c>
      <c r="AW125" s="2" t="s">
        <v>1681</v>
      </c>
      <c r="AX125" s="2" t="s">
        <v>1693</v>
      </c>
      <c r="AY125" s="2" t="s">
        <v>1694</v>
      </c>
      <c r="AZ125" s="2" t="s">
        <v>1694</v>
      </c>
      <c r="BA125" s="2" t="s">
        <v>1695</v>
      </c>
      <c r="BB125" s="2" t="s">
        <v>21</v>
      </c>
      <c r="BD125" s="2" t="s">
        <v>1696</v>
      </c>
      <c r="BE125" s="2" t="s">
        <v>1697</v>
      </c>
      <c r="BF125" s="2" t="s">
        <v>1698</v>
      </c>
    </row>
    <row r="126" spans="1:58" ht="41.25" customHeight="1" x14ac:dyDescent="0.25">
      <c r="A126" s="8" t="s">
        <v>5</v>
      </c>
      <c r="B126" s="1" t="s">
        <v>0</v>
      </c>
      <c r="C126" s="1" t="s">
        <v>1</v>
      </c>
      <c r="D126" s="1" t="s">
        <v>1699</v>
      </c>
      <c r="E126" s="1" t="s">
        <v>1700</v>
      </c>
      <c r="F126" s="1" t="s">
        <v>1701</v>
      </c>
      <c r="H126" s="2" t="s">
        <v>5</v>
      </c>
      <c r="I126" s="2" t="s">
        <v>6</v>
      </c>
      <c r="J126" s="2" t="s">
        <v>5</v>
      </c>
      <c r="K126" s="2" t="s">
        <v>16</v>
      </c>
      <c r="L126" s="2" t="s">
        <v>7</v>
      </c>
      <c r="M126" s="1" t="s">
        <v>1678</v>
      </c>
      <c r="N126" s="1" t="s">
        <v>1702</v>
      </c>
      <c r="O126" s="2" t="s">
        <v>1004</v>
      </c>
      <c r="P126" s="1" t="s">
        <v>771</v>
      </c>
      <c r="Q126" s="2" t="s">
        <v>11</v>
      </c>
      <c r="R126" s="2" t="s">
        <v>12</v>
      </c>
      <c r="T126" s="2" t="s">
        <v>520</v>
      </c>
      <c r="U126" s="3">
        <v>2</v>
      </c>
      <c r="V126" s="3">
        <v>2</v>
      </c>
      <c r="W126" s="4" t="s">
        <v>1703</v>
      </c>
      <c r="X126" s="4" t="s">
        <v>1703</v>
      </c>
      <c r="Y126" s="4" t="s">
        <v>1703</v>
      </c>
      <c r="Z126" s="4" t="s">
        <v>1703</v>
      </c>
      <c r="AA126" s="3">
        <v>327</v>
      </c>
      <c r="AB126" s="3">
        <v>262</v>
      </c>
      <c r="AC126" s="3">
        <v>739</v>
      </c>
      <c r="AD126" s="3">
        <v>1</v>
      </c>
      <c r="AE126" s="3">
        <v>3</v>
      </c>
      <c r="AF126" s="3">
        <v>7</v>
      </c>
      <c r="AG126" s="3">
        <v>14</v>
      </c>
      <c r="AH126" s="3">
        <v>2</v>
      </c>
      <c r="AI126" s="3">
        <v>3</v>
      </c>
      <c r="AJ126" s="3">
        <v>0</v>
      </c>
      <c r="AK126" s="3">
        <v>2</v>
      </c>
      <c r="AL126" s="3">
        <v>5</v>
      </c>
      <c r="AM126" s="3">
        <v>9</v>
      </c>
      <c r="AN126" s="3">
        <v>0</v>
      </c>
      <c r="AO126" s="3">
        <v>1</v>
      </c>
      <c r="AP126" s="3">
        <v>0</v>
      </c>
      <c r="AQ126" s="3">
        <v>0</v>
      </c>
      <c r="AR126" s="2" t="s">
        <v>5</v>
      </c>
      <c r="AS126" s="2" t="s">
        <v>16</v>
      </c>
      <c r="AT126" s="5" t="str">
        <f>HYPERLINK("http://catalog.hathitrust.org/Record/004027505","HathiTrust Record")</f>
        <v>HathiTrust Record</v>
      </c>
      <c r="AU126" s="5" t="str">
        <f>HYPERLINK("https://creighton-primo.hosted.exlibrisgroup.com/primo-explore/search?tab=default_tab&amp;search_scope=EVERYTHING&amp;vid=01CRU&amp;lang=en_US&amp;offset=0&amp;query=any,contains,991001561589702656","Catalog Record")</f>
        <v>Catalog Record</v>
      </c>
      <c r="AV126" s="5" t="str">
        <f>HYPERLINK("http://www.worldcat.org/oclc/40331258","WorldCat Record")</f>
        <v>WorldCat Record</v>
      </c>
      <c r="AW126" s="2" t="s">
        <v>1704</v>
      </c>
      <c r="AX126" s="2" t="s">
        <v>1705</v>
      </c>
      <c r="AY126" s="2" t="s">
        <v>1706</v>
      </c>
      <c r="AZ126" s="2" t="s">
        <v>1706</v>
      </c>
      <c r="BA126" s="2" t="s">
        <v>1707</v>
      </c>
      <c r="BB126" s="2" t="s">
        <v>21</v>
      </c>
      <c r="BD126" s="2" t="s">
        <v>1708</v>
      </c>
      <c r="BE126" s="2" t="s">
        <v>1709</v>
      </c>
      <c r="BF126" s="2" t="s">
        <v>1710</v>
      </c>
    </row>
    <row r="127" spans="1:58" ht="41.25" customHeight="1" x14ac:dyDescent="0.25">
      <c r="A127" s="8" t="s">
        <v>5</v>
      </c>
      <c r="B127" s="1" t="s">
        <v>0</v>
      </c>
      <c r="C127" s="1" t="s">
        <v>1</v>
      </c>
      <c r="D127" s="1" t="s">
        <v>1711</v>
      </c>
      <c r="E127" s="1" t="s">
        <v>1712</v>
      </c>
      <c r="F127" s="1" t="s">
        <v>1713</v>
      </c>
      <c r="H127" s="2" t="s">
        <v>5</v>
      </c>
      <c r="I127" s="2" t="s">
        <v>6</v>
      </c>
      <c r="J127" s="2" t="s">
        <v>5</v>
      </c>
      <c r="K127" s="2" t="s">
        <v>5</v>
      </c>
      <c r="L127" s="2" t="s">
        <v>7</v>
      </c>
      <c r="M127" s="1" t="s">
        <v>1714</v>
      </c>
      <c r="N127" s="1" t="s">
        <v>1715</v>
      </c>
      <c r="O127" s="2" t="s">
        <v>151</v>
      </c>
      <c r="Q127" s="2" t="s">
        <v>11</v>
      </c>
      <c r="R127" s="2" t="s">
        <v>12</v>
      </c>
      <c r="S127" s="1" t="s">
        <v>1716</v>
      </c>
      <c r="T127" s="2" t="s">
        <v>520</v>
      </c>
      <c r="U127" s="3">
        <v>1</v>
      </c>
      <c r="V127" s="3">
        <v>1</v>
      </c>
      <c r="W127" s="4" t="s">
        <v>1717</v>
      </c>
      <c r="X127" s="4" t="s">
        <v>1717</v>
      </c>
      <c r="Y127" s="4" t="s">
        <v>1718</v>
      </c>
      <c r="Z127" s="4" t="s">
        <v>1718</v>
      </c>
      <c r="AA127" s="3">
        <v>140</v>
      </c>
      <c r="AB127" s="3">
        <v>124</v>
      </c>
      <c r="AC127" s="3">
        <v>127</v>
      </c>
      <c r="AD127" s="3">
        <v>3</v>
      </c>
      <c r="AE127" s="3">
        <v>3</v>
      </c>
      <c r="AF127" s="3">
        <v>5</v>
      </c>
      <c r="AG127" s="3">
        <v>5</v>
      </c>
      <c r="AH127" s="3">
        <v>0</v>
      </c>
      <c r="AI127" s="3">
        <v>0</v>
      </c>
      <c r="AJ127" s="3">
        <v>2</v>
      </c>
      <c r="AK127" s="3">
        <v>2</v>
      </c>
      <c r="AL127" s="3">
        <v>2</v>
      </c>
      <c r="AM127" s="3">
        <v>2</v>
      </c>
      <c r="AN127" s="3">
        <v>1</v>
      </c>
      <c r="AO127" s="3">
        <v>1</v>
      </c>
      <c r="AP127" s="3">
        <v>0</v>
      </c>
      <c r="AQ127" s="3">
        <v>0</v>
      </c>
      <c r="AR127" s="2" t="s">
        <v>5</v>
      </c>
      <c r="AS127" s="2" t="s">
        <v>16</v>
      </c>
      <c r="AT127" s="5" t="str">
        <f>HYPERLINK("http://catalog.hathitrust.org/Record/000727734","HathiTrust Record")</f>
        <v>HathiTrust Record</v>
      </c>
      <c r="AU127" s="5" t="str">
        <f>HYPERLINK("https://creighton-primo.hosted.exlibrisgroup.com/primo-explore/search?tab=default_tab&amp;search_scope=EVERYTHING&amp;vid=01CRU&amp;lang=en_US&amp;offset=0&amp;query=any,contains,991001381119702656","Catalog Record")</f>
        <v>Catalog Record</v>
      </c>
      <c r="AV127" s="5" t="str">
        <f>HYPERLINK("http://www.worldcat.org/oclc/2536880","WorldCat Record")</f>
        <v>WorldCat Record</v>
      </c>
      <c r="AW127" s="2" t="s">
        <v>1719</v>
      </c>
      <c r="AX127" s="2" t="s">
        <v>1720</v>
      </c>
      <c r="AY127" s="2" t="s">
        <v>1721</v>
      </c>
      <c r="AZ127" s="2" t="s">
        <v>1721</v>
      </c>
      <c r="BA127" s="2" t="s">
        <v>1722</v>
      </c>
      <c r="BB127" s="2" t="s">
        <v>21</v>
      </c>
      <c r="BE127" s="2" t="s">
        <v>1723</v>
      </c>
      <c r="BF127" s="2" t="s">
        <v>1724</v>
      </c>
    </row>
    <row r="128" spans="1:58" ht="41.25" customHeight="1" x14ac:dyDescent="0.25">
      <c r="A128" s="8" t="s">
        <v>5</v>
      </c>
      <c r="B128" s="1" t="s">
        <v>0</v>
      </c>
      <c r="C128" s="1" t="s">
        <v>1</v>
      </c>
      <c r="D128" s="1" t="s">
        <v>1725</v>
      </c>
      <c r="E128" s="1" t="s">
        <v>1726</v>
      </c>
      <c r="F128" s="1" t="s">
        <v>1727</v>
      </c>
      <c r="H128" s="2" t="s">
        <v>5</v>
      </c>
      <c r="I128" s="2" t="s">
        <v>6</v>
      </c>
      <c r="J128" s="2" t="s">
        <v>5</v>
      </c>
      <c r="K128" s="2" t="s">
        <v>16</v>
      </c>
      <c r="L128" s="2" t="s">
        <v>7</v>
      </c>
      <c r="M128" s="1" t="s">
        <v>1728</v>
      </c>
      <c r="N128" s="1" t="s">
        <v>1729</v>
      </c>
      <c r="O128" s="2" t="s">
        <v>1378</v>
      </c>
      <c r="P128" s="1" t="s">
        <v>1208</v>
      </c>
      <c r="Q128" s="2" t="s">
        <v>11</v>
      </c>
      <c r="R128" s="2" t="s">
        <v>78</v>
      </c>
      <c r="T128" s="2" t="s">
        <v>520</v>
      </c>
      <c r="U128" s="3">
        <v>3</v>
      </c>
      <c r="V128" s="3">
        <v>3</v>
      </c>
      <c r="W128" s="4" t="s">
        <v>1730</v>
      </c>
      <c r="X128" s="4" t="s">
        <v>1730</v>
      </c>
      <c r="Y128" s="4" t="s">
        <v>1731</v>
      </c>
      <c r="Z128" s="4" t="s">
        <v>1731</v>
      </c>
      <c r="AA128" s="3">
        <v>351</v>
      </c>
      <c r="AB128" s="3">
        <v>262</v>
      </c>
      <c r="AC128" s="3">
        <v>498</v>
      </c>
      <c r="AD128" s="3">
        <v>1</v>
      </c>
      <c r="AE128" s="3">
        <v>2</v>
      </c>
      <c r="AF128" s="3">
        <v>7</v>
      </c>
      <c r="AG128" s="3">
        <v>17</v>
      </c>
      <c r="AH128" s="3">
        <v>5</v>
      </c>
      <c r="AI128" s="3">
        <v>8</v>
      </c>
      <c r="AJ128" s="3">
        <v>1</v>
      </c>
      <c r="AK128" s="3">
        <v>3</v>
      </c>
      <c r="AL128" s="3">
        <v>3</v>
      </c>
      <c r="AM128" s="3">
        <v>11</v>
      </c>
      <c r="AN128" s="3">
        <v>0</v>
      </c>
      <c r="AO128" s="3">
        <v>1</v>
      </c>
      <c r="AP128" s="3">
        <v>0</v>
      </c>
      <c r="AQ128" s="3">
        <v>0</v>
      </c>
      <c r="AR128" s="2" t="s">
        <v>5</v>
      </c>
      <c r="AS128" s="2" t="s">
        <v>16</v>
      </c>
      <c r="AT128" s="5" t="str">
        <f>HYPERLINK("http://catalog.hathitrust.org/Record/003252727","HathiTrust Record")</f>
        <v>HathiTrust Record</v>
      </c>
      <c r="AU128" s="5" t="str">
        <f>HYPERLINK("https://creighton-primo.hosted.exlibrisgroup.com/primo-explore/search?tab=default_tab&amp;search_scope=EVERYTHING&amp;vid=01CRU&amp;lang=en_US&amp;offset=0&amp;query=any,contains,991001429369702656","Catalog Record")</f>
        <v>Catalog Record</v>
      </c>
      <c r="AV128" s="5" t="str">
        <f>HYPERLINK("http://www.worldcat.org/oclc/37879074","WorldCat Record")</f>
        <v>WorldCat Record</v>
      </c>
      <c r="AW128" s="2" t="s">
        <v>1732</v>
      </c>
      <c r="AX128" s="2" t="s">
        <v>1733</v>
      </c>
      <c r="AY128" s="2" t="s">
        <v>1734</v>
      </c>
      <c r="AZ128" s="2" t="s">
        <v>1734</v>
      </c>
      <c r="BA128" s="2" t="s">
        <v>1735</v>
      </c>
      <c r="BB128" s="2" t="s">
        <v>21</v>
      </c>
      <c r="BE128" s="2" t="s">
        <v>1736</v>
      </c>
      <c r="BF128" s="2" t="s">
        <v>1737</v>
      </c>
    </row>
    <row r="129" spans="1:58" ht="41.25" customHeight="1" x14ac:dyDescent="0.25">
      <c r="A129" s="8" t="s">
        <v>5</v>
      </c>
      <c r="B129" s="1" t="s">
        <v>0</v>
      </c>
      <c r="C129" s="1" t="s">
        <v>1</v>
      </c>
      <c r="D129" s="1" t="s">
        <v>1738</v>
      </c>
      <c r="E129" s="1" t="s">
        <v>1739</v>
      </c>
      <c r="F129" s="1" t="s">
        <v>1740</v>
      </c>
      <c r="H129" s="2" t="s">
        <v>5</v>
      </c>
      <c r="I129" s="2" t="s">
        <v>6</v>
      </c>
      <c r="J129" s="2" t="s">
        <v>5</v>
      </c>
      <c r="K129" s="2" t="s">
        <v>5</v>
      </c>
      <c r="L129" s="2" t="s">
        <v>7</v>
      </c>
      <c r="M129" s="1" t="s">
        <v>1741</v>
      </c>
      <c r="N129" s="1" t="s">
        <v>1742</v>
      </c>
      <c r="O129" s="2" t="s">
        <v>794</v>
      </c>
      <c r="Q129" s="2" t="s">
        <v>11</v>
      </c>
      <c r="R129" s="2" t="s">
        <v>271</v>
      </c>
      <c r="T129" s="2" t="s">
        <v>520</v>
      </c>
      <c r="U129" s="3">
        <v>2</v>
      </c>
      <c r="V129" s="3">
        <v>2</v>
      </c>
      <c r="W129" s="4" t="s">
        <v>1743</v>
      </c>
      <c r="X129" s="4" t="s">
        <v>1743</v>
      </c>
      <c r="Y129" s="4" t="s">
        <v>1744</v>
      </c>
      <c r="Z129" s="4" t="s">
        <v>1744</v>
      </c>
      <c r="AA129" s="3">
        <v>211</v>
      </c>
      <c r="AB129" s="3">
        <v>182</v>
      </c>
      <c r="AC129" s="3">
        <v>191</v>
      </c>
      <c r="AD129" s="3">
        <v>3</v>
      </c>
      <c r="AE129" s="3">
        <v>3</v>
      </c>
      <c r="AF129" s="3">
        <v>14</v>
      </c>
      <c r="AG129" s="3">
        <v>14</v>
      </c>
      <c r="AH129" s="3">
        <v>7</v>
      </c>
      <c r="AI129" s="3">
        <v>7</v>
      </c>
      <c r="AJ129" s="3">
        <v>3</v>
      </c>
      <c r="AK129" s="3">
        <v>3</v>
      </c>
      <c r="AL129" s="3">
        <v>7</v>
      </c>
      <c r="AM129" s="3">
        <v>7</v>
      </c>
      <c r="AN129" s="3">
        <v>1</v>
      </c>
      <c r="AO129" s="3">
        <v>1</v>
      </c>
      <c r="AP129" s="3">
        <v>0</v>
      </c>
      <c r="AQ129" s="3">
        <v>0</v>
      </c>
      <c r="AR129" s="2" t="s">
        <v>5</v>
      </c>
      <c r="AS129" s="2" t="s">
        <v>5</v>
      </c>
      <c r="AU129" s="5" t="str">
        <f>HYPERLINK("https://creighton-primo.hosted.exlibrisgroup.com/primo-explore/search?tab=default_tab&amp;search_scope=EVERYTHING&amp;vid=01CRU&amp;lang=en_US&amp;offset=0&amp;query=any,contains,991001227139702656","Catalog Record")</f>
        <v>Catalog Record</v>
      </c>
      <c r="AV129" s="5" t="str">
        <f>HYPERLINK("http://www.worldcat.org/oclc/35694537","WorldCat Record")</f>
        <v>WorldCat Record</v>
      </c>
      <c r="AW129" s="2" t="s">
        <v>1745</v>
      </c>
      <c r="AX129" s="2" t="s">
        <v>1746</v>
      </c>
      <c r="AY129" s="2" t="s">
        <v>1747</v>
      </c>
      <c r="AZ129" s="2" t="s">
        <v>1747</v>
      </c>
      <c r="BA129" s="2" t="s">
        <v>1748</v>
      </c>
      <c r="BB129" s="2" t="s">
        <v>21</v>
      </c>
      <c r="BD129" s="2" t="s">
        <v>1749</v>
      </c>
      <c r="BE129" s="2" t="s">
        <v>1750</v>
      </c>
      <c r="BF129" s="2" t="s">
        <v>1751</v>
      </c>
    </row>
    <row r="130" spans="1:58" ht="41.25" customHeight="1" x14ac:dyDescent="0.25">
      <c r="A130" s="8" t="s">
        <v>5</v>
      </c>
      <c r="B130" s="1" t="s">
        <v>0</v>
      </c>
      <c r="C130" s="1" t="s">
        <v>1</v>
      </c>
      <c r="D130" s="1" t="s">
        <v>1752</v>
      </c>
      <c r="E130" s="1" t="s">
        <v>1753</v>
      </c>
      <c r="F130" s="1" t="s">
        <v>1754</v>
      </c>
      <c r="H130" s="2" t="s">
        <v>5</v>
      </c>
      <c r="I130" s="2" t="s">
        <v>6</v>
      </c>
      <c r="J130" s="2" t="s">
        <v>5</v>
      </c>
      <c r="K130" s="2" t="s">
        <v>5</v>
      </c>
      <c r="L130" s="2" t="s">
        <v>7</v>
      </c>
      <c r="M130" s="1" t="s">
        <v>1755</v>
      </c>
      <c r="N130" s="1" t="s">
        <v>1756</v>
      </c>
      <c r="O130" s="2" t="s">
        <v>1102</v>
      </c>
      <c r="Q130" s="2" t="s">
        <v>11</v>
      </c>
      <c r="R130" s="2" t="s">
        <v>12</v>
      </c>
      <c r="S130" s="1" t="s">
        <v>1757</v>
      </c>
      <c r="T130" s="2" t="s">
        <v>520</v>
      </c>
      <c r="U130" s="3">
        <v>3</v>
      </c>
      <c r="V130" s="3">
        <v>3</v>
      </c>
      <c r="W130" s="4" t="s">
        <v>1758</v>
      </c>
      <c r="X130" s="4" t="s">
        <v>1758</v>
      </c>
      <c r="Y130" s="4" t="s">
        <v>736</v>
      </c>
      <c r="Z130" s="4" t="s">
        <v>736</v>
      </c>
      <c r="AA130" s="3">
        <v>124</v>
      </c>
      <c r="AB130" s="3">
        <v>112</v>
      </c>
      <c r="AC130" s="3">
        <v>251</v>
      </c>
      <c r="AD130" s="3">
        <v>2</v>
      </c>
      <c r="AE130" s="3">
        <v>2</v>
      </c>
      <c r="AF130" s="3">
        <v>7</v>
      </c>
      <c r="AG130" s="3">
        <v>11</v>
      </c>
      <c r="AH130" s="3">
        <v>2</v>
      </c>
      <c r="AI130" s="3">
        <v>4</v>
      </c>
      <c r="AJ130" s="3">
        <v>1</v>
      </c>
      <c r="AK130" s="3">
        <v>2</v>
      </c>
      <c r="AL130" s="3">
        <v>5</v>
      </c>
      <c r="AM130" s="3">
        <v>8</v>
      </c>
      <c r="AN130" s="3">
        <v>0</v>
      </c>
      <c r="AO130" s="3">
        <v>0</v>
      </c>
      <c r="AP130" s="3">
        <v>0</v>
      </c>
      <c r="AQ130" s="3">
        <v>0</v>
      </c>
      <c r="AR130" s="2" t="s">
        <v>5</v>
      </c>
      <c r="AS130" s="2" t="s">
        <v>16</v>
      </c>
      <c r="AT130" s="5" t="str">
        <f>HYPERLINK("http://catalog.hathitrust.org/Record/002508266","HathiTrust Record")</f>
        <v>HathiTrust Record</v>
      </c>
      <c r="AU130" s="5" t="str">
        <f>HYPERLINK("https://creighton-primo.hosted.exlibrisgroup.com/primo-explore/search?tab=default_tab&amp;search_scope=EVERYTHING&amp;vid=01CRU&amp;lang=en_US&amp;offset=0&amp;query=any,contains,991001517299702656","Catalog Record")</f>
        <v>Catalog Record</v>
      </c>
      <c r="AV130" s="5" t="str">
        <f>HYPERLINK("http://www.worldcat.org/oclc/16278572","WorldCat Record")</f>
        <v>WorldCat Record</v>
      </c>
      <c r="AW130" s="2" t="s">
        <v>1759</v>
      </c>
      <c r="AX130" s="2" t="s">
        <v>1760</v>
      </c>
      <c r="AY130" s="2" t="s">
        <v>1761</v>
      </c>
      <c r="AZ130" s="2" t="s">
        <v>1761</v>
      </c>
      <c r="BA130" s="2" t="s">
        <v>1762</v>
      </c>
      <c r="BB130" s="2" t="s">
        <v>21</v>
      </c>
      <c r="BD130" s="2" t="s">
        <v>1763</v>
      </c>
      <c r="BE130" s="2" t="s">
        <v>1764</v>
      </c>
      <c r="BF130" s="2" t="s">
        <v>1765</v>
      </c>
    </row>
    <row r="131" spans="1:58" ht="41.25" customHeight="1" x14ac:dyDescent="0.25">
      <c r="A131" s="8" t="s">
        <v>5</v>
      </c>
      <c r="B131" s="1" t="s">
        <v>0</v>
      </c>
      <c r="C131" s="1" t="s">
        <v>1</v>
      </c>
      <c r="D131" s="1" t="s">
        <v>1766</v>
      </c>
      <c r="E131" s="1" t="s">
        <v>1767</v>
      </c>
      <c r="F131" s="1" t="s">
        <v>1768</v>
      </c>
      <c r="H131" s="2" t="s">
        <v>5</v>
      </c>
      <c r="I131" s="2" t="s">
        <v>6</v>
      </c>
      <c r="J131" s="2" t="s">
        <v>5</v>
      </c>
      <c r="K131" s="2" t="s">
        <v>5</v>
      </c>
      <c r="L131" s="2" t="s">
        <v>7</v>
      </c>
      <c r="M131" s="1" t="s">
        <v>1769</v>
      </c>
      <c r="N131" s="1" t="s">
        <v>1770</v>
      </c>
      <c r="O131" s="2" t="s">
        <v>989</v>
      </c>
      <c r="Q131" s="2" t="s">
        <v>11</v>
      </c>
      <c r="R131" s="2" t="s">
        <v>31</v>
      </c>
      <c r="S131" s="1" t="s">
        <v>1771</v>
      </c>
      <c r="T131" s="2" t="s">
        <v>520</v>
      </c>
      <c r="U131" s="3">
        <v>2</v>
      </c>
      <c r="V131" s="3">
        <v>2</v>
      </c>
      <c r="W131" s="4" t="s">
        <v>1615</v>
      </c>
      <c r="X131" s="4" t="s">
        <v>1615</v>
      </c>
      <c r="Y131" s="4" t="s">
        <v>604</v>
      </c>
      <c r="Z131" s="4" t="s">
        <v>604</v>
      </c>
      <c r="AA131" s="3">
        <v>176</v>
      </c>
      <c r="AB131" s="3">
        <v>166</v>
      </c>
      <c r="AC131" s="3">
        <v>176</v>
      </c>
      <c r="AD131" s="3">
        <v>1</v>
      </c>
      <c r="AE131" s="3">
        <v>1</v>
      </c>
      <c r="AF131" s="3">
        <v>10</v>
      </c>
      <c r="AG131" s="3">
        <v>10</v>
      </c>
      <c r="AH131" s="3">
        <v>4</v>
      </c>
      <c r="AI131" s="3">
        <v>4</v>
      </c>
      <c r="AJ131" s="3">
        <v>0</v>
      </c>
      <c r="AK131" s="3">
        <v>0</v>
      </c>
      <c r="AL131" s="3">
        <v>8</v>
      </c>
      <c r="AM131" s="3">
        <v>8</v>
      </c>
      <c r="AN131" s="3">
        <v>0</v>
      </c>
      <c r="AO131" s="3">
        <v>0</v>
      </c>
      <c r="AP131" s="3">
        <v>0</v>
      </c>
      <c r="AQ131" s="3">
        <v>0</v>
      </c>
      <c r="AR131" s="2" t="s">
        <v>5</v>
      </c>
      <c r="AS131" s="2" t="s">
        <v>16</v>
      </c>
      <c r="AT131" s="5" t="str">
        <f>HYPERLINK("http://catalog.hathitrust.org/Record/002435635","HathiTrust Record")</f>
        <v>HathiTrust Record</v>
      </c>
      <c r="AU131" s="5" t="str">
        <f>HYPERLINK("https://creighton-primo.hosted.exlibrisgroup.com/primo-explore/search?tab=default_tab&amp;search_scope=EVERYTHING&amp;vid=01CRU&amp;lang=en_US&amp;offset=0&amp;query=any,contains,991000225869702656","Catalog Record")</f>
        <v>Catalog Record</v>
      </c>
      <c r="AV131" s="5" t="str">
        <f>HYPERLINK("http://www.worldcat.org/oclc/22665345","WorldCat Record")</f>
        <v>WorldCat Record</v>
      </c>
      <c r="AW131" s="2" t="s">
        <v>1772</v>
      </c>
      <c r="AX131" s="2" t="s">
        <v>1773</v>
      </c>
      <c r="AY131" s="2" t="s">
        <v>1774</v>
      </c>
      <c r="AZ131" s="2" t="s">
        <v>1774</v>
      </c>
      <c r="BA131" s="2" t="s">
        <v>1775</v>
      </c>
      <c r="BB131" s="2" t="s">
        <v>21</v>
      </c>
      <c r="BD131" s="2" t="s">
        <v>1776</v>
      </c>
      <c r="BE131" s="2" t="s">
        <v>1777</v>
      </c>
      <c r="BF131" s="2" t="s">
        <v>1778</v>
      </c>
    </row>
    <row r="132" spans="1:58" ht="41.25" customHeight="1" x14ac:dyDescent="0.25">
      <c r="A132" s="8" t="s">
        <v>5</v>
      </c>
      <c r="B132" s="1" t="s">
        <v>0</v>
      </c>
      <c r="C132" s="1" t="s">
        <v>1</v>
      </c>
      <c r="D132" s="1" t="s">
        <v>1779</v>
      </c>
      <c r="E132" s="1" t="s">
        <v>1780</v>
      </c>
      <c r="F132" s="1" t="s">
        <v>1781</v>
      </c>
      <c r="G132" s="2" t="s">
        <v>832</v>
      </c>
      <c r="H132" s="2" t="s">
        <v>16</v>
      </c>
      <c r="I132" s="2" t="s">
        <v>6</v>
      </c>
      <c r="J132" s="2" t="s">
        <v>5</v>
      </c>
      <c r="K132" s="2" t="s">
        <v>5</v>
      </c>
      <c r="L132" s="2" t="s">
        <v>7</v>
      </c>
      <c r="N132" s="1" t="s">
        <v>1782</v>
      </c>
      <c r="O132" s="2" t="s">
        <v>939</v>
      </c>
      <c r="Q132" s="2" t="s">
        <v>11</v>
      </c>
      <c r="R132" s="2" t="s">
        <v>12</v>
      </c>
      <c r="T132" s="2" t="s">
        <v>520</v>
      </c>
      <c r="U132" s="3">
        <v>17</v>
      </c>
      <c r="V132" s="3">
        <v>106</v>
      </c>
      <c r="W132" s="4" t="s">
        <v>1783</v>
      </c>
      <c r="X132" s="4" t="s">
        <v>1784</v>
      </c>
      <c r="Y132" s="4" t="s">
        <v>1785</v>
      </c>
      <c r="Z132" s="4" t="s">
        <v>1785</v>
      </c>
      <c r="AA132" s="3">
        <v>421</v>
      </c>
      <c r="AB132" s="3">
        <v>353</v>
      </c>
      <c r="AC132" s="3">
        <v>1317</v>
      </c>
      <c r="AD132" s="3">
        <v>4</v>
      </c>
      <c r="AE132" s="3">
        <v>16</v>
      </c>
      <c r="AF132" s="3">
        <v>19</v>
      </c>
      <c r="AG132" s="3">
        <v>49</v>
      </c>
      <c r="AH132" s="3">
        <v>8</v>
      </c>
      <c r="AI132" s="3">
        <v>16</v>
      </c>
      <c r="AJ132" s="3">
        <v>2</v>
      </c>
      <c r="AK132" s="3">
        <v>7</v>
      </c>
      <c r="AL132" s="3">
        <v>10</v>
      </c>
      <c r="AM132" s="3">
        <v>19</v>
      </c>
      <c r="AN132" s="3">
        <v>3</v>
      </c>
      <c r="AO132" s="3">
        <v>14</v>
      </c>
      <c r="AP132" s="3">
        <v>0</v>
      </c>
      <c r="AQ132" s="3">
        <v>1</v>
      </c>
      <c r="AR132" s="2" t="s">
        <v>5</v>
      </c>
      <c r="AS132" s="2" t="s">
        <v>16</v>
      </c>
      <c r="AT132" s="5" t="str">
        <f>HYPERLINK("http://catalog.hathitrust.org/Record/000949136","HathiTrust Record")</f>
        <v>HathiTrust Record</v>
      </c>
      <c r="AU132" s="5" t="str">
        <f>HYPERLINK("https://creighton-primo.hosted.exlibrisgroup.com/primo-explore/search?tab=default_tab&amp;search_scope=EVERYTHING&amp;vid=01CRU&amp;lang=en_US&amp;offset=0&amp;query=any,contains,991000934399702656","Catalog Record")</f>
        <v>Catalog Record</v>
      </c>
      <c r="AV132" s="5" t="str">
        <f>HYPERLINK("http://www.worldcat.org/oclc/18105510","WorldCat Record")</f>
        <v>WorldCat Record</v>
      </c>
      <c r="AW132" s="2" t="s">
        <v>1786</v>
      </c>
      <c r="AX132" s="2" t="s">
        <v>1787</v>
      </c>
      <c r="AY132" s="2" t="s">
        <v>1788</v>
      </c>
      <c r="AZ132" s="2" t="s">
        <v>1788</v>
      </c>
      <c r="BA132" s="2" t="s">
        <v>1789</v>
      </c>
      <c r="BB132" s="2" t="s">
        <v>21</v>
      </c>
      <c r="BD132" s="2" t="s">
        <v>1790</v>
      </c>
      <c r="BE132" s="2" t="s">
        <v>1791</v>
      </c>
      <c r="BF132" s="2" t="s">
        <v>1792</v>
      </c>
    </row>
    <row r="133" spans="1:58" ht="41.25" customHeight="1" x14ac:dyDescent="0.25">
      <c r="A133" s="8" t="s">
        <v>5</v>
      </c>
      <c r="B133" s="1" t="s">
        <v>0</v>
      </c>
      <c r="C133" s="1" t="s">
        <v>1</v>
      </c>
      <c r="D133" s="1" t="s">
        <v>1779</v>
      </c>
      <c r="E133" s="1" t="s">
        <v>1780</v>
      </c>
      <c r="F133" s="1" t="s">
        <v>1781</v>
      </c>
      <c r="G133" s="2" t="s">
        <v>836</v>
      </c>
      <c r="H133" s="2" t="s">
        <v>16</v>
      </c>
      <c r="I133" s="2" t="s">
        <v>6</v>
      </c>
      <c r="J133" s="2" t="s">
        <v>5</v>
      </c>
      <c r="K133" s="2" t="s">
        <v>5</v>
      </c>
      <c r="L133" s="2" t="s">
        <v>7</v>
      </c>
      <c r="N133" s="1" t="s">
        <v>1782</v>
      </c>
      <c r="O133" s="2" t="s">
        <v>939</v>
      </c>
      <c r="Q133" s="2" t="s">
        <v>11</v>
      </c>
      <c r="R133" s="2" t="s">
        <v>12</v>
      </c>
      <c r="T133" s="2" t="s">
        <v>520</v>
      </c>
      <c r="U133" s="3">
        <v>22</v>
      </c>
      <c r="V133" s="3">
        <v>106</v>
      </c>
      <c r="W133" s="4" t="s">
        <v>1793</v>
      </c>
      <c r="X133" s="4" t="s">
        <v>1784</v>
      </c>
      <c r="Y133" s="4" t="s">
        <v>1794</v>
      </c>
      <c r="Z133" s="4" t="s">
        <v>1785</v>
      </c>
      <c r="AA133" s="3">
        <v>421</v>
      </c>
      <c r="AB133" s="3">
        <v>353</v>
      </c>
      <c r="AC133" s="3">
        <v>1317</v>
      </c>
      <c r="AD133" s="3">
        <v>4</v>
      </c>
      <c r="AE133" s="3">
        <v>16</v>
      </c>
      <c r="AF133" s="3">
        <v>19</v>
      </c>
      <c r="AG133" s="3">
        <v>49</v>
      </c>
      <c r="AH133" s="3">
        <v>8</v>
      </c>
      <c r="AI133" s="3">
        <v>16</v>
      </c>
      <c r="AJ133" s="3">
        <v>2</v>
      </c>
      <c r="AK133" s="3">
        <v>7</v>
      </c>
      <c r="AL133" s="3">
        <v>10</v>
      </c>
      <c r="AM133" s="3">
        <v>19</v>
      </c>
      <c r="AN133" s="3">
        <v>3</v>
      </c>
      <c r="AO133" s="3">
        <v>14</v>
      </c>
      <c r="AP133" s="3">
        <v>0</v>
      </c>
      <c r="AQ133" s="3">
        <v>1</v>
      </c>
      <c r="AR133" s="2" t="s">
        <v>5</v>
      </c>
      <c r="AS133" s="2" t="s">
        <v>16</v>
      </c>
      <c r="AT133" s="5" t="str">
        <f>HYPERLINK("http://catalog.hathitrust.org/Record/000949136","HathiTrust Record")</f>
        <v>HathiTrust Record</v>
      </c>
      <c r="AU133" s="5" t="str">
        <f>HYPERLINK("https://creighton-primo.hosted.exlibrisgroup.com/primo-explore/search?tab=default_tab&amp;search_scope=EVERYTHING&amp;vid=01CRU&amp;lang=en_US&amp;offset=0&amp;query=any,contains,991000934399702656","Catalog Record")</f>
        <v>Catalog Record</v>
      </c>
      <c r="AV133" s="5" t="str">
        <f>HYPERLINK("http://www.worldcat.org/oclc/18105510","WorldCat Record")</f>
        <v>WorldCat Record</v>
      </c>
      <c r="AW133" s="2" t="s">
        <v>1786</v>
      </c>
      <c r="AX133" s="2" t="s">
        <v>1787</v>
      </c>
      <c r="AY133" s="2" t="s">
        <v>1788</v>
      </c>
      <c r="AZ133" s="2" t="s">
        <v>1788</v>
      </c>
      <c r="BA133" s="2" t="s">
        <v>1789</v>
      </c>
      <c r="BB133" s="2" t="s">
        <v>21</v>
      </c>
      <c r="BD133" s="2" t="s">
        <v>1790</v>
      </c>
      <c r="BE133" s="2" t="s">
        <v>1795</v>
      </c>
      <c r="BF133" s="2" t="s">
        <v>1796</v>
      </c>
    </row>
    <row r="134" spans="1:58" ht="41.25" customHeight="1" x14ac:dyDescent="0.25">
      <c r="A134" s="8" t="s">
        <v>5</v>
      </c>
      <c r="B134" s="1" t="s">
        <v>0</v>
      </c>
      <c r="C134" s="1" t="s">
        <v>1</v>
      </c>
      <c r="D134" s="1" t="s">
        <v>1797</v>
      </c>
      <c r="E134" s="1" t="s">
        <v>1798</v>
      </c>
      <c r="F134" s="1" t="s">
        <v>1781</v>
      </c>
      <c r="G134" s="2" t="s">
        <v>839</v>
      </c>
      <c r="H134" s="2" t="s">
        <v>16</v>
      </c>
      <c r="I134" s="2" t="s">
        <v>6</v>
      </c>
      <c r="J134" s="2" t="s">
        <v>5</v>
      </c>
      <c r="K134" s="2" t="s">
        <v>5</v>
      </c>
      <c r="L134" s="2" t="s">
        <v>7</v>
      </c>
      <c r="N134" s="1" t="s">
        <v>1782</v>
      </c>
      <c r="O134" s="2" t="s">
        <v>939</v>
      </c>
      <c r="Q134" s="2" t="s">
        <v>11</v>
      </c>
      <c r="R134" s="2" t="s">
        <v>12</v>
      </c>
      <c r="T134" s="2" t="s">
        <v>520</v>
      </c>
      <c r="U134" s="3">
        <v>36</v>
      </c>
      <c r="V134" s="3">
        <v>106</v>
      </c>
      <c r="W134" s="4" t="s">
        <v>1799</v>
      </c>
      <c r="X134" s="4" t="s">
        <v>1784</v>
      </c>
      <c r="Y134" s="4" t="s">
        <v>1800</v>
      </c>
      <c r="Z134" s="4" t="s">
        <v>1785</v>
      </c>
      <c r="AA134" s="3">
        <v>421</v>
      </c>
      <c r="AB134" s="3">
        <v>353</v>
      </c>
      <c r="AC134" s="3">
        <v>1317</v>
      </c>
      <c r="AD134" s="3">
        <v>4</v>
      </c>
      <c r="AE134" s="3">
        <v>16</v>
      </c>
      <c r="AF134" s="3">
        <v>19</v>
      </c>
      <c r="AG134" s="3">
        <v>49</v>
      </c>
      <c r="AH134" s="3">
        <v>8</v>
      </c>
      <c r="AI134" s="3">
        <v>16</v>
      </c>
      <c r="AJ134" s="3">
        <v>2</v>
      </c>
      <c r="AK134" s="3">
        <v>7</v>
      </c>
      <c r="AL134" s="3">
        <v>10</v>
      </c>
      <c r="AM134" s="3">
        <v>19</v>
      </c>
      <c r="AN134" s="3">
        <v>3</v>
      </c>
      <c r="AO134" s="3">
        <v>14</v>
      </c>
      <c r="AP134" s="3">
        <v>0</v>
      </c>
      <c r="AQ134" s="3">
        <v>1</v>
      </c>
      <c r="AR134" s="2" t="s">
        <v>5</v>
      </c>
      <c r="AS134" s="2" t="s">
        <v>16</v>
      </c>
      <c r="AT134" s="5" t="str">
        <f>HYPERLINK("http://catalog.hathitrust.org/Record/000949136","HathiTrust Record")</f>
        <v>HathiTrust Record</v>
      </c>
      <c r="AU134" s="5" t="str">
        <f>HYPERLINK("https://creighton-primo.hosted.exlibrisgroup.com/primo-explore/search?tab=default_tab&amp;search_scope=EVERYTHING&amp;vid=01CRU&amp;lang=en_US&amp;offset=0&amp;query=any,contains,991000934399702656","Catalog Record")</f>
        <v>Catalog Record</v>
      </c>
      <c r="AV134" s="5" t="str">
        <f>HYPERLINK("http://www.worldcat.org/oclc/18105510","WorldCat Record")</f>
        <v>WorldCat Record</v>
      </c>
      <c r="AW134" s="2" t="s">
        <v>1786</v>
      </c>
      <c r="AX134" s="2" t="s">
        <v>1787</v>
      </c>
      <c r="AY134" s="2" t="s">
        <v>1788</v>
      </c>
      <c r="AZ134" s="2" t="s">
        <v>1788</v>
      </c>
      <c r="BA134" s="2" t="s">
        <v>1789</v>
      </c>
      <c r="BB134" s="2" t="s">
        <v>21</v>
      </c>
      <c r="BD134" s="2" t="s">
        <v>1790</v>
      </c>
      <c r="BE134" s="2" t="s">
        <v>1801</v>
      </c>
      <c r="BF134" s="2" t="s">
        <v>1802</v>
      </c>
    </row>
    <row r="135" spans="1:58" ht="41.25" customHeight="1" x14ac:dyDescent="0.25">
      <c r="A135" s="8" t="s">
        <v>5</v>
      </c>
      <c r="B135" s="1" t="s">
        <v>0</v>
      </c>
      <c r="C135" s="1" t="s">
        <v>1</v>
      </c>
      <c r="D135" s="1" t="s">
        <v>1797</v>
      </c>
      <c r="E135" s="1" t="s">
        <v>1798</v>
      </c>
      <c r="F135" s="1" t="s">
        <v>1781</v>
      </c>
      <c r="G135" s="2" t="s">
        <v>820</v>
      </c>
      <c r="H135" s="2" t="s">
        <v>16</v>
      </c>
      <c r="I135" s="2" t="s">
        <v>6</v>
      </c>
      <c r="J135" s="2" t="s">
        <v>5</v>
      </c>
      <c r="K135" s="2" t="s">
        <v>5</v>
      </c>
      <c r="L135" s="2" t="s">
        <v>7</v>
      </c>
      <c r="N135" s="1" t="s">
        <v>1782</v>
      </c>
      <c r="O135" s="2" t="s">
        <v>939</v>
      </c>
      <c r="Q135" s="2" t="s">
        <v>11</v>
      </c>
      <c r="R135" s="2" t="s">
        <v>12</v>
      </c>
      <c r="T135" s="2" t="s">
        <v>520</v>
      </c>
      <c r="U135" s="3">
        <v>31</v>
      </c>
      <c r="V135" s="3">
        <v>106</v>
      </c>
      <c r="W135" s="4" t="s">
        <v>1784</v>
      </c>
      <c r="X135" s="4" t="s">
        <v>1784</v>
      </c>
      <c r="Y135" s="4" t="s">
        <v>1800</v>
      </c>
      <c r="Z135" s="4" t="s">
        <v>1785</v>
      </c>
      <c r="AA135" s="3">
        <v>421</v>
      </c>
      <c r="AB135" s="3">
        <v>353</v>
      </c>
      <c r="AC135" s="3">
        <v>1317</v>
      </c>
      <c r="AD135" s="3">
        <v>4</v>
      </c>
      <c r="AE135" s="3">
        <v>16</v>
      </c>
      <c r="AF135" s="3">
        <v>19</v>
      </c>
      <c r="AG135" s="3">
        <v>49</v>
      </c>
      <c r="AH135" s="3">
        <v>8</v>
      </c>
      <c r="AI135" s="3">
        <v>16</v>
      </c>
      <c r="AJ135" s="3">
        <v>2</v>
      </c>
      <c r="AK135" s="3">
        <v>7</v>
      </c>
      <c r="AL135" s="3">
        <v>10</v>
      </c>
      <c r="AM135" s="3">
        <v>19</v>
      </c>
      <c r="AN135" s="3">
        <v>3</v>
      </c>
      <c r="AO135" s="3">
        <v>14</v>
      </c>
      <c r="AP135" s="3">
        <v>0</v>
      </c>
      <c r="AQ135" s="3">
        <v>1</v>
      </c>
      <c r="AR135" s="2" t="s">
        <v>5</v>
      </c>
      <c r="AS135" s="2" t="s">
        <v>16</v>
      </c>
      <c r="AT135" s="5" t="str">
        <f>HYPERLINK("http://catalog.hathitrust.org/Record/000949136","HathiTrust Record")</f>
        <v>HathiTrust Record</v>
      </c>
      <c r="AU135" s="5" t="str">
        <f>HYPERLINK("https://creighton-primo.hosted.exlibrisgroup.com/primo-explore/search?tab=default_tab&amp;search_scope=EVERYTHING&amp;vid=01CRU&amp;lang=en_US&amp;offset=0&amp;query=any,contains,991000934399702656","Catalog Record")</f>
        <v>Catalog Record</v>
      </c>
      <c r="AV135" s="5" t="str">
        <f>HYPERLINK("http://www.worldcat.org/oclc/18105510","WorldCat Record")</f>
        <v>WorldCat Record</v>
      </c>
      <c r="AW135" s="2" t="s">
        <v>1786</v>
      </c>
      <c r="AX135" s="2" t="s">
        <v>1787</v>
      </c>
      <c r="AY135" s="2" t="s">
        <v>1788</v>
      </c>
      <c r="AZ135" s="2" t="s">
        <v>1788</v>
      </c>
      <c r="BA135" s="2" t="s">
        <v>1789</v>
      </c>
      <c r="BB135" s="2" t="s">
        <v>21</v>
      </c>
      <c r="BD135" s="2" t="s">
        <v>1790</v>
      </c>
      <c r="BE135" s="2" t="s">
        <v>1803</v>
      </c>
      <c r="BF135" s="2" t="s">
        <v>1804</v>
      </c>
    </row>
    <row r="136" spans="1:58" ht="41.25" customHeight="1" x14ac:dyDescent="0.25">
      <c r="A136" s="8" t="s">
        <v>5</v>
      </c>
      <c r="B136" s="1" t="s">
        <v>0</v>
      </c>
      <c r="C136" s="1" t="s">
        <v>1</v>
      </c>
      <c r="D136" s="1" t="s">
        <v>1805</v>
      </c>
      <c r="E136" s="1" t="s">
        <v>1806</v>
      </c>
      <c r="F136" s="1" t="s">
        <v>1807</v>
      </c>
      <c r="H136" s="2" t="s">
        <v>5</v>
      </c>
      <c r="I136" s="2" t="s">
        <v>6</v>
      </c>
      <c r="J136" s="2" t="s">
        <v>5</v>
      </c>
      <c r="K136" s="2" t="s">
        <v>5</v>
      </c>
      <c r="L136" s="2" t="s">
        <v>7</v>
      </c>
      <c r="N136" s="1" t="s">
        <v>1808</v>
      </c>
      <c r="O136" s="2" t="s">
        <v>939</v>
      </c>
      <c r="Q136" s="2" t="s">
        <v>11</v>
      </c>
      <c r="R136" s="2" t="s">
        <v>426</v>
      </c>
      <c r="S136" s="1" t="s">
        <v>1809</v>
      </c>
      <c r="T136" s="2" t="s">
        <v>520</v>
      </c>
      <c r="U136" s="3">
        <v>8</v>
      </c>
      <c r="V136" s="3">
        <v>8</v>
      </c>
      <c r="W136" s="4" t="s">
        <v>1810</v>
      </c>
      <c r="X136" s="4" t="s">
        <v>1810</v>
      </c>
      <c r="Y136" s="4" t="s">
        <v>1811</v>
      </c>
      <c r="Z136" s="4" t="s">
        <v>1811</v>
      </c>
      <c r="AA136" s="3">
        <v>199</v>
      </c>
      <c r="AB136" s="3">
        <v>171</v>
      </c>
      <c r="AC136" s="3">
        <v>173</v>
      </c>
      <c r="AD136" s="3">
        <v>2</v>
      </c>
      <c r="AE136" s="3">
        <v>2</v>
      </c>
      <c r="AF136" s="3">
        <v>11</v>
      </c>
      <c r="AG136" s="3">
        <v>11</v>
      </c>
      <c r="AH136" s="3">
        <v>6</v>
      </c>
      <c r="AI136" s="3">
        <v>6</v>
      </c>
      <c r="AJ136" s="3">
        <v>2</v>
      </c>
      <c r="AK136" s="3">
        <v>2</v>
      </c>
      <c r="AL136" s="3">
        <v>5</v>
      </c>
      <c r="AM136" s="3">
        <v>5</v>
      </c>
      <c r="AN136" s="3">
        <v>0</v>
      </c>
      <c r="AO136" s="3">
        <v>0</v>
      </c>
      <c r="AP136" s="3">
        <v>0</v>
      </c>
      <c r="AQ136" s="3">
        <v>0</v>
      </c>
      <c r="AR136" s="2" t="s">
        <v>5</v>
      </c>
      <c r="AS136" s="2" t="s">
        <v>16</v>
      </c>
      <c r="AT136" s="5" t="str">
        <f>HYPERLINK("http://catalog.hathitrust.org/Record/004458586","HathiTrust Record")</f>
        <v>HathiTrust Record</v>
      </c>
      <c r="AU136" s="5" t="str">
        <f>HYPERLINK("https://creighton-primo.hosted.exlibrisgroup.com/primo-explore/search?tab=default_tab&amp;search_scope=EVERYTHING&amp;vid=01CRU&amp;lang=en_US&amp;offset=0&amp;query=any,contains,991001114549702656","Catalog Record")</f>
        <v>Catalog Record</v>
      </c>
      <c r="AV136" s="5" t="str">
        <f>HYPERLINK("http://www.worldcat.org/oclc/19010144","WorldCat Record")</f>
        <v>WorldCat Record</v>
      </c>
      <c r="AW136" s="2" t="s">
        <v>1812</v>
      </c>
      <c r="AX136" s="2" t="s">
        <v>1813</v>
      </c>
      <c r="AY136" s="2" t="s">
        <v>1814</v>
      </c>
      <c r="AZ136" s="2" t="s">
        <v>1814</v>
      </c>
      <c r="BA136" s="2" t="s">
        <v>1815</v>
      </c>
      <c r="BB136" s="2" t="s">
        <v>21</v>
      </c>
      <c r="BD136" s="2" t="s">
        <v>1816</v>
      </c>
      <c r="BE136" s="2" t="s">
        <v>1817</v>
      </c>
      <c r="BF136" s="2" t="s">
        <v>1818</v>
      </c>
    </row>
    <row r="137" spans="1:58" ht="41.25" customHeight="1" x14ac:dyDescent="0.25">
      <c r="A137" s="8" t="s">
        <v>5</v>
      </c>
      <c r="B137" s="1" t="s">
        <v>0</v>
      </c>
      <c r="C137" s="1" t="s">
        <v>1</v>
      </c>
      <c r="D137" s="1" t="s">
        <v>1819</v>
      </c>
      <c r="E137" s="1" t="s">
        <v>1820</v>
      </c>
      <c r="F137" s="1" t="s">
        <v>1821</v>
      </c>
      <c r="H137" s="2" t="s">
        <v>5</v>
      </c>
      <c r="I137" s="2" t="s">
        <v>6</v>
      </c>
      <c r="J137" s="2" t="s">
        <v>5</v>
      </c>
      <c r="K137" s="2" t="s">
        <v>5</v>
      </c>
      <c r="L137" s="2" t="s">
        <v>7</v>
      </c>
      <c r="M137" s="1" t="s">
        <v>1822</v>
      </c>
      <c r="N137" s="1" t="s">
        <v>1823</v>
      </c>
      <c r="O137" s="2" t="s">
        <v>1824</v>
      </c>
      <c r="Q137" s="2" t="s">
        <v>11</v>
      </c>
      <c r="R137" s="2" t="s">
        <v>93</v>
      </c>
      <c r="S137" s="1" t="s">
        <v>1825</v>
      </c>
      <c r="T137" s="2" t="s">
        <v>520</v>
      </c>
      <c r="U137" s="3">
        <v>2</v>
      </c>
      <c r="V137" s="3">
        <v>2</v>
      </c>
      <c r="W137" s="4" t="s">
        <v>1826</v>
      </c>
      <c r="X137" s="4" t="s">
        <v>1826</v>
      </c>
      <c r="Y137" s="4" t="s">
        <v>1827</v>
      </c>
      <c r="Z137" s="4" t="s">
        <v>1827</v>
      </c>
      <c r="AA137" s="3">
        <v>9</v>
      </c>
      <c r="AB137" s="3">
        <v>8</v>
      </c>
      <c r="AC137" s="3">
        <v>8</v>
      </c>
      <c r="AD137" s="3">
        <v>1</v>
      </c>
      <c r="AE137" s="3">
        <v>1</v>
      </c>
      <c r="AF137" s="3">
        <v>0</v>
      </c>
      <c r="AG137" s="3">
        <v>0</v>
      </c>
      <c r="AH137" s="3">
        <v>0</v>
      </c>
      <c r="AI137" s="3">
        <v>0</v>
      </c>
      <c r="AJ137" s="3">
        <v>0</v>
      </c>
      <c r="AK137" s="3">
        <v>0</v>
      </c>
      <c r="AL137" s="3">
        <v>0</v>
      </c>
      <c r="AM137" s="3">
        <v>0</v>
      </c>
      <c r="AN137" s="3">
        <v>0</v>
      </c>
      <c r="AO137" s="3">
        <v>0</v>
      </c>
      <c r="AP137" s="3">
        <v>0</v>
      </c>
      <c r="AQ137" s="3">
        <v>0</v>
      </c>
      <c r="AR137" s="2" t="s">
        <v>5</v>
      </c>
      <c r="AS137" s="2" t="s">
        <v>5</v>
      </c>
      <c r="AU137" s="5" t="str">
        <f>HYPERLINK("https://creighton-primo.hosted.exlibrisgroup.com/primo-explore/search?tab=default_tab&amp;search_scope=EVERYTHING&amp;vid=01CRU&amp;lang=en_US&amp;offset=0&amp;query=any,contains,991001367329702656","Catalog Record")</f>
        <v>Catalog Record</v>
      </c>
      <c r="AV137" s="5" t="str">
        <f>HYPERLINK("http://www.worldcat.org/oclc/14501232","WorldCat Record")</f>
        <v>WorldCat Record</v>
      </c>
      <c r="AW137" s="2" t="s">
        <v>1828</v>
      </c>
      <c r="AX137" s="2" t="s">
        <v>1829</v>
      </c>
      <c r="AY137" s="2" t="s">
        <v>1830</v>
      </c>
      <c r="AZ137" s="2" t="s">
        <v>1830</v>
      </c>
      <c r="BA137" s="2" t="s">
        <v>1831</v>
      </c>
      <c r="BB137" s="2" t="s">
        <v>21</v>
      </c>
      <c r="BE137" s="2" t="s">
        <v>1832</v>
      </c>
      <c r="BF137" s="2" t="s">
        <v>1833</v>
      </c>
    </row>
    <row r="138" spans="1:58" ht="41.25" customHeight="1" x14ac:dyDescent="0.25">
      <c r="A138" s="8" t="s">
        <v>5</v>
      </c>
      <c r="B138" s="1" t="s">
        <v>0</v>
      </c>
      <c r="C138" s="1" t="s">
        <v>1</v>
      </c>
      <c r="D138" s="1" t="s">
        <v>1834</v>
      </c>
      <c r="E138" s="1" t="s">
        <v>1835</v>
      </c>
      <c r="F138" s="1" t="s">
        <v>1836</v>
      </c>
      <c r="H138" s="2" t="s">
        <v>5</v>
      </c>
      <c r="I138" s="2" t="s">
        <v>6</v>
      </c>
      <c r="J138" s="2" t="s">
        <v>5</v>
      </c>
      <c r="K138" s="2" t="s">
        <v>5</v>
      </c>
      <c r="L138" s="2" t="s">
        <v>7</v>
      </c>
      <c r="M138" s="1" t="s">
        <v>1837</v>
      </c>
      <c r="N138" s="1" t="s">
        <v>1838</v>
      </c>
      <c r="O138" s="2" t="s">
        <v>285</v>
      </c>
      <c r="Q138" s="2" t="s">
        <v>11</v>
      </c>
      <c r="R138" s="2" t="s">
        <v>12</v>
      </c>
      <c r="S138" s="1" t="s">
        <v>1839</v>
      </c>
      <c r="T138" s="2" t="s">
        <v>520</v>
      </c>
      <c r="U138" s="3">
        <v>1</v>
      </c>
      <c r="V138" s="3">
        <v>1</v>
      </c>
      <c r="W138" s="4" t="s">
        <v>1840</v>
      </c>
      <c r="X138" s="4" t="s">
        <v>1840</v>
      </c>
      <c r="Y138" s="4" t="s">
        <v>577</v>
      </c>
      <c r="Z138" s="4" t="s">
        <v>577</v>
      </c>
      <c r="AA138" s="3">
        <v>83</v>
      </c>
      <c r="AB138" s="3">
        <v>75</v>
      </c>
      <c r="AC138" s="3">
        <v>75</v>
      </c>
      <c r="AD138" s="3">
        <v>1</v>
      </c>
      <c r="AE138" s="3">
        <v>1</v>
      </c>
      <c r="AF138" s="3">
        <v>3</v>
      </c>
      <c r="AG138" s="3">
        <v>3</v>
      </c>
      <c r="AH138" s="3">
        <v>1</v>
      </c>
      <c r="AI138" s="3">
        <v>1</v>
      </c>
      <c r="AJ138" s="3">
        <v>0</v>
      </c>
      <c r="AK138" s="3">
        <v>0</v>
      </c>
      <c r="AL138" s="3">
        <v>2</v>
      </c>
      <c r="AM138" s="3">
        <v>2</v>
      </c>
      <c r="AN138" s="3">
        <v>0</v>
      </c>
      <c r="AO138" s="3">
        <v>0</v>
      </c>
      <c r="AP138" s="3">
        <v>0</v>
      </c>
      <c r="AQ138" s="3">
        <v>0</v>
      </c>
      <c r="AR138" s="2" t="s">
        <v>5</v>
      </c>
      <c r="AS138" s="2" t="s">
        <v>5</v>
      </c>
      <c r="AU138" s="5" t="str">
        <f>HYPERLINK("https://creighton-primo.hosted.exlibrisgroup.com/primo-explore/search?tab=default_tab&amp;search_scope=EVERYTHING&amp;vid=01CRU&amp;lang=en_US&amp;offset=0&amp;query=any,contains,991001361179702656","Catalog Record")</f>
        <v>Catalog Record</v>
      </c>
      <c r="AV138" s="5" t="str">
        <f>HYPERLINK("http://www.worldcat.org/oclc/5206333","WorldCat Record")</f>
        <v>WorldCat Record</v>
      </c>
      <c r="AW138" s="2" t="s">
        <v>1841</v>
      </c>
      <c r="AX138" s="2" t="s">
        <v>1842</v>
      </c>
      <c r="AY138" s="2" t="s">
        <v>1843</v>
      </c>
      <c r="AZ138" s="2" t="s">
        <v>1843</v>
      </c>
      <c r="BA138" s="2" t="s">
        <v>1844</v>
      </c>
      <c r="BB138" s="2" t="s">
        <v>21</v>
      </c>
      <c r="BE138" s="2" t="s">
        <v>1845</v>
      </c>
      <c r="BF138" s="2" t="s">
        <v>1846</v>
      </c>
    </row>
    <row r="139" spans="1:58" ht="41.25" customHeight="1" x14ac:dyDescent="0.25">
      <c r="A139" s="8" t="s">
        <v>5</v>
      </c>
      <c r="B139" s="1" t="s">
        <v>0</v>
      </c>
      <c r="C139" s="1" t="s">
        <v>1</v>
      </c>
      <c r="D139" s="1" t="s">
        <v>1847</v>
      </c>
      <c r="E139" s="1" t="s">
        <v>1848</v>
      </c>
      <c r="F139" s="1" t="s">
        <v>1849</v>
      </c>
      <c r="H139" s="2" t="s">
        <v>5</v>
      </c>
      <c r="I139" s="2" t="s">
        <v>6</v>
      </c>
      <c r="J139" s="2" t="s">
        <v>5</v>
      </c>
      <c r="K139" s="2" t="s">
        <v>5</v>
      </c>
      <c r="L139" s="2" t="s">
        <v>7</v>
      </c>
      <c r="M139" s="1" t="s">
        <v>1850</v>
      </c>
      <c r="N139" s="1" t="s">
        <v>600</v>
      </c>
      <c r="O139" s="2" t="s">
        <v>601</v>
      </c>
      <c r="Q139" s="2" t="s">
        <v>11</v>
      </c>
      <c r="R139" s="2" t="s">
        <v>12</v>
      </c>
      <c r="T139" s="2" t="s">
        <v>520</v>
      </c>
      <c r="U139" s="3">
        <v>0</v>
      </c>
      <c r="V139" s="3">
        <v>0</v>
      </c>
      <c r="W139" s="4" t="s">
        <v>903</v>
      </c>
      <c r="X139" s="4" t="s">
        <v>903</v>
      </c>
      <c r="Y139" s="4" t="s">
        <v>604</v>
      </c>
      <c r="Z139" s="4" t="s">
        <v>604</v>
      </c>
      <c r="AA139" s="3">
        <v>433</v>
      </c>
      <c r="AB139" s="3">
        <v>382</v>
      </c>
      <c r="AC139" s="3">
        <v>385</v>
      </c>
      <c r="AD139" s="3">
        <v>4</v>
      </c>
      <c r="AE139" s="3">
        <v>4</v>
      </c>
      <c r="AF139" s="3">
        <v>25</v>
      </c>
      <c r="AG139" s="3">
        <v>25</v>
      </c>
      <c r="AH139" s="3">
        <v>10</v>
      </c>
      <c r="AI139" s="3">
        <v>10</v>
      </c>
      <c r="AJ139" s="3">
        <v>5</v>
      </c>
      <c r="AK139" s="3">
        <v>5</v>
      </c>
      <c r="AL139" s="3">
        <v>12</v>
      </c>
      <c r="AM139" s="3">
        <v>12</v>
      </c>
      <c r="AN139" s="3">
        <v>2</v>
      </c>
      <c r="AO139" s="3">
        <v>2</v>
      </c>
      <c r="AP139" s="3">
        <v>0</v>
      </c>
      <c r="AQ139" s="3">
        <v>0</v>
      </c>
      <c r="AR139" s="2" t="s">
        <v>5</v>
      </c>
      <c r="AS139" s="2" t="s">
        <v>16</v>
      </c>
      <c r="AT139" s="5" t="str">
        <f>HYPERLINK("http://catalog.hathitrust.org/Record/002963453","HathiTrust Record")</f>
        <v>HathiTrust Record</v>
      </c>
      <c r="AU139" s="5" t="str">
        <f>HYPERLINK("https://creighton-primo.hosted.exlibrisgroup.com/primo-explore/search?tab=default_tab&amp;search_scope=EVERYTHING&amp;vid=01CRU&amp;lang=en_US&amp;offset=0&amp;query=any,contains,991000251589702656","Catalog Record")</f>
        <v>Catalog Record</v>
      </c>
      <c r="AV139" s="5" t="str">
        <f>HYPERLINK("http://www.worldcat.org/oclc/31412064","WorldCat Record")</f>
        <v>WorldCat Record</v>
      </c>
      <c r="AW139" s="2" t="s">
        <v>1851</v>
      </c>
      <c r="AX139" s="2" t="s">
        <v>1852</v>
      </c>
      <c r="AY139" s="2" t="s">
        <v>1853</v>
      </c>
      <c r="AZ139" s="2" t="s">
        <v>1853</v>
      </c>
      <c r="BA139" s="2" t="s">
        <v>1854</v>
      </c>
      <c r="BB139" s="2" t="s">
        <v>21</v>
      </c>
      <c r="BD139" s="2" t="s">
        <v>1855</v>
      </c>
      <c r="BE139" s="2" t="s">
        <v>1856</v>
      </c>
      <c r="BF139" s="2" t="s">
        <v>1857</v>
      </c>
    </row>
    <row r="140" spans="1:58" ht="41.25" customHeight="1" x14ac:dyDescent="0.25">
      <c r="A140" s="8" t="s">
        <v>5</v>
      </c>
      <c r="B140" s="1" t="s">
        <v>0</v>
      </c>
      <c r="C140" s="1" t="s">
        <v>1</v>
      </c>
      <c r="D140" s="1" t="s">
        <v>1858</v>
      </c>
      <c r="E140" s="1" t="s">
        <v>1859</v>
      </c>
      <c r="F140" s="1" t="s">
        <v>1860</v>
      </c>
      <c r="H140" s="2" t="s">
        <v>5</v>
      </c>
      <c r="I140" s="2" t="s">
        <v>6</v>
      </c>
      <c r="J140" s="2" t="s">
        <v>5</v>
      </c>
      <c r="K140" s="2" t="s">
        <v>16</v>
      </c>
      <c r="L140" s="2" t="s">
        <v>7</v>
      </c>
      <c r="M140" s="1" t="s">
        <v>1861</v>
      </c>
      <c r="N140" s="1" t="s">
        <v>1862</v>
      </c>
      <c r="O140" s="2" t="s">
        <v>1863</v>
      </c>
      <c r="P140" s="1" t="s">
        <v>211</v>
      </c>
      <c r="Q140" s="2" t="s">
        <v>11</v>
      </c>
      <c r="R140" s="2" t="s">
        <v>78</v>
      </c>
      <c r="T140" s="2" t="s">
        <v>520</v>
      </c>
      <c r="U140" s="3">
        <v>2</v>
      </c>
      <c r="V140" s="3">
        <v>2</v>
      </c>
      <c r="W140" s="4" t="s">
        <v>1864</v>
      </c>
      <c r="X140" s="4" t="s">
        <v>1864</v>
      </c>
      <c r="Y140" s="4" t="s">
        <v>1865</v>
      </c>
      <c r="Z140" s="4" t="s">
        <v>1865</v>
      </c>
      <c r="AA140" s="3">
        <v>137</v>
      </c>
      <c r="AB140" s="3">
        <v>114</v>
      </c>
      <c r="AC140" s="3">
        <v>1456</v>
      </c>
      <c r="AD140" s="3">
        <v>1</v>
      </c>
      <c r="AE140" s="3">
        <v>34</v>
      </c>
      <c r="AF140" s="3">
        <v>6</v>
      </c>
      <c r="AG140" s="3">
        <v>42</v>
      </c>
      <c r="AH140" s="3">
        <v>2</v>
      </c>
      <c r="AI140" s="3">
        <v>11</v>
      </c>
      <c r="AJ140" s="3">
        <v>1</v>
      </c>
      <c r="AK140" s="3">
        <v>5</v>
      </c>
      <c r="AL140" s="3">
        <v>4</v>
      </c>
      <c r="AM140" s="3">
        <v>13</v>
      </c>
      <c r="AN140" s="3">
        <v>0</v>
      </c>
      <c r="AO140" s="3">
        <v>17</v>
      </c>
      <c r="AP140" s="3">
        <v>0</v>
      </c>
      <c r="AQ140" s="3">
        <v>0</v>
      </c>
      <c r="AR140" s="2" t="s">
        <v>5</v>
      </c>
      <c r="AS140" s="2" t="s">
        <v>5</v>
      </c>
      <c r="AU140" s="5" t="str">
        <f>HYPERLINK("https://creighton-primo.hosted.exlibrisgroup.com/primo-explore/search?tab=default_tab&amp;search_scope=EVERYTHING&amp;vid=01CRU&amp;lang=en_US&amp;offset=0&amp;query=any,contains,991001706369702656","Catalog Record")</f>
        <v>Catalog Record</v>
      </c>
      <c r="AV140" s="5" t="str">
        <f>HYPERLINK("http://www.worldcat.org/oclc/46359662","WorldCat Record")</f>
        <v>WorldCat Record</v>
      </c>
      <c r="AW140" s="2" t="s">
        <v>1866</v>
      </c>
      <c r="AX140" s="2" t="s">
        <v>1867</v>
      </c>
      <c r="AY140" s="2" t="s">
        <v>1868</v>
      </c>
      <c r="AZ140" s="2" t="s">
        <v>1868</v>
      </c>
      <c r="BA140" s="2" t="s">
        <v>1869</v>
      </c>
      <c r="BB140" s="2" t="s">
        <v>21</v>
      </c>
      <c r="BD140" s="2" t="s">
        <v>1870</v>
      </c>
      <c r="BE140" s="2" t="s">
        <v>1871</v>
      </c>
      <c r="BF140" s="2" t="s">
        <v>1872</v>
      </c>
    </row>
    <row r="141" spans="1:58" ht="41.25" customHeight="1" x14ac:dyDescent="0.25">
      <c r="A141" s="8" t="s">
        <v>5</v>
      </c>
      <c r="B141" s="1" t="s">
        <v>0</v>
      </c>
      <c r="C141" s="1" t="s">
        <v>1</v>
      </c>
      <c r="D141" s="1" t="s">
        <v>1873</v>
      </c>
      <c r="E141" s="1" t="s">
        <v>1874</v>
      </c>
      <c r="F141" s="1" t="s">
        <v>1875</v>
      </c>
      <c r="H141" s="2" t="s">
        <v>5</v>
      </c>
      <c r="I141" s="2" t="s">
        <v>6</v>
      </c>
      <c r="J141" s="2" t="s">
        <v>5</v>
      </c>
      <c r="K141" s="2" t="s">
        <v>5</v>
      </c>
      <c r="L141" s="2" t="s">
        <v>7</v>
      </c>
      <c r="N141" s="1" t="s">
        <v>1665</v>
      </c>
      <c r="O141" s="2" t="s">
        <v>228</v>
      </c>
      <c r="Q141" s="2" t="s">
        <v>11</v>
      </c>
      <c r="R141" s="2" t="s">
        <v>426</v>
      </c>
      <c r="T141" s="2" t="s">
        <v>520</v>
      </c>
      <c r="U141" s="3">
        <v>15</v>
      </c>
      <c r="V141" s="3">
        <v>15</v>
      </c>
      <c r="W141" s="4" t="s">
        <v>1076</v>
      </c>
      <c r="X141" s="4" t="s">
        <v>1076</v>
      </c>
      <c r="Y141" s="4" t="s">
        <v>33</v>
      </c>
      <c r="Z141" s="4" t="s">
        <v>33</v>
      </c>
      <c r="AA141" s="3">
        <v>397</v>
      </c>
      <c r="AB141" s="3">
        <v>348</v>
      </c>
      <c r="AC141" s="3">
        <v>350</v>
      </c>
      <c r="AD141" s="3">
        <v>2</v>
      </c>
      <c r="AE141" s="3">
        <v>2</v>
      </c>
      <c r="AF141" s="3">
        <v>19</v>
      </c>
      <c r="AG141" s="3">
        <v>19</v>
      </c>
      <c r="AH141" s="3">
        <v>10</v>
      </c>
      <c r="AI141" s="3">
        <v>10</v>
      </c>
      <c r="AJ141" s="3">
        <v>2</v>
      </c>
      <c r="AK141" s="3">
        <v>2</v>
      </c>
      <c r="AL141" s="3">
        <v>11</v>
      </c>
      <c r="AM141" s="3">
        <v>11</v>
      </c>
      <c r="AN141" s="3">
        <v>0</v>
      </c>
      <c r="AO141" s="3">
        <v>0</v>
      </c>
      <c r="AP141" s="3">
        <v>0</v>
      </c>
      <c r="AQ141" s="3">
        <v>0</v>
      </c>
      <c r="AR141" s="2" t="s">
        <v>5</v>
      </c>
      <c r="AS141" s="2" t="s">
        <v>16</v>
      </c>
      <c r="AT141" s="5" t="str">
        <f>HYPERLINK("http://catalog.hathitrust.org/Record/000144902","HathiTrust Record")</f>
        <v>HathiTrust Record</v>
      </c>
      <c r="AU141" s="5" t="str">
        <f>HYPERLINK("https://creighton-primo.hosted.exlibrisgroup.com/primo-explore/search?tab=default_tab&amp;search_scope=EVERYTHING&amp;vid=01CRU&amp;lang=en_US&amp;offset=0&amp;query=any,contains,991000741009702656","Catalog Record")</f>
        <v>Catalog Record</v>
      </c>
      <c r="AV141" s="5" t="str">
        <f>HYPERLINK("http://www.worldcat.org/oclc/8034603","WorldCat Record")</f>
        <v>WorldCat Record</v>
      </c>
      <c r="AW141" s="2" t="s">
        <v>1876</v>
      </c>
      <c r="AX141" s="2" t="s">
        <v>1877</v>
      </c>
      <c r="AY141" s="2" t="s">
        <v>1878</v>
      </c>
      <c r="AZ141" s="2" t="s">
        <v>1878</v>
      </c>
      <c r="BA141" s="2" t="s">
        <v>1879</v>
      </c>
      <c r="BB141" s="2" t="s">
        <v>21</v>
      </c>
      <c r="BD141" s="2" t="s">
        <v>1880</v>
      </c>
      <c r="BE141" s="2" t="s">
        <v>1881</v>
      </c>
      <c r="BF141" s="2" t="s">
        <v>1882</v>
      </c>
    </row>
    <row r="142" spans="1:58" ht="41.25" customHeight="1" x14ac:dyDescent="0.25">
      <c r="A142" s="8" t="s">
        <v>5</v>
      </c>
      <c r="B142" s="1" t="s">
        <v>0</v>
      </c>
      <c r="C142" s="1" t="s">
        <v>1</v>
      </c>
      <c r="D142" s="1" t="s">
        <v>1883</v>
      </c>
      <c r="E142" s="1" t="s">
        <v>1884</v>
      </c>
      <c r="F142" s="1" t="s">
        <v>1885</v>
      </c>
      <c r="H142" s="2" t="s">
        <v>5</v>
      </c>
      <c r="I142" s="2" t="s">
        <v>6</v>
      </c>
      <c r="J142" s="2" t="s">
        <v>5</v>
      </c>
      <c r="K142" s="2" t="s">
        <v>5</v>
      </c>
      <c r="L142" s="2" t="s">
        <v>7</v>
      </c>
      <c r="N142" s="1" t="s">
        <v>1886</v>
      </c>
      <c r="O142" s="2" t="s">
        <v>1887</v>
      </c>
      <c r="Q142" s="2" t="s">
        <v>11</v>
      </c>
      <c r="R142" s="2" t="s">
        <v>1427</v>
      </c>
      <c r="T142" s="2" t="s">
        <v>520</v>
      </c>
      <c r="U142" s="3">
        <v>7</v>
      </c>
      <c r="V142" s="3">
        <v>7</v>
      </c>
      <c r="W142" s="4" t="s">
        <v>1888</v>
      </c>
      <c r="X142" s="4" t="s">
        <v>1888</v>
      </c>
      <c r="Y142" s="4" t="s">
        <v>1889</v>
      </c>
      <c r="Z142" s="4" t="s">
        <v>1889</v>
      </c>
      <c r="AA142" s="3">
        <v>172</v>
      </c>
      <c r="AB142" s="3">
        <v>70</v>
      </c>
      <c r="AC142" s="3">
        <v>92</v>
      </c>
      <c r="AD142" s="3">
        <v>1</v>
      </c>
      <c r="AE142" s="3">
        <v>1</v>
      </c>
      <c r="AF142" s="3">
        <v>3</v>
      </c>
      <c r="AG142" s="3">
        <v>3</v>
      </c>
      <c r="AH142" s="3">
        <v>0</v>
      </c>
      <c r="AI142" s="3">
        <v>0</v>
      </c>
      <c r="AJ142" s="3">
        <v>1</v>
      </c>
      <c r="AK142" s="3">
        <v>1</v>
      </c>
      <c r="AL142" s="3">
        <v>2</v>
      </c>
      <c r="AM142" s="3">
        <v>2</v>
      </c>
      <c r="AN142" s="3">
        <v>0</v>
      </c>
      <c r="AO142" s="3">
        <v>0</v>
      </c>
      <c r="AP142" s="3">
        <v>0</v>
      </c>
      <c r="AQ142" s="3">
        <v>0</v>
      </c>
      <c r="AR142" s="2" t="s">
        <v>5</v>
      </c>
      <c r="AS142" s="2" t="s">
        <v>5</v>
      </c>
      <c r="AU142" s="5" t="str">
        <f>HYPERLINK("https://creighton-primo.hosted.exlibrisgroup.com/primo-explore/search?tab=default_tab&amp;search_scope=EVERYTHING&amp;vid=01CRU&amp;lang=en_US&amp;offset=0&amp;query=any,contains,991001488259702656","Catalog Record")</f>
        <v>Catalog Record</v>
      </c>
      <c r="AV142" s="5" t="str">
        <f>HYPERLINK("http://www.worldcat.org/oclc/31174069","WorldCat Record")</f>
        <v>WorldCat Record</v>
      </c>
      <c r="AW142" s="2" t="s">
        <v>1890</v>
      </c>
      <c r="AX142" s="2" t="s">
        <v>1891</v>
      </c>
      <c r="AY142" s="2" t="s">
        <v>1892</v>
      </c>
      <c r="AZ142" s="2" t="s">
        <v>1892</v>
      </c>
      <c r="BA142" s="2" t="s">
        <v>1893</v>
      </c>
      <c r="BB142" s="2" t="s">
        <v>21</v>
      </c>
      <c r="BD142" s="2" t="s">
        <v>1894</v>
      </c>
      <c r="BE142" s="2" t="s">
        <v>1895</v>
      </c>
      <c r="BF142" s="2" t="s">
        <v>1896</v>
      </c>
    </row>
    <row r="143" spans="1:58" ht="41.25" customHeight="1" x14ac:dyDescent="0.25">
      <c r="A143" s="8" t="s">
        <v>5</v>
      </c>
      <c r="B143" s="1" t="s">
        <v>0</v>
      </c>
      <c r="C143" s="1" t="s">
        <v>1</v>
      </c>
      <c r="D143" s="1" t="s">
        <v>1897</v>
      </c>
      <c r="E143" s="1" t="s">
        <v>1898</v>
      </c>
      <c r="F143" s="1" t="s">
        <v>1899</v>
      </c>
      <c r="H143" s="2" t="s">
        <v>5</v>
      </c>
      <c r="I143" s="2" t="s">
        <v>6</v>
      </c>
      <c r="J143" s="2" t="s">
        <v>5</v>
      </c>
      <c r="K143" s="2" t="s">
        <v>5</v>
      </c>
      <c r="L143" s="2" t="s">
        <v>7</v>
      </c>
      <c r="N143" s="1" t="s">
        <v>988</v>
      </c>
      <c r="O143" s="2" t="s">
        <v>989</v>
      </c>
      <c r="Q143" s="2" t="s">
        <v>11</v>
      </c>
      <c r="R143" s="2" t="s">
        <v>426</v>
      </c>
      <c r="T143" s="2" t="s">
        <v>520</v>
      </c>
      <c r="U143" s="3">
        <v>13</v>
      </c>
      <c r="V143" s="3">
        <v>13</v>
      </c>
      <c r="W143" s="4" t="s">
        <v>1900</v>
      </c>
      <c r="X143" s="4" t="s">
        <v>1900</v>
      </c>
      <c r="Y143" s="4" t="s">
        <v>1470</v>
      </c>
      <c r="Z143" s="4" t="s">
        <v>1470</v>
      </c>
      <c r="AA143" s="3">
        <v>385</v>
      </c>
      <c r="AB143" s="3">
        <v>287</v>
      </c>
      <c r="AC143" s="3">
        <v>294</v>
      </c>
      <c r="AD143" s="3">
        <v>1</v>
      </c>
      <c r="AE143" s="3">
        <v>1</v>
      </c>
      <c r="AF143" s="3">
        <v>13</v>
      </c>
      <c r="AG143" s="3">
        <v>13</v>
      </c>
      <c r="AH143" s="3">
        <v>5</v>
      </c>
      <c r="AI143" s="3">
        <v>5</v>
      </c>
      <c r="AJ143" s="3">
        <v>2</v>
      </c>
      <c r="AK143" s="3">
        <v>2</v>
      </c>
      <c r="AL143" s="3">
        <v>10</v>
      </c>
      <c r="AM143" s="3">
        <v>10</v>
      </c>
      <c r="AN143" s="3">
        <v>0</v>
      </c>
      <c r="AO143" s="3">
        <v>0</v>
      </c>
      <c r="AP143" s="3">
        <v>0</v>
      </c>
      <c r="AQ143" s="3">
        <v>0</v>
      </c>
      <c r="AR143" s="2" t="s">
        <v>5</v>
      </c>
      <c r="AS143" s="2" t="s">
        <v>16</v>
      </c>
      <c r="AT143" s="5" t="str">
        <f>HYPERLINK("http://catalog.hathitrust.org/Record/002168317","HathiTrust Record")</f>
        <v>HathiTrust Record</v>
      </c>
      <c r="AU143" s="5" t="str">
        <f>HYPERLINK("https://creighton-primo.hosted.exlibrisgroup.com/primo-explore/search?tab=default_tab&amp;search_scope=EVERYTHING&amp;vid=01CRU&amp;lang=en_US&amp;offset=0&amp;query=any,contains,991000820989702656","Catalog Record")</f>
        <v>Catalog Record</v>
      </c>
      <c r="AV143" s="5" t="str">
        <f>HYPERLINK("http://www.worldcat.org/oclc/20265677","WorldCat Record")</f>
        <v>WorldCat Record</v>
      </c>
      <c r="AW143" s="2" t="s">
        <v>1901</v>
      </c>
      <c r="AX143" s="2" t="s">
        <v>1902</v>
      </c>
      <c r="AY143" s="2" t="s">
        <v>1903</v>
      </c>
      <c r="AZ143" s="2" t="s">
        <v>1903</v>
      </c>
      <c r="BA143" s="2" t="s">
        <v>1904</v>
      </c>
      <c r="BB143" s="2" t="s">
        <v>21</v>
      </c>
      <c r="BD143" s="2" t="s">
        <v>1905</v>
      </c>
      <c r="BE143" s="2" t="s">
        <v>1906</v>
      </c>
      <c r="BF143" s="2" t="s">
        <v>1907</v>
      </c>
    </row>
    <row r="144" spans="1:58" ht="41.25" customHeight="1" x14ac:dyDescent="0.25">
      <c r="A144" s="8" t="s">
        <v>5</v>
      </c>
      <c r="B144" s="1" t="s">
        <v>0</v>
      </c>
      <c r="C144" s="1" t="s">
        <v>1</v>
      </c>
      <c r="D144" s="1" t="s">
        <v>1908</v>
      </c>
      <c r="E144" s="1" t="s">
        <v>1909</v>
      </c>
      <c r="F144" s="1" t="s">
        <v>1910</v>
      </c>
      <c r="H144" s="2" t="s">
        <v>5</v>
      </c>
      <c r="I144" s="2" t="s">
        <v>6</v>
      </c>
      <c r="J144" s="2" t="s">
        <v>5</v>
      </c>
      <c r="K144" s="2" t="s">
        <v>5</v>
      </c>
      <c r="L144" s="2" t="s">
        <v>7</v>
      </c>
      <c r="N144" s="1" t="s">
        <v>1911</v>
      </c>
      <c r="O144" s="2" t="s">
        <v>734</v>
      </c>
      <c r="Q144" s="2" t="s">
        <v>11</v>
      </c>
      <c r="R144" s="2" t="s">
        <v>426</v>
      </c>
      <c r="T144" s="2" t="s">
        <v>520</v>
      </c>
      <c r="U144" s="3">
        <v>3</v>
      </c>
      <c r="V144" s="3">
        <v>3</v>
      </c>
      <c r="W144" s="4" t="s">
        <v>1912</v>
      </c>
      <c r="X144" s="4" t="s">
        <v>1912</v>
      </c>
      <c r="Y144" s="4" t="s">
        <v>15</v>
      </c>
      <c r="Z144" s="4" t="s">
        <v>15</v>
      </c>
      <c r="AA144" s="3">
        <v>188</v>
      </c>
      <c r="AB144" s="3">
        <v>169</v>
      </c>
      <c r="AC144" s="3">
        <v>171</v>
      </c>
      <c r="AD144" s="3">
        <v>3</v>
      </c>
      <c r="AE144" s="3">
        <v>3</v>
      </c>
      <c r="AF144" s="3">
        <v>8</v>
      </c>
      <c r="AG144" s="3">
        <v>8</v>
      </c>
      <c r="AH144" s="3">
        <v>1</v>
      </c>
      <c r="AI144" s="3">
        <v>1</v>
      </c>
      <c r="AJ144" s="3">
        <v>2</v>
      </c>
      <c r="AK144" s="3">
        <v>2</v>
      </c>
      <c r="AL144" s="3">
        <v>5</v>
      </c>
      <c r="AM144" s="3">
        <v>5</v>
      </c>
      <c r="AN144" s="3">
        <v>2</v>
      </c>
      <c r="AO144" s="3">
        <v>2</v>
      </c>
      <c r="AP144" s="3">
        <v>0</v>
      </c>
      <c r="AQ144" s="3">
        <v>0</v>
      </c>
      <c r="AR144" s="2" t="s">
        <v>5</v>
      </c>
      <c r="AS144" s="2" t="s">
        <v>16</v>
      </c>
      <c r="AT144" s="5" t="str">
        <f>HYPERLINK("http://catalog.hathitrust.org/Record/000203614","HathiTrust Record")</f>
        <v>HathiTrust Record</v>
      </c>
      <c r="AU144" s="5" t="str">
        <f>HYPERLINK("https://creighton-primo.hosted.exlibrisgroup.com/primo-explore/search?tab=default_tab&amp;search_scope=EVERYTHING&amp;vid=01CRU&amp;lang=en_US&amp;offset=0&amp;query=any,contains,991001034159702656","Catalog Record")</f>
        <v>Catalog Record</v>
      </c>
      <c r="AV144" s="5" t="str">
        <f>HYPERLINK("http://www.worldcat.org/oclc/8709032","WorldCat Record")</f>
        <v>WorldCat Record</v>
      </c>
      <c r="AW144" s="2" t="s">
        <v>1913</v>
      </c>
      <c r="AX144" s="2" t="s">
        <v>1914</v>
      </c>
      <c r="AY144" s="2" t="s">
        <v>1915</v>
      </c>
      <c r="AZ144" s="2" t="s">
        <v>1915</v>
      </c>
      <c r="BA144" s="2" t="s">
        <v>1916</v>
      </c>
      <c r="BB144" s="2" t="s">
        <v>21</v>
      </c>
      <c r="BD144" s="2" t="s">
        <v>1917</v>
      </c>
      <c r="BE144" s="2" t="s">
        <v>1918</v>
      </c>
      <c r="BF144" s="2" t="s">
        <v>1919</v>
      </c>
    </row>
    <row r="145" spans="1:58" ht="41.25" customHeight="1" x14ac:dyDescent="0.25">
      <c r="A145" s="8" t="s">
        <v>5</v>
      </c>
      <c r="B145" s="1" t="s">
        <v>0</v>
      </c>
      <c r="C145" s="1" t="s">
        <v>1</v>
      </c>
      <c r="D145" s="1" t="s">
        <v>1920</v>
      </c>
      <c r="E145" s="1" t="s">
        <v>1921</v>
      </c>
      <c r="F145" s="1" t="s">
        <v>1922</v>
      </c>
      <c r="H145" s="2" t="s">
        <v>5</v>
      </c>
      <c r="I145" s="2" t="s">
        <v>6</v>
      </c>
      <c r="J145" s="2" t="s">
        <v>5</v>
      </c>
      <c r="K145" s="2" t="s">
        <v>5</v>
      </c>
      <c r="L145" s="2" t="s">
        <v>7</v>
      </c>
      <c r="N145" s="1" t="s">
        <v>1923</v>
      </c>
      <c r="O145" s="2" t="s">
        <v>734</v>
      </c>
      <c r="Q145" s="2" t="s">
        <v>11</v>
      </c>
      <c r="R145" s="2" t="s">
        <v>426</v>
      </c>
      <c r="S145" s="1" t="s">
        <v>122</v>
      </c>
      <c r="T145" s="2" t="s">
        <v>520</v>
      </c>
      <c r="U145" s="3">
        <v>3</v>
      </c>
      <c r="V145" s="3">
        <v>3</v>
      </c>
      <c r="W145" s="4" t="s">
        <v>1924</v>
      </c>
      <c r="X145" s="4" t="s">
        <v>1924</v>
      </c>
      <c r="Y145" s="4" t="s">
        <v>1925</v>
      </c>
      <c r="Z145" s="4" t="s">
        <v>1925</v>
      </c>
      <c r="AA145" s="3">
        <v>220</v>
      </c>
      <c r="AB145" s="3">
        <v>185</v>
      </c>
      <c r="AC145" s="3">
        <v>187</v>
      </c>
      <c r="AD145" s="3">
        <v>1</v>
      </c>
      <c r="AE145" s="3">
        <v>1</v>
      </c>
      <c r="AF145" s="3">
        <v>7</v>
      </c>
      <c r="AG145" s="3">
        <v>7</v>
      </c>
      <c r="AH145" s="3">
        <v>3</v>
      </c>
      <c r="AI145" s="3">
        <v>3</v>
      </c>
      <c r="AJ145" s="3">
        <v>0</v>
      </c>
      <c r="AK145" s="3">
        <v>0</v>
      </c>
      <c r="AL145" s="3">
        <v>4</v>
      </c>
      <c r="AM145" s="3">
        <v>4</v>
      </c>
      <c r="AN145" s="3">
        <v>0</v>
      </c>
      <c r="AO145" s="3">
        <v>0</v>
      </c>
      <c r="AP145" s="3">
        <v>1</v>
      </c>
      <c r="AQ145" s="3">
        <v>1</v>
      </c>
      <c r="AR145" s="2" t="s">
        <v>5</v>
      </c>
      <c r="AS145" s="2" t="s">
        <v>16</v>
      </c>
      <c r="AT145" s="5" t="str">
        <f>HYPERLINK("http://catalog.hathitrust.org/Record/000156968","HathiTrust Record")</f>
        <v>HathiTrust Record</v>
      </c>
      <c r="AU145" s="5" t="str">
        <f>HYPERLINK("https://creighton-primo.hosted.exlibrisgroup.com/primo-explore/search?tab=default_tab&amp;search_scope=EVERYTHING&amp;vid=01CRU&amp;lang=en_US&amp;offset=0&amp;query=any,contains,991000859459702656","Catalog Record")</f>
        <v>Catalog Record</v>
      </c>
      <c r="AV145" s="5" t="str">
        <f>HYPERLINK("http://www.worldcat.org/oclc/9283376","WorldCat Record")</f>
        <v>WorldCat Record</v>
      </c>
      <c r="AW145" s="2" t="s">
        <v>1926</v>
      </c>
      <c r="AX145" s="2" t="s">
        <v>1927</v>
      </c>
      <c r="AY145" s="2" t="s">
        <v>1928</v>
      </c>
      <c r="AZ145" s="2" t="s">
        <v>1928</v>
      </c>
      <c r="BA145" s="2" t="s">
        <v>1929</v>
      </c>
      <c r="BB145" s="2" t="s">
        <v>21</v>
      </c>
      <c r="BD145" s="2" t="s">
        <v>1930</v>
      </c>
      <c r="BE145" s="2" t="s">
        <v>1931</v>
      </c>
      <c r="BF145" s="2" t="s">
        <v>1932</v>
      </c>
    </row>
    <row r="146" spans="1:58" ht="41.25" customHeight="1" x14ac:dyDescent="0.25">
      <c r="A146" s="8" t="s">
        <v>5</v>
      </c>
      <c r="B146" s="1" t="s">
        <v>0</v>
      </c>
      <c r="C146" s="1" t="s">
        <v>1</v>
      </c>
      <c r="D146" s="1" t="s">
        <v>1933</v>
      </c>
      <c r="E146" s="1" t="s">
        <v>1934</v>
      </c>
      <c r="F146" s="1" t="s">
        <v>1935</v>
      </c>
      <c r="H146" s="2" t="s">
        <v>5</v>
      </c>
      <c r="I146" s="2" t="s">
        <v>6</v>
      </c>
      <c r="J146" s="2" t="s">
        <v>5</v>
      </c>
      <c r="K146" s="2" t="s">
        <v>5</v>
      </c>
      <c r="L146" s="2" t="s">
        <v>7</v>
      </c>
      <c r="N146" s="1" t="s">
        <v>1936</v>
      </c>
      <c r="O146" s="2" t="s">
        <v>872</v>
      </c>
      <c r="P146" s="1" t="s">
        <v>1937</v>
      </c>
      <c r="Q146" s="2" t="s">
        <v>11</v>
      </c>
      <c r="R146" s="2" t="s">
        <v>212</v>
      </c>
      <c r="T146" s="2" t="s">
        <v>520</v>
      </c>
      <c r="U146" s="3">
        <v>3</v>
      </c>
      <c r="V146" s="3">
        <v>3</v>
      </c>
      <c r="W146" s="4" t="s">
        <v>1627</v>
      </c>
      <c r="X146" s="4" t="s">
        <v>1627</v>
      </c>
      <c r="Y146" s="4" t="s">
        <v>782</v>
      </c>
      <c r="Z146" s="4" t="s">
        <v>782</v>
      </c>
      <c r="AA146" s="3">
        <v>310</v>
      </c>
      <c r="AB146" s="3">
        <v>307</v>
      </c>
      <c r="AC146" s="3">
        <v>313</v>
      </c>
      <c r="AD146" s="3">
        <v>4</v>
      </c>
      <c r="AE146" s="3">
        <v>4</v>
      </c>
      <c r="AF146" s="3">
        <v>11</v>
      </c>
      <c r="AG146" s="3">
        <v>11</v>
      </c>
      <c r="AH146" s="3">
        <v>4</v>
      </c>
      <c r="AI146" s="3">
        <v>4</v>
      </c>
      <c r="AJ146" s="3">
        <v>3</v>
      </c>
      <c r="AK146" s="3">
        <v>3</v>
      </c>
      <c r="AL146" s="3">
        <v>4</v>
      </c>
      <c r="AM146" s="3">
        <v>4</v>
      </c>
      <c r="AN146" s="3">
        <v>2</v>
      </c>
      <c r="AO146" s="3">
        <v>2</v>
      </c>
      <c r="AP146" s="3">
        <v>0</v>
      </c>
      <c r="AQ146" s="3">
        <v>0</v>
      </c>
      <c r="AR146" s="2" t="s">
        <v>5</v>
      </c>
      <c r="AS146" s="2" t="s">
        <v>16</v>
      </c>
      <c r="AT146" s="5" t="str">
        <f>HYPERLINK("http://catalog.hathitrust.org/Record/002651968","HathiTrust Record")</f>
        <v>HathiTrust Record</v>
      </c>
      <c r="AU146" s="5" t="str">
        <f>HYPERLINK("https://creighton-primo.hosted.exlibrisgroup.com/primo-explore/search?tab=default_tab&amp;search_scope=EVERYTHING&amp;vid=01CRU&amp;lang=en_US&amp;offset=0&amp;query=any,contains,991001363589702656","Catalog Record")</f>
        <v>Catalog Record</v>
      </c>
      <c r="AV146" s="5" t="str">
        <f>HYPERLINK("http://www.worldcat.org/oclc/20544271","WorldCat Record")</f>
        <v>WorldCat Record</v>
      </c>
      <c r="AW146" s="2" t="s">
        <v>1938</v>
      </c>
      <c r="AX146" s="2" t="s">
        <v>1939</v>
      </c>
      <c r="AY146" s="2" t="s">
        <v>1940</v>
      </c>
      <c r="AZ146" s="2" t="s">
        <v>1940</v>
      </c>
      <c r="BA146" s="2" t="s">
        <v>1941</v>
      </c>
      <c r="BB146" s="2" t="s">
        <v>21</v>
      </c>
      <c r="BE146" s="2" t="s">
        <v>1942</v>
      </c>
      <c r="BF146" s="2" t="s">
        <v>1943</v>
      </c>
    </row>
    <row r="147" spans="1:58" ht="41.25" customHeight="1" x14ac:dyDescent="0.25">
      <c r="A147" s="8" t="s">
        <v>5</v>
      </c>
      <c r="B147" s="1" t="s">
        <v>0</v>
      </c>
      <c r="C147" s="1" t="s">
        <v>1</v>
      </c>
      <c r="D147" s="1" t="s">
        <v>1944</v>
      </c>
      <c r="E147" s="1" t="s">
        <v>1945</v>
      </c>
      <c r="F147" s="1" t="s">
        <v>1946</v>
      </c>
      <c r="H147" s="2" t="s">
        <v>5</v>
      </c>
      <c r="I147" s="2" t="s">
        <v>6</v>
      </c>
      <c r="J147" s="2" t="s">
        <v>5</v>
      </c>
      <c r="K147" s="2" t="s">
        <v>16</v>
      </c>
      <c r="L147" s="2" t="s">
        <v>7</v>
      </c>
      <c r="N147" s="1" t="s">
        <v>1947</v>
      </c>
      <c r="O147" s="2" t="s">
        <v>1283</v>
      </c>
      <c r="P147" s="1" t="s">
        <v>211</v>
      </c>
      <c r="Q147" s="2" t="s">
        <v>11</v>
      </c>
      <c r="R147" s="2" t="s">
        <v>78</v>
      </c>
      <c r="T147" s="2" t="s">
        <v>520</v>
      </c>
      <c r="U147" s="3">
        <v>11</v>
      </c>
      <c r="V147" s="3">
        <v>11</v>
      </c>
      <c r="W147" s="4" t="s">
        <v>1948</v>
      </c>
      <c r="X147" s="4" t="s">
        <v>1948</v>
      </c>
      <c r="Y147" s="4" t="s">
        <v>1949</v>
      </c>
      <c r="Z147" s="4" t="s">
        <v>1949</v>
      </c>
      <c r="AA147" s="3">
        <v>236</v>
      </c>
      <c r="AB147" s="3">
        <v>194</v>
      </c>
      <c r="AC147" s="3">
        <v>1085</v>
      </c>
      <c r="AD147" s="3">
        <v>2</v>
      </c>
      <c r="AE147" s="3">
        <v>7</v>
      </c>
      <c r="AF147" s="3">
        <v>6</v>
      </c>
      <c r="AG147" s="3">
        <v>38</v>
      </c>
      <c r="AH147" s="3">
        <v>1</v>
      </c>
      <c r="AI147" s="3">
        <v>16</v>
      </c>
      <c r="AJ147" s="3">
        <v>2</v>
      </c>
      <c r="AK147" s="3">
        <v>7</v>
      </c>
      <c r="AL147" s="3">
        <v>4</v>
      </c>
      <c r="AM147" s="3">
        <v>15</v>
      </c>
      <c r="AN147" s="3">
        <v>0</v>
      </c>
      <c r="AO147" s="3">
        <v>5</v>
      </c>
      <c r="AP147" s="3">
        <v>0</v>
      </c>
      <c r="AQ147" s="3">
        <v>0</v>
      </c>
      <c r="AR147" s="2" t="s">
        <v>5</v>
      </c>
      <c r="AS147" s="2" t="s">
        <v>16</v>
      </c>
      <c r="AT147" s="5" t="str">
        <f>HYPERLINK("http://catalog.hathitrust.org/Record/003115187","HathiTrust Record")</f>
        <v>HathiTrust Record</v>
      </c>
      <c r="AU147" s="5" t="str">
        <f>HYPERLINK("https://creighton-primo.hosted.exlibrisgroup.com/primo-explore/search?tab=default_tab&amp;search_scope=EVERYTHING&amp;vid=01CRU&amp;lang=en_US&amp;offset=0&amp;query=any,contains,991000836819702656","Catalog Record")</f>
        <v>Catalog Record</v>
      </c>
      <c r="AV147" s="5" t="str">
        <f>HYPERLINK("http://www.worldcat.org/oclc/34513976","WorldCat Record")</f>
        <v>WorldCat Record</v>
      </c>
      <c r="AW147" s="2" t="s">
        <v>1950</v>
      </c>
      <c r="AX147" s="2" t="s">
        <v>1951</v>
      </c>
      <c r="AY147" s="2" t="s">
        <v>1952</v>
      </c>
      <c r="AZ147" s="2" t="s">
        <v>1952</v>
      </c>
      <c r="BA147" s="2" t="s">
        <v>1953</v>
      </c>
      <c r="BB147" s="2" t="s">
        <v>21</v>
      </c>
      <c r="BD147" s="2" t="s">
        <v>1954</v>
      </c>
      <c r="BE147" s="2" t="s">
        <v>1955</v>
      </c>
      <c r="BF147" s="2" t="s">
        <v>1956</v>
      </c>
    </row>
    <row r="148" spans="1:58" ht="41.25" customHeight="1" x14ac:dyDescent="0.25">
      <c r="A148" s="8" t="s">
        <v>5</v>
      </c>
      <c r="B148" s="1" t="s">
        <v>0</v>
      </c>
      <c r="C148" s="1" t="s">
        <v>1</v>
      </c>
      <c r="D148" s="1" t="s">
        <v>1957</v>
      </c>
      <c r="E148" s="1" t="s">
        <v>1958</v>
      </c>
      <c r="F148" s="1" t="s">
        <v>1959</v>
      </c>
      <c r="H148" s="2" t="s">
        <v>5</v>
      </c>
      <c r="I148" s="2" t="s">
        <v>6</v>
      </c>
      <c r="J148" s="2" t="s">
        <v>5</v>
      </c>
      <c r="K148" s="2" t="s">
        <v>5</v>
      </c>
      <c r="L148" s="2" t="s">
        <v>7</v>
      </c>
      <c r="N148" s="1" t="s">
        <v>1808</v>
      </c>
      <c r="O148" s="2" t="s">
        <v>939</v>
      </c>
      <c r="Q148" s="2" t="s">
        <v>11</v>
      </c>
      <c r="R148" s="2" t="s">
        <v>12</v>
      </c>
      <c r="S148" s="1" t="s">
        <v>1960</v>
      </c>
      <c r="T148" s="2" t="s">
        <v>520</v>
      </c>
      <c r="U148" s="3">
        <v>13</v>
      </c>
      <c r="V148" s="3">
        <v>13</v>
      </c>
      <c r="W148" s="4" t="s">
        <v>1961</v>
      </c>
      <c r="X148" s="4" t="s">
        <v>1961</v>
      </c>
      <c r="Y148" s="4" t="s">
        <v>1962</v>
      </c>
      <c r="Z148" s="4" t="s">
        <v>1962</v>
      </c>
      <c r="AA148" s="3">
        <v>281</v>
      </c>
      <c r="AB148" s="3">
        <v>253</v>
      </c>
      <c r="AC148" s="3">
        <v>260</v>
      </c>
      <c r="AD148" s="3">
        <v>3</v>
      </c>
      <c r="AE148" s="3">
        <v>3</v>
      </c>
      <c r="AF148" s="3">
        <v>14</v>
      </c>
      <c r="AG148" s="3">
        <v>14</v>
      </c>
      <c r="AH148" s="3">
        <v>7</v>
      </c>
      <c r="AI148" s="3">
        <v>7</v>
      </c>
      <c r="AJ148" s="3">
        <v>2</v>
      </c>
      <c r="AK148" s="3">
        <v>2</v>
      </c>
      <c r="AL148" s="3">
        <v>6</v>
      </c>
      <c r="AM148" s="3">
        <v>6</v>
      </c>
      <c r="AN148" s="3">
        <v>1</v>
      </c>
      <c r="AO148" s="3">
        <v>1</v>
      </c>
      <c r="AP148" s="3">
        <v>0</v>
      </c>
      <c r="AQ148" s="3">
        <v>0</v>
      </c>
      <c r="AR148" s="2" t="s">
        <v>5</v>
      </c>
      <c r="AS148" s="2" t="s">
        <v>16</v>
      </c>
      <c r="AT148" s="5" t="str">
        <f>HYPERLINK("http://catalog.hathitrust.org/Record/004443987","HathiTrust Record")</f>
        <v>HathiTrust Record</v>
      </c>
      <c r="AU148" s="5" t="str">
        <f>HYPERLINK("https://creighton-primo.hosted.exlibrisgroup.com/primo-explore/search?tab=default_tab&amp;search_scope=EVERYTHING&amp;vid=01CRU&amp;lang=en_US&amp;offset=0&amp;query=any,contains,991001416599702656","Catalog Record")</f>
        <v>Catalog Record</v>
      </c>
      <c r="AV148" s="5" t="str">
        <f>HYPERLINK("http://www.worldcat.org/oclc/19975425","WorldCat Record")</f>
        <v>WorldCat Record</v>
      </c>
      <c r="AW148" s="2" t="s">
        <v>1963</v>
      </c>
      <c r="AX148" s="2" t="s">
        <v>1964</v>
      </c>
      <c r="AY148" s="2" t="s">
        <v>1965</v>
      </c>
      <c r="AZ148" s="2" t="s">
        <v>1965</v>
      </c>
      <c r="BA148" s="2" t="s">
        <v>1966</v>
      </c>
      <c r="BB148" s="2" t="s">
        <v>21</v>
      </c>
      <c r="BD148" s="2" t="s">
        <v>1967</v>
      </c>
      <c r="BE148" s="2" t="s">
        <v>1968</v>
      </c>
      <c r="BF148" s="2" t="s">
        <v>1969</v>
      </c>
    </row>
    <row r="149" spans="1:58" ht="41.25" customHeight="1" x14ac:dyDescent="0.25">
      <c r="A149" s="8" t="s">
        <v>5</v>
      </c>
      <c r="B149" s="1" t="s">
        <v>0</v>
      </c>
      <c r="C149" s="1" t="s">
        <v>1</v>
      </c>
      <c r="D149" s="1" t="s">
        <v>1970</v>
      </c>
      <c r="E149" s="1" t="s">
        <v>1971</v>
      </c>
      <c r="F149" s="1" t="s">
        <v>1972</v>
      </c>
      <c r="H149" s="2" t="s">
        <v>5</v>
      </c>
      <c r="I149" s="2" t="s">
        <v>6</v>
      </c>
      <c r="J149" s="2" t="s">
        <v>5</v>
      </c>
      <c r="K149" s="2" t="s">
        <v>5</v>
      </c>
      <c r="L149" s="2" t="s">
        <v>7</v>
      </c>
      <c r="M149" s="1" t="s">
        <v>1973</v>
      </c>
      <c r="N149" s="1" t="s">
        <v>1403</v>
      </c>
      <c r="O149" s="2" t="s">
        <v>285</v>
      </c>
      <c r="Q149" s="2" t="s">
        <v>11</v>
      </c>
      <c r="R149" s="2" t="s">
        <v>12</v>
      </c>
      <c r="S149" s="1" t="s">
        <v>1974</v>
      </c>
      <c r="T149" s="2" t="s">
        <v>520</v>
      </c>
      <c r="U149" s="3">
        <v>1</v>
      </c>
      <c r="V149" s="3">
        <v>1</v>
      </c>
      <c r="W149" s="4" t="s">
        <v>1975</v>
      </c>
      <c r="X149" s="4" t="s">
        <v>1975</v>
      </c>
      <c r="Y149" s="4" t="s">
        <v>736</v>
      </c>
      <c r="Z149" s="4" t="s">
        <v>736</v>
      </c>
      <c r="AA149" s="3">
        <v>74</v>
      </c>
      <c r="AB149" s="3">
        <v>64</v>
      </c>
      <c r="AC149" s="3">
        <v>65</v>
      </c>
      <c r="AD149" s="3">
        <v>2</v>
      </c>
      <c r="AE149" s="3">
        <v>2</v>
      </c>
      <c r="AF149" s="3">
        <v>6</v>
      </c>
      <c r="AG149" s="3">
        <v>6</v>
      </c>
      <c r="AH149" s="3">
        <v>2</v>
      </c>
      <c r="AI149" s="3">
        <v>2</v>
      </c>
      <c r="AJ149" s="3">
        <v>1</v>
      </c>
      <c r="AK149" s="3">
        <v>1</v>
      </c>
      <c r="AL149" s="3">
        <v>3</v>
      </c>
      <c r="AM149" s="3">
        <v>3</v>
      </c>
      <c r="AN149" s="3">
        <v>1</v>
      </c>
      <c r="AO149" s="3">
        <v>1</v>
      </c>
      <c r="AP149" s="3">
        <v>0</v>
      </c>
      <c r="AQ149" s="3">
        <v>0</v>
      </c>
      <c r="AR149" s="2" t="s">
        <v>5</v>
      </c>
      <c r="AS149" s="2" t="s">
        <v>5</v>
      </c>
      <c r="AU149" s="5" t="str">
        <f>HYPERLINK("https://creighton-primo.hosted.exlibrisgroup.com/primo-explore/search?tab=default_tab&amp;search_scope=EVERYTHING&amp;vid=01CRU&amp;lang=en_US&amp;offset=0&amp;query=any,contains,991001389989702656","Catalog Record")</f>
        <v>Catalog Record</v>
      </c>
      <c r="AV149" s="5" t="str">
        <f>HYPERLINK("http://www.worldcat.org/oclc/5619459","WorldCat Record")</f>
        <v>WorldCat Record</v>
      </c>
      <c r="AW149" s="2" t="s">
        <v>1976</v>
      </c>
      <c r="AX149" s="2" t="s">
        <v>1977</v>
      </c>
      <c r="AY149" s="2" t="s">
        <v>1978</v>
      </c>
      <c r="AZ149" s="2" t="s">
        <v>1978</v>
      </c>
      <c r="BA149" s="2" t="s">
        <v>1979</v>
      </c>
      <c r="BB149" s="2" t="s">
        <v>21</v>
      </c>
      <c r="BE149" s="2" t="s">
        <v>1980</v>
      </c>
      <c r="BF149" s="2" t="s">
        <v>1981</v>
      </c>
    </row>
    <row r="150" spans="1:58" ht="41.25" customHeight="1" x14ac:dyDescent="0.25">
      <c r="A150" s="8" t="s">
        <v>5</v>
      </c>
      <c r="B150" s="1" t="s">
        <v>0</v>
      </c>
      <c r="C150" s="1" t="s">
        <v>1</v>
      </c>
      <c r="D150" s="1" t="s">
        <v>1982</v>
      </c>
      <c r="E150" s="1" t="s">
        <v>1983</v>
      </c>
      <c r="F150" s="1" t="s">
        <v>1984</v>
      </c>
      <c r="H150" s="2" t="s">
        <v>5</v>
      </c>
      <c r="I150" s="2" t="s">
        <v>6</v>
      </c>
      <c r="J150" s="2" t="s">
        <v>5</v>
      </c>
      <c r="K150" s="2" t="s">
        <v>5</v>
      </c>
      <c r="L150" s="2" t="s">
        <v>7</v>
      </c>
      <c r="N150" s="1" t="s">
        <v>1985</v>
      </c>
      <c r="O150" s="2" t="s">
        <v>92</v>
      </c>
      <c r="Q150" s="2" t="s">
        <v>11</v>
      </c>
      <c r="R150" s="2" t="s">
        <v>12</v>
      </c>
      <c r="S150" s="1" t="s">
        <v>1986</v>
      </c>
      <c r="T150" s="2" t="s">
        <v>520</v>
      </c>
      <c r="U150" s="3">
        <v>2</v>
      </c>
      <c r="V150" s="3">
        <v>2</v>
      </c>
      <c r="W150" s="4" t="s">
        <v>1987</v>
      </c>
      <c r="X150" s="4" t="s">
        <v>1987</v>
      </c>
      <c r="Y150" s="4" t="s">
        <v>1444</v>
      </c>
      <c r="Z150" s="4" t="s">
        <v>1444</v>
      </c>
      <c r="AA150" s="3">
        <v>89</v>
      </c>
      <c r="AB150" s="3">
        <v>86</v>
      </c>
      <c r="AC150" s="3">
        <v>87</v>
      </c>
      <c r="AD150" s="3">
        <v>3</v>
      </c>
      <c r="AE150" s="3">
        <v>3</v>
      </c>
      <c r="AF150" s="3">
        <v>4</v>
      </c>
      <c r="AG150" s="3">
        <v>4</v>
      </c>
      <c r="AH150" s="3">
        <v>0</v>
      </c>
      <c r="AI150" s="3">
        <v>0</v>
      </c>
      <c r="AJ150" s="3">
        <v>1</v>
      </c>
      <c r="AK150" s="3">
        <v>1</v>
      </c>
      <c r="AL150" s="3">
        <v>3</v>
      </c>
      <c r="AM150" s="3">
        <v>3</v>
      </c>
      <c r="AN150" s="3">
        <v>1</v>
      </c>
      <c r="AO150" s="3">
        <v>1</v>
      </c>
      <c r="AP150" s="3">
        <v>0</v>
      </c>
      <c r="AQ150" s="3">
        <v>0</v>
      </c>
      <c r="AR150" s="2" t="s">
        <v>5</v>
      </c>
      <c r="AS150" s="2" t="s">
        <v>16</v>
      </c>
      <c r="AT150" s="5" t="str">
        <f>HYPERLINK("http://catalog.hathitrust.org/Record/000171021","HathiTrust Record")</f>
        <v>HathiTrust Record</v>
      </c>
      <c r="AU150" s="5" t="str">
        <f>HYPERLINK("https://creighton-primo.hosted.exlibrisgroup.com/primo-explore/search?tab=default_tab&amp;search_scope=EVERYTHING&amp;vid=01CRU&amp;lang=en_US&amp;offset=0&amp;query=any,contains,991001516399702656","Catalog Record")</f>
        <v>Catalog Record</v>
      </c>
      <c r="AV150" s="5" t="str">
        <f>HYPERLINK("http://www.worldcat.org/oclc/2701240","WorldCat Record")</f>
        <v>WorldCat Record</v>
      </c>
      <c r="AW150" s="2" t="s">
        <v>1988</v>
      </c>
      <c r="AX150" s="2" t="s">
        <v>1989</v>
      </c>
      <c r="AY150" s="2" t="s">
        <v>1990</v>
      </c>
      <c r="AZ150" s="2" t="s">
        <v>1990</v>
      </c>
      <c r="BA150" s="2" t="s">
        <v>1991</v>
      </c>
      <c r="BB150" s="2" t="s">
        <v>21</v>
      </c>
      <c r="BE150" s="2" t="s">
        <v>1992</v>
      </c>
      <c r="BF150" s="2" t="s">
        <v>1993</v>
      </c>
    </row>
    <row r="151" spans="1:58" ht="41.25" customHeight="1" x14ac:dyDescent="0.25">
      <c r="A151" s="8" t="s">
        <v>5</v>
      </c>
      <c r="B151" s="1" t="s">
        <v>0</v>
      </c>
      <c r="C151" s="1" t="s">
        <v>1</v>
      </c>
      <c r="D151" s="1" t="s">
        <v>1994</v>
      </c>
      <c r="E151" s="1" t="s">
        <v>1995</v>
      </c>
      <c r="F151" s="1" t="s">
        <v>1996</v>
      </c>
      <c r="H151" s="2" t="s">
        <v>5</v>
      </c>
      <c r="I151" s="2" t="s">
        <v>6</v>
      </c>
      <c r="J151" s="2" t="s">
        <v>5</v>
      </c>
      <c r="K151" s="2" t="s">
        <v>5</v>
      </c>
      <c r="L151" s="2" t="s">
        <v>7</v>
      </c>
      <c r="N151" s="1" t="s">
        <v>733</v>
      </c>
      <c r="O151" s="2" t="s">
        <v>734</v>
      </c>
      <c r="Q151" s="2" t="s">
        <v>11</v>
      </c>
      <c r="R151" s="2" t="s">
        <v>12</v>
      </c>
      <c r="S151" s="1" t="s">
        <v>1997</v>
      </c>
      <c r="T151" s="2" t="s">
        <v>520</v>
      </c>
      <c r="U151" s="3">
        <v>2</v>
      </c>
      <c r="V151" s="3">
        <v>2</v>
      </c>
      <c r="W151" s="4" t="s">
        <v>1998</v>
      </c>
      <c r="X151" s="4" t="s">
        <v>1998</v>
      </c>
      <c r="Y151" s="4" t="s">
        <v>1999</v>
      </c>
      <c r="Z151" s="4" t="s">
        <v>1999</v>
      </c>
      <c r="AA151" s="3">
        <v>107</v>
      </c>
      <c r="AB151" s="3">
        <v>97</v>
      </c>
      <c r="AC151" s="3">
        <v>97</v>
      </c>
      <c r="AD151" s="3">
        <v>2</v>
      </c>
      <c r="AE151" s="3">
        <v>2</v>
      </c>
      <c r="AF151" s="3">
        <v>4</v>
      </c>
      <c r="AG151" s="3">
        <v>4</v>
      </c>
      <c r="AH151" s="3">
        <v>1</v>
      </c>
      <c r="AI151" s="3">
        <v>1</v>
      </c>
      <c r="AJ151" s="3">
        <v>2</v>
      </c>
      <c r="AK151" s="3">
        <v>2</v>
      </c>
      <c r="AL151" s="3">
        <v>2</v>
      </c>
      <c r="AM151" s="3">
        <v>2</v>
      </c>
      <c r="AN151" s="3">
        <v>0</v>
      </c>
      <c r="AO151" s="3">
        <v>0</v>
      </c>
      <c r="AP151" s="3">
        <v>0</v>
      </c>
      <c r="AQ151" s="3">
        <v>0</v>
      </c>
      <c r="AR151" s="2" t="s">
        <v>5</v>
      </c>
      <c r="AS151" s="2" t="s">
        <v>5</v>
      </c>
      <c r="AU151" s="5" t="str">
        <f>HYPERLINK("https://creighton-primo.hosted.exlibrisgroup.com/primo-explore/search?tab=default_tab&amp;search_scope=EVERYTHING&amp;vid=01CRU&amp;lang=en_US&amp;offset=0&amp;query=any,contains,991001414469702656","Catalog Record")</f>
        <v>Catalog Record</v>
      </c>
      <c r="AV151" s="5" t="str">
        <f>HYPERLINK("http://www.worldcat.org/oclc/11496424","WorldCat Record")</f>
        <v>WorldCat Record</v>
      </c>
      <c r="AW151" s="2" t="s">
        <v>2000</v>
      </c>
      <c r="AX151" s="2" t="s">
        <v>2001</v>
      </c>
      <c r="AY151" s="2" t="s">
        <v>2002</v>
      </c>
      <c r="AZ151" s="2" t="s">
        <v>2002</v>
      </c>
      <c r="BA151" s="2" t="s">
        <v>2003</v>
      </c>
      <c r="BB151" s="2" t="s">
        <v>21</v>
      </c>
      <c r="BD151" s="2" t="s">
        <v>2004</v>
      </c>
      <c r="BE151" s="2" t="s">
        <v>2005</v>
      </c>
      <c r="BF151" s="2" t="s">
        <v>2006</v>
      </c>
    </row>
    <row r="152" spans="1:58" ht="41.25" customHeight="1" x14ac:dyDescent="0.25">
      <c r="A152" s="8" t="s">
        <v>5</v>
      </c>
      <c r="B152" s="1" t="s">
        <v>0</v>
      </c>
      <c r="C152" s="1" t="s">
        <v>1</v>
      </c>
      <c r="D152" s="1" t="s">
        <v>2007</v>
      </c>
      <c r="E152" s="1" t="s">
        <v>2008</v>
      </c>
      <c r="F152" s="1" t="s">
        <v>2009</v>
      </c>
      <c r="H152" s="2" t="s">
        <v>5</v>
      </c>
      <c r="I152" s="2" t="s">
        <v>6</v>
      </c>
      <c r="J152" s="2" t="s">
        <v>5</v>
      </c>
      <c r="K152" s="2" t="s">
        <v>5</v>
      </c>
      <c r="L152" s="2" t="s">
        <v>7</v>
      </c>
      <c r="N152" s="1" t="s">
        <v>2010</v>
      </c>
      <c r="O152" s="2" t="s">
        <v>382</v>
      </c>
      <c r="Q152" s="2" t="s">
        <v>11</v>
      </c>
      <c r="R152" s="2" t="s">
        <v>12</v>
      </c>
      <c r="S152" s="1" t="s">
        <v>2011</v>
      </c>
      <c r="T152" s="2" t="s">
        <v>520</v>
      </c>
      <c r="U152" s="3">
        <v>7</v>
      </c>
      <c r="V152" s="3">
        <v>7</v>
      </c>
      <c r="W152" s="4" t="s">
        <v>1998</v>
      </c>
      <c r="X152" s="4" t="s">
        <v>1998</v>
      </c>
      <c r="Y152" s="4" t="s">
        <v>15</v>
      </c>
      <c r="Z152" s="4" t="s">
        <v>15</v>
      </c>
      <c r="AA152" s="3">
        <v>118</v>
      </c>
      <c r="AB152" s="3">
        <v>93</v>
      </c>
      <c r="AC152" s="3">
        <v>93</v>
      </c>
      <c r="AD152" s="3">
        <v>3</v>
      </c>
      <c r="AE152" s="3">
        <v>3</v>
      </c>
      <c r="AF152" s="3">
        <v>4</v>
      </c>
      <c r="AG152" s="3">
        <v>4</v>
      </c>
      <c r="AH152" s="3">
        <v>0</v>
      </c>
      <c r="AI152" s="3">
        <v>0</v>
      </c>
      <c r="AJ152" s="3">
        <v>3</v>
      </c>
      <c r="AK152" s="3">
        <v>3</v>
      </c>
      <c r="AL152" s="3">
        <v>1</v>
      </c>
      <c r="AM152" s="3">
        <v>1</v>
      </c>
      <c r="AN152" s="3">
        <v>1</v>
      </c>
      <c r="AO152" s="3">
        <v>1</v>
      </c>
      <c r="AP152" s="3">
        <v>0</v>
      </c>
      <c r="AQ152" s="3">
        <v>0</v>
      </c>
      <c r="AR152" s="2" t="s">
        <v>5</v>
      </c>
      <c r="AS152" s="2" t="s">
        <v>5</v>
      </c>
      <c r="AU152" s="5" t="str">
        <f>HYPERLINK("https://creighton-primo.hosted.exlibrisgroup.com/primo-explore/search?tab=default_tab&amp;search_scope=EVERYTHING&amp;vid=01CRU&amp;lang=en_US&amp;offset=0&amp;query=any,contains,991001034279702656","Catalog Record")</f>
        <v>Catalog Record</v>
      </c>
      <c r="AV152" s="5" t="str">
        <f>HYPERLINK("http://www.worldcat.org/oclc/16867339","WorldCat Record")</f>
        <v>WorldCat Record</v>
      </c>
      <c r="AW152" s="2" t="s">
        <v>2012</v>
      </c>
      <c r="AX152" s="2" t="s">
        <v>2013</v>
      </c>
      <c r="AY152" s="2" t="s">
        <v>2014</v>
      </c>
      <c r="AZ152" s="2" t="s">
        <v>2014</v>
      </c>
      <c r="BA152" s="2" t="s">
        <v>2015</v>
      </c>
      <c r="BB152" s="2" t="s">
        <v>21</v>
      </c>
      <c r="BD152" s="2" t="s">
        <v>2016</v>
      </c>
      <c r="BE152" s="2" t="s">
        <v>2017</v>
      </c>
      <c r="BF152" s="2" t="s">
        <v>2018</v>
      </c>
    </row>
    <row r="153" spans="1:58" ht="41.25" customHeight="1" x14ac:dyDescent="0.25">
      <c r="A153" s="8" t="s">
        <v>5</v>
      </c>
      <c r="B153" s="1" t="s">
        <v>0</v>
      </c>
      <c r="C153" s="1" t="s">
        <v>1</v>
      </c>
      <c r="D153" s="1" t="s">
        <v>2019</v>
      </c>
      <c r="E153" s="1" t="s">
        <v>2020</v>
      </c>
      <c r="F153" s="1" t="s">
        <v>2021</v>
      </c>
      <c r="H153" s="2" t="s">
        <v>5</v>
      </c>
      <c r="I153" s="2" t="s">
        <v>6</v>
      </c>
      <c r="J153" s="2" t="s">
        <v>5</v>
      </c>
      <c r="K153" s="2" t="s">
        <v>5</v>
      </c>
      <c r="L153" s="2" t="s">
        <v>7</v>
      </c>
      <c r="M153" s="1" t="s">
        <v>2022</v>
      </c>
      <c r="N153" s="1" t="s">
        <v>1808</v>
      </c>
      <c r="O153" s="2" t="s">
        <v>939</v>
      </c>
      <c r="Q153" s="2" t="s">
        <v>11</v>
      </c>
      <c r="R153" s="2" t="s">
        <v>12</v>
      </c>
      <c r="S153" s="1" t="s">
        <v>2023</v>
      </c>
      <c r="T153" s="2" t="s">
        <v>520</v>
      </c>
      <c r="U153" s="3">
        <v>10</v>
      </c>
      <c r="V153" s="3">
        <v>10</v>
      </c>
      <c r="W153" s="4" t="s">
        <v>1998</v>
      </c>
      <c r="X153" s="4" t="s">
        <v>1998</v>
      </c>
      <c r="Y153" s="4" t="s">
        <v>2024</v>
      </c>
      <c r="Z153" s="4" t="s">
        <v>2024</v>
      </c>
      <c r="AA153" s="3">
        <v>96</v>
      </c>
      <c r="AB153" s="3">
        <v>80</v>
      </c>
      <c r="AC153" s="3">
        <v>80</v>
      </c>
      <c r="AD153" s="3">
        <v>1</v>
      </c>
      <c r="AE153" s="3">
        <v>1</v>
      </c>
      <c r="AF153" s="3">
        <v>1</v>
      </c>
      <c r="AG153" s="3">
        <v>1</v>
      </c>
      <c r="AH153" s="3">
        <v>0</v>
      </c>
      <c r="AI153" s="3">
        <v>0</v>
      </c>
      <c r="AJ153" s="3">
        <v>0</v>
      </c>
      <c r="AK153" s="3">
        <v>0</v>
      </c>
      <c r="AL153" s="3">
        <v>1</v>
      </c>
      <c r="AM153" s="3">
        <v>1</v>
      </c>
      <c r="AN153" s="3">
        <v>0</v>
      </c>
      <c r="AO153" s="3">
        <v>0</v>
      </c>
      <c r="AP153" s="3">
        <v>0</v>
      </c>
      <c r="AQ153" s="3">
        <v>0</v>
      </c>
      <c r="AR153" s="2" t="s">
        <v>5</v>
      </c>
      <c r="AS153" s="2" t="s">
        <v>5</v>
      </c>
      <c r="AU153" s="5" t="str">
        <f>HYPERLINK("https://creighton-primo.hosted.exlibrisgroup.com/primo-explore/search?tab=default_tab&amp;search_scope=EVERYTHING&amp;vid=01CRU&amp;lang=en_US&amp;offset=0&amp;query=any,contains,991001539309702656","Catalog Record")</f>
        <v>Catalog Record</v>
      </c>
      <c r="AV153" s="5" t="str">
        <f>HYPERLINK("http://www.worldcat.org/oclc/17372730","WorldCat Record")</f>
        <v>WorldCat Record</v>
      </c>
      <c r="AW153" s="2" t="s">
        <v>2025</v>
      </c>
      <c r="AX153" s="2" t="s">
        <v>2026</v>
      </c>
      <c r="AY153" s="2" t="s">
        <v>2027</v>
      </c>
      <c r="AZ153" s="2" t="s">
        <v>2027</v>
      </c>
      <c r="BA153" s="2" t="s">
        <v>2028</v>
      </c>
      <c r="BB153" s="2" t="s">
        <v>21</v>
      </c>
      <c r="BD153" s="2" t="s">
        <v>2029</v>
      </c>
      <c r="BE153" s="2" t="s">
        <v>2030</v>
      </c>
      <c r="BF153" s="2" t="s">
        <v>2031</v>
      </c>
    </row>
    <row r="154" spans="1:58" ht="41.25" customHeight="1" x14ac:dyDescent="0.25">
      <c r="A154" s="8" t="s">
        <v>5</v>
      </c>
      <c r="B154" s="1" t="s">
        <v>0</v>
      </c>
      <c r="C154" s="1" t="s">
        <v>1</v>
      </c>
      <c r="D154" s="1" t="s">
        <v>2032</v>
      </c>
      <c r="E154" s="1" t="s">
        <v>2033</v>
      </c>
      <c r="F154" s="1" t="s">
        <v>2034</v>
      </c>
      <c r="H154" s="2" t="s">
        <v>5</v>
      </c>
      <c r="I154" s="2" t="s">
        <v>6</v>
      </c>
      <c r="J154" s="2" t="s">
        <v>5</v>
      </c>
      <c r="K154" s="2" t="s">
        <v>5</v>
      </c>
      <c r="L154" s="2" t="s">
        <v>7</v>
      </c>
      <c r="N154" s="1" t="s">
        <v>2035</v>
      </c>
      <c r="O154" s="2" t="s">
        <v>1887</v>
      </c>
      <c r="P154" s="1" t="s">
        <v>211</v>
      </c>
      <c r="Q154" s="2" t="s">
        <v>11</v>
      </c>
      <c r="R154" s="2" t="s">
        <v>78</v>
      </c>
      <c r="T154" s="2" t="s">
        <v>520</v>
      </c>
      <c r="U154" s="3">
        <v>4</v>
      </c>
      <c r="V154" s="3">
        <v>4</v>
      </c>
      <c r="W154" s="4" t="s">
        <v>2036</v>
      </c>
      <c r="X154" s="4" t="s">
        <v>2036</v>
      </c>
      <c r="Y154" s="4" t="s">
        <v>2037</v>
      </c>
      <c r="Z154" s="4" t="s">
        <v>2037</v>
      </c>
      <c r="AA154" s="3">
        <v>299</v>
      </c>
      <c r="AB154" s="3">
        <v>236</v>
      </c>
      <c r="AC154" s="3">
        <v>243</v>
      </c>
      <c r="AD154" s="3">
        <v>4</v>
      </c>
      <c r="AE154" s="3">
        <v>4</v>
      </c>
      <c r="AF154" s="3">
        <v>14</v>
      </c>
      <c r="AG154" s="3">
        <v>14</v>
      </c>
      <c r="AH154" s="3">
        <v>4</v>
      </c>
      <c r="AI154" s="3">
        <v>4</v>
      </c>
      <c r="AJ154" s="3">
        <v>4</v>
      </c>
      <c r="AK154" s="3">
        <v>4</v>
      </c>
      <c r="AL154" s="3">
        <v>6</v>
      </c>
      <c r="AM154" s="3">
        <v>6</v>
      </c>
      <c r="AN154" s="3">
        <v>2</v>
      </c>
      <c r="AO154" s="3">
        <v>2</v>
      </c>
      <c r="AP154" s="3">
        <v>0</v>
      </c>
      <c r="AQ154" s="3">
        <v>0</v>
      </c>
      <c r="AR154" s="2" t="s">
        <v>5</v>
      </c>
      <c r="AS154" s="2" t="s">
        <v>16</v>
      </c>
      <c r="AT154" s="5" t="str">
        <f>HYPERLINK("http://catalog.hathitrust.org/Record/002645668","HathiTrust Record")</f>
        <v>HathiTrust Record</v>
      </c>
      <c r="AU154" s="5" t="str">
        <f>HYPERLINK("https://creighton-primo.hosted.exlibrisgroup.com/primo-explore/search?tab=default_tab&amp;search_scope=EVERYTHING&amp;vid=01CRU&amp;lang=en_US&amp;offset=0&amp;query=any,contains,991001564689702656","Catalog Record")</f>
        <v>Catalog Record</v>
      </c>
      <c r="AV154" s="5" t="str">
        <f>HYPERLINK("http://www.worldcat.org/oclc/27810396","WorldCat Record")</f>
        <v>WorldCat Record</v>
      </c>
      <c r="AW154" s="2" t="s">
        <v>2038</v>
      </c>
      <c r="AX154" s="2" t="s">
        <v>2039</v>
      </c>
      <c r="AY154" s="2" t="s">
        <v>2040</v>
      </c>
      <c r="AZ154" s="2" t="s">
        <v>2040</v>
      </c>
      <c r="BA154" s="2" t="s">
        <v>2041</v>
      </c>
      <c r="BB154" s="2" t="s">
        <v>21</v>
      </c>
      <c r="BD154" s="2" t="s">
        <v>2042</v>
      </c>
      <c r="BE154" s="2" t="s">
        <v>2043</v>
      </c>
      <c r="BF154" s="2" t="s">
        <v>2044</v>
      </c>
    </row>
    <row r="155" spans="1:58" ht="41.25" customHeight="1" x14ac:dyDescent="0.25">
      <c r="A155" s="8" t="s">
        <v>5</v>
      </c>
      <c r="B155" s="1" t="s">
        <v>0</v>
      </c>
      <c r="C155" s="1" t="s">
        <v>1</v>
      </c>
      <c r="D155" s="1" t="s">
        <v>2045</v>
      </c>
      <c r="E155" s="1" t="s">
        <v>2046</v>
      </c>
      <c r="F155" s="1" t="s">
        <v>2047</v>
      </c>
      <c r="H155" s="2" t="s">
        <v>5</v>
      </c>
      <c r="I155" s="2" t="s">
        <v>974</v>
      </c>
      <c r="J155" s="2" t="s">
        <v>5</v>
      </c>
      <c r="K155" s="2" t="s">
        <v>16</v>
      </c>
      <c r="L155" s="2" t="s">
        <v>7</v>
      </c>
      <c r="N155" s="1" t="s">
        <v>2048</v>
      </c>
      <c r="O155" s="2" t="s">
        <v>1378</v>
      </c>
      <c r="P155" s="1" t="s">
        <v>901</v>
      </c>
      <c r="Q155" s="2" t="s">
        <v>11</v>
      </c>
      <c r="R155" s="2" t="s">
        <v>78</v>
      </c>
      <c r="T155" s="2" t="s">
        <v>520</v>
      </c>
      <c r="U155" s="3">
        <v>3</v>
      </c>
      <c r="V155" s="3">
        <v>3</v>
      </c>
      <c r="W155" s="4" t="s">
        <v>2049</v>
      </c>
      <c r="X155" s="4" t="s">
        <v>2049</v>
      </c>
      <c r="Y155" s="4" t="s">
        <v>1157</v>
      </c>
      <c r="Z155" s="4" t="s">
        <v>1157</v>
      </c>
      <c r="AA155" s="3">
        <v>238</v>
      </c>
      <c r="AB155" s="3">
        <v>198</v>
      </c>
      <c r="AC155" s="3">
        <v>978</v>
      </c>
      <c r="AD155" s="3">
        <v>1</v>
      </c>
      <c r="AE155" s="3">
        <v>7</v>
      </c>
      <c r="AF155" s="3">
        <v>10</v>
      </c>
      <c r="AG155" s="3">
        <v>40</v>
      </c>
      <c r="AH155" s="3">
        <v>3</v>
      </c>
      <c r="AI155" s="3">
        <v>15</v>
      </c>
      <c r="AJ155" s="3">
        <v>3</v>
      </c>
      <c r="AK155" s="3">
        <v>8</v>
      </c>
      <c r="AL155" s="3">
        <v>6</v>
      </c>
      <c r="AM155" s="3">
        <v>17</v>
      </c>
      <c r="AN155" s="3">
        <v>0</v>
      </c>
      <c r="AO155" s="3">
        <v>6</v>
      </c>
      <c r="AP155" s="3">
        <v>0</v>
      </c>
      <c r="AQ155" s="3">
        <v>1</v>
      </c>
      <c r="AR155" s="2" t="s">
        <v>5</v>
      </c>
      <c r="AS155" s="2" t="s">
        <v>16</v>
      </c>
      <c r="AT155" s="5" t="str">
        <f>HYPERLINK("http://catalog.hathitrust.org/Record/003996227","HathiTrust Record")</f>
        <v>HathiTrust Record</v>
      </c>
      <c r="AU155" s="5" t="str">
        <f>HYPERLINK("https://creighton-primo.hosted.exlibrisgroup.com/primo-explore/search?tab=default_tab&amp;search_scope=EVERYTHING&amp;vid=01CRU&amp;lang=en_US&amp;offset=0&amp;query=any,contains,991000870099702656","Catalog Record")</f>
        <v>Catalog Record</v>
      </c>
      <c r="AV155" s="5" t="str">
        <f>HYPERLINK("http://www.worldcat.org/oclc/39051738","WorldCat Record")</f>
        <v>WorldCat Record</v>
      </c>
      <c r="AW155" s="2" t="s">
        <v>2050</v>
      </c>
      <c r="AX155" s="2" t="s">
        <v>2051</v>
      </c>
      <c r="AY155" s="2" t="s">
        <v>2052</v>
      </c>
      <c r="AZ155" s="2" t="s">
        <v>2052</v>
      </c>
      <c r="BA155" s="2" t="s">
        <v>2053</v>
      </c>
      <c r="BB155" s="2" t="s">
        <v>21</v>
      </c>
      <c r="BD155" s="2" t="s">
        <v>2054</v>
      </c>
      <c r="BE155" s="2" t="s">
        <v>2055</v>
      </c>
      <c r="BF155" s="2" t="s">
        <v>2056</v>
      </c>
    </row>
    <row r="156" spans="1:58" ht="41.25" customHeight="1" x14ac:dyDescent="0.25">
      <c r="A156" s="8" t="s">
        <v>5</v>
      </c>
      <c r="B156" s="1" t="s">
        <v>0</v>
      </c>
      <c r="C156" s="1" t="s">
        <v>1</v>
      </c>
      <c r="D156" s="1" t="s">
        <v>2057</v>
      </c>
      <c r="E156" s="1" t="s">
        <v>2058</v>
      </c>
      <c r="F156" s="1" t="s">
        <v>2059</v>
      </c>
      <c r="H156" s="2" t="s">
        <v>5</v>
      </c>
      <c r="I156" s="2" t="s">
        <v>6</v>
      </c>
      <c r="J156" s="2" t="s">
        <v>5</v>
      </c>
      <c r="K156" s="2" t="s">
        <v>5</v>
      </c>
      <c r="L156" s="2" t="s">
        <v>7</v>
      </c>
      <c r="N156" s="1" t="s">
        <v>2060</v>
      </c>
      <c r="O156" s="2" t="s">
        <v>382</v>
      </c>
      <c r="Q156" s="2" t="s">
        <v>11</v>
      </c>
      <c r="R156" s="2" t="s">
        <v>426</v>
      </c>
      <c r="T156" s="2" t="s">
        <v>520</v>
      </c>
      <c r="U156" s="3">
        <v>8</v>
      </c>
      <c r="V156" s="3">
        <v>8</v>
      </c>
      <c r="W156" s="4" t="s">
        <v>1666</v>
      </c>
      <c r="X156" s="4" t="s">
        <v>1666</v>
      </c>
      <c r="Y156" s="4" t="s">
        <v>15</v>
      </c>
      <c r="Z156" s="4" t="s">
        <v>15</v>
      </c>
      <c r="AA156" s="3">
        <v>321</v>
      </c>
      <c r="AB156" s="3">
        <v>264</v>
      </c>
      <c r="AC156" s="3">
        <v>266</v>
      </c>
      <c r="AD156" s="3">
        <v>3</v>
      </c>
      <c r="AE156" s="3">
        <v>3</v>
      </c>
      <c r="AF156" s="3">
        <v>15</v>
      </c>
      <c r="AG156" s="3">
        <v>15</v>
      </c>
      <c r="AH156" s="3">
        <v>5</v>
      </c>
      <c r="AI156" s="3">
        <v>5</v>
      </c>
      <c r="AJ156" s="3">
        <v>3</v>
      </c>
      <c r="AK156" s="3">
        <v>3</v>
      </c>
      <c r="AL156" s="3">
        <v>7</v>
      </c>
      <c r="AM156" s="3">
        <v>7</v>
      </c>
      <c r="AN156" s="3">
        <v>2</v>
      </c>
      <c r="AO156" s="3">
        <v>2</v>
      </c>
      <c r="AP156" s="3">
        <v>0</v>
      </c>
      <c r="AQ156" s="3">
        <v>0</v>
      </c>
      <c r="AR156" s="2" t="s">
        <v>5</v>
      </c>
      <c r="AS156" s="2" t="s">
        <v>16</v>
      </c>
      <c r="AT156" s="5" t="str">
        <f>HYPERLINK("http://catalog.hathitrust.org/Record/000420648","HathiTrust Record")</f>
        <v>HathiTrust Record</v>
      </c>
      <c r="AU156" s="5" t="str">
        <f>HYPERLINK("https://creighton-primo.hosted.exlibrisgroup.com/primo-explore/search?tab=default_tab&amp;search_scope=EVERYTHING&amp;vid=01CRU&amp;lang=en_US&amp;offset=0&amp;query=any,contains,991001034439702656","Catalog Record")</f>
        <v>Catalog Record</v>
      </c>
      <c r="AV156" s="5" t="str">
        <f>HYPERLINK("http://www.worldcat.org/oclc/12312296","WorldCat Record")</f>
        <v>WorldCat Record</v>
      </c>
      <c r="AW156" s="2" t="s">
        <v>2061</v>
      </c>
      <c r="AX156" s="2" t="s">
        <v>2062</v>
      </c>
      <c r="AY156" s="2" t="s">
        <v>2063</v>
      </c>
      <c r="AZ156" s="2" t="s">
        <v>2063</v>
      </c>
      <c r="BA156" s="2" t="s">
        <v>2064</v>
      </c>
      <c r="BB156" s="2" t="s">
        <v>21</v>
      </c>
      <c r="BD156" s="2" t="s">
        <v>2065</v>
      </c>
      <c r="BE156" s="2" t="s">
        <v>2066</v>
      </c>
      <c r="BF156" s="2" t="s">
        <v>2067</v>
      </c>
    </row>
    <row r="157" spans="1:58" ht="41.25" customHeight="1" x14ac:dyDescent="0.25">
      <c r="A157" s="8" t="s">
        <v>5</v>
      </c>
      <c r="B157" s="1" t="s">
        <v>0</v>
      </c>
      <c r="C157" s="1" t="s">
        <v>1</v>
      </c>
      <c r="D157" s="1" t="s">
        <v>2068</v>
      </c>
      <c r="E157" s="1" t="s">
        <v>2069</v>
      </c>
      <c r="F157" s="1" t="s">
        <v>2070</v>
      </c>
      <c r="H157" s="2" t="s">
        <v>5</v>
      </c>
      <c r="I157" s="2" t="s">
        <v>6</v>
      </c>
      <c r="J157" s="2" t="s">
        <v>5</v>
      </c>
      <c r="K157" s="2" t="s">
        <v>5</v>
      </c>
      <c r="L157" s="2" t="s">
        <v>7</v>
      </c>
      <c r="N157" s="1" t="s">
        <v>1220</v>
      </c>
      <c r="O157" s="2" t="s">
        <v>62</v>
      </c>
      <c r="Q157" s="2" t="s">
        <v>11</v>
      </c>
      <c r="R157" s="2" t="s">
        <v>12</v>
      </c>
      <c r="S157" s="1" t="s">
        <v>2071</v>
      </c>
      <c r="T157" s="2" t="s">
        <v>520</v>
      </c>
      <c r="U157" s="3">
        <v>3</v>
      </c>
      <c r="V157" s="3">
        <v>3</v>
      </c>
      <c r="W157" s="4" t="s">
        <v>2072</v>
      </c>
      <c r="X157" s="4" t="s">
        <v>2072</v>
      </c>
      <c r="Y157" s="4" t="s">
        <v>1591</v>
      </c>
      <c r="Z157" s="4" t="s">
        <v>1591</v>
      </c>
      <c r="AA157" s="3">
        <v>99</v>
      </c>
      <c r="AB157" s="3">
        <v>88</v>
      </c>
      <c r="AC157" s="3">
        <v>91</v>
      </c>
      <c r="AD157" s="3">
        <v>1</v>
      </c>
      <c r="AE157" s="3">
        <v>1</v>
      </c>
      <c r="AF157" s="3">
        <v>5</v>
      </c>
      <c r="AG157" s="3">
        <v>5</v>
      </c>
      <c r="AH157" s="3">
        <v>2</v>
      </c>
      <c r="AI157" s="3">
        <v>2</v>
      </c>
      <c r="AJ157" s="3">
        <v>1</v>
      </c>
      <c r="AK157" s="3">
        <v>1</v>
      </c>
      <c r="AL157" s="3">
        <v>4</v>
      </c>
      <c r="AM157" s="3">
        <v>4</v>
      </c>
      <c r="AN157" s="3">
        <v>0</v>
      </c>
      <c r="AO157" s="3">
        <v>0</v>
      </c>
      <c r="AP157" s="3">
        <v>0</v>
      </c>
      <c r="AQ157" s="3">
        <v>0</v>
      </c>
      <c r="AR157" s="2" t="s">
        <v>5</v>
      </c>
      <c r="AS157" s="2" t="s">
        <v>16</v>
      </c>
      <c r="AT157" s="5" t="str">
        <f>HYPERLINK("http://catalog.hathitrust.org/Record/000259771","HathiTrust Record")</f>
        <v>HathiTrust Record</v>
      </c>
      <c r="AU157" s="5" t="str">
        <f>HYPERLINK("https://creighton-primo.hosted.exlibrisgroup.com/primo-explore/search?tab=default_tab&amp;search_scope=EVERYTHING&amp;vid=01CRU&amp;lang=en_US&amp;offset=0&amp;query=any,contains,991001371079702656","Catalog Record")</f>
        <v>Catalog Record</v>
      </c>
      <c r="AV157" s="5" t="str">
        <f>HYPERLINK("http://www.worldcat.org/oclc/5831344","WorldCat Record")</f>
        <v>WorldCat Record</v>
      </c>
      <c r="AW157" s="2" t="s">
        <v>2073</v>
      </c>
      <c r="AX157" s="2" t="s">
        <v>2074</v>
      </c>
      <c r="AY157" s="2" t="s">
        <v>2075</v>
      </c>
      <c r="AZ157" s="2" t="s">
        <v>2075</v>
      </c>
      <c r="BA157" s="2" t="s">
        <v>2076</v>
      </c>
      <c r="BB157" s="2" t="s">
        <v>21</v>
      </c>
      <c r="BE157" s="2" t="s">
        <v>2077</v>
      </c>
      <c r="BF157" s="2" t="s">
        <v>2078</v>
      </c>
    </row>
    <row r="158" spans="1:58" ht="41.25" customHeight="1" x14ac:dyDescent="0.25">
      <c r="A158" s="8" t="s">
        <v>5</v>
      </c>
      <c r="B158" s="1" t="s">
        <v>0</v>
      </c>
      <c r="C158" s="1" t="s">
        <v>1</v>
      </c>
      <c r="D158" s="1" t="s">
        <v>2079</v>
      </c>
      <c r="E158" s="1" t="s">
        <v>2080</v>
      </c>
      <c r="F158" s="1" t="s">
        <v>2081</v>
      </c>
      <c r="H158" s="2" t="s">
        <v>5</v>
      </c>
      <c r="I158" s="2" t="s">
        <v>6</v>
      </c>
      <c r="J158" s="2" t="s">
        <v>5</v>
      </c>
      <c r="K158" s="2" t="s">
        <v>5</v>
      </c>
      <c r="L158" s="2" t="s">
        <v>7</v>
      </c>
      <c r="N158" s="1" t="s">
        <v>1403</v>
      </c>
      <c r="O158" s="2" t="s">
        <v>62</v>
      </c>
      <c r="Q158" s="2" t="s">
        <v>11</v>
      </c>
      <c r="R158" s="2" t="s">
        <v>93</v>
      </c>
      <c r="S158" s="1" t="s">
        <v>2082</v>
      </c>
      <c r="T158" s="2" t="s">
        <v>520</v>
      </c>
      <c r="U158" s="3">
        <v>2</v>
      </c>
      <c r="V158" s="3">
        <v>2</v>
      </c>
      <c r="W158" s="4" t="s">
        <v>2072</v>
      </c>
      <c r="X158" s="4" t="s">
        <v>2072</v>
      </c>
      <c r="Y158" s="4" t="s">
        <v>1591</v>
      </c>
      <c r="Z158" s="4" t="s">
        <v>1591</v>
      </c>
      <c r="AA158" s="3">
        <v>102</v>
      </c>
      <c r="AB158" s="3">
        <v>86</v>
      </c>
      <c r="AC158" s="3">
        <v>86</v>
      </c>
      <c r="AD158" s="3">
        <v>1</v>
      </c>
      <c r="AE158" s="3">
        <v>1</v>
      </c>
      <c r="AF158" s="3">
        <v>5</v>
      </c>
      <c r="AG158" s="3">
        <v>5</v>
      </c>
      <c r="AH158" s="3">
        <v>2</v>
      </c>
      <c r="AI158" s="3">
        <v>2</v>
      </c>
      <c r="AJ158" s="3">
        <v>0</v>
      </c>
      <c r="AK158" s="3">
        <v>0</v>
      </c>
      <c r="AL158" s="3">
        <v>3</v>
      </c>
      <c r="AM158" s="3">
        <v>3</v>
      </c>
      <c r="AN158" s="3">
        <v>0</v>
      </c>
      <c r="AO158" s="3">
        <v>0</v>
      </c>
      <c r="AP158" s="3">
        <v>0</v>
      </c>
      <c r="AQ158" s="3">
        <v>0</v>
      </c>
      <c r="AR158" s="2" t="s">
        <v>5</v>
      </c>
      <c r="AS158" s="2" t="s">
        <v>5</v>
      </c>
      <c r="AU158" s="5" t="str">
        <f>HYPERLINK("https://creighton-primo.hosted.exlibrisgroup.com/primo-explore/search?tab=default_tab&amp;search_scope=EVERYTHING&amp;vid=01CRU&amp;lang=en_US&amp;offset=0&amp;query=any,contains,991001371339702656","Catalog Record")</f>
        <v>Catalog Record</v>
      </c>
      <c r="AV158" s="5" t="str">
        <f>HYPERLINK("http://www.worldcat.org/oclc/6040061","WorldCat Record")</f>
        <v>WorldCat Record</v>
      </c>
      <c r="AW158" s="2" t="s">
        <v>2083</v>
      </c>
      <c r="AX158" s="2" t="s">
        <v>2084</v>
      </c>
      <c r="AY158" s="2" t="s">
        <v>2085</v>
      </c>
      <c r="AZ158" s="2" t="s">
        <v>2085</v>
      </c>
      <c r="BA158" s="2" t="s">
        <v>2086</v>
      </c>
      <c r="BB158" s="2" t="s">
        <v>21</v>
      </c>
      <c r="BE158" s="2" t="s">
        <v>2087</v>
      </c>
      <c r="BF158" s="2" t="s">
        <v>2088</v>
      </c>
    </row>
    <row r="159" spans="1:58" ht="41.25" customHeight="1" x14ac:dyDescent="0.25">
      <c r="A159" s="8" t="s">
        <v>5</v>
      </c>
      <c r="B159" s="1" t="s">
        <v>0</v>
      </c>
      <c r="C159" s="1" t="s">
        <v>1</v>
      </c>
      <c r="D159" s="1" t="s">
        <v>2089</v>
      </c>
      <c r="E159" s="1" t="s">
        <v>2090</v>
      </c>
      <c r="F159" s="1" t="s">
        <v>2091</v>
      </c>
      <c r="H159" s="2" t="s">
        <v>5</v>
      </c>
      <c r="I159" s="2" t="s">
        <v>6</v>
      </c>
      <c r="J159" s="2" t="s">
        <v>5</v>
      </c>
      <c r="K159" s="2" t="s">
        <v>5</v>
      </c>
      <c r="L159" s="2" t="s">
        <v>7</v>
      </c>
      <c r="N159" s="1" t="s">
        <v>2092</v>
      </c>
      <c r="O159" s="2" t="s">
        <v>1887</v>
      </c>
      <c r="Q159" s="2" t="s">
        <v>11</v>
      </c>
      <c r="R159" s="2" t="s">
        <v>1325</v>
      </c>
      <c r="S159" s="1" t="s">
        <v>2093</v>
      </c>
      <c r="T159" s="2" t="s">
        <v>520</v>
      </c>
      <c r="U159" s="3">
        <v>1</v>
      </c>
      <c r="V159" s="3">
        <v>1</v>
      </c>
      <c r="W159" s="4" t="s">
        <v>1379</v>
      </c>
      <c r="X159" s="4" t="s">
        <v>1379</v>
      </c>
      <c r="Y159" s="4" t="s">
        <v>604</v>
      </c>
      <c r="Z159" s="4" t="s">
        <v>604</v>
      </c>
      <c r="AA159" s="3">
        <v>78</v>
      </c>
      <c r="AB159" s="3">
        <v>77</v>
      </c>
      <c r="AC159" s="3">
        <v>88</v>
      </c>
      <c r="AD159" s="3">
        <v>1</v>
      </c>
      <c r="AE159" s="3">
        <v>1</v>
      </c>
      <c r="AF159" s="3">
        <v>5</v>
      </c>
      <c r="AG159" s="3">
        <v>5</v>
      </c>
      <c r="AH159" s="3">
        <v>1</v>
      </c>
      <c r="AI159" s="3">
        <v>1</v>
      </c>
      <c r="AJ159" s="3">
        <v>1</v>
      </c>
      <c r="AK159" s="3">
        <v>1</v>
      </c>
      <c r="AL159" s="3">
        <v>4</v>
      </c>
      <c r="AM159" s="3">
        <v>4</v>
      </c>
      <c r="AN159" s="3">
        <v>0</v>
      </c>
      <c r="AO159" s="3">
        <v>0</v>
      </c>
      <c r="AP159" s="3">
        <v>0</v>
      </c>
      <c r="AQ159" s="3">
        <v>0</v>
      </c>
      <c r="AR159" s="2" t="s">
        <v>5</v>
      </c>
      <c r="AS159" s="2" t="s">
        <v>16</v>
      </c>
      <c r="AT159" s="5" t="str">
        <f>HYPERLINK("http://catalog.hathitrust.org/Record/002808247","HathiTrust Record")</f>
        <v>HathiTrust Record</v>
      </c>
      <c r="AU159" s="5" t="str">
        <f>HYPERLINK("https://creighton-primo.hosted.exlibrisgroup.com/primo-explore/search?tab=default_tab&amp;search_scope=EVERYTHING&amp;vid=01CRU&amp;lang=en_US&amp;offset=0&amp;query=any,contains,991000243079702656","Catalog Record")</f>
        <v>Catalog Record</v>
      </c>
      <c r="AV159" s="5" t="str">
        <f>HYPERLINK("http://www.worldcat.org/oclc/28536028","WorldCat Record")</f>
        <v>WorldCat Record</v>
      </c>
      <c r="AW159" s="2" t="s">
        <v>2094</v>
      </c>
      <c r="AX159" s="2" t="s">
        <v>2095</v>
      </c>
      <c r="AY159" s="2" t="s">
        <v>2096</v>
      </c>
      <c r="AZ159" s="2" t="s">
        <v>2096</v>
      </c>
      <c r="BA159" s="2" t="s">
        <v>2097</v>
      </c>
      <c r="BB159" s="2" t="s">
        <v>21</v>
      </c>
      <c r="BE159" s="2" t="s">
        <v>2098</v>
      </c>
      <c r="BF159" s="2" t="s">
        <v>2099</v>
      </c>
    </row>
    <row r="160" spans="1:58" ht="41.25" customHeight="1" x14ac:dyDescent="0.25">
      <c r="A160" s="8" t="s">
        <v>5</v>
      </c>
      <c r="B160" s="1" t="s">
        <v>0</v>
      </c>
      <c r="C160" s="1" t="s">
        <v>1</v>
      </c>
      <c r="D160" s="1" t="s">
        <v>2100</v>
      </c>
      <c r="E160" s="1" t="s">
        <v>2101</v>
      </c>
      <c r="F160" s="1" t="s">
        <v>2102</v>
      </c>
      <c r="H160" s="2" t="s">
        <v>5</v>
      </c>
      <c r="I160" s="2" t="s">
        <v>6</v>
      </c>
      <c r="J160" s="2" t="s">
        <v>5</v>
      </c>
      <c r="K160" s="2" t="s">
        <v>5</v>
      </c>
      <c r="L160" s="2" t="s">
        <v>7</v>
      </c>
      <c r="N160" s="1" t="s">
        <v>600</v>
      </c>
      <c r="O160" s="2" t="s">
        <v>601</v>
      </c>
      <c r="Q160" s="2" t="s">
        <v>11</v>
      </c>
      <c r="R160" s="2" t="s">
        <v>12</v>
      </c>
      <c r="S160" s="1" t="s">
        <v>2103</v>
      </c>
      <c r="T160" s="2" t="s">
        <v>520</v>
      </c>
      <c r="U160" s="3">
        <v>0</v>
      </c>
      <c r="V160" s="3">
        <v>0</v>
      </c>
      <c r="W160" s="4" t="s">
        <v>2104</v>
      </c>
      <c r="X160" s="4" t="s">
        <v>2104</v>
      </c>
      <c r="Y160" s="4" t="s">
        <v>604</v>
      </c>
      <c r="Z160" s="4" t="s">
        <v>604</v>
      </c>
      <c r="AA160" s="3">
        <v>314</v>
      </c>
      <c r="AB160" s="3">
        <v>278</v>
      </c>
      <c r="AC160" s="3">
        <v>285</v>
      </c>
      <c r="AD160" s="3">
        <v>2</v>
      </c>
      <c r="AE160" s="3">
        <v>2</v>
      </c>
      <c r="AF160" s="3">
        <v>14</v>
      </c>
      <c r="AG160" s="3">
        <v>14</v>
      </c>
      <c r="AH160" s="3">
        <v>4</v>
      </c>
      <c r="AI160" s="3">
        <v>4</v>
      </c>
      <c r="AJ160" s="3">
        <v>5</v>
      </c>
      <c r="AK160" s="3">
        <v>5</v>
      </c>
      <c r="AL160" s="3">
        <v>7</v>
      </c>
      <c r="AM160" s="3">
        <v>7</v>
      </c>
      <c r="AN160" s="3">
        <v>0</v>
      </c>
      <c r="AO160" s="3">
        <v>0</v>
      </c>
      <c r="AP160" s="3">
        <v>0</v>
      </c>
      <c r="AQ160" s="3">
        <v>0</v>
      </c>
      <c r="AR160" s="2" t="s">
        <v>5</v>
      </c>
      <c r="AS160" s="2" t="s">
        <v>16</v>
      </c>
      <c r="AT160" s="5" t="str">
        <f>HYPERLINK("http://catalog.hathitrust.org/Record/002994674","HathiTrust Record")</f>
        <v>HathiTrust Record</v>
      </c>
      <c r="AU160" s="5" t="str">
        <f>HYPERLINK("https://creighton-primo.hosted.exlibrisgroup.com/primo-explore/search?tab=default_tab&amp;search_scope=EVERYTHING&amp;vid=01CRU&amp;lang=en_US&amp;offset=0&amp;query=any,contains,991000255159702656","Catalog Record")</f>
        <v>Catalog Record</v>
      </c>
      <c r="AV160" s="5" t="str">
        <f>HYPERLINK("http://www.worldcat.org/oclc/32619045","WorldCat Record")</f>
        <v>WorldCat Record</v>
      </c>
      <c r="AW160" s="2" t="s">
        <v>2105</v>
      </c>
      <c r="AX160" s="2" t="s">
        <v>2106</v>
      </c>
      <c r="AY160" s="2" t="s">
        <v>2107</v>
      </c>
      <c r="AZ160" s="2" t="s">
        <v>2107</v>
      </c>
      <c r="BA160" s="2" t="s">
        <v>2108</v>
      </c>
      <c r="BB160" s="2" t="s">
        <v>21</v>
      </c>
      <c r="BD160" s="2" t="s">
        <v>2109</v>
      </c>
      <c r="BE160" s="2" t="s">
        <v>2110</v>
      </c>
      <c r="BF160" s="2" t="s">
        <v>2111</v>
      </c>
    </row>
    <row r="161" spans="1:58" ht="41.25" customHeight="1" x14ac:dyDescent="0.25">
      <c r="A161" s="8" t="s">
        <v>5</v>
      </c>
      <c r="B161" s="1" t="s">
        <v>0</v>
      </c>
      <c r="C161" s="1" t="s">
        <v>1</v>
      </c>
      <c r="D161" s="1" t="s">
        <v>2112</v>
      </c>
      <c r="E161" s="1" t="s">
        <v>2113</v>
      </c>
      <c r="F161" s="1" t="s">
        <v>2114</v>
      </c>
      <c r="H161" s="2" t="s">
        <v>5</v>
      </c>
      <c r="I161" s="2" t="s">
        <v>6</v>
      </c>
      <c r="J161" s="2" t="s">
        <v>5</v>
      </c>
      <c r="K161" s="2" t="s">
        <v>5</v>
      </c>
      <c r="L161" s="2" t="s">
        <v>7</v>
      </c>
      <c r="N161" s="1" t="s">
        <v>2115</v>
      </c>
      <c r="O161" s="2" t="s">
        <v>382</v>
      </c>
      <c r="Q161" s="2" t="s">
        <v>11</v>
      </c>
      <c r="R161" s="2" t="s">
        <v>2116</v>
      </c>
      <c r="T161" s="2" t="s">
        <v>520</v>
      </c>
      <c r="U161" s="3">
        <v>6</v>
      </c>
      <c r="V161" s="3">
        <v>6</v>
      </c>
      <c r="W161" s="4" t="s">
        <v>2036</v>
      </c>
      <c r="X161" s="4" t="s">
        <v>2036</v>
      </c>
      <c r="Y161" s="4" t="s">
        <v>15</v>
      </c>
      <c r="Z161" s="4" t="s">
        <v>15</v>
      </c>
      <c r="AA161" s="3">
        <v>291</v>
      </c>
      <c r="AB161" s="3">
        <v>249</v>
      </c>
      <c r="AC161" s="3">
        <v>259</v>
      </c>
      <c r="AD161" s="3">
        <v>2</v>
      </c>
      <c r="AE161" s="3">
        <v>2</v>
      </c>
      <c r="AF161" s="3">
        <v>12</v>
      </c>
      <c r="AG161" s="3">
        <v>12</v>
      </c>
      <c r="AH161" s="3">
        <v>4</v>
      </c>
      <c r="AI161" s="3">
        <v>4</v>
      </c>
      <c r="AJ161" s="3">
        <v>3</v>
      </c>
      <c r="AK161" s="3">
        <v>3</v>
      </c>
      <c r="AL161" s="3">
        <v>7</v>
      </c>
      <c r="AM161" s="3">
        <v>7</v>
      </c>
      <c r="AN161" s="3">
        <v>1</v>
      </c>
      <c r="AO161" s="3">
        <v>1</v>
      </c>
      <c r="AP161" s="3">
        <v>0</v>
      </c>
      <c r="AQ161" s="3">
        <v>0</v>
      </c>
      <c r="AR161" s="2" t="s">
        <v>5</v>
      </c>
      <c r="AS161" s="2" t="s">
        <v>16</v>
      </c>
      <c r="AT161" s="5" t="str">
        <f>HYPERLINK("http://catalog.hathitrust.org/Record/000249822","HathiTrust Record")</f>
        <v>HathiTrust Record</v>
      </c>
      <c r="AU161" s="5" t="str">
        <f>HYPERLINK("https://creighton-primo.hosted.exlibrisgroup.com/primo-explore/search?tab=default_tab&amp;search_scope=EVERYTHING&amp;vid=01CRU&amp;lang=en_US&amp;offset=0&amp;query=any,contains,991001034479702656","Catalog Record")</f>
        <v>Catalog Record</v>
      </c>
      <c r="AV161" s="5" t="str">
        <f>HYPERLINK("http://www.worldcat.org/oclc/10948669","WorldCat Record")</f>
        <v>WorldCat Record</v>
      </c>
      <c r="AW161" s="2" t="s">
        <v>2117</v>
      </c>
      <c r="AX161" s="2" t="s">
        <v>2118</v>
      </c>
      <c r="AY161" s="2" t="s">
        <v>2119</v>
      </c>
      <c r="AZ161" s="2" t="s">
        <v>2119</v>
      </c>
      <c r="BA161" s="2" t="s">
        <v>2120</v>
      </c>
      <c r="BB161" s="2" t="s">
        <v>21</v>
      </c>
      <c r="BD161" s="2" t="s">
        <v>2121</v>
      </c>
      <c r="BE161" s="2" t="s">
        <v>2122</v>
      </c>
      <c r="BF161" s="2" t="s">
        <v>2123</v>
      </c>
    </row>
    <row r="162" spans="1:58" ht="41.25" customHeight="1" x14ac:dyDescent="0.25">
      <c r="A162" s="8" t="s">
        <v>5</v>
      </c>
      <c r="B162" s="1" t="s">
        <v>0</v>
      </c>
      <c r="C162" s="1" t="s">
        <v>1</v>
      </c>
      <c r="D162" s="1" t="s">
        <v>2124</v>
      </c>
      <c r="E162" s="1" t="s">
        <v>2125</v>
      </c>
      <c r="F162" s="1" t="s">
        <v>2126</v>
      </c>
      <c r="H162" s="2" t="s">
        <v>5</v>
      </c>
      <c r="I162" s="2" t="s">
        <v>6</v>
      </c>
      <c r="J162" s="2" t="s">
        <v>5</v>
      </c>
      <c r="K162" s="2" t="s">
        <v>5</v>
      </c>
      <c r="L162" s="2" t="s">
        <v>7</v>
      </c>
      <c r="N162" s="1" t="s">
        <v>2127</v>
      </c>
      <c r="O162" s="2" t="s">
        <v>794</v>
      </c>
      <c r="P162" s="1" t="s">
        <v>901</v>
      </c>
      <c r="Q162" s="2" t="s">
        <v>11</v>
      </c>
      <c r="R162" s="2" t="s">
        <v>12</v>
      </c>
      <c r="T162" s="2" t="s">
        <v>520</v>
      </c>
      <c r="U162" s="3">
        <v>2</v>
      </c>
      <c r="V162" s="3">
        <v>2</v>
      </c>
      <c r="W162" s="4" t="s">
        <v>903</v>
      </c>
      <c r="X162" s="4" t="s">
        <v>903</v>
      </c>
      <c r="Y162" s="4" t="s">
        <v>604</v>
      </c>
      <c r="Z162" s="4" t="s">
        <v>604</v>
      </c>
      <c r="AA162" s="3">
        <v>195</v>
      </c>
      <c r="AB162" s="3">
        <v>178</v>
      </c>
      <c r="AC162" s="3">
        <v>180</v>
      </c>
      <c r="AD162" s="3">
        <v>1</v>
      </c>
      <c r="AE162" s="3">
        <v>1</v>
      </c>
      <c r="AF162" s="3">
        <v>13</v>
      </c>
      <c r="AG162" s="3">
        <v>13</v>
      </c>
      <c r="AH162" s="3">
        <v>7</v>
      </c>
      <c r="AI162" s="3">
        <v>7</v>
      </c>
      <c r="AJ162" s="3">
        <v>3</v>
      </c>
      <c r="AK162" s="3">
        <v>3</v>
      </c>
      <c r="AL162" s="3">
        <v>5</v>
      </c>
      <c r="AM162" s="3">
        <v>5</v>
      </c>
      <c r="AN162" s="3">
        <v>0</v>
      </c>
      <c r="AO162" s="3">
        <v>0</v>
      </c>
      <c r="AP162" s="3">
        <v>0</v>
      </c>
      <c r="AQ162" s="3">
        <v>0</v>
      </c>
      <c r="AR162" s="2" t="s">
        <v>5</v>
      </c>
      <c r="AS162" s="2" t="s">
        <v>16</v>
      </c>
      <c r="AT162" s="5" t="str">
        <f>HYPERLINK("http://catalog.hathitrust.org/Record/003078236","HathiTrust Record")</f>
        <v>HathiTrust Record</v>
      </c>
      <c r="AU162" s="5" t="str">
        <f>HYPERLINK("https://creighton-primo.hosted.exlibrisgroup.com/primo-explore/search?tab=default_tab&amp;search_scope=EVERYTHING&amp;vid=01CRU&amp;lang=en_US&amp;offset=0&amp;query=any,contains,991000262709702656","Catalog Record")</f>
        <v>Catalog Record</v>
      </c>
      <c r="AV162" s="5" t="str">
        <f>HYPERLINK("http://www.worldcat.org/oclc/35158156","WorldCat Record")</f>
        <v>WorldCat Record</v>
      </c>
      <c r="AW162" s="2" t="s">
        <v>2128</v>
      </c>
      <c r="AX162" s="2" t="s">
        <v>2129</v>
      </c>
      <c r="AY162" s="2" t="s">
        <v>2130</v>
      </c>
      <c r="AZ162" s="2" t="s">
        <v>2130</v>
      </c>
      <c r="BA162" s="2" t="s">
        <v>2131</v>
      </c>
      <c r="BB162" s="2" t="s">
        <v>21</v>
      </c>
      <c r="BD162" s="2" t="s">
        <v>2132</v>
      </c>
      <c r="BE162" s="2" t="s">
        <v>2133</v>
      </c>
      <c r="BF162" s="2" t="s">
        <v>2134</v>
      </c>
    </row>
    <row r="163" spans="1:58" ht="41.25" customHeight="1" x14ac:dyDescent="0.25">
      <c r="A163" s="8" t="s">
        <v>5</v>
      </c>
      <c r="B163" s="1" t="s">
        <v>0</v>
      </c>
      <c r="C163" s="1" t="s">
        <v>1</v>
      </c>
      <c r="D163" s="1" t="s">
        <v>2135</v>
      </c>
      <c r="E163" s="1" t="s">
        <v>2136</v>
      </c>
      <c r="F163" s="1" t="s">
        <v>2137</v>
      </c>
      <c r="H163" s="2" t="s">
        <v>5</v>
      </c>
      <c r="I163" s="2" t="s">
        <v>6</v>
      </c>
      <c r="J163" s="2" t="s">
        <v>5</v>
      </c>
      <c r="K163" s="2" t="s">
        <v>16</v>
      </c>
      <c r="L163" s="2" t="s">
        <v>7</v>
      </c>
      <c r="N163" s="1" t="s">
        <v>2138</v>
      </c>
      <c r="O163" s="2" t="s">
        <v>1863</v>
      </c>
      <c r="P163" s="1" t="s">
        <v>901</v>
      </c>
      <c r="Q163" s="2" t="s">
        <v>11</v>
      </c>
      <c r="R163" s="2" t="s">
        <v>78</v>
      </c>
      <c r="T163" s="2" t="s">
        <v>520</v>
      </c>
      <c r="U163" s="3">
        <v>8</v>
      </c>
      <c r="V163" s="3">
        <v>8</v>
      </c>
      <c r="W163" s="4" t="s">
        <v>2139</v>
      </c>
      <c r="X163" s="4" t="s">
        <v>2139</v>
      </c>
      <c r="Y163" s="4" t="s">
        <v>2140</v>
      </c>
      <c r="Z163" s="4" t="s">
        <v>2140</v>
      </c>
      <c r="AA163" s="3">
        <v>224</v>
      </c>
      <c r="AB163" s="3">
        <v>168</v>
      </c>
      <c r="AC163" s="3">
        <v>709</v>
      </c>
      <c r="AD163" s="3">
        <v>1</v>
      </c>
      <c r="AE163" s="3">
        <v>6</v>
      </c>
      <c r="AF163" s="3">
        <v>5</v>
      </c>
      <c r="AG163" s="3">
        <v>22</v>
      </c>
      <c r="AH163" s="3">
        <v>2</v>
      </c>
      <c r="AI163" s="3">
        <v>9</v>
      </c>
      <c r="AJ163" s="3">
        <v>0</v>
      </c>
      <c r="AK163" s="3">
        <v>4</v>
      </c>
      <c r="AL163" s="3">
        <v>4</v>
      </c>
      <c r="AM163" s="3">
        <v>12</v>
      </c>
      <c r="AN163" s="3">
        <v>0</v>
      </c>
      <c r="AO163" s="3">
        <v>4</v>
      </c>
      <c r="AP163" s="3">
        <v>0</v>
      </c>
      <c r="AQ163" s="3">
        <v>0</v>
      </c>
      <c r="AR163" s="2" t="s">
        <v>5</v>
      </c>
      <c r="AS163" s="2" t="s">
        <v>16</v>
      </c>
      <c r="AT163" s="5" t="str">
        <f>HYPERLINK("http://catalog.hathitrust.org/Record/004142574","HathiTrust Record")</f>
        <v>HathiTrust Record</v>
      </c>
      <c r="AU163" s="5" t="str">
        <f>HYPERLINK("https://creighton-primo.hosted.exlibrisgroup.com/primo-explore/search?tab=default_tab&amp;search_scope=EVERYTHING&amp;vid=01CRU&amp;lang=en_US&amp;offset=0&amp;query=any,contains,991000319779702656","Catalog Record")</f>
        <v>Catalog Record</v>
      </c>
      <c r="AV163" s="5" t="str">
        <f>HYPERLINK("http://www.worldcat.org/oclc/43483677","WorldCat Record")</f>
        <v>WorldCat Record</v>
      </c>
      <c r="AW163" s="2" t="s">
        <v>2141</v>
      </c>
      <c r="AX163" s="2" t="s">
        <v>2142</v>
      </c>
      <c r="AY163" s="2" t="s">
        <v>2143</v>
      </c>
      <c r="AZ163" s="2" t="s">
        <v>2143</v>
      </c>
      <c r="BA163" s="2" t="s">
        <v>2144</v>
      </c>
      <c r="BB163" s="2" t="s">
        <v>21</v>
      </c>
      <c r="BD163" s="2" t="s">
        <v>2145</v>
      </c>
      <c r="BE163" s="2" t="s">
        <v>2146</v>
      </c>
      <c r="BF163" s="2" t="s">
        <v>2147</v>
      </c>
    </row>
    <row r="164" spans="1:58" ht="41.25" customHeight="1" x14ac:dyDescent="0.25">
      <c r="A164" s="8" t="s">
        <v>5</v>
      </c>
      <c r="B164" s="1" t="s">
        <v>0</v>
      </c>
      <c r="C164" s="1" t="s">
        <v>1</v>
      </c>
      <c r="D164" s="1" t="s">
        <v>2148</v>
      </c>
      <c r="E164" s="1" t="s">
        <v>2149</v>
      </c>
      <c r="F164" s="1" t="s">
        <v>2150</v>
      </c>
      <c r="H164" s="2" t="s">
        <v>5</v>
      </c>
      <c r="I164" s="2" t="s">
        <v>6</v>
      </c>
      <c r="J164" s="2" t="s">
        <v>5</v>
      </c>
      <c r="K164" s="2" t="s">
        <v>5</v>
      </c>
      <c r="L164" s="2" t="s">
        <v>7</v>
      </c>
      <c r="N164" s="1" t="s">
        <v>2151</v>
      </c>
      <c r="O164" s="2" t="s">
        <v>107</v>
      </c>
      <c r="P164" s="1" t="s">
        <v>1284</v>
      </c>
      <c r="Q164" s="2" t="s">
        <v>11</v>
      </c>
      <c r="R164" s="2" t="s">
        <v>229</v>
      </c>
      <c r="T164" s="2" t="s">
        <v>520</v>
      </c>
      <c r="U164" s="3">
        <v>0</v>
      </c>
      <c r="V164" s="3">
        <v>0</v>
      </c>
      <c r="W164" s="4" t="s">
        <v>2152</v>
      </c>
      <c r="X164" s="4" t="s">
        <v>2152</v>
      </c>
      <c r="Y164" s="4" t="s">
        <v>2153</v>
      </c>
      <c r="Z164" s="4" t="s">
        <v>2153</v>
      </c>
      <c r="AA164" s="3">
        <v>314</v>
      </c>
      <c r="AB164" s="3">
        <v>209</v>
      </c>
      <c r="AC164" s="3">
        <v>514</v>
      </c>
      <c r="AD164" s="3">
        <v>1</v>
      </c>
      <c r="AE164" s="3">
        <v>2</v>
      </c>
      <c r="AF164" s="3">
        <v>4</v>
      </c>
      <c r="AG164" s="3">
        <v>13</v>
      </c>
      <c r="AH164" s="3">
        <v>2</v>
      </c>
      <c r="AI164" s="3">
        <v>4</v>
      </c>
      <c r="AJ164" s="3">
        <v>1</v>
      </c>
      <c r="AK164" s="3">
        <v>4</v>
      </c>
      <c r="AL164" s="3">
        <v>2</v>
      </c>
      <c r="AM164" s="3">
        <v>7</v>
      </c>
      <c r="AN164" s="3">
        <v>0</v>
      </c>
      <c r="AO164" s="3">
        <v>1</v>
      </c>
      <c r="AP164" s="3">
        <v>0</v>
      </c>
      <c r="AQ164" s="3">
        <v>0</v>
      </c>
      <c r="AR164" s="2" t="s">
        <v>5</v>
      </c>
      <c r="AS164" s="2" t="s">
        <v>16</v>
      </c>
      <c r="AT164" s="5" t="str">
        <f>HYPERLINK("http://catalog.hathitrust.org/Record/005032125","HathiTrust Record")</f>
        <v>HathiTrust Record</v>
      </c>
      <c r="AU164" s="5" t="str">
        <f>HYPERLINK("https://creighton-primo.hosted.exlibrisgroup.com/primo-explore/search?tab=default_tab&amp;search_scope=EVERYTHING&amp;vid=01CRU&amp;lang=en_US&amp;offset=0&amp;query=any,contains,991001495479702656","Catalog Record")</f>
        <v>Catalog Record</v>
      </c>
      <c r="AV164" s="5" t="str">
        <f>HYPERLINK("http://www.worldcat.org/oclc/57143279","WorldCat Record")</f>
        <v>WorldCat Record</v>
      </c>
      <c r="AW164" s="2" t="s">
        <v>2154</v>
      </c>
      <c r="AX164" s="2" t="s">
        <v>2155</v>
      </c>
      <c r="AY164" s="2" t="s">
        <v>2156</v>
      </c>
      <c r="AZ164" s="2" t="s">
        <v>2156</v>
      </c>
      <c r="BA164" s="2" t="s">
        <v>2157</v>
      </c>
      <c r="BB164" s="2" t="s">
        <v>21</v>
      </c>
      <c r="BD164" s="2" t="s">
        <v>2158</v>
      </c>
      <c r="BE164" s="2" t="s">
        <v>2159</v>
      </c>
      <c r="BF164" s="2" t="s">
        <v>2160</v>
      </c>
    </row>
    <row r="165" spans="1:58" ht="41.25" customHeight="1" x14ac:dyDescent="0.25">
      <c r="A165" s="8" t="s">
        <v>5</v>
      </c>
      <c r="B165" s="1" t="s">
        <v>0</v>
      </c>
      <c r="C165" s="1" t="s">
        <v>1</v>
      </c>
      <c r="D165" s="1" t="s">
        <v>2161</v>
      </c>
      <c r="E165" s="1" t="s">
        <v>2162</v>
      </c>
      <c r="F165" s="1" t="s">
        <v>2163</v>
      </c>
      <c r="H165" s="2" t="s">
        <v>5</v>
      </c>
      <c r="I165" s="2" t="s">
        <v>6</v>
      </c>
      <c r="J165" s="2" t="s">
        <v>5</v>
      </c>
      <c r="K165" s="2" t="s">
        <v>5</v>
      </c>
      <c r="L165" s="2" t="s">
        <v>7</v>
      </c>
      <c r="N165" s="1" t="s">
        <v>2164</v>
      </c>
      <c r="O165" s="2" t="s">
        <v>1441</v>
      </c>
      <c r="Q165" s="2" t="s">
        <v>11</v>
      </c>
      <c r="R165" s="2" t="s">
        <v>426</v>
      </c>
      <c r="S165" s="1" t="s">
        <v>2165</v>
      </c>
      <c r="T165" s="2" t="s">
        <v>520</v>
      </c>
      <c r="U165" s="3">
        <v>2</v>
      </c>
      <c r="V165" s="3">
        <v>2</v>
      </c>
      <c r="W165" s="4" t="s">
        <v>1248</v>
      </c>
      <c r="X165" s="4" t="s">
        <v>1248</v>
      </c>
      <c r="Y165" s="4" t="s">
        <v>1249</v>
      </c>
      <c r="Z165" s="4" t="s">
        <v>1249</v>
      </c>
      <c r="AA165" s="3">
        <v>104</v>
      </c>
      <c r="AB165" s="3">
        <v>91</v>
      </c>
      <c r="AC165" s="3">
        <v>93</v>
      </c>
      <c r="AD165" s="3">
        <v>3</v>
      </c>
      <c r="AE165" s="3">
        <v>3</v>
      </c>
      <c r="AF165" s="3">
        <v>4</v>
      </c>
      <c r="AG165" s="3">
        <v>4</v>
      </c>
      <c r="AH165" s="3">
        <v>1</v>
      </c>
      <c r="AI165" s="3">
        <v>1</v>
      </c>
      <c r="AJ165" s="3">
        <v>0</v>
      </c>
      <c r="AK165" s="3">
        <v>0</v>
      </c>
      <c r="AL165" s="3">
        <v>2</v>
      </c>
      <c r="AM165" s="3">
        <v>2</v>
      </c>
      <c r="AN165" s="3">
        <v>1</v>
      </c>
      <c r="AO165" s="3">
        <v>1</v>
      </c>
      <c r="AP165" s="3">
        <v>0</v>
      </c>
      <c r="AQ165" s="3">
        <v>0</v>
      </c>
      <c r="AR165" s="2" t="s">
        <v>5</v>
      </c>
      <c r="AS165" s="2" t="s">
        <v>16</v>
      </c>
      <c r="AT165" s="5" t="str">
        <f>HYPERLINK("http://catalog.hathitrust.org/Record/000704060","HathiTrust Record")</f>
        <v>HathiTrust Record</v>
      </c>
      <c r="AU165" s="5" t="str">
        <f>HYPERLINK("https://creighton-primo.hosted.exlibrisgroup.com/primo-explore/search?tab=default_tab&amp;search_scope=EVERYTHING&amp;vid=01CRU&amp;lang=en_US&amp;offset=0&amp;query=any,contains,991001384699702656","Catalog Record")</f>
        <v>Catalog Record</v>
      </c>
      <c r="AV165" s="5" t="str">
        <f>HYPERLINK("http://www.worldcat.org/oclc/1818859","WorldCat Record")</f>
        <v>WorldCat Record</v>
      </c>
      <c r="AW165" s="2" t="s">
        <v>2166</v>
      </c>
      <c r="AX165" s="2" t="s">
        <v>2167</v>
      </c>
      <c r="AY165" s="2" t="s">
        <v>2168</v>
      </c>
      <c r="AZ165" s="2" t="s">
        <v>2168</v>
      </c>
      <c r="BA165" s="2" t="s">
        <v>2169</v>
      </c>
      <c r="BB165" s="2" t="s">
        <v>21</v>
      </c>
      <c r="BE165" s="2" t="s">
        <v>2170</v>
      </c>
      <c r="BF165" s="2" t="s">
        <v>2171</v>
      </c>
    </row>
    <row r="166" spans="1:58" ht="41.25" customHeight="1" x14ac:dyDescent="0.25">
      <c r="A166" s="8" t="s">
        <v>5</v>
      </c>
      <c r="B166" s="1" t="s">
        <v>0</v>
      </c>
      <c r="C166" s="1" t="s">
        <v>1</v>
      </c>
      <c r="D166" s="1" t="s">
        <v>2172</v>
      </c>
      <c r="E166" s="1" t="s">
        <v>2173</v>
      </c>
      <c r="F166" s="1" t="s">
        <v>2174</v>
      </c>
      <c r="H166" s="2" t="s">
        <v>5</v>
      </c>
      <c r="I166" s="2" t="s">
        <v>6</v>
      </c>
      <c r="J166" s="2" t="s">
        <v>16</v>
      </c>
      <c r="K166" s="2" t="s">
        <v>5</v>
      </c>
      <c r="L166" s="2" t="s">
        <v>7</v>
      </c>
      <c r="N166" s="1" t="s">
        <v>2175</v>
      </c>
      <c r="O166" s="2" t="s">
        <v>382</v>
      </c>
      <c r="Q166" s="2" t="s">
        <v>11</v>
      </c>
      <c r="R166" s="2" t="s">
        <v>1140</v>
      </c>
      <c r="T166" s="2" t="s">
        <v>520</v>
      </c>
      <c r="U166" s="3">
        <v>11</v>
      </c>
      <c r="V166" s="3">
        <v>11</v>
      </c>
      <c r="W166" s="4" t="s">
        <v>2176</v>
      </c>
      <c r="X166" s="4" t="s">
        <v>2176</v>
      </c>
      <c r="Y166" s="4" t="s">
        <v>329</v>
      </c>
      <c r="Z166" s="4" t="s">
        <v>329</v>
      </c>
      <c r="AA166" s="3">
        <v>304</v>
      </c>
      <c r="AB166" s="3">
        <v>279</v>
      </c>
      <c r="AC166" s="3">
        <v>286</v>
      </c>
      <c r="AD166" s="3">
        <v>4</v>
      </c>
      <c r="AE166" s="3">
        <v>4</v>
      </c>
      <c r="AF166" s="3">
        <v>13</v>
      </c>
      <c r="AG166" s="3">
        <v>13</v>
      </c>
      <c r="AH166" s="3">
        <v>2</v>
      </c>
      <c r="AI166" s="3">
        <v>2</v>
      </c>
      <c r="AJ166" s="3">
        <v>3</v>
      </c>
      <c r="AK166" s="3">
        <v>3</v>
      </c>
      <c r="AL166" s="3">
        <v>6</v>
      </c>
      <c r="AM166" s="3">
        <v>6</v>
      </c>
      <c r="AN166" s="3">
        <v>2</v>
      </c>
      <c r="AO166" s="3">
        <v>2</v>
      </c>
      <c r="AP166" s="3">
        <v>1</v>
      </c>
      <c r="AQ166" s="3">
        <v>1</v>
      </c>
      <c r="AR166" s="2" t="s">
        <v>5</v>
      </c>
      <c r="AS166" s="2" t="s">
        <v>16</v>
      </c>
      <c r="AT166" s="5" t="str">
        <f>HYPERLINK("http://catalog.hathitrust.org/Record/000571090","HathiTrust Record")</f>
        <v>HathiTrust Record</v>
      </c>
      <c r="AU166" s="5" t="str">
        <f>HYPERLINK("https://creighton-primo.hosted.exlibrisgroup.com/primo-explore/search?tab=default_tab&amp;search_scope=EVERYTHING&amp;vid=01CRU&amp;lang=en_US&amp;offset=0&amp;query=any,contains,991000741079702656","Catalog Record")</f>
        <v>Catalog Record</v>
      </c>
      <c r="AV166" s="5" t="str">
        <f>HYPERLINK("http://www.worldcat.org/oclc/11786179","WorldCat Record")</f>
        <v>WorldCat Record</v>
      </c>
      <c r="AW166" s="2" t="s">
        <v>2177</v>
      </c>
      <c r="AX166" s="2" t="s">
        <v>2178</v>
      </c>
      <c r="AY166" s="2" t="s">
        <v>2179</v>
      </c>
      <c r="AZ166" s="2" t="s">
        <v>2179</v>
      </c>
      <c r="BA166" s="2" t="s">
        <v>2180</v>
      </c>
      <c r="BB166" s="2" t="s">
        <v>21</v>
      </c>
      <c r="BD166" s="2" t="s">
        <v>2181</v>
      </c>
      <c r="BE166" s="2" t="s">
        <v>2182</v>
      </c>
      <c r="BF166" s="2" t="s">
        <v>2183</v>
      </c>
    </row>
    <row r="167" spans="1:58" ht="41.25" customHeight="1" x14ac:dyDescent="0.25">
      <c r="A167" s="8" t="s">
        <v>5</v>
      </c>
      <c r="B167" s="1" t="s">
        <v>0</v>
      </c>
      <c r="C167" s="1" t="s">
        <v>1</v>
      </c>
      <c r="D167" s="1" t="s">
        <v>2184</v>
      </c>
      <c r="E167" s="1" t="s">
        <v>2185</v>
      </c>
      <c r="F167" s="1" t="s">
        <v>2186</v>
      </c>
      <c r="H167" s="2" t="s">
        <v>5</v>
      </c>
      <c r="I167" s="2" t="s">
        <v>6</v>
      </c>
      <c r="J167" s="2" t="s">
        <v>5</v>
      </c>
      <c r="K167" s="2" t="s">
        <v>5</v>
      </c>
      <c r="L167" s="2" t="s">
        <v>7</v>
      </c>
      <c r="N167" s="1" t="s">
        <v>2187</v>
      </c>
      <c r="O167" s="2" t="s">
        <v>1441</v>
      </c>
      <c r="Q167" s="2" t="s">
        <v>11</v>
      </c>
      <c r="R167" s="2" t="s">
        <v>12</v>
      </c>
      <c r="S167" s="1" t="s">
        <v>2188</v>
      </c>
      <c r="T167" s="2" t="s">
        <v>520</v>
      </c>
      <c r="U167" s="3">
        <v>1</v>
      </c>
      <c r="V167" s="3">
        <v>1</v>
      </c>
      <c r="W167" s="4" t="s">
        <v>2189</v>
      </c>
      <c r="X167" s="4" t="s">
        <v>2189</v>
      </c>
      <c r="Y167" s="4" t="s">
        <v>1444</v>
      </c>
      <c r="Z167" s="4" t="s">
        <v>1444</v>
      </c>
      <c r="AA167" s="3">
        <v>71</v>
      </c>
      <c r="AB167" s="3">
        <v>63</v>
      </c>
      <c r="AC167" s="3">
        <v>63</v>
      </c>
      <c r="AD167" s="3">
        <v>2</v>
      </c>
      <c r="AE167" s="3">
        <v>2</v>
      </c>
      <c r="AF167" s="3">
        <v>4</v>
      </c>
      <c r="AG167" s="3">
        <v>4</v>
      </c>
      <c r="AH167" s="3">
        <v>0</v>
      </c>
      <c r="AI167" s="3">
        <v>0</v>
      </c>
      <c r="AJ167" s="3">
        <v>1</v>
      </c>
      <c r="AK167" s="3">
        <v>1</v>
      </c>
      <c r="AL167" s="3">
        <v>2</v>
      </c>
      <c r="AM167" s="3">
        <v>2</v>
      </c>
      <c r="AN167" s="3">
        <v>1</v>
      </c>
      <c r="AO167" s="3">
        <v>1</v>
      </c>
      <c r="AP167" s="3">
        <v>0</v>
      </c>
      <c r="AQ167" s="3">
        <v>0</v>
      </c>
      <c r="AR167" s="2" t="s">
        <v>5</v>
      </c>
      <c r="AS167" s="2" t="s">
        <v>5</v>
      </c>
      <c r="AU167" s="5" t="str">
        <f>HYPERLINK("https://creighton-primo.hosted.exlibrisgroup.com/primo-explore/search?tab=default_tab&amp;search_scope=EVERYTHING&amp;vid=01CRU&amp;lang=en_US&amp;offset=0&amp;query=any,contains,991001516239702656","Catalog Record")</f>
        <v>Catalog Record</v>
      </c>
      <c r="AV167" s="5" t="str">
        <f>HYPERLINK("http://www.worldcat.org/oclc/2091760","WorldCat Record")</f>
        <v>WorldCat Record</v>
      </c>
      <c r="AW167" s="2" t="s">
        <v>2190</v>
      </c>
      <c r="AX167" s="2" t="s">
        <v>2191</v>
      </c>
      <c r="AY167" s="2" t="s">
        <v>2192</v>
      </c>
      <c r="AZ167" s="2" t="s">
        <v>2192</v>
      </c>
      <c r="BA167" s="2" t="s">
        <v>2193</v>
      </c>
      <c r="BB167" s="2" t="s">
        <v>21</v>
      </c>
      <c r="BE167" s="2" t="s">
        <v>2194</v>
      </c>
      <c r="BF167" s="2" t="s">
        <v>2195</v>
      </c>
    </row>
    <row r="168" spans="1:58" ht="41.25" customHeight="1" x14ac:dyDescent="0.25">
      <c r="A168" s="8" t="s">
        <v>5</v>
      </c>
      <c r="B168" s="1" t="s">
        <v>0</v>
      </c>
      <c r="C168" s="1" t="s">
        <v>1</v>
      </c>
      <c r="D168" s="1" t="s">
        <v>2196</v>
      </c>
      <c r="E168" s="1" t="s">
        <v>2197</v>
      </c>
      <c r="F168" s="1" t="s">
        <v>2198</v>
      </c>
      <c r="H168" s="2" t="s">
        <v>5</v>
      </c>
      <c r="I168" s="2" t="s">
        <v>6</v>
      </c>
      <c r="J168" s="2" t="s">
        <v>5</v>
      </c>
      <c r="K168" s="2" t="s">
        <v>5</v>
      </c>
      <c r="L168" s="2" t="s">
        <v>7</v>
      </c>
      <c r="N168" s="1" t="s">
        <v>2199</v>
      </c>
      <c r="O168" s="2" t="s">
        <v>136</v>
      </c>
      <c r="Q168" s="2" t="s">
        <v>11</v>
      </c>
      <c r="R168" s="2" t="s">
        <v>31</v>
      </c>
      <c r="T168" s="2" t="s">
        <v>520</v>
      </c>
      <c r="U168" s="3">
        <v>7</v>
      </c>
      <c r="V168" s="3">
        <v>7</v>
      </c>
      <c r="W168" s="4" t="s">
        <v>2200</v>
      </c>
      <c r="X168" s="4" t="s">
        <v>2200</v>
      </c>
      <c r="Y168" s="4" t="s">
        <v>2201</v>
      </c>
      <c r="Z168" s="4" t="s">
        <v>2201</v>
      </c>
      <c r="AA168" s="3">
        <v>139</v>
      </c>
      <c r="AB168" s="3">
        <v>111</v>
      </c>
      <c r="AC168" s="3">
        <v>115</v>
      </c>
      <c r="AD168" s="3">
        <v>1</v>
      </c>
      <c r="AE168" s="3">
        <v>1</v>
      </c>
      <c r="AF168" s="3">
        <v>6</v>
      </c>
      <c r="AG168" s="3">
        <v>6</v>
      </c>
      <c r="AH168" s="3">
        <v>4</v>
      </c>
      <c r="AI168" s="3">
        <v>4</v>
      </c>
      <c r="AJ168" s="3">
        <v>1</v>
      </c>
      <c r="AK168" s="3">
        <v>1</v>
      </c>
      <c r="AL168" s="3">
        <v>5</v>
      </c>
      <c r="AM168" s="3">
        <v>5</v>
      </c>
      <c r="AN168" s="3">
        <v>0</v>
      </c>
      <c r="AO168" s="3">
        <v>0</v>
      </c>
      <c r="AP168" s="3">
        <v>0</v>
      </c>
      <c r="AQ168" s="3">
        <v>0</v>
      </c>
      <c r="AR168" s="2" t="s">
        <v>5</v>
      </c>
      <c r="AS168" s="2" t="s">
        <v>5</v>
      </c>
      <c r="AU168" s="5" t="str">
        <f>HYPERLINK("https://creighton-primo.hosted.exlibrisgroup.com/primo-explore/search?tab=default_tab&amp;search_scope=EVERYTHING&amp;vid=01CRU&amp;lang=en_US&amp;offset=0&amp;query=any,contains,991000933849702656","Catalog Record")</f>
        <v>Catalog Record</v>
      </c>
      <c r="AV168" s="5" t="str">
        <f>HYPERLINK("http://www.worldcat.org/oclc/21764344","WorldCat Record")</f>
        <v>WorldCat Record</v>
      </c>
      <c r="AW168" s="2" t="s">
        <v>2202</v>
      </c>
      <c r="AX168" s="2" t="s">
        <v>2203</v>
      </c>
      <c r="AY168" s="2" t="s">
        <v>2204</v>
      </c>
      <c r="AZ168" s="2" t="s">
        <v>2204</v>
      </c>
      <c r="BA168" s="2" t="s">
        <v>2205</v>
      </c>
      <c r="BB168" s="2" t="s">
        <v>21</v>
      </c>
      <c r="BD168" s="2" t="s">
        <v>2206</v>
      </c>
      <c r="BE168" s="2" t="s">
        <v>2207</v>
      </c>
      <c r="BF168" s="2" t="s">
        <v>2208</v>
      </c>
    </row>
    <row r="169" spans="1:58" ht="41.25" customHeight="1" x14ac:dyDescent="0.25">
      <c r="A169" s="8" t="s">
        <v>5</v>
      </c>
      <c r="B169" s="1" t="s">
        <v>0</v>
      </c>
      <c r="C169" s="1" t="s">
        <v>1</v>
      </c>
      <c r="D169" s="1" t="s">
        <v>2209</v>
      </c>
      <c r="E169" s="1" t="s">
        <v>2210</v>
      </c>
      <c r="F169" s="1" t="s">
        <v>2211</v>
      </c>
      <c r="H169" s="2" t="s">
        <v>5</v>
      </c>
      <c r="I169" s="2" t="s">
        <v>6</v>
      </c>
      <c r="J169" s="2" t="s">
        <v>5</v>
      </c>
      <c r="K169" s="2" t="s">
        <v>16</v>
      </c>
      <c r="L169" s="2" t="s">
        <v>7</v>
      </c>
      <c r="N169" s="1" t="s">
        <v>2212</v>
      </c>
      <c r="O169" s="2" t="s">
        <v>601</v>
      </c>
      <c r="Q169" s="2" t="s">
        <v>11</v>
      </c>
      <c r="R169" s="2" t="s">
        <v>1325</v>
      </c>
      <c r="S169" s="1" t="s">
        <v>2213</v>
      </c>
      <c r="T169" s="2" t="s">
        <v>520</v>
      </c>
      <c r="U169" s="3">
        <v>1</v>
      </c>
      <c r="V169" s="3">
        <v>1</v>
      </c>
      <c r="W169" s="4" t="s">
        <v>1443</v>
      </c>
      <c r="X169" s="4" t="s">
        <v>1443</v>
      </c>
      <c r="Y169" s="4" t="s">
        <v>604</v>
      </c>
      <c r="Z169" s="4" t="s">
        <v>604</v>
      </c>
      <c r="AA169" s="3">
        <v>183</v>
      </c>
      <c r="AB169" s="3">
        <v>172</v>
      </c>
      <c r="AC169" s="3">
        <v>388</v>
      </c>
      <c r="AD169" s="3">
        <v>2</v>
      </c>
      <c r="AE169" s="3">
        <v>4</v>
      </c>
      <c r="AF169" s="3">
        <v>8</v>
      </c>
      <c r="AG169" s="3">
        <v>20</v>
      </c>
      <c r="AH169" s="3">
        <v>3</v>
      </c>
      <c r="AI169" s="3">
        <v>8</v>
      </c>
      <c r="AJ169" s="3">
        <v>2</v>
      </c>
      <c r="AK169" s="3">
        <v>4</v>
      </c>
      <c r="AL169" s="3">
        <v>5</v>
      </c>
      <c r="AM169" s="3">
        <v>10</v>
      </c>
      <c r="AN169" s="3">
        <v>0</v>
      </c>
      <c r="AO169" s="3">
        <v>2</v>
      </c>
      <c r="AP169" s="3">
        <v>0</v>
      </c>
      <c r="AQ169" s="3">
        <v>0</v>
      </c>
      <c r="AR169" s="2" t="s">
        <v>5</v>
      </c>
      <c r="AS169" s="2" t="s">
        <v>16</v>
      </c>
      <c r="AT169" s="5" t="str">
        <f>HYPERLINK("http://catalog.hathitrust.org/Record/003052948","HathiTrust Record")</f>
        <v>HathiTrust Record</v>
      </c>
      <c r="AU169" s="5" t="str">
        <f>HYPERLINK("https://creighton-primo.hosted.exlibrisgroup.com/primo-explore/search?tab=default_tab&amp;search_scope=EVERYTHING&amp;vid=01CRU&amp;lang=en_US&amp;offset=0&amp;query=any,contains,991000260139702656","Catalog Record")</f>
        <v>Catalog Record</v>
      </c>
      <c r="AV169" s="5" t="str">
        <f>HYPERLINK("http://www.worldcat.org/oclc/35144050","WorldCat Record")</f>
        <v>WorldCat Record</v>
      </c>
      <c r="AW169" s="2" t="s">
        <v>2214</v>
      </c>
      <c r="AX169" s="2" t="s">
        <v>2215</v>
      </c>
      <c r="AY169" s="2" t="s">
        <v>2216</v>
      </c>
      <c r="AZ169" s="2" t="s">
        <v>2216</v>
      </c>
      <c r="BA169" s="2" t="s">
        <v>2217</v>
      </c>
      <c r="BB169" s="2" t="s">
        <v>21</v>
      </c>
      <c r="BE169" s="2" t="s">
        <v>2218</v>
      </c>
      <c r="BF169" s="2" t="s">
        <v>2219</v>
      </c>
    </row>
    <row r="170" spans="1:58" ht="41.25" customHeight="1" x14ac:dyDescent="0.25">
      <c r="A170" s="8" t="s">
        <v>5</v>
      </c>
      <c r="B170" s="1" t="s">
        <v>0</v>
      </c>
      <c r="C170" s="1" t="s">
        <v>1</v>
      </c>
      <c r="D170" s="1" t="s">
        <v>2220</v>
      </c>
      <c r="E170" s="1" t="s">
        <v>2221</v>
      </c>
      <c r="F170" s="1" t="s">
        <v>2222</v>
      </c>
      <c r="H170" s="2" t="s">
        <v>5</v>
      </c>
      <c r="I170" s="2" t="s">
        <v>6</v>
      </c>
      <c r="J170" s="2" t="s">
        <v>5</v>
      </c>
      <c r="K170" s="2" t="s">
        <v>5</v>
      </c>
      <c r="L170" s="2" t="s">
        <v>7</v>
      </c>
      <c r="N170" s="1" t="s">
        <v>2223</v>
      </c>
      <c r="O170" s="2" t="s">
        <v>561</v>
      </c>
      <c r="P170" s="1" t="s">
        <v>2224</v>
      </c>
      <c r="Q170" s="2" t="s">
        <v>11</v>
      </c>
      <c r="R170" s="2" t="s">
        <v>12</v>
      </c>
      <c r="T170" s="2" t="s">
        <v>520</v>
      </c>
      <c r="U170" s="3">
        <v>1</v>
      </c>
      <c r="V170" s="3">
        <v>1</v>
      </c>
      <c r="W170" s="4" t="s">
        <v>2225</v>
      </c>
      <c r="X170" s="4" t="s">
        <v>2225</v>
      </c>
      <c r="Y170" s="4" t="s">
        <v>2226</v>
      </c>
      <c r="Z170" s="4" t="s">
        <v>2226</v>
      </c>
      <c r="AA170" s="3">
        <v>33</v>
      </c>
      <c r="AB170" s="3">
        <v>28</v>
      </c>
      <c r="AC170" s="3">
        <v>67</v>
      </c>
      <c r="AD170" s="3">
        <v>1</v>
      </c>
      <c r="AE170" s="3">
        <v>2</v>
      </c>
      <c r="AF170" s="3">
        <v>2</v>
      </c>
      <c r="AG170" s="3">
        <v>5</v>
      </c>
      <c r="AH170" s="3">
        <v>0</v>
      </c>
      <c r="AI170" s="3">
        <v>1</v>
      </c>
      <c r="AJ170" s="3">
        <v>0</v>
      </c>
      <c r="AK170" s="3">
        <v>0</v>
      </c>
      <c r="AL170" s="3">
        <v>2</v>
      </c>
      <c r="AM170" s="3">
        <v>4</v>
      </c>
      <c r="AN170" s="3">
        <v>0</v>
      </c>
      <c r="AO170" s="3">
        <v>0</v>
      </c>
      <c r="AP170" s="3">
        <v>0</v>
      </c>
      <c r="AQ170" s="3">
        <v>0</v>
      </c>
      <c r="AR170" s="2" t="s">
        <v>5</v>
      </c>
      <c r="AS170" s="2" t="s">
        <v>16</v>
      </c>
      <c r="AT170" s="5" t="str">
        <f>HYPERLINK("http://catalog.hathitrust.org/Record/002072363","HathiTrust Record")</f>
        <v>HathiTrust Record</v>
      </c>
      <c r="AU170" s="5" t="str">
        <f>HYPERLINK("https://creighton-primo.hosted.exlibrisgroup.com/primo-explore/search?tab=default_tab&amp;search_scope=EVERYTHING&amp;vid=01CRU&amp;lang=en_US&amp;offset=0&amp;query=any,contains,991001518379702656","Catalog Record")</f>
        <v>Catalog Record</v>
      </c>
      <c r="AV170" s="5" t="str">
        <f>HYPERLINK("http://www.worldcat.org/oclc/7738085","WorldCat Record")</f>
        <v>WorldCat Record</v>
      </c>
      <c r="AW170" s="2" t="s">
        <v>2227</v>
      </c>
      <c r="AX170" s="2" t="s">
        <v>2228</v>
      </c>
      <c r="AY170" s="2" t="s">
        <v>2229</v>
      </c>
      <c r="AZ170" s="2" t="s">
        <v>2229</v>
      </c>
      <c r="BA170" s="2" t="s">
        <v>2230</v>
      </c>
      <c r="BB170" s="2" t="s">
        <v>21</v>
      </c>
      <c r="BE170" s="2" t="s">
        <v>2231</v>
      </c>
      <c r="BF170" s="2" t="s">
        <v>2232</v>
      </c>
    </row>
    <row r="171" spans="1:58" ht="41.25" customHeight="1" x14ac:dyDescent="0.25">
      <c r="A171" s="8" t="s">
        <v>5</v>
      </c>
      <c r="B171" s="1" t="s">
        <v>0</v>
      </c>
      <c r="C171" s="1" t="s">
        <v>1</v>
      </c>
      <c r="D171" s="1" t="s">
        <v>2233</v>
      </c>
      <c r="E171" s="1" t="s">
        <v>2234</v>
      </c>
      <c r="F171" s="1" t="s">
        <v>2235</v>
      </c>
      <c r="H171" s="2" t="s">
        <v>5</v>
      </c>
      <c r="I171" s="2" t="s">
        <v>6</v>
      </c>
      <c r="J171" s="2" t="s">
        <v>5</v>
      </c>
      <c r="K171" s="2" t="s">
        <v>5</v>
      </c>
      <c r="L171" s="2" t="s">
        <v>7</v>
      </c>
      <c r="M171" s="1" t="s">
        <v>2236</v>
      </c>
      <c r="N171" s="1" t="s">
        <v>2237</v>
      </c>
      <c r="O171" s="2" t="s">
        <v>939</v>
      </c>
      <c r="Q171" s="2" t="s">
        <v>11</v>
      </c>
      <c r="R171" s="2" t="s">
        <v>1140</v>
      </c>
      <c r="T171" s="2" t="s">
        <v>520</v>
      </c>
      <c r="U171" s="3">
        <v>7</v>
      </c>
      <c r="V171" s="3">
        <v>7</v>
      </c>
      <c r="W171" s="4" t="s">
        <v>2238</v>
      </c>
      <c r="X171" s="4" t="s">
        <v>2238</v>
      </c>
      <c r="Y171" s="4" t="s">
        <v>2239</v>
      </c>
      <c r="Z171" s="4" t="s">
        <v>2239</v>
      </c>
      <c r="AA171" s="3">
        <v>103</v>
      </c>
      <c r="AB171" s="3">
        <v>96</v>
      </c>
      <c r="AC171" s="3">
        <v>121</v>
      </c>
      <c r="AD171" s="3">
        <v>2</v>
      </c>
      <c r="AE171" s="3">
        <v>2</v>
      </c>
      <c r="AF171" s="3">
        <v>3</v>
      </c>
      <c r="AG171" s="3">
        <v>4</v>
      </c>
      <c r="AH171" s="3">
        <v>2</v>
      </c>
      <c r="AI171" s="3">
        <v>3</v>
      </c>
      <c r="AJ171" s="3">
        <v>0</v>
      </c>
      <c r="AK171" s="3">
        <v>0</v>
      </c>
      <c r="AL171" s="3">
        <v>2</v>
      </c>
      <c r="AM171" s="3">
        <v>2</v>
      </c>
      <c r="AN171" s="3">
        <v>0</v>
      </c>
      <c r="AO171" s="3">
        <v>0</v>
      </c>
      <c r="AP171" s="3">
        <v>0</v>
      </c>
      <c r="AQ171" s="3">
        <v>0</v>
      </c>
      <c r="AR171" s="2" t="s">
        <v>5</v>
      </c>
      <c r="AS171" s="2" t="s">
        <v>5</v>
      </c>
      <c r="AU171" s="5" t="str">
        <f>HYPERLINK("https://creighton-primo.hosted.exlibrisgroup.com/primo-explore/search?tab=default_tab&amp;search_scope=EVERYTHING&amp;vid=01CRU&amp;lang=en_US&amp;offset=0&amp;query=any,contains,991000500479702656","Catalog Record")</f>
        <v>Catalog Record</v>
      </c>
      <c r="AV171" s="5" t="str">
        <f>HYPERLINK("http://www.worldcat.org/oclc/18081951","WorldCat Record")</f>
        <v>WorldCat Record</v>
      </c>
      <c r="AW171" s="2" t="s">
        <v>2240</v>
      </c>
      <c r="AX171" s="2" t="s">
        <v>2241</v>
      </c>
      <c r="AY171" s="2" t="s">
        <v>2242</v>
      </c>
      <c r="AZ171" s="2" t="s">
        <v>2242</v>
      </c>
      <c r="BA171" s="2" t="s">
        <v>2243</v>
      </c>
      <c r="BB171" s="2" t="s">
        <v>21</v>
      </c>
      <c r="BD171" s="2" t="s">
        <v>2244</v>
      </c>
      <c r="BE171" s="2" t="s">
        <v>2245</v>
      </c>
      <c r="BF171" s="2" t="s">
        <v>2246</v>
      </c>
    </row>
    <row r="172" spans="1:58" ht="41.25" customHeight="1" x14ac:dyDescent="0.25">
      <c r="A172" s="8" t="s">
        <v>5</v>
      </c>
      <c r="B172" s="1" t="s">
        <v>0</v>
      </c>
      <c r="C172" s="1" t="s">
        <v>1</v>
      </c>
      <c r="D172" s="1" t="s">
        <v>2247</v>
      </c>
      <c r="E172" s="1" t="s">
        <v>2248</v>
      </c>
      <c r="F172" s="1" t="s">
        <v>2249</v>
      </c>
      <c r="H172" s="2" t="s">
        <v>5</v>
      </c>
      <c r="I172" s="2" t="s">
        <v>6</v>
      </c>
      <c r="J172" s="2" t="s">
        <v>5</v>
      </c>
      <c r="K172" s="2" t="s">
        <v>5</v>
      </c>
      <c r="L172" s="2" t="s">
        <v>7</v>
      </c>
      <c r="N172" s="1" t="s">
        <v>2250</v>
      </c>
      <c r="O172" s="2" t="s">
        <v>228</v>
      </c>
      <c r="Q172" s="2" t="s">
        <v>11</v>
      </c>
      <c r="R172" s="2" t="s">
        <v>31</v>
      </c>
      <c r="T172" s="2" t="s">
        <v>520</v>
      </c>
      <c r="U172" s="3">
        <v>4</v>
      </c>
      <c r="V172" s="3">
        <v>4</v>
      </c>
      <c r="W172" s="4" t="s">
        <v>1117</v>
      </c>
      <c r="X172" s="4" t="s">
        <v>1117</v>
      </c>
      <c r="Y172" s="4" t="s">
        <v>15</v>
      </c>
      <c r="Z172" s="4" t="s">
        <v>15</v>
      </c>
      <c r="AA172" s="3">
        <v>468</v>
      </c>
      <c r="AB172" s="3">
        <v>381</v>
      </c>
      <c r="AC172" s="3">
        <v>453</v>
      </c>
      <c r="AD172" s="3">
        <v>5</v>
      </c>
      <c r="AE172" s="3">
        <v>5</v>
      </c>
      <c r="AF172" s="3">
        <v>17</v>
      </c>
      <c r="AG172" s="3">
        <v>20</v>
      </c>
      <c r="AH172" s="3">
        <v>5</v>
      </c>
      <c r="AI172" s="3">
        <v>7</v>
      </c>
      <c r="AJ172" s="3">
        <v>3</v>
      </c>
      <c r="AK172" s="3">
        <v>4</v>
      </c>
      <c r="AL172" s="3">
        <v>7</v>
      </c>
      <c r="AM172" s="3">
        <v>9</v>
      </c>
      <c r="AN172" s="3">
        <v>4</v>
      </c>
      <c r="AO172" s="3">
        <v>4</v>
      </c>
      <c r="AP172" s="3">
        <v>0</v>
      </c>
      <c r="AQ172" s="3">
        <v>0</v>
      </c>
      <c r="AR172" s="2" t="s">
        <v>5</v>
      </c>
      <c r="AS172" s="2" t="s">
        <v>16</v>
      </c>
      <c r="AT172" s="5" t="str">
        <f>HYPERLINK("http://catalog.hathitrust.org/Record/000308109","HathiTrust Record")</f>
        <v>HathiTrust Record</v>
      </c>
      <c r="AU172" s="5" t="str">
        <f>HYPERLINK("https://creighton-primo.hosted.exlibrisgroup.com/primo-explore/search?tab=default_tab&amp;search_scope=EVERYTHING&amp;vid=01CRU&amp;lang=en_US&amp;offset=0&amp;query=any,contains,991001034619702656","Catalog Record")</f>
        <v>Catalog Record</v>
      </c>
      <c r="AV172" s="5" t="str">
        <f>HYPERLINK("http://www.worldcat.org/oclc/7945963","WorldCat Record")</f>
        <v>WorldCat Record</v>
      </c>
      <c r="AW172" s="2" t="s">
        <v>2251</v>
      </c>
      <c r="AX172" s="2" t="s">
        <v>2252</v>
      </c>
      <c r="AY172" s="2" t="s">
        <v>2253</v>
      </c>
      <c r="AZ172" s="2" t="s">
        <v>2253</v>
      </c>
      <c r="BA172" s="2" t="s">
        <v>2254</v>
      </c>
      <c r="BB172" s="2" t="s">
        <v>21</v>
      </c>
      <c r="BD172" s="2" t="s">
        <v>2255</v>
      </c>
      <c r="BE172" s="2" t="s">
        <v>2256</v>
      </c>
      <c r="BF172" s="2" t="s">
        <v>2257</v>
      </c>
    </row>
    <row r="173" spans="1:58" ht="41.25" customHeight="1" x14ac:dyDescent="0.25">
      <c r="A173" s="8" t="s">
        <v>5</v>
      </c>
      <c r="B173" s="1" t="s">
        <v>0</v>
      </c>
      <c r="C173" s="1" t="s">
        <v>1</v>
      </c>
      <c r="D173" s="1" t="s">
        <v>2258</v>
      </c>
      <c r="E173" s="1" t="s">
        <v>2259</v>
      </c>
      <c r="F173" s="1" t="s">
        <v>2260</v>
      </c>
      <c r="H173" s="2" t="s">
        <v>5</v>
      </c>
      <c r="I173" s="2" t="s">
        <v>6</v>
      </c>
      <c r="J173" s="2" t="s">
        <v>5</v>
      </c>
      <c r="K173" s="2" t="s">
        <v>5</v>
      </c>
      <c r="L173" s="2" t="s">
        <v>7</v>
      </c>
      <c r="M173" s="1" t="s">
        <v>2261</v>
      </c>
      <c r="N173" s="1" t="s">
        <v>1403</v>
      </c>
      <c r="O173" s="2" t="s">
        <v>285</v>
      </c>
      <c r="Q173" s="2" t="s">
        <v>11</v>
      </c>
      <c r="R173" s="2" t="s">
        <v>93</v>
      </c>
      <c r="S173" s="1" t="s">
        <v>2262</v>
      </c>
      <c r="T173" s="2" t="s">
        <v>520</v>
      </c>
      <c r="U173" s="3">
        <v>2</v>
      </c>
      <c r="V173" s="3">
        <v>2</v>
      </c>
      <c r="W173" s="4" t="s">
        <v>1222</v>
      </c>
      <c r="X173" s="4" t="s">
        <v>1222</v>
      </c>
      <c r="Y173" s="4" t="s">
        <v>736</v>
      </c>
      <c r="Z173" s="4" t="s">
        <v>736</v>
      </c>
      <c r="AA173" s="3">
        <v>82</v>
      </c>
      <c r="AB173" s="3">
        <v>68</v>
      </c>
      <c r="AC173" s="3">
        <v>68</v>
      </c>
      <c r="AD173" s="3">
        <v>1</v>
      </c>
      <c r="AE173" s="3">
        <v>1</v>
      </c>
      <c r="AF173" s="3">
        <v>2</v>
      </c>
      <c r="AG173" s="3">
        <v>2</v>
      </c>
      <c r="AH173" s="3">
        <v>1</v>
      </c>
      <c r="AI173" s="3">
        <v>1</v>
      </c>
      <c r="AJ173" s="3">
        <v>0</v>
      </c>
      <c r="AK173" s="3">
        <v>0</v>
      </c>
      <c r="AL173" s="3">
        <v>1</v>
      </c>
      <c r="AM173" s="3">
        <v>1</v>
      </c>
      <c r="AN173" s="3">
        <v>0</v>
      </c>
      <c r="AO173" s="3">
        <v>0</v>
      </c>
      <c r="AP173" s="3">
        <v>0</v>
      </c>
      <c r="AQ173" s="3">
        <v>0</v>
      </c>
      <c r="AR173" s="2" t="s">
        <v>5</v>
      </c>
      <c r="AS173" s="2" t="s">
        <v>5</v>
      </c>
      <c r="AU173" s="5" t="str">
        <f>HYPERLINK("https://creighton-primo.hosted.exlibrisgroup.com/primo-explore/search?tab=default_tab&amp;search_scope=EVERYTHING&amp;vid=01CRU&amp;lang=en_US&amp;offset=0&amp;query=any,contains,991000852439702656","Catalog Record")</f>
        <v>Catalog Record</v>
      </c>
      <c r="AV173" s="5" t="str">
        <f>HYPERLINK("http://www.worldcat.org/oclc/5165261","WorldCat Record")</f>
        <v>WorldCat Record</v>
      </c>
      <c r="AW173" s="2" t="s">
        <v>2263</v>
      </c>
      <c r="AX173" s="2" t="s">
        <v>2264</v>
      </c>
      <c r="AY173" s="2" t="s">
        <v>2265</v>
      </c>
      <c r="AZ173" s="2" t="s">
        <v>2265</v>
      </c>
      <c r="BA173" s="2" t="s">
        <v>2266</v>
      </c>
      <c r="BB173" s="2" t="s">
        <v>21</v>
      </c>
      <c r="BE173" s="2" t="s">
        <v>2267</v>
      </c>
      <c r="BF173" s="2" t="s">
        <v>2268</v>
      </c>
    </row>
    <row r="174" spans="1:58" ht="41.25" customHeight="1" x14ac:dyDescent="0.25">
      <c r="A174" s="8" t="s">
        <v>5</v>
      </c>
      <c r="B174" s="1" t="s">
        <v>0</v>
      </c>
      <c r="C174" s="1" t="s">
        <v>1</v>
      </c>
      <c r="D174" s="1" t="s">
        <v>2269</v>
      </c>
      <c r="E174" s="1" t="s">
        <v>2270</v>
      </c>
      <c r="F174" s="1" t="s">
        <v>2271</v>
      </c>
      <c r="H174" s="2" t="s">
        <v>5</v>
      </c>
      <c r="I174" s="2" t="s">
        <v>6</v>
      </c>
      <c r="J174" s="2" t="s">
        <v>5</v>
      </c>
      <c r="K174" s="2" t="s">
        <v>5</v>
      </c>
      <c r="L174" s="2" t="s">
        <v>7</v>
      </c>
      <c r="M174" s="1" t="s">
        <v>2261</v>
      </c>
      <c r="N174" s="1" t="s">
        <v>2272</v>
      </c>
      <c r="O174" s="2" t="s">
        <v>354</v>
      </c>
      <c r="Q174" s="2" t="s">
        <v>11</v>
      </c>
      <c r="R174" s="2" t="s">
        <v>426</v>
      </c>
      <c r="S174" s="1" t="s">
        <v>2273</v>
      </c>
      <c r="T174" s="2" t="s">
        <v>520</v>
      </c>
      <c r="U174" s="3">
        <v>1</v>
      </c>
      <c r="V174" s="3">
        <v>1</v>
      </c>
      <c r="W174" s="4" t="s">
        <v>1443</v>
      </c>
      <c r="X174" s="4" t="s">
        <v>1443</v>
      </c>
      <c r="Y174" s="4" t="s">
        <v>736</v>
      </c>
      <c r="Z174" s="4" t="s">
        <v>736</v>
      </c>
      <c r="AA174" s="3">
        <v>84</v>
      </c>
      <c r="AB174" s="3">
        <v>74</v>
      </c>
      <c r="AC174" s="3">
        <v>74</v>
      </c>
      <c r="AD174" s="3">
        <v>1</v>
      </c>
      <c r="AE174" s="3">
        <v>1</v>
      </c>
      <c r="AF174" s="3">
        <v>4</v>
      </c>
      <c r="AG174" s="3">
        <v>4</v>
      </c>
      <c r="AH174" s="3">
        <v>1</v>
      </c>
      <c r="AI174" s="3">
        <v>1</v>
      </c>
      <c r="AJ174" s="3">
        <v>1</v>
      </c>
      <c r="AK174" s="3">
        <v>1</v>
      </c>
      <c r="AL174" s="3">
        <v>3</v>
      </c>
      <c r="AM174" s="3">
        <v>3</v>
      </c>
      <c r="AN174" s="3">
        <v>0</v>
      </c>
      <c r="AO174" s="3">
        <v>0</v>
      </c>
      <c r="AP174" s="3">
        <v>0</v>
      </c>
      <c r="AQ174" s="3">
        <v>0</v>
      </c>
      <c r="AR174" s="2" t="s">
        <v>5</v>
      </c>
      <c r="AS174" s="2" t="s">
        <v>5</v>
      </c>
      <c r="AU174" s="5" t="str">
        <f>HYPERLINK("https://creighton-primo.hosted.exlibrisgroup.com/primo-explore/search?tab=default_tab&amp;search_scope=EVERYTHING&amp;vid=01CRU&amp;lang=en_US&amp;offset=0&amp;query=any,contains,991001517249702656","Catalog Record")</f>
        <v>Catalog Record</v>
      </c>
      <c r="AV174" s="5" t="str">
        <f>HYPERLINK("http://www.worldcat.org/oclc/6495055","WorldCat Record")</f>
        <v>WorldCat Record</v>
      </c>
      <c r="AW174" s="2" t="s">
        <v>2274</v>
      </c>
      <c r="AX174" s="2" t="s">
        <v>2275</v>
      </c>
      <c r="AY174" s="2" t="s">
        <v>2276</v>
      </c>
      <c r="AZ174" s="2" t="s">
        <v>2276</v>
      </c>
      <c r="BA174" s="2" t="s">
        <v>2277</v>
      </c>
      <c r="BB174" s="2" t="s">
        <v>21</v>
      </c>
      <c r="BE174" s="2" t="s">
        <v>2278</v>
      </c>
      <c r="BF174" s="2" t="s">
        <v>2279</v>
      </c>
    </row>
    <row r="175" spans="1:58" ht="41.25" customHeight="1" x14ac:dyDescent="0.25">
      <c r="A175" s="8" t="s">
        <v>5</v>
      </c>
      <c r="B175" s="1" t="s">
        <v>0</v>
      </c>
      <c r="C175" s="1" t="s">
        <v>1</v>
      </c>
      <c r="D175" s="1" t="s">
        <v>2280</v>
      </c>
      <c r="E175" s="1" t="s">
        <v>2281</v>
      </c>
      <c r="F175" s="1" t="s">
        <v>2282</v>
      </c>
      <c r="H175" s="2" t="s">
        <v>5</v>
      </c>
      <c r="I175" s="2" t="s">
        <v>6</v>
      </c>
      <c r="J175" s="2" t="s">
        <v>5</v>
      </c>
      <c r="K175" s="2" t="s">
        <v>5</v>
      </c>
      <c r="L175" s="2" t="s">
        <v>7</v>
      </c>
      <c r="M175" s="1" t="s">
        <v>2283</v>
      </c>
      <c r="N175" s="1" t="s">
        <v>2250</v>
      </c>
      <c r="O175" s="2" t="s">
        <v>228</v>
      </c>
      <c r="Q175" s="2" t="s">
        <v>11</v>
      </c>
      <c r="R175" s="2" t="s">
        <v>31</v>
      </c>
      <c r="T175" s="2" t="s">
        <v>520</v>
      </c>
      <c r="U175" s="3">
        <v>5</v>
      </c>
      <c r="V175" s="3">
        <v>5</v>
      </c>
      <c r="W175" s="4" t="s">
        <v>2284</v>
      </c>
      <c r="X175" s="4" t="s">
        <v>2284</v>
      </c>
      <c r="Y175" s="4" t="s">
        <v>15</v>
      </c>
      <c r="Z175" s="4" t="s">
        <v>15</v>
      </c>
      <c r="AA175" s="3">
        <v>353</v>
      </c>
      <c r="AB175" s="3">
        <v>278</v>
      </c>
      <c r="AC175" s="3">
        <v>281</v>
      </c>
      <c r="AD175" s="3">
        <v>4</v>
      </c>
      <c r="AE175" s="3">
        <v>4</v>
      </c>
      <c r="AF175" s="3">
        <v>15</v>
      </c>
      <c r="AG175" s="3">
        <v>15</v>
      </c>
      <c r="AH175" s="3">
        <v>7</v>
      </c>
      <c r="AI175" s="3">
        <v>7</v>
      </c>
      <c r="AJ175" s="3">
        <v>1</v>
      </c>
      <c r="AK175" s="3">
        <v>1</v>
      </c>
      <c r="AL175" s="3">
        <v>8</v>
      </c>
      <c r="AM175" s="3">
        <v>8</v>
      </c>
      <c r="AN175" s="3">
        <v>2</v>
      </c>
      <c r="AO175" s="3">
        <v>2</v>
      </c>
      <c r="AP175" s="3">
        <v>0</v>
      </c>
      <c r="AQ175" s="3">
        <v>0</v>
      </c>
      <c r="AR175" s="2" t="s">
        <v>5</v>
      </c>
      <c r="AS175" s="2" t="s">
        <v>16</v>
      </c>
      <c r="AT175" s="5" t="str">
        <f>HYPERLINK("http://catalog.hathitrust.org/Record/000313506","HathiTrust Record")</f>
        <v>HathiTrust Record</v>
      </c>
      <c r="AU175" s="5" t="str">
        <f>HYPERLINK("https://creighton-primo.hosted.exlibrisgroup.com/primo-explore/search?tab=default_tab&amp;search_scope=EVERYTHING&amp;vid=01CRU&amp;lang=en_US&amp;offset=0&amp;query=any,contains,991001034839702656","Catalog Record")</f>
        <v>Catalog Record</v>
      </c>
      <c r="AV175" s="5" t="str">
        <f>HYPERLINK("http://www.worldcat.org/oclc/7944793","WorldCat Record")</f>
        <v>WorldCat Record</v>
      </c>
      <c r="AW175" s="2" t="s">
        <v>2285</v>
      </c>
      <c r="AX175" s="2" t="s">
        <v>2286</v>
      </c>
      <c r="AY175" s="2" t="s">
        <v>2287</v>
      </c>
      <c r="AZ175" s="2" t="s">
        <v>2287</v>
      </c>
      <c r="BA175" s="2" t="s">
        <v>2288</v>
      </c>
      <c r="BB175" s="2" t="s">
        <v>21</v>
      </c>
      <c r="BD175" s="2" t="s">
        <v>2289</v>
      </c>
      <c r="BE175" s="2" t="s">
        <v>2290</v>
      </c>
      <c r="BF175" s="2" t="s">
        <v>2291</v>
      </c>
    </row>
    <row r="176" spans="1:58" ht="41.25" customHeight="1" x14ac:dyDescent="0.25">
      <c r="A176" s="8" t="s">
        <v>5</v>
      </c>
      <c r="B176" s="1" t="s">
        <v>0</v>
      </c>
      <c r="C176" s="1" t="s">
        <v>1</v>
      </c>
      <c r="D176" s="1" t="s">
        <v>2292</v>
      </c>
      <c r="E176" s="1" t="s">
        <v>2293</v>
      </c>
      <c r="F176" s="1" t="s">
        <v>2294</v>
      </c>
      <c r="H176" s="2" t="s">
        <v>5</v>
      </c>
      <c r="I176" s="2" t="s">
        <v>6</v>
      </c>
      <c r="J176" s="2" t="s">
        <v>5</v>
      </c>
      <c r="K176" s="2" t="s">
        <v>5</v>
      </c>
      <c r="L176" s="2" t="s">
        <v>7</v>
      </c>
      <c r="N176" s="1" t="s">
        <v>2295</v>
      </c>
      <c r="O176" s="2" t="s">
        <v>546</v>
      </c>
      <c r="Q176" s="2" t="s">
        <v>11</v>
      </c>
      <c r="R176" s="2" t="s">
        <v>1325</v>
      </c>
      <c r="T176" s="2" t="s">
        <v>520</v>
      </c>
      <c r="U176" s="3">
        <v>5</v>
      </c>
      <c r="V176" s="3">
        <v>5</v>
      </c>
      <c r="W176" s="4" t="s">
        <v>2296</v>
      </c>
      <c r="X176" s="4" t="s">
        <v>2296</v>
      </c>
      <c r="Y176" s="4" t="s">
        <v>2297</v>
      </c>
      <c r="Z176" s="4" t="s">
        <v>2297</v>
      </c>
      <c r="AA176" s="3">
        <v>11</v>
      </c>
      <c r="AB176" s="3">
        <v>11</v>
      </c>
      <c r="AC176" s="3">
        <v>11</v>
      </c>
      <c r="AD176" s="3">
        <v>1</v>
      </c>
      <c r="AE176" s="3">
        <v>1</v>
      </c>
      <c r="AF176" s="3">
        <v>0</v>
      </c>
      <c r="AG176" s="3">
        <v>0</v>
      </c>
      <c r="AH176" s="3">
        <v>0</v>
      </c>
      <c r="AI176" s="3">
        <v>0</v>
      </c>
      <c r="AJ176" s="3">
        <v>0</v>
      </c>
      <c r="AK176" s="3">
        <v>0</v>
      </c>
      <c r="AL176" s="3">
        <v>0</v>
      </c>
      <c r="AM176" s="3">
        <v>0</v>
      </c>
      <c r="AN176" s="3">
        <v>0</v>
      </c>
      <c r="AO176" s="3">
        <v>0</v>
      </c>
      <c r="AP176" s="3">
        <v>0</v>
      </c>
      <c r="AQ176" s="3">
        <v>0</v>
      </c>
      <c r="AR176" s="2" t="s">
        <v>5</v>
      </c>
      <c r="AS176" s="2" t="s">
        <v>5</v>
      </c>
      <c r="AU176" s="5" t="str">
        <f>HYPERLINK("https://creighton-primo.hosted.exlibrisgroup.com/primo-explore/search?tab=default_tab&amp;search_scope=EVERYTHING&amp;vid=01CRU&amp;lang=en_US&amp;offset=0&amp;query=any,contains,991001193499702656","Catalog Record")</f>
        <v>Catalog Record</v>
      </c>
      <c r="AV176" s="5" t="str">
        <f>HYPERLINK("http://www.worldcat.org/oclc/31380776","WorldCat Record")</f>
        <v>WorldCat Record</v>
      </c>
      <c r="AW176" s="2" t="s">
        <v>2298</v>
      </c>
      <c r="AX176" s="2" t="s">
        <v>2299</v>
      </c>
      <c r="AY176" s="2" t="s">
        <v>2300</v>
      </c>
      <c r="AZ176" s="2" t="s">
        <v>2300</v>
      </c>
      <c r="BA176" s="2" t="s">
        <v>2301</v>
      </c>
      <c r="BB176" s="2" t="s">
        <v>21</v>
      </c>
      <c r="BE176" s="2" t="s">
        <v>2302</v>
      </c>
      <c r="BF176" s="2" t="s">
        <v>2303</v>
      </c>
    </row>
    <row r="177" spans="1:58" ht="41.25" customHeight="1" x14ac:dyDescent="0.25">
      <c r="A177" s="8" t="s">
        <v>5</v>
      </c>
      <c r="B177" s="1" t="s">
        <v>0</v>
      </c>
      <c r="C177" s="1" t="s">
        <v>1</v>
      </c>
      <c r="D177" s="1" t="s">
        <v>2304</v>
      </c>
      <c r="E177" s="1" t="s">
        <v>2305</v>
      </c>
      <c r="F177" s="1" t="s">
        <v>2306</v>
      </c>
      <c r="H177" s="2" t="s">
        <v>5</v>
      </c>
      <c r="I177" s="2" t="s">
        <v>6</v>
      </c>
      <c r="J177" s="2" t="s">
        <v>5</v>
      </c>
      <c r="K177" s="2" t="s">
        <v>16</v>
      </c>
      <c r="L177" s="2" t="s">
        <v>7</v>
      </c>
      <c r="M177" s="1" t="s">
        <v>2307</v>
      </c>
      <c r="N177" s="1" t="s">
        <v>2308</v>
      </c>
      <c r="O177" s="2" t="s">
        <v>1863</v>
      </c>
      <c r="P177" s="1" t="s">
        <v>1208</v>
      </c>
      <c r="Q177" s="2" t="s">
        <v>11</v>
      </c>
      <c r="R177" s="2" t="s">
        <v>78</v>
      </c>
      <c r="T177" s="2" t="s">
        <v>520</v>
      </c>
      <c r="U177" s="3">
        <v>4</v>
      </c>
      <c r="V177" s="3">
        <v>4</v>
      </c>
      <c r="W177" s="4" t="s">
        <v>2309</v>
      </c>
      <c r="X177" s="4" t="s">
        <v>2309</v>
      </c>
      <c r="Y177" s="4" t="s">
        <v>2310</v>
      </c>
      <c r="Z177" s="4" t="s">
        <v>2310</v>
      </c>
      <c r="AA177" s="3">
        <v>284</v>
      </c>
      <c r="AB177" s="3">
        <v>199</v>
      </c>
      <c r="AC177" s="3">
        <v>893</v>
      </c>
      <c r="AD177" s="3">
        <v>1</v>
      </c>
      <c r="AE177" s="3">
        <v>3</v>
      </c>
      <c r="AF177" s="3">
        <v>5</v>
      </c>
      <c r="AG177" s="3">
        <v>17</v>
      </c>
      <c r="AH177" s="3">
        <v>1</v>
      </c>
      <c r="AI177" s="3">
        <v>4</v>
      </c>
      <c r="AJ177" s="3">
        <v>1</v>
      </c>
      <c r="AK177" s="3">
        <v>5</v>
      </c>
      <c r="AL177" s="3">
        <v>4</v>
      </c>
      <c r="AM177" s="3">
        <v>12</v>
      </c>
      <c r="AN177" s="3">
        <v>0</v>
      </c>
      <c r="AO177" s="3">
        <v>1</v>
      </c>
      <c r="AP177" s="3">
        <v>0</v>
      </c>
      <c r="AQ177" s="3">
        <v>0</v>
      </c>
      <c r="AR177" s="2" t="s">
        <v>5</v>
      </c>
      <c r="AS177" s="2" t="s">
        <v>16</v>
      </c>
      <c r="AT177" s="5" t="str">
        <f>HYPERLINK("http://catalog.hathitrust.org/Record/004142602","HathiTrust Record")</f>
        <v>HathiTrust Record</v>
      </c>
      <c r="AU177" s="5" t="str">
        <f>HYPERLINK("https://creighton-primo.hosted.exlibrisgroup.com/primo-explore/search?tab=default_tab&amp;search_scope=EVERYTHING&amp;vid=01CRU&amp;lang=en_US&amp;offset=0&amp;query=any,contains,991000331129702656","Catalog Record")</f>
        <v>Catalog Record</v>
      </c>
      <c r="AV177" s="5" t="str">
        <f>HYPERLINK("http://www.worldcat.org/oclc/44545226","WorldCat Record")</f>
        <v>WorldCat Record</v>
      </c>
      <c r="AW177" s="2" t="s">
        <v>2311</v>
      </c>
      <c r="AX177" s="2" t="s">
        <v>2312</v>
      </c>
      <c r="AY177" s="2" t="s">
        <v>2313</v>
      </c>
      <c r="AZ177" s="2" t="s">
        <v>2313</v>
      </c>
      <c r="BA177" s="2" t="s">
        <v>2314</v>
      </c>
      <c r="BB177" s="2" t="s">
        <v>21</v>
      </c>
      <c r="BD177" s="2" t="s">
        <v>2315</v>
      </c>
      <c r="BE177" s="2" t="s">
        <v>2316</v>
      </c>
      <c r="BF177" s="2" t="s">
        <v>2317</v>
      </c>
    </row>
    <row r="178" spans="1:58" ht="41.25" customHeight="1" x14ac:dyDescent="0.25">
      <c r="A178" s="8" t="s">
        <v>5</v>
      </c>
      <c r="B178" s="1" t="s">
        <v>0</v>
      </c>
      <c r="C178" s="1" t="s">
        <v>1</v>
      </c>
      <c r="D178" s="1" t="s">
        <v>2318</v>
      </c>
      <c r="E178" s="1" t="s">
        <v>2319</v>
      </c>
      <c r="F178" s="1" t="s">
        <v>2320</v>
      </c>
      <c r="H178" s="2" t="s">
        <v>5</v>
      </c>
      <c r="I178" s="2" t="s">
        <v>6</v>
      </c>
      <c r="J178" s="2" t="s">
        <v>5</v>
      </c>
      <c r="K178" s="2" t="s">
        <v>16</v>
      </c>
      <c r="L178" s="2" t="s">
        <v>7</v>
      </c>
      <c r="M178" s="1" t="s">
        <v>2307</v>
      </c>
      <c r="N178" s="1" t="s">
        <v>2321</v>
      </c>
      <c r="O178" s="2" t="s">
        <v>1060</v>
      </c>
      <c r="P178" s="1" t="s">
        <v>1284</v>
      </c>
      <c r="Q178" s="2" t="s">
        <v>11</v>
      </c>
      <c r="R178" s="2" t="s">
        <v>78</v>
      </c>
      <c r="T178" s="2" t="s">
        <v>520</v>
      </c>
      <c r="U178" s="3">
        <v>2</v>
      </c>
      <c r="V178" s="3">
        <v>2</v>
      </c>
      <c r="W178" s="4" t="s">
        <v>2322</v>
      </c>
      <c r="X178" s="4" t="s">
        <v>2322</v>
      </c>
      <c r="Y178" s="4" t="s">
        <v>2323</v>
      </c>
      <c r="Z178" s="4" t="s">
        <v>2323</v>
      </c>
      <c r="AA178" s="3">
        <v>286</v>
      </c>
      <c r="AB178" s="3">
        <v>214</v>
      </c>
      <c r="AC178" s="3">
        <v>893</v>
      </c>
      <c r="AD178" s="3">
        <v>2</v>
      </c>
      <c r="AE178" s="3">
        <v>3</v>
      </c>
      <c r="AF178" s="3">
        <v>7</v>
      </c>
      <c r="AG178" s="3">
        <v>17</v>
      </c>
      <c r="AH178" s="3">
        <v>2</v>
      </c>
      <c r="AI178" s="3">
        <v>4</v>
      </c>
      <c r="AJ178" s="3">
        <v>1</v>
      </c>
      <c r="AK178" s="3">
        <v>5</v>
      </c>
      <c r="AL178" s="3">
        <v>5</v>
      </c>
      <c r="AM178" s="3">
        <v>12</v>
      </c>
      <c r="AN178" s="3">
        <v>1</v>
      </c>
      <c r="AO178" s="3">
        <v>1</v>
      </c>
      <c r="AP178" s="3">
        <v>0</v>
      </c>
      <c r="AQ178" s="3">
        <v>0</v>
      </c>
      <c r="AR178" s="2" t="s">
        <v>5</v>
      </c>
      <c r="AS178" s="2" t="s">
        <v>5</v>
      </c>
      <c r="AU178" s="5" t="str">
        <f>HYPERLINK("https://creighton-primo.hosted.exlibrisgroup.com/primo-explore/search?tab=default_tab&amp;search_scope=EVERYTHING&amp;vid=01CRU&amp;lang=en_US&amp;offset=0&amp;query=any,contains,991001729909702656","Catalog Record")</f>
        <v>Catalog Record</v>
      </c>
      <c r="AV178" s="5" t="str">
        <f>HYPERLINK("http://www.worldcat.org/oclc/54408079","WorldCat Record")</f>
        <v>WorldCat Record</v>
      </c>
      <c r="AW178" s="2" t="s">
        <v>2311</v>
      </c>
      <c r="AX178" s="2" t="s">
        <v>2324</v>
      </c>
      <c r="AY178" s="2" t="s">
        <v>2325</v>
      </c>
      <c r="AZ178" s="2" t="s">
        <v>2325</v>
      </c>
      <c r="BA178" s="2" t="s">
        <v>2326</v>
      </c>
      <c r="BB178" s="2" t="s">
        <v>21</v>
      </c>
      <c r="BD178" s="2" t="s">
        <v>2327</v>
      </c>
      <c r="BE178" s="2" t="s">
        <v>2328</v>
      </c>
      <c r="BF178" s="2" t="s">
        <v>2329</v>
      </c>
    </row>
    <row r="179" spans="1:58" ht="41.25" customHeight="1" x14ac:dyDescent="0.25">
      <c r="A179" s="8" t="s">
        <v>5</v>
      </c>
      <c r="B179" s="1" t="s">
        <v>0</v>
      </c>
      <c r="C179" s="1" t="s">
        <v>1</v>
      </c>
      <c r="D179" s="1" t="s">
        <v>2330</v>
      </c>
      <c r="E179" s="1" t="s">
        <v>2331</v>
      </c>
      <c r="F179" s="1" t="s">
        <v>2332</v>
      </c>
      <c r="H179" s="2" t="s">
        <v>5</v>
      </c>
      <c r="I179" s="2" t="s">
        <v>6</v>
      </c>
      <c r="J179" s="2" t="s">
        <v>5</v>
      </c>
      <c r="K179" s="2" t="s">
        <v>5</v>
      </c>
      <c r="L179" s="2" t="s">
        <v>7</v>
      </c>
      <c r="M179" s="1" t="s">
        <v>2333</v>
      </c>
      <c r="N179" s="1" t="s">
        <v>2334</v>
      </c>
      <c r="O179" s="2" t="s">
        <v>1339</v>
      </c>
      <c r="Q179" s="2" t="s">
        <v>11</v>
      </c>
      <c r="R179" s="2" t="s">
        <v>12</v>
      </c>
      <c r="S179" s="1" t="s">
        <v>2335</v>
      </c>
      <c r="T179" s="2" t="s">
        <v>520</v>
      </c>
      <c r="U179" s="3">
        <v>3</v>
      </c>
      <c r="V179" s="3">
        <v>3</v>
      </c>
      <c r="W179" s="4" t="s">
        <v>2336</v>
      </c>
      <c r="X179" s="4" t="s">
        <v>2336</v>
      </c>
      <c r="Y179" s="4" t="s">
        <v>1223</v>
      </c>
      <c r="Z179" s="4" t="s">
        <v>1223</v>
      </c>
      <c r="AA179" s="3">
        <v>138</v>
      </c>
      <c r="AB179" s="3">
        <v>126</v>
      </c>
      <c r="AC179" s="3">
        <v>128</v>
      </c>
      <c r="AD179" s="3">
        <v>1</v>
      </c>
      <c r="AE179" s="3">
        <v>1</v>
      </c>
      <c r="AF179" s="3">
        <v>6</v>
      </c>
      <c r="AG179" s="3">
        <v>6</v>
      </c>
      <c r="AH179" s="3">
        <v>1</v>
      </c>
      <c r="AI179" s="3">
        <v>1</v>
      </c>
      <c r="AJ179" s="3">
        <v>1</v>
      </c>
      <c r="AK179" s="3">
        <v>1</v>
      </c>
      <c r="AL179" s="3">
        <v>5</v>
      </c>
      <c r="AM179" s="3">
        <v>5</v>
      </c>
      <c r="AN179" s="3">
        <v>0</v>
      </c>
      <c r="AO179" s="3">
        <v>0</v>
      </c>
      <c r="AP179" s="3">
        <v>0</v>
      </c>
      <c r="AQ179" s="3">
        <v>0</v>
      </c>
      <c r="AR179" s="2" t="s">
        <v>5</v>
      </c>
      <c r="AS179" s="2" t="s">
        <v>16</v>
      </c>
      <c r="AT179" s="5" t="str">
        <f>HYPERLINK("http://catalog.hathitrust.org/Record/002506681","HathiTrust Record")</f>
        <v>HathiTrust Record</v>
      </c>
      <c r="AU179" s="5" t="str">
        <f>HYPERLINK("https://creighton-primo.hosted.exlibrisgroup.com/primo-explore/search?tab=default_tab&amp;search_scope=EVERYTHING&amp;vid=01CRU&amp;lang=en_US&amp;offset=0&amp;query=any,contains,991001389339702656","Catalog Record")</f>
        <v>Catalog Record</v>
      </c>
      <c r="AV179" s="5" t="str">
        <f>HYPERLINK("http://www.worldcat.org/oclc/15116789","WorldCat Record")</f>
        <v>WorldCat Record</v>
      </c>
      <c r="AW179" s="2" t="s">
        <v>2337</v>
      </c>
      <c r="AX179" s="2" t="s">
        <v>2338</v>
      </c>
      <c r="AY179" s="2" t="s">
        <v>2339</v>
      </c>
      <c r="AZ179" s="2" t="s">
        <v>2339</v>
      </c>
      <c r="BA179" s="2" t="s">
        <v>2340</v>
      </c>
      <c r="BB179" s="2" t="s">
        <v>21</v>
      </c>
      <c r="BD179" s="2" t="s">
        <v>2341</v>
      </c>
      <c r="BE179" s="2" t="s">
        <v>2342</v>
      </c>
      <c r="BF179" s="2" t="s">
        <v>2343</v>
      </c>
    </row>
    <row r="180" spans="1:58" ht="41.25" customHeight="1" x14ac:dyDescent="0.25">
      <c r="A180" s="8" t="s">
        <v>5</v>
      </c>
      <c r="B180" s="1" t="s">
        <v>0</v>
      </c>
      <c r="C180" s="1" t="s">
        <v>1</v>
      </c>
      <c r="D180" s="1" t="s">
        <v>2344</v>
      </c>
      <c r="E180" s="1" t="s">
        <v>2345</v>
      </c>
      <c r="F180" s="1" t="s">
        <v>2346</v>
      </c>
      <c r="H180" s="2" t="s">
        <v>5</v>
      </c>
      <c r="I180" s="2" t="s">
        <v>6</v>
      </c>
      <c r="J180" s="2" t="s">
        <v>5</v>
      </c>
      <c r="K180" s="2" t="s">
        <v>5</v>
      </c>
      <c r="L180" s="2" t="s">
        <v>7</v>
      </c>
      <c r="N180" s="1" t="s">
        <v>2347</v>
      </c>
      <c r="O180" s="2" t="s">
        <v>1887</v>
      </c>
      <c r="Q180" s="2" t="s">
        <v>11</v>
      </c>
      <c r="R180" s="2" t="s">
        <v>12</v>
      </c>
      <c r="T180" s="2" t="s">
        <v>520</v>
      </c>
      <c r="U180" s="3">
        <v>5</v>
      </c>
      <c r="V180" s="3">
        <v>5</v>
      </c>
      <c r="W180" s="4" t="s">
        <v>2348</v>
      </c>
      <c r="X180" s="4" t="s">
        <v>2348</v>
      </c>
      <c r="Y180" s="4" t="s">
        <v>2349</v>
      </c>
      <c r="Z180" s="4" t="s">
        <v>2349</v>
      </c>
      <c r="AA180" s="3">
        <v>226</v>
      </c>
      <c r="AB180" s="3">
        <v>196</v>
      </c>
      <c r="AC180" s="3">
        <v>198</v>
      </c>
      <c r="AD180" s="3">
        <v>1</v>
      </c>
      <c r="AE180" s="3">
        <v>1</v>
      </c>
      <c r="AF180" s="3">
        <v>12</v>
      </c>
      <c r="AG180" s="3">
        <v>12</v>
      </c>
      <c r="AH180" s="3">
        <v>5</v>
      </c>
      <c r="AI180" s="3">
        <v>5</v>
      </c>
      <c r="AJ180" s="3">
        <v>2</v>
      </c>
      <c r="AK180" s="3">
        <v>2</v>
      </c>
      <c r="AL180" s="3">
        <v>9</v>
      </c>
      <c r="AM180" s="3">
        <v>9</v>
      </c>
      <c r="AN180" s="3">
        <v>0</v>
      </c>
      <c r="AO180" s="3">
        <v>0</v>
      </c>
      <c r="AP180" s="3">
        <v>0</v>
      </c>
      <c r="AQ180" s="3">
        <v>0</v>
      </c>
      <c r="AR180" s="2" t="s">
        <v>5</v>
      </c>
      <c r="AS180" s="2" t="s">
        <v>16</v>
      </c>
      <c r="AT180" s="5" t="str">
        <f>HYPERLINK("http://catalog.hathitrust.org/Record/002620117","HathiTrust Record")</f>
        <v>HathiTrust Record</v>
      </c>
      <c r="AU180" s="5" t="str">
        <f>HYPERLINK("https://creighton-primo.hosted.exlibrisgroup.com/primo-explore/search?tab=default_tab&amp;search_scope=EVERYTHING&amp;vid=01CRU&amp;lang=en_US&amp;offset=0&amp;query=any,contains,991001400399702656","Catalog Record")</f>
        <v>Catalog Record</v>
      </c>
      <c r="AV180" s="5" t="str">
        <f>HYPERLINK("http://www.worldcat.org/oclc/26935139","WorldCat Record")</f>
        <v>WorldCat Record</v>
      </c>
      <c r="AW180" s="2" t="s">
        <v>2350</v>
      </c>
      <c r="AX180" s="2" t="s">
        <v>2351</v>
      </c>
      <c r="AY180" s="2" t="s">
        <v>2352</v>
      </c>
      <c r="AZ180" s="2" t="s">
        <v>2352</v>
      </c>
      <c r="BA180" s="2" t="s">
        <v>2353</v>
      </c>
      <c r="BB180" s="2" t="s">
        <v>21</v>
      </c>
      <c r="BD180" s="2" t="s">
        <v>2354</v>
      </c>
      <c r="BE180" s="2" t="s">
        <v>2355</v>
      </c>
      <c r="BF180" s="2" t="s">
        <v>2356</v>
      </c>
    </row>
    <row r="181" spans="1:58" ht="41.25" customHeight="1" x14ac:dyDescent="0.25">
      <c r="A181" s="8" t="s">
        <v>5</v>
      </c>
      <c r="B181" s="1" t="s">
        <v>0</v>
      </c>
      <c r="C181" s="1" t="s">
        <v>1</v>
      </c>
      <c r="D181" s="1" t="s">
        <v>2357</v>
      </c>
      <c r="E181" s="1" t="s">
        <v>2358</v>
      </c>
      <c r="F181" s="1" t="s">
        <v>2359</v>
      </c>
      <c r="H181" s="2" t="s">
        <v>5</v>
      </c>
      <c r="I181" s="2" t="s">
        <v>6</v>
      </c>
      <c r="J181" s="2" t="s">
        <v>5</v>
      </c>
      <c r="K181" s="2" t="s">
        <v>5</v>
      </c>
      <c r="L181" s="2" t="s">
        <v>7</v>
      </c>
      <c r="N181" s="1" t="s">
        <v>2360</v>
      </c>
      <c r="O181" s="2" t="s">
        <v>1046</v>
      </c>
      <c r="Q181" s="2" t="s">
        <v>11</v>
      </c>
      <c r="R181" s="2" t="s">
        <v>2361</v>
      </c>
      <c r="T181" s="2" t="s">
        <v>520</v>
      </c>
      <c r="U181" s="3">
        <v>0</v>
      </c>
      <c r="V181" s="3">
        <v>0</v>
      </c>
      <c r="W181" s="4" t="s">
        <v>2362</v>
      </c>
      <c r="X181" s="4" t="s">
        <v>2362</v>
      </c>
      <c r="Y181" s="4" t="s">
        <v>2363</v>
      </c>
      <c r="Z181" s="4" t="s">
        <v>2363</v>
      </c>
      <c r="AA181" s="3">
        <v>80</v>
      </c>
      <c r="AB181" s="3">
        <v>55</v>
      </c>
      <c r="AC181" s="3">
        <v>150</v>
      </c>
      <c r="AD181" s="3">
        <v>1</v>
      </c>
      <c r="AE181" s="3">
        <v>3</v>
      </c>
      <c r="AF181" s="3">
        <v>0</v>
      </c>
      <c r="AG181" s="3">
        <v>8</v>
      </c>
      <c r="AH181" s="3">
        <v>0</v>
      </c>
      <c r="AI181" s="3">
        <v>0</v>
      </c>
      <c r="AJ181" s="3">
        <v>0</v>
      </c>
      <c r="AK181" s="3">
        <v>3</v>
      </c>
      <c r="AL181" s="3">
        <v>0</v>
      </c>
      <c r="AM181" s="3">
        <v>4</v>
      </c>
      <c r="AN181" s="3">
        <v>0</v>
      </c>
      <c r="AO181" s="3">
        <v>1</v>
      </c>
      <c r="AP181" s="3">
        <v>0</v>
      </c>
      <c r="AQ181" s="3">
        <v>0</v>
      </c>
      <c r="AR181" s="2" t="s">
        <v>5</v>
      </c>
      <c r="AS181" s="2" t="s">
        <v>5</v>
      </c>
      <c r="AU181" s="5" t="str">
        <f>HYPERLINK("https://creighton-primo.hosted.exlibrisgroup.com/primo-explore/search?tab=default_tab&amp;search_scope=EVERYTHING&amp;vid=01CRU&amp;lang=en_US&amp;offset=0&amp;query=any,contains,991000588669702656","Catalog Record")</f>
        <v>Catalog Record</v>
      </c>
      <c r="AV181" s="5" t="str">
        <f>HYPERLINK("http://www.worldcat.org/oclc/52901759","WorldCat Record")</f>
        <v>WorldCat Record</v>
      </c>
      <c r="AW181" s="2" t="s">
        <v>2364</v>
      </c>
      <c r="AX181" s="2" t="s">
        <v>2365</v>
      </c>
      <c r="AY181" s="2" t="s">
        <v>2366</v>
      </c>
      <c r="AZ181" s="2" t="s">
        <v>2366</v>
      </c>
      <c r="BA181" s="2" t="s">
        <v>2367</v>
      </c>
      <c r="BB181" s="2" t="s">
        <v>21</v>
      </c>
      <c r="BD181" s="2" t="s">
        <v>2368</v>
      </c>
      <c r="BE181" s="2" t="s">
        <v>2369</v>
      </c>
      <c r="BF181" s="2" t="s">
        <v>2370</v>
      </c>
    </row>
    <row r="182" spans="1:58" ht="41.25" customHeight="1" x14ac:dyDescent="0.25">
      <c r="A182" s="8" t="s">
        <v>5</v>
      </c>
      <c r="B182" s="1" t="s">
        <v>0</v>
      </c>
      <c r="C182" s="1" t="s">
        <v>1</v>
      </c>
      <c r="D182" s="1" t="s">
        <v>2371</v>
      </c>
      <c r="E182" s="1" t="s">
        <v>2372</v>
      </c>
      <c r="F182" s="1" t="s">
        <v>2373</v>
      </c>
      <c r="H182" s="2" t="s">
        <v>5</v>
      </c>
      <c r="I182" s="2" t="s">
        <v>6</v>
      </c>
      <c r="J182" s="2" t="s">
        <v>5</v>
      </c>
      <c r="K182" s="2" t="s">
        <v>5</v>
      </c>
      <c r="L182" s="2" t="s">
        <v>7</v>
      </c>
      <c r="N182" s="1" t="s">
        <v>1985</v>
      </c>
      <c r="O182" s="2" t="s">
        <v>92</v>
      </c>
      <c r="Q182" s="2" t="s">
        <v>11</v>
      </c>
      <c r="R182" s="2" t="s">
        <v>12</v>
      </c>
      <c r="S182" s="1" t="s">
        <v>2374</v>
      </c>
      <c r="T182" s="2" t="s">
        <v>520</v>
      </c>
      <c r="U182" s="3">
        <v>2</v>
      </c>
      <c r="V182" s="3">
        <v>2</v>
      </c>
      <c r="W182" s="4" t="s">
        <v>1405</v>
      </c>
      <c r="X182" s="4" t="s">
        <v>1405</v>
      </c>
      <c r="Y182" s="4" t="s">
        <v>736</v>
      </c>
      <c r="Z182" s="4" t="s">
        <v>736</v>
      </c>
      <c r="AA182" s="3">
        <v>33</v>
      </c>
      <c r="AB182" s="3">
        <v>31</v>
      </c>
      <c r="AC182" s="3">
        <v>31</v>
      </c>
      <c r="AD182" s="3">
        <v>1</v>
      </c>
      <c r="AE182" s="3">
        <v>1</v>
      </c>
      <c r="AF182" s="3">
        <v>2</v>
      </c>
      <c r="AG182" s="3">
        <v>2</v>
      </c>
      <c r="AH182" s="3">
        <v>0</v>
      </c>
      <c r="AI182" s="3">
        <v>0</v>
      </c>
      <c r="AJ182" s="3">
        <v>0</v>
      </c>
      <c r="AK182" s="3">
        <v>0</v>
      </c>
      <c r="AL182" s="3">
        <v>2</v>
      </c>
      <c r="AM182" s="3">
        <v>2</v>
      </c>
      <c r="AN182" s="3">
        <v>0</v>
      </c>
      <c r="AO182" s="3">
        <v>0</v>
      </c>
      <c r="AP182" s="3">
        <v>0</v>
      </c>
      <c r="AQ182" s="3">
        <v>0</v>
      </c>
      <c r="AR182" s="2" t="s">
        <v>5</v>
      </c>
      <c r="AS182" s="2" t="s">
        <v>5</v>
      </c>
      <c r="AU182" s="5" t="str">
        <f>HYPERLINK("https://creighton-primo.hosted.exlibrisgroup.com/primo-explore/search?tab=default_tab&amp;search_scope=EVERYTHING&amp;vid=01CRU&amp;lang=en_US&amp;offset=0&amp;query=any,contains,991001389839702656","Catalog Record")</f>
        <v>Catalog Record</v>
      </c>
      <c r="AV182" s="5" t="str">
        <f>HYPERLINK("http://www.worldcat.org/oclc/2307994","WorldCat Record")</f>
        <v>WorldCat Record</v>
      </c>
      <c r="AW182" s="2" t="s">
        <v>2375</v>
      </c>
      <c r="AX182" s="2" t="s">
        <v>2376</v>
      </c>
      <c r="AY182" s="2" t="s">
        <v>2377</v>
      </c>
      <c r="AZ182" s="2" t="s">
        <v>2377</v>
      </c>
      <c r="BA182" s="2" t="s">
        <v>2378</v>
      </c>
      <c r="BB182" s="2" t="s">
        <v>21</v>
      </c>
      <c r="BE182" s="2" t="s">
        <v>2379</v>
      </c>
      <c r="BF182" s="2" t="s">
        <v>2380</v>
      </c>
    </row>
    <row r="183" spans="1:58" ht="41.25" customHeight="1" x14ac:dyDescent="0.25">
      <c r="A183" s="8" t="s">
        <v>5</v>
      </c>
      <c r="B183" s="1" t="s">
        <v>0</v>
      </c>
      <c r="C183" s="1" t="s">
        <v>1</v>
      </c>
      <c r="D183" s="1" t="s">
        <v>2381</v>
      </c>
      <c r="E183" s="1" t="s">
        <v>2382</v>
      </c>
      <c r="F183" s="1" t="s">
        <v>2383</v>
      </c>
      <c r="H183" s="2" t="s">
        <v>5</v>
      </c>
      <c r="I183" s="2" t="s">
        <v>6</v>
      </c>
      <c r="J183" s="2" t="s">
        <v>5</v>
      </c>
      <c r="K183" s="2" t="s">
        <v>5</v>
      </c>
      <c r="L183" s="2" t="s">
        <v>7</v>
      </c>
      <c r="N183" s="1" t="s">
        <v>2384</v>
      </c>
      <c r="O183" s="2" t="s">
        <v>888</v>
      </c>
      <c r="Q183" s="2" t="s">
        <v>11</v>
      </c>
      <c r="R183" s="2" t="s">
        <v>93</v>
      </c>
      <c r="T183" s="2" t="s">
        <v>520</v>
      </c>
      <c r="U183" s="3">
        <v>19</v>
      </c>
      <c r="V183" s="3">
        <v>19</v>
      </c>
      <c r="W183" s="4" t="s">
        <v>2322</v>
      </c>
      <c r="X183" s="4" t="s">
        <v>2322</v>
      </c>
      <c r="Y183" s="4" t="s">
        <v>329</v>
      </c>
      <c r="Z183" s="4" t="s">
        <v>329</v>
      </c>
      <c r="AA183" s="3">
        <v>281</v>
      </c>
      <c r="AB183" s="3">
        <v>245</v>
      </c>
      <c r="AC183" s="3">
        <v>252</v>
      </c>
      <c r="AD183" s="3">
        <v>2</v>
      </c>
      <c r="AE183" s="3">
        <v>2</v>
      </c>
      <c r="AF183" s="3">
        <v>7</v>
      </c>
      <c r="AG183" s="3">
        <v>7</v>
      </c>
      <c r="AH183" s="3">
        <v>2</v>
      </c>
      <c r="AI183" s="3">
        <v>2</v>
      </c>
      <c r="AJ183" s="3">
        <v>1</v>
      </c>
      <c r="AK183" s="3">
        <v>1</v>
      </c>
      <c r="AL183" s="3">
        <v>3</v>
      </c>
      <c r="AM183" s="3">
        <v>3</v>
      </c>
      <c r="AN183" s="3">
        <v>1</v>
      </c>
      <c r="AO183" s="3">
        <v>1</v>
      </c>
      <c r="AP183" s="3">
        <v>1</v>
      </c>
      <c r="AQ183" s="3">
        <v>1</v>
      </c>
      <c r="AR183" s="2" t="s">
        <v>5</v>
      </c>
      <c r="AS183" s="2" t="s">
        <v>16</v>
      </c>
      <c r="AT183" s="5" t="str">
        <f>HYPERLINK("http://catalog.hathitrust.org/Record/000168006","HathiTrust Record")</f>
        <v>HathiTrust Record</v>
      </c>
      <c r="AU183" s="5" t="str">
        <f>HYPERLINK("https://creighton-primo.hosted.exlibrisgroup.com/primo-explore/search?tab=default_tab&amp;search_scope=EVERYTHING&amp;vid=01CRU&amp;lang=en_US&amp;offset=0&amp;query=any,contains,991000740959702656","Catalog Record")</f>
        <v>Catalog Record</v>
      </c>
      <c r="AV183" s="5" t="str">
        <f>HYPERLINK("http://www.worldcat.org/oclc/10711274","WorldCat Record")</f>
        <v>WorldCat Record</v>
      </c>
      <c r="AW183" s="2" t="s">
        <v>2385</v>
      </c>
      <c r="AX183" s="2" t="s">
        <v>2386</v>
      </c>
      <c r="AY183" s="2" t="s">
        <v>2387</v>
      </c>
      <c r="AZ183" s="2" t="s">
        <v>2387</v>
      </c>
      <c r="BA183" s="2" t="s">
        <v>2388</v>
      </c>
      <c r="BB183" s="2" t="s">
        <v>21</v>
      </c>
      <c r="BD183" s="2" t="s">
        <v>2389</v>
      </c>
      <c r="BE183" s="2" t="s">
        <v>2390</v>
      </c>
      <c r="BF183" s="2" t="s">
        <v>2391</v>
      </c>
    </row>
    <row r="184" spans="1:58" ht="41.25" customHeight="1" x14ac:dyDescent="0.25">
      <c r="A184" s="8" t="s">
        <v>5</v>
      </c>
      <c r="B184" s="1" t="s">
        <v>0</v>
      </c>
      <c r="C184" s="1" t="s">
        <v>1</v>
      </c>
      <c r="D184" s="1" t="s">
        <v>2392</v>
      </c>
      <c r="E184" s="1" t="s">
        <v>2393</v>
      </c>
      <c r="F184" s="1" t="s">
        <v>2394</v>
      </c>
      <c r="H184" s="2" t="s">
        <v>5</v>
      </c>
      <c r="I184" s="2" t="s">
        <v>6</v>
      </c>
      <c r="J184" s="2" t="s">
        <v>5</v>
      </c>
      <c r="K184" s="2" t="s">
        <v>5</v>
      </c>
      <c r="L184" s="2" t="s">
        <v>7</v>
      </c>
      <c r="M184" s="1" t="s">
        <v>2395</v>
      </c>
      <c r="N184" s="1" t="s">
        <v>2396</v>
      </c>
      <c r="O184" s="2" t="s">
        <v>393</v>
      </c>
      <c r="P184" s="1" t="s">
        <v>2397</v>
      </c>
      <c r="Q184" s="2" t="s">
        <v>11</v>
      </c>
      <c r="R184" s="2" t="s">
        <v>426</v>
      </c>
      <c r="T184" s="2" t="s">
        <v>520</v>
      </c>
      <c r="U184" s="3">
        <v>4</v>
      </c>
      <c r="V184" s="3">
        <v>4</v>
      </c>
      <c r="W184" s="4" t="s">
        <v>2398</v>
      </c>
      <c r="X184" s="4" t="s">
        <v>2398</v>
      </c>
      <c r="Y184" s="4" t="s">
        <v>15</v>
      </c>
      <c r="Z184" s="4" t="s">
        <v>15</v>
      </c>
      <c r="AA184" s="3">
        <v>77</v>
      </c>
      <c r="AB184" s="3">
        <v>60</v>
      </c>
      <c r="AC184" s="3">
        <v>242</v>
      </c>
      <c r="AD184" s="3">
        <v>1</v>
      </c>
      <c r="AE184" s="3">
        <v>3</v>
      </c>
      <c r="AF184" s="3">
        <v>0</v>
      </c>
      <c r="AG184" s="3">
        <v>5</v>
      </c>
      <c r="AH184" s="3">
        <v>0</v>
      </c>
      <c r="AI184" s="3">
        <v>1</v>
      </c>
      <c r="AJ184" s="3">
        <v>0</v>
      </c>
      <c r="AK184" s="3">
        <v>0</v>
      </c>
      <c r="AL184" s="3">
        <v>0</v>
      </c>
      <c r="AM184" s="3">
        <v>3</v>
      </c>
      <c r="AN184" s="3">
        <v>0</v>
      </c>
      <c r="AO184" s="3">
        <v>1</v>
      </c>
      <c r="AP184" s="3">
        <v>0</v>
      </c>
      <c r="AQ184" s="3">
        <v>0</v>
      </c>
      <c r="AR184" s="2" t="s">
        <v>5</v>
      </c>
      <c r="AS184" s="2" t="s">
        <v>5</v>
      </c>
      <c r="AU184" s="5" t="str">
        <f>HYPERLINK("https://creighton-primo.hosted.exlibrisgroup.com/primo-explore/search?tab=default_tab&amp;search_scope=EVERYTHING&amp;vid=01CRU&amp;lang=en_US&amp;offset=0&amp;query=any,contains,991001032329702656","Catalog Record")</f>
        <v>Catalog Record</v>
      </c>
      <c r="AV184" s="5" t="str">
        <f>HYPERLINK("http://www.worldcat.org/oclc/6942089","WorldCat Record")</f>
        <v>WorldCat Record</v>
      </c>
      <c r="AW184" s="2" t="s">
        <v>2399</v>
      </c>
      <c r="AX184" s="2" t="s">
        <v>2400</v>
      </c>
      <c r="AY184" s="2" t="s">
        <v>2401</v>
      </c>
      <c r="AZ184" s="2" t="s">
        <v>2401</v>
      </c>
      <c r="BA184" s="2" t="s">
        <v>2402</v>
      </c>
      <c r="BB184" s="2" t="s">
        <v>21</v>
      </c>
      <c r="BD184" s="2" t="s">
        <v>2403</v>
      </c>
      <c r="BE184" s="2" t="s">
        <v>2404</v>
      </c>
      <c r="BF184" s="2" t="s">
        <v>2405</v>
      </c>
    </row>
    <row r="185" spans="1:58" ht="41.25" customHeight="1" x14ac:dyDescent="0.25">
      <c r="A185" s="8" t="s">
        <v>5</v>
      </c>
      <c r="B185" s="1" t="s">
        <v>0</v>
      </c>
      <c r="C185" s="1" t="s">
        <v>1</v>
      </c>
      <c r="D185" s="1" t="s">
        <v>2406</v>
      </c>
      <c r="E185" s="1" t="s">
        <v>2407</v>
      </c>
      <c r="F185" s="1" t="s">
        <v>2408</v>
      </c>
      <c r="H185" s="2" t="s">
        <v>5</v>
      </c>
      <c r="I185" s="2" t="s">
        <v>6</v>
      </c>
      <c r="J185" s="2" t="s">
        <v>5</v>
      </c>
      <c r="K185" s="2" t="s">
        <v>5</v>
      </c>
      <c r="L185" s="2" t="s">
        <v>7</v>
      </c>
      <c r="M185" s="1" t="s">
        <v>2409</v>
      </c>
      <c r="N185" s="1" t="s">
        <v>2410</v>
      </c>
      <c r="O185" s="2" t="s">
        <v>794</v>
      </c>
      <c r="P185" s="1" t="s">
        <v>901</v>
      </c>
      <c r="Q185" s="2" t="s">
        <v>11</v>
      </c>
      <c r="R185" s="2" t="s">
        <v>1019</v>
      </c>
      <c r="T185" s="2" t="s">
        <v>520</v>
      </c>
      <c r="U185" s="3">
        <v>12</v>
      </c>
      <c r="V185" s="3">
        <v>12</v>
      </c>
      <c r="W185" s="4" t="s">
        <v>2411</v>
      </c>
      <c r="X185" s="4" t="s">
        <v>2411</v>
      </c>
      <c r="Y185" s="4" t="s">
        <v>2412</v>
      </c>
      <c r="Z185" s="4" t="s">
        <v>2412</v>
      </c>
      <c r="AA185" s="3">
        <v>283</v>
      </c>
      <c r="AB185" s="3">
        <v>229</v>
      </c>
      <c r="AC185" s="3">
        <v>391</v>
      </c>
      <c r="AD185" s="3">
        <v>1</v>
      </c>
      <c r="AE185" s="3">
        <v>1</v>
      </c>
      <c r="AF185" s="3">
        <v>9</v>
      </c>
      <c r="AG185" s="3">
        <v>13</v>
      </c>
      <c r="AH185" s="3">
        <v>3</v>
      </c>
      <c r="AI185" s="3">
        <v>6</v>
      </c>
      <c r="AJ185" s="3">
        <v>1</v>
      </c>
      <c r="AK185" s="3">
        <v>2</v>
      </c>
      <c r="AL185" s="3">
        <v>5</v>
      </c>
      <c r="AM185" s="3">
        <v>8</v>
      </c>
      <c r="AN185" s="3">
        <v>0</v>
      </c>
      <c r="AO185" s="3">
        <v>0</v>
      </c>
      <c r="AP185" s="3">
        <v>0</v>
      </c>
      <c r="AQ185" s="3">
        <v>0</v>
      </c>
      <c r="AR185" s="2" t="s">
        <v>5</v>
      </c>
      <c r="AS185" s="2" t="s">
        <v>16</v>
      </c>
      <c r="AT185" s="5" t="str">
        <f>HYPERLINK("http://catalog.hathitrust.org/Record/003031111","HathiTrust Record")</f>
        <v>HathiTrust Record</v>
      </c>
      <c r="AU185" s="5" t="str">
        <f>HYPERLINK("https://creighton-primo.hosted.exlibrisgroup.com/primo-explore/search?tab=default_tab&amp;search_scope=EVERYTHING&amp;vid=01CRU&amp;lang=en_US&amp;offset=0&amp;query=any,contains,991000849769702656","Catalog Record")</f>
        <v>Catalog Record</v>
      </c>
      <c r="AV185" s="5" t="str">
        <f>HYPERLINK("http://www.worldcat.org/oclc/33167849","WorldCat Record")</f>
        <v>WorldCat Record</v>
      </c>
      <c r="AW185" s="2" t="s">
        <v>2413</v>
      </c>
      <c r="AX185" s="2" t="s">
        <v>2414</v>
      </c>
      <c r="AY185" s="2" t="s">
        <v>2415</v>
      </c>
      <c r="AZ185" s="2" t="s">
        <v>2415</v>
      </c>
      <c r="BA185" s="2" t="s">
        <v>2416</v>
      </c>
      <c r="BB185" s="2" t="s">
        <v>21</v>
      </c>
      <c r="BD185" s="2" t="s">
        <v>2417</v>
      </c>
      <c r="BE185" s="2" t="s">
        <v>2418</v>
      </c>
      <c r="BF185" s="2" t="s">
        <v>2419</v>
      </c>
    </row>
    <row r="186" spans="1:58" ht="41.25" customHeight="1" x14ac:dyDescent="0.25">
      <c r="A186" s="8" t="s">
        <v>5</v>
      </c>
      <c r="B186" s="1" t="s">
        <v>0</v>
      </c>
      <c r="C186" s="1" t="s">
        <v>1</v>
      </c>
      <c r="D186" s="1" t="s">
        <v>2420</v>
      </c>
      <c r="E186" s="1" t="s">
        <v>2421</v>
      </c>
      <c r="F186" s="1" t="s">
        <v>2422</v>
      </c>
      <c r="H186" s="2" t="s">
        <v>5</v>
      </c>
      <c r="I186" s="2" t="s">
        <v>6</v>
      </c>
      <c r="J186" s="2" t="s">
        <v>5</v>
      </c>
      <c r="K186" s="2" t="s">
        <v>5</v>
      </c>
      <c r="L186" s="2" t="s">
        <v>7</v>
      </c>
      <c r="N186" s="1" t="s">
        <v>1985</v>
      </c>
      <c r="O186" s="2" t="s">
        <v>92</v>
      </c>
      <c r="Q186" s="2" t="s">
        <v>11</v>
      </c>
      <c r="R186" s="2" t="s">
        <v>12</v>
      </c>
      <c r="S186" s="1" t="s">
        <v>2423</v>
      </c>
      <c r="T186" s="2" t="s">
        <v>520</v>
      </c>
      <c r="U186" s="3">
        <v>3</v>
      </c>
      <c r="V186" s="3">
        <v>3</v>
      </c>
      <c r="W186" s="4" t="s">
        <v>2424</v>
      </c>
      <c r="X186" s="4" t="s">
        <v>2424</v>
      </c>
      <c r="Y186" s="4" t="s">
        <v>2425</v>
      </c>
      <c r="Z186" s="4" t="s">
        <v>2425</v>
      </c>
      <c r="AA186" s="3">
        <v>97</v>
      </c>
      <c r="AB186" s="3">
        <v>86</v>
      </c>
      <c r="AC186" s="3">
        <v>88</v>
      </c>
      <c r="AD186" s="3">
        <v>3</v>
      </c>
      <c r="AE186" s="3">
        <v>3</v>
      </c>
      <c r="AF186" s="3">
        <v>4</v>
      </c>
      <c r="AG186" s="3">
        <v>4</v>
      </c>
      <c r="AH186" s="3">
        <v>0</v>
      </c>
      <c r="AI186" s="3">
        <v>0</v>
      </c>
      <c r="AJ186" s="3">
        <v>0</v>
      </c>
      <c r="AK186" s="3">
        <v>0</v>
      </c>
      <c r="AL186" s="3">
        <v>3</v>
      </c>
      <c r="AM186" s="3">
        <v>3</v>
      </c>
      <c r="AN186" s="3">
        <v>1</v>
      </c>
      <c r="AO186" s="3">
        <v>1</v>
      </c>
      <c r="AP186" s="3">
        <v>0</v>
      </c>
      <c r="AQ186" s="3">
        <v>0</v>
      </c>
      <c r="AR186" s="2" t="s">
        <v>5</v>
      </c>
      <c r="AS186" s="2" t="s">
        <v>16</v>
      </c>
      <c r="AT186" s="5" t="str">
        <f>HYPERLINK("http://catalog.hathitrust.org/Record/000742849","HathiTrust Record")</f>
        <v>HathiTrust Record</v>
      </c>
      <c r="AU186" s="5" t="str">
        <f>HYPERLINK("https://creighton-primo.hosted.exlibrisgroup.com/primo-explore/search?tab=default_tab&amp;search_scope=EVERYTHING&amp;vid=01CRU&amp;lang=en_US&amp;offset=0&amp;query=any,contains,991001370109702656","Catalog Record")</f>
        <v>Catalog Record</v>
      </c>
      <c r="AV186" s="5" t="str">
        <f>HYPERLINK("http://www.worldcat.org/oclc/2400925","WorldCat Record")</f>
        <v>WorldCat Record</v>
      </c>
      <c r="AW186" s="2" t="s">
        <v>2426</v>
      </c>
      <c r="AX186" s="2" t="s">
        <v>2427</v>
      </c>
      <c r="AY186" s="2" t="s">
        <v>2428</v>
      </c>
      <c r="AZ186" s="2" t="s">
        <v>2428</v>
      </c>
      <c r="BA186" s="2" t="s">
        <v>2429</v>
      </c>
      <c r="BB186" s="2" t="s">
        <v>21</v>
      </c>
      <c r="BE186" s="2" t="s">
        <v>2430</v>
      </c>
      <c r="BF186" s="2" t="s">
        <v>2431</v>
      </c>
    </row>
    <row r="187" spans="1:58" ht="41.25" customHeight="1" x14ac:dyDescent="0.25">
      <c r="A187" s="8" t="s">
        <v>5</v>
      </c>
      <c r="B187" s="1" t="s">
        <v>0</v>
      </c>
      <c r="C187" s="1" t="s">
        <v>1</v>
      </c>
      <c r="D187" s="1" t="s">
        <v>2432</v>
      </c>
      <c r="E187" s="1" t="s">
        <v>2433</v>
      </c>
      <c r="F187" s="1" t="s">
        <v>2434</v>
      </c>
      <c r="H187" s="2" t="s">
        <v>5</v>
      </c>
      <c r="I187" s="2" t="s">
        <v>6</v>
      </c>
      <c r="J187" s="2" t="s">
        <v>5</v>
      </c>
      <c r="K187" s="2" t="s">
        <v>5</v>
      </c>
      <c r="L187" s="2" t="s">
        <v>7</v>
      </c>
      <c r="N187" s="1" t="s">
        <v>2435</v>
      </c>
      <c r="O187" s="2" t="s">
        <v>734</v>
      </c>
      <c r="Q187" s="2" t="s">
        <v>11</v>
      </c>
      <c r="R187" s="2" t="s">
        <v>12</v>
      </c>
      <c r="S187" s="1" t="s">
        <v>2436</v>
      </c>
      <c r="T187" s="2" t="s">
        <v>520</v>
      </c>
      <c r="U187" s="3">
        <v>2</v>
      </c>
      <c r="V187" s="3">
        <v>2</v>
      </c>
      <c r="W187" s="4" t="s">
        <v>2437</v>
      </c>
      <c r="X187" s="4" t="s">
        <v>2437</v>
      </c>
      <c r="Y187" s="4" t="s">
        <v>1591</v>
      </c>
      <c r="Z187" s="4" t="s">
        <v>1591</v>
      </c>
      <c r="AA187" s="3">
        <v>91</v>
      </c>
      <c r="AB187" s="3">
        <v>83</v>
      </c>
      <c r="AC187" s="3">
        <v>87</v>
      </c>
      <c r="AD187" s="3">
        <v>1</v>
      </c>
      <c r="AE187" s="3">
        <v>1</v>
      </c>
      <c r="AF187" s="3">
        <v>3</v>
      </c>
      <c r="AG187" s="3">
        <v>3</v>
      </c>
      <c r="AH187" s="3">
        <v>1</v>
      </c>
      <c r="AI187" s="3">
        <v>1</v>
      </c>
      <c r="AJ187" s="3">
        <v>0</v>
      </c>
      <c r="AK187" s="3">
        <v>0</v>
      </c>
      <c r="AL187" s="3">
        <v>3</v>
      </c>
      <c r="AM187" s="3">
        <v>3</v>
      </c>
      <c r="AN187" s="3">
        <v>0</v>
      </c>
      <c r="AO187" s="3">
        <v>0</v>
      </c>
      <c r="AP187" s="3">
        <v>0</v>
      </c>
      <c r="AQ187" s="3">
        <v>0</v>
      </c>
      <c r="AR187" s="2" t="s">
        <v>5</v>
      </c>
      <c r="AS187" s="2" t="s">
        <v>16</v>
      </c>
      <c r="AT187" s="5" t="str">
        <f>HYPERLINK("http://catalog.hathitrust.org/Record/000610520","HathiTrust Record")</f>
        <v>HathiTrust Record</v>
      </c>
      <c r="AU187" s="5" t="str">
        <f>HYPERLINK("https://creighton-primo.hosted.exlibrisgroup.com/primo-explore/search?tab=default_tab&amp;search_scope=EVERYTHING&amp;vid=01CRU&amp;lang=en_US&amp;offset=0&amp;query=any,contains,991001373339702656","Catalog Record")</f>
        <v>Catalog Record</v>
      </c>
      <c r="AV187" s="5" t="str">
        <f>HYPERLINK("http://www.worldcat.org/oclc/12910921","WorldCat Record")</f>
        <v>WorldCat Record</v>
      </c>
      <c r="AW187" s="2" t="s">
        <v>2438</v>
      </c>
      <c r="AX187" s="2" t="s">
        <v>2439</v>
      </c>
      <c r="AY187" s="2" t="s">
        <v>2440</v>
      </c>
      <c r="AZ187" s="2" t="s">
        <v>2440</v>
      </c>
      <c r="BA187" s="2" t="s">
        <v>2441</v>
      </c>
      <c r="BB187" s="2" t="s">
        <v>21</v>
      </c>
      <c r="BE187" s="2" t="s">
        <v>2442</v>
      </c>
      <c r="BF187" s="2" t="s">
        <v>2443</v>
      </c>
    </row>
    <row r="188" spans="1:58" ht="41.25" customHeight="1" x14ac:dyDescent="0.25">
      <c r="A188" s="8" t="s">
        <v>5</v>
      </c>
      <c r="B188" s="1" t="s">
        <v>0</v>
      </c>
      <c r="C188" s="1" t="s">
        <v>1</v>
      </c>
      <c r="D188" s="1" t="s">
        <v>2444</v>
      </c>
      <c r="E188" s="1" t="s">
        <v>2445</v>
      </c>
      <c r="F188" s="1" t="s">
        <v>2446</v>
      </c>
      <c r="H188" s="2" t="s">
        <v>5</v>
      </c>
      <c r="I188" s="2" t="s">
        <v>6</v>
      </c>
      <c r="J188" s="2" t="s">
        <v>5</v>
      </c>
      <c r="K188" s="2" t="s">
        <v>5</v>
      </c>
      <c r="L188" s="2" t="s">
        <v>7</v>
      </c>
      <c r="N188" s="1" t="s">
        <v>1220</v>
      </c>
      <c r="O188" s="2" t="s">
        <v>62</v>
      </c>
      <c r="Q188" s="2" t="s">
        <v>11</v>
      </c>
      <c r="R188" s="2" t="s">
        <v>12</v>
      </c>
      <c r="S188" s="1" t="s">
        <v>2447</v>
      </c>
      <c r="T188" s="2" t="s">
        <v>520</v>
      </c>
      <c r="U188" s="3">
        <v>2</v>
      </c>
      <c r="V188" s="3">
        <v>2</v>
      </c>
      <c r="W188" s="4" t="s">
        <v>1405</v>
      </c>
      <c r="X188" s="4" t="s">
        <v>1405</v>
      </c>
      <c r="Y188" s="4" t="s">
        <v>1223</v>
      </c>
      <c r="Z188" s="4" t="s">
        <v>1223</v>
      </c>
      <c r="AA188" s="3">
        <v>69</v>
      </c>
      <c r="AB188" s="3">
        <v>62</v>
      </c>
      <c r="AC188" s="3">
        <v>62</v>
      </c>
      <c r="AD188" s="3">
        <v>1</v>
      </c>
      <c r="AE188" s="3">
        <v>1</v>
      </c>
      <c r="AF188" s="3">
        <v>2</v>
      </c>
      <c r="AG188" s="3">
        <v>2</v>
      </c>
      <c r="AH188" s="3">
        <v>0</v>
      </c>
      <c r="AI188" s="3">
        <v>0</v>
      </c>
      <c r="AJ188" s="3">
        <v>0</v>
      </c>
      <c r="AK188" s="3">
        <v>0</v>
      </c>
      <c r="AL188" s="3">
        <v>2</v>
      </c>
      <c r="AM188" s="3">
        <v>2</v>
      </c>
      <c r="AN188" s="3">
        <v>0</v>
      </c>
      <c r="AO188" s="3">
        <v>0</v>
      </c>
      <c r="AP188" s="3">
        <v>0</v>
      </c>
      <c r="AQ188" s="3">
        <v>0</v>
      </c>
      <c r="AR188" s="2" t="s">
        <v>5</v>
      </c>
      <c r="AS188" s="2" t="s">
        <v>5</v>
      </c>
      <c r="AU188" s="5" t="str">
        <f>HYPERLINK("https://creighton-primo.hosted.exlibrisgroup.com/primo-explore/search?tab=default_tab&amp;search_scope=EVERYTHING&amp;vid=01CRU&amp;lang=en_US&amp;offset=0&amp;query=any,contains,991001388459702656","Catalog Record")</f>
        <v>Catalog Record</v>
      </c>
      <c r="AV188" s="5" t="str">
        <f>HYPERLINK("http://www.worldcat.org/oclc/4468366","WorldCat Record")</f>
        <v>WorldCat Record</v>
      </c>
      <c r="AW188" s="2" t="s">
        <v>2448</v>
      </c>
      <c r="AX188" s="2" t="s">
        <v>2449</v>
      </c>
      <c r="AY188" s="2" t="s">
        <v>2450</v>
      </c>
      <c r="AZ188" s="2" t="s">
        <v>2450</v>
      </c>
      <c r="BA188" s="2" t="s">
        <v>2451</v>
      </c>
      <c r="BB188" s="2" t="s">
        <v>21</v>
      </c>
      <c r="BE188" s="2" t="s">
        <v>2452</v>
      </c>
      <c r="BF188" s="2" t="s">
        <v>2453</v>
      </c>
    </row>
    <row r="189" spans="1:58" ht="41.25" customHeight="1" x14ac:dyDescent="0.25">
      <c r="A189" s="8" t="s">
        <v>5</v>
      </c>
      <c r="B189" s="1" t="s">
        <v>0</v>
      </c>
      <c r="C189" s="1" t="s">
        <v>1</v>
      </c>
      <c r="D189" s="1" t="s">
        <v>2454</v>
      </c>
      <c r="E189" s="1" t="s">
        <v>2455</v>
      </c>
      <c r="F189" s="1" t="s">
        <v>2456</v>
      </c>
      <c r="H189" s="2" t="s">
        <v>5</v>
      </c>
      <c r="I189" s="2" t="s">
        <v>6</v>
      </c>
      <c r="J189" s="2" t="s">
        <v>5</v>
      </c>
      <c r="K189" s="2" t="s">
        <v>5</v>
      </c>
      <c r="L189" s="2" t="s">
        <v>7</v>
      </c>
      <c r="N189" s="1" t="s">
        <v>2457</v>
      </c>
      <c r="O189" s="2" t="s">
        <v>1339</v>
      </c>
      <c r="P189" s="1" t="s">
        <v>901</v>
      </c>
      <c r="Q189" s="2" t="s">
        <v>11</v>
      </c>
      <c r="R189" s="2" t="s">
        <v>426</v>
      </c>
      <c r="T189" s="2" t="s">
        <v>520</v>
      </c>
      <c r="U189" s="3">
        <v>7</v>
      </c>
      <c r="V189" s="3">
        <v>7</v>
      </c>
      <c r="W189" s="4" t="s">
        <v>1794</v>
      </c>
      <c r="X189" s="4" t="s">
        <v>1794</v>
      </c>
      <c r="Y189" s="4" t="s">
        <v>1827</v>
      </c>
      <c r="Z189" s="4" t="s">
        <v>1827</v>
      </c>
      <c r="AA189" s="3">
        <v>98</v>
      </c>
      <c r="AB189" s="3">
        <v>77</v>
      </c>
      <c r="AC189" s="3">
        <v>241</v>
      </c>
      <c r="AD189" s="3">
        <v>1</v>
      </c>
      <c r="AE189" s="3">
        <v>2</v>
      </c>
      <c r="AF189" s="3">
        <v>1</v>
      </c>
      <c r="AG189" s="3">
        <v>3</v>
      </c>
      <c r="AH189" s="3">
        <v>0</v>
      </c>
      <c r="AI189" s="3">
        <v>0</v>
      </c>
      <c r="AJ189" s="3">
        <v>0</v>
      </c>
      <c r="AK189" s="3">
        <v>0</v>
      </c>
      <c r="AL189" s="3">
        <v>1</v>
      </c>
      <c r="AM189" s="3">
        <v>2</v>
      </c>
      <c r="AN189" s="3">
        <v>0</v>
      </c>
      <c r="AO189" s="3">
        <v>1</v>
      </c>
      <c r="AP189" s="3">
        <v>0</v>
      </c>
      <c r="AQ189" s="3">
        <v>0</v>
      </c>
      <c r="AR189" s="2" t="s">
        <v>5</v>
      </c>
      <c r="AS189" s="2" t="s">
        <v>16</v>
      </c>
      <c r="AT189" s="5" t="str">
        <f>HYPERLINK("http://catalog.hathitrust.org/Record/000927623","HathiTrust Record")</f>
        <v>HathiTrust Record</v>
      </c>
      <c r="AU189" s="5" t="str">
        <f>HYPERLINK("https://creighton-primo.hosted.exlibrisgroup.com/primo-explore/search?tab=default_tab&amp;search_scope=EVERYTHING&amp;vid=01CRU&amp;lang=en_US&amp;offset=0&amp;query=any,contains,991001527849702656","Catalog Record")</f>
        <v>Catalog Record</v>
      </c>
      <c r="AV189" s="5" t="str">
        <f>HYPERLINK("http://www.worldcat.org/oclc/15109088","WorldCat Record")</f>
        <v>WorldCat Record</v>
      </c>
      <c r="AW189" s="2" t="s">
        <v>2458</v>
      </c>
      <c r="AX189" s="2" t="s">
        <v>2459</v>
      </c>
      <c r="AY189" s="2" t="s">
        <v>2460</v>
      </c>
      <c r="AZ189" s="2" t="s">
        <v>2460</v>
      </c>
      <c r="BA189" s="2" t="s">
        <v>2461</v>
      </c>
      <c r="BB189" s="2" t="s">
        <v>21</v>
      </c>
      <c r="BD189" s="2" t="s">
        <v>2462</v>
      </c>
      <c r="BE189" s="2" t="s">
        <v>2463</v>
      </c>
      <c r="BF189" s="2" t="s">
        <v>2464</v>
      </c>
    </row>
    <row r="190" spans="1:58" ht="41.25" customHeight="1" x14ac:dyDescent="0.25">
      <c r="A190" s="8" t="s">
        <v>5</v>
      </c>
      <c r="B190" s="1" t="s">
        <v>0</v>
      </c>
      <c r="C190" s="1" t="s">
        <v>1</v>
      </c>
      <c r="D190" s="1" t="s">
        <v>2465</v>
      </c>
      <c r="E190" s="1" t="s">
        <v>2466</v>
      </c>
      <c r="F190" s="1" t="s">
        <v>2467</v>
      </c>
      <c r="H190" s="2" t="s">
        <v>5</v>
      </c>
      <c r="I190" s="2" t="s">
        <v>6</v>
      </c>
      <c r="J190" s="2" t="s">
        <v>5</v>
      </c>
      <c r="K190" s="2" t="s">
        <v>5</v>
      </c>
      <c r="L190" s="2" t="s">
        <v>7</v>
      </c>
      <c r="N190" s="1" t="s">
        <v>2468</v>
      </c>
      <c r="O190" s="2" t="s">
        <v>872</v>
      </c>
      <c r="Q190" s="2" t="s">
        <v>11</v>
      </c>
      <c r="R190" s="2" t="s">
        <v>426</v>
      </c>
      <c r="T190" s="2" t="s">
        <v>520</v>
      </c>
      <c r="U190" s="3">
        <v>5</v>
      </c>
      <c r="V190" s="3">
        <v>5</v>
      </c>
      <c r="W190" s="4" t="s">
        <v>2469</v>
      </c>
      <c r="X190" s="4" t="s">
        <v>2469</v>
      </c>
      <c r="Y190" s="4" t="s">
        <v>2470</v>
      </c>
      <c r="Z190" s="4" t="s">
        <v>2470</v>
      </c>
      <c r="AA190" s="3">
        <v>73</v>
      </c>
      <c r="AB190" s="3">
        <v>62</v>
      </c>
      <c r="AC190" s="3">
        <v>299</v>
      </c>
      <c r="AD190" s="3">
        <v>1</v>
      </c>
      <c r="AE190" s="3">
        <v>3</v>
      </c>
      <c r="AF190" s="3">
        <v>0</v>
      </c>
      <c r="AG190" s="3">
        <v>5</v>
      </c>
      <c r="AH190" s="3">
        <v>0</v>
      </c>
      <c r="AI190" s="3">
        <v>1</v>
      </c>
      <c r="AJ190" s="3">
        <v>0</v>
      </c>
      <c r="AK190" s="3">
        <v>2</v>
      </c>
      <c r="AL190" s="3">
        <v>0</v>
      </c>
      <c r="AM190" s="3">
        <v>3</v>
      </c>
      <c r="AN190" s="3">
        <v>0</v>
      </c>
      <c r="AO190" s="3">
        <v>1</v>
      </c>
      <c r="AP190" s="3">
        <v>0</v>
      </c>
      <c r="AQ190" s="3">
        <v>0</v>
      </c>
      <c r="AR190" s="2" t="s">
        <v>5</v>
      </c>
      <c r="AS190" s="2" t="s">
        <v>5</v>
      </c>
      <c r="AU190" s="5" t="str">
        <f>HYPERLINK("https://creighton-primo.hosted.exlibrisgroup.com/primo-explore/search?tab=default_tab&amp;search_scope=EVERYTHING&amp;vid=01CRU&amp;lang=en_US&amp;offset=0&amp;query=any,contains,991001250289702656","Catalog Record")</f>
        <v>Catalog Record</v>
      </c>
      <c r="AV190" s="5" t="str">
        <f>HYPERLINK("http://www.worldcat.org/oclc/18780785","WorldCat Record")</f>
        <v>WorldCat Record</v>
      </c>
      <c r="AW190" s="2" t="s">
        <v>2471</v>
      </c>
      <c r="AX190" s="2" t="s">
        <v>2472</v>
      </c>
      <c r="AY190" s="2" t="s">
        <v>2473</v>
      </c>
      <c r="AZ190" s="2" t="s">
        <v>2473</v>
      </c>
      <c r="BA190" s="2" t="s">
        <v>2474</v>
      </c>
      <c r="BB190" s="2" t="s">
        <v>21</v>
      </c>
      <c r="BD190" s="2" t="s">
        <v>2475</v>
      </c>
      <c r="BE190" s="2" t="s">
        <v>2476</v>
      </c>
      <c r="BF190" s="2" t="s">
        <v>2477</v>
      </c>
    </row>
    <row r="191" spans="1:58" ht="41.25" customHeight="1" x14ac:dyDescent="0.25">
      <c r="A191" s="8" t="s">
        <v>5</v>
      </c>
      <c r="B191" s="1" t="s">
        <v>0</v>
      </c>
      <c r="C191" s="1" t="s">
        <v>1</v>
      </c>
      <c r="D191" s="1" t="s">
        <v>2478</v>
      </c>
      <c r="E191" s="1" t="s">
        <v>2479</v>
      </c>
      <c r="F191" s="1" t="s">
        <v>2480</v>
      </c>
      <c r="H191" s="2" t="s">
        <v>5</v>
      </c>
      <c r="I191" s="2" t="s">
        <v>6</v>
      </c>
      <c r="J191" s="2" t="s">
        <v>5</v>
      </c>
      <c r="K191" s="2" t="s">
        <v>5</v>
      </c>
      <c r="L191" s="2" t="s">
        <v>7</v>
      </c>
      <c r="N191" s="1" t="s">
        <v>2481</v>
      </c>
      <c r="O191" s="2" t="s">
        <v>1246</v>
      </c>
      <c r="P191" s="1" t="s">
        <v>2482</v>
      </c>
      <c r="Q191" s="2" t="s">
        <v>11</v>
      </c>
      <c r="R191" s="2" t="s">
        <v>93</v>
      </c>
      <c r="S191" s="1" t="s">
        <v>2483</v>
      </c>
      <c r="T191" s="2" t="s">
        <v>520</v>
      </c>
      <c r="U191" s="3">
        <v>1</v>
      </c>
      <c r="V191" s="3">
        <v>1</v>
      </c>
      <c r="W191" s="4" t="s">
        <v>1443</v>
      </c>
      <c r="X191" s="4" t="s">
        <v>1443</v>
      </c>
      <c r="Y191" s="4" t="s">
        <v>1827</v>
      </c>
      <c r="Z191" s="4" t="s">
        <v>1827</v>
      </c>
      <c r="AA191" s="3">
        <v>30</v>
      </c>
      <c r="AB191" s="3">
        <v>29</v>
      </c>
      <c r="AC191" s="3">
        <v>30</v>
      </c>
      <c r="AD191" s="3">
        <v>1</v>
      </c>
      <c r="AE191" s="3">
        <v>1</v>
      </c>
      <c r="AF191" s="3">
        <v>0</v>
      </c>
      <c r="AG191" s="3">
        <v>0</v>
      </c>
      <c r="AH191" s="3">
        <v>0</v>
      </c>
      <c r="AI191" s="3">
        <v>0</v>
      </c>
      <c r="AJ191" s="3">
        <v>0</v>
      </c>
      <c r="AK191" s="3">
        <v>0</v>
      </c>
      <c r="AL191" s="3">
        <v>0</v>
      </c>
      <c r="AM191" s="3">
        <v>0</v>
      </c>
      <c r="AN191" s="3">
        <v>0</v>
      </c>
      <c r="AO191" s="3">
        <v>0</v>
      </c>
      <c r="AP191" s="3">
        <v>0</v>
      </c>
      <c r="AQ191" s="3">
        <v>0</v>
      </c>
      <c r="AR191" s="2" t="s">
        <v>5</v>
      </c>
      <c r="AS191" s="2" t="s">
        <v>5</v>
      </c>
      <c r="AU191" s="5" t="str">
        <f>HYPERLINK("https://creighton-primo.hosted.exlibrisgroup.com/primo-explore/search?tab=default_tab&amp;search_scope=EVERYTHING&amp;vid=01CRU&amp;lang=en_US&amp;offset=0&amp;query=any,contains,991001364739702656","Catalog Record")</f>
        <v>Catalog Record</v>
      </c>
      <c r="AV191" s="5" t="str">
        <f>HYPERLINK("http://www.worldcat.org/oclc/754066","WorldCat Record")</f>
        <v>WorldCat Record</v>
      </c>
      <c r="AW191" s="2" t="s">
        <v>2484</v>
      </c>
      <c r="AX191" s="2" t="s">
        <v>2485</v>
      </c>
      <c r="AY191" s="2" t="s">
        <v>2486</v>
      </c>
      <c r="AZ191" s="2" t="s">
        <v>2486</v>
      </c>
      <c r="BA191" s="2" t="s">
        <v>2487</v>
      </c>
      <c r="BB191" s="2" t="s">
        <v>21</v>
      </c>
      <c r="BE191" s="2" t="s">
        <v>2488</v>
      </c>
      <c r="BF191" s="2" t="s">
        <v>2489</v>
      </c>
    </row>
    <row r="192" spans="1:58" ht="41.25" customHeight="1" x14ac:dyDescent="0.25">
      <c r="A192" s="8" t="s">
        <v>5</v>
      </c>
      <c r="B192" s="1" t="s">
        <v>0</v>
      </c>
      <c r="C192" s="1" t="s">
        <v>1</v>
      </c>
      <c r="D192" s="1" t="s">
        <v>2490</v>
      </c>
      <c r="E192" s="1" t="s">
        <v>2491</v>
      </c>
      <c r="F192" s="1" t="s">
        <v>2492</v>
      </c>
      <c r="H192" s="2" t="s">
        <v>5</v>
      </c>
      <c r="I192" s="2" t="s">
        <v>6</v>
      </c>
      <c r="J192" s="2" t="s">
        <v>5</v>
      </c>
      <c r="K192" s="2" t="s">
        <v>5</v>
      </c>
      <c r="L192" s="2" t="s">
        <v>7</v>
      </c>
      <c r="M192" s="1" t="s">
        <v>2493</v>
      </c>
      <c r="N192" s="1" t="s">
        <v>1259</v>
      </c>
      <c r="O192" s="2" t="s">
        <v>136</v>
      </c>
      <c r="Q192" s="2" t="s">
        <v>11</v>
      </c>
      <c r="R192" s="2" t="s">
        <v>12</v>
      </c>
      <c r="S192" s="1" t="s">
        <v>2494</v>
      </c>
      <c r="T192" s="2" t="s">
        <v>520</v>
      </c>
      <c r="U192" s="3">
        <v>1</v>
      </c>
      <c r="V192" s="3">
        <v>1</v>
      </c>
      <c r="W192" s="4" t="s">
        <v>1443</v>
      </c>
      <c r="X192" s="4" t="s">
        <v>1443</v>
      </c>
      <c r="Y192" s="4" t="s">
        <v>604</v>
      </c>
      <c r="Z192" s="4" t="s">
        <v>604</v>
      </c>
      <c r="AA192" s="3">
        <v>301</v>
      </c>
      <c r="AB192" s="3">
        <v>267</v>
      </c>
      <c r="AC192" s="3">
        <v>274</v>
      </c>
      <c r="AD192" s="3">
        <v>3</v>
      </c>
      <c r="AE192" s="3">
        <v>3</v>
      </c>
      <c r="AF192" s="3">
        <v>17</v>
      </c>
      <c r="AG192" s="3">
        <v>17</v>
      </c>
      <c r="AH192" s="3">
        <v>8</v>
      </c>
      <c r="AI192" s="3">
        <v>8</v>
      </c>
      <c r="AJ192" s="3">
        <v>5</v>
      </c>
      <c r="AK192" s="3">
        <v>5</v>
      </c>
      <c r="AL192" s="3">
        <v>7</v>
      </c>
      <c r="AM192" s="3">
        <v>7</v>
      </c>
      <c r="AN192" s="3">
        <v>1</v>
      </c>
      <c r="AO192" s="3">
        <v>1</v>
      </c>
      <c r="AP192" s="3">
        <v>0</v>
      </c>
      <c r="AQ192" s="3">
        <v>0</v>
      </c>
      <c r="AR192" s="2" t="s">
        <v>5</v>
      </c>
      <c r="AS192" s="2" t="s">
        <v>16</v>
      </c>
      <c r="AT192" s="5" t="str">
        <f>HYPERLINK("http://catalog.hathitrust.org/Record/002507510","HathiTrust Record")</f>
        <v>HathiTrust Record</v>
      </c>
      <c r="AU192" s="5" t="str">
        <f>HYPERLINK("https://creighton-primo.hosted.exlibrisgroup.com/primo-explore/search?tab=default_tab&amp;search_scope=EVERYTHING&amp;vid=01CRU&amp;lang=en_US&amp;offset=0&amp;query=any,contains,991000232349702656","Catalog Record")</f>
        <v>Catalog Record</v>
      </c>
      <c r="AV192" s="5" t="str">
        <f>HYPERLINK("http://www.worldcat.org/oclc/26502837","WorldCat Record")</f>
        <v>WorldCat Record</v>
      </c>
      <c r="AW192" s="2" t="s">
        <v>2495</v>
      </c>
      <c r="AX192" s="2" t="s">
        <v>2496</v>
      </c>
      <c r="AY192" s="2" t="s">
        <v>2497</v>
      </c>
      <c r="AZ192" s="2" t="s">
        <v>2497</v>
      </c>
      <c r="BA192" s="2" t="s">
        <v>2498</v>
      </c>
      <c r="BB192" s="2" t="s">
        <v>21</v>
      </c>
      <c r="BD192" s="2" t="s">
        <v>2499</v>
      </c>
      <c r="BE192" s="2" t="s">
        <v>2500</v>
      </c>
      <c r="BF192" s="2" t="s">
        <v>2501</v>
      </c>
    </row>
    <row r="193" spans="1:58" ht="41.25" customHeight="1" x14ac:dyDescent="0.25">
      <c r="A193" s="8" t="s">
        <v>5</v>
      </c>
      <c r="B193" s="1" t="s">
        <v>0</v>
      </c>
      <c r="C193" s="1" t="s">
        <v>1</v>
      </c>
      <c r="D193" s="1" t="s">
        <v>2502</v>
      </c>
      <c r="E193" s="1" t="s">
        <v>2503</v>
      </c>
      <c r="F193" s="1" t="s">
        <v>2504</v>
      </c>
      <c r="H193" s="2" t="s">
        <v>5</v>
      </c>
      <c r="I193" s="2" t="s">
        <v>6</v>
      </c>
      <c r="J193" s="2" t="s">
        <v>5</v>
      </c>
      <c r="K193" s="2" t="s">
        <v>5</v>
      </c>
      <c r="L193" s="2" t="s">
        <v>7</v>
      </c>
      <c r="N193" s="1" t="s">
        <v>2505</v>
      </c>
      <c r="O193" s="2" t="s">
        <v>734</v>
      </c>
      <c r="Q193" s="2" t="s">
        <v>11</v>
      </c>
      <c r="R193" s="2" t="s">
        <v>12</v>
      </c>
      <c r="S193" s="1" t="s">
        <v>2506</v>
      </c>
      <c r="T193" s="2" t="s">
        <v>520</v>
      </c>
      <c r="U193" s="3">
        <v>4</v>
      </c>
      <c r="V193" s="3">
        <v>4</v>
      </c>
      <c r="W193" s="4" t="s">
        <v>1443</v>
      </c>
      <c r="X193" s="4" t="s">
        <v>1443</v>
      </c>
      <c r="Y193" s="4" t="s">
        <v>1223</v>
      </c>
      <c r="Z193" s="4" t="s">
        <v>1223</v>
      </c>
      <c r="AA193" s="3">
        <v>89</v>
      </c>
      <c r="AB193" s="3">
        <v>82</v>
      </c>
      <c r="AC193" s="3">
        <v>83</v>
      </c>
      <c r="AD193" s="3">
        <v>1</v>
      </c>
      <c r="AE193" s="3">
        <v>1</v>
      </c>
      <c r="AF193" s="3">
        <v>3</v>
      </c>
      <c r="AG193" s="3">
        <v>3</v>
      </c>
      <c r="AH193" s="3">
        <v>0</v>
      </c>
      <c r="AI193" s="3">
        <v>0</v>
      </c>
      <c r="AJ193" s="3">
        <v>1</v>
      </c>
      <c r="AK193" s="3">
        <v>1</v>
      </c>
      <c r="AL193" s="3">
        <v>2</v>
      </c>
      <c r="AM193" s="3">
        <v>2</v>
      </c>
      <c r="AN193" s="3">
        <v>0</v>
      </c>
      <c r="AO193" s="3">
        <v>0</v>
      </c>
      <c r="AP193" s="3">
        <v>0</v>
      </c>
      <c r="AQ193" s="3">
        <v>0</v>
      </c>
      <c r="AR193" s="2" t="s">
        <v>5</v>
      </c>
      <c r="AS193" s="2" t="s">
        <v>5</v>
      </c>
      <c r="AU193" s="5" t="str">
        <f>HYPERLINK("https://creighton-primo.hosted.exlibrisgroup.com/primo-explore/search?tab=default_tab&amp;search_scope=EVERYTHING&amp;vid=01CRU&amp;lang=en_US&amp;offset=0&amp;query=any,contains,991001389279702656","Catalog Record")</f>
        <v>Catalog Record</v>
      </c>
      <c r="AV193" s="5" t="str">
        <f>HYPERLINK("http://www.worldcat.org/oclc/17507119","WorldCat Record")</f>
        <v>WorldCat Record</v>
      </c>
      <c r="AW193" s="2" t="s">
        <v>2507</v>
      </c>
      <c r="AX193" s="2" t="s">
        <v>2508</v>
      </c>
      <c r="AY193" s="2" t="s">
        <v>2509</v>
      </c>
      <c r="AZ193" s="2" t="s">
        <v>2509</v>
      </c>
      <c r="BA193" s="2" t="s">
        <v>2510</v>
      </c>
      <c r="BB193" s="2" t="s">
        <v>21</v>
      </c>
      <c r="BD193" s="2" t="s">
        <v>2511</v>
      </c>
      <c r="BE193" s="2" t="s">
        <v>2512</v>
      </c>
      <c r="BF193" s="2" t="s">
        <v>2513</v>
      </c>
    </row>
    <row r="194" spans="1:58" ht="41.25" customHeight="1" x14ac:dyDescent="0.25">
      <c r="A194" s="8" t="s">
        <v>5</v>
      </c>
      <c r="B194" s="1" t="s">
        <v>0</v>
      </c>
      <c r="C194" s="1" t="s">
        <v>1</v>
      </c>
      <c r="D194" s="1" t="s">
        <v>2514</v>
      </c>
      <c r="E194" s="1" t="s">
        <v>2515</v>
      </c>
      <c r="F194" s="1" t="s">
        <v>2516</v>
      </c>
      <c r="H194" s="2" t="s">
        <v>5</v>
      </c>
      <c r="I194" s="2" t="s">
        <v>6</v>
      </c>
      <c r="J194" s="2" t="s">
        <v>5</v>
      </c>
      <c r="K194" s="2" t="s">
        <v>5</v>
      </c>
      <c r="L194" s="2" t="s">
        <v>7</v>
      </c>
      <c r="N194" s="1" t="s">
        <v>2517</v>
      </c>
      <c r="O194" s="2" t="s">
        <v>989</v>
      </c>
      <c r="Q194" s="2" t="s">
        <v>11</v>
      </c>
      <c r="R194" s="2" t="s">
        <v>12</v>
      </c>
      <c r="S194" s="1" t="s">
        <v>2518</v>
      </c>
      <c r="T194" s="2" t="s">
        <v>520</v>
      </c>
      <c r="U194" s="3">
        <v>1</v>
      </c>
      <c r="V194" s="3">
        <v>1</v>
      </c>
      <c r="W194" s="4" t="s">
        <v>1089</v>
      </c>
      <c r="X194" s="4" t="s">
        <v>1089</v>
      </c>
      <c r="Y194" s="4" t="s">
        <v>1089</v>
      </c>
      <c r="Z194" s="4" t="s">
        <v>1089</v>
      </c>
      <c r="AA194" s="3">
        <v>5</v>
      </c>
      <c r="AB194" s="3">
        <v>5</v>
      </c>
      <c r="AC194" s="3">
        <v>5</v>
      </c>
      <c r="AD194" s="3">
        <v>1</v>
      </c>
      <c r="AE194" s="3">
        <v>1</v>
      </c>
      <c r="AF194" s="3">
        <v>0</v>
      </c>
      <c r="AG194" s="3">
        <v>0</v>
      </c>
      <c r="AH194" s="3">
        <v>0</v>
      </c>
      <c r="AI194" s="3">
        <v>0</v>
      </c>
      <c r="AJ194" s="3">
        <v>0</v>
      </c>
      <c r="AK194" s="3">
        <v>0</v>
      </c>
      <c r="AL194" s="3">
        <v>0</v>
      </c>
      <c r="AM194" s="3">
        <v>0</v>
      </c>
      <c r="AN194" s="3">
        <v>0</v>
      </c>
      <c r="AO194" s="3">
        <v>0</v>
      </c>
      <c r="AP194" s="3">
        <v>0</v>
      </c>
      <c r="AQ194" s="3">
        <v>0</v>
      </c>
      <c r="AR194" s="2" t="s">
        <v>5</v>
      </c>
      <c r="AS194" s="2" t="s">
        <v>5</v>
      </c>
      <c r="AU194" s="5" t="str">
        <f>HYPERLINK("https://creighton-primo.hosted.exlibrisgroup.com/primo-explore/search?tab=default_tab&amp;search_scope=EVERYTHING&amp;vid=01CRU&amp;lang=en_US&amp;offset=0&amp;query=any,contains,991000936629702656","Catalog Record")</f>
        <v>Catalog Record</v>
      </c>
      <c r="AV194" s="5" t="str">
        <f>HYPERLINK("http://www.worldcat.org/oclc/23725833","WorldCat Record")</f>
        <v>WorldCat Record</v>
      </c>
      <c r="AW194" s="2" t="s">
        <v>2519</v>
      </c>
      <c r="AX194" s="2" t="s">
        <v>2520</v>
      </c>
      <c r="AY194" s="2" t="s">
        <v>2521</v>
      </c>
      <c r="AZ194" s="2" t="s">
        <v>2521</v>
      </c>
      <c r="BA194" s="2" t="s">
        <v>2522</v>
      </c>
      <c r="BB194" s="2" t="s">
        <v>21</v>
      </c>
      <c r="BE194" s="2" t="s">
        <v>2523</v>
      </c>
      <c r="BF194" s="2" t="s">
        <v>2524</v>
      </c>
    </row>
    <row r="195" spans="1:58" ht="41.25" customHeight="1" x14ac:dyDescent="0.25">
      <c r="A195" s="8" t="s">
        <v>5</v>
      </c>
      <c r="B195" s="1" t="s">
        <v>0</v>
      </c>
      <c r="C195" s="1" t="s">
        <v>1</v>
      </c>
      <c r="D195" s="1" t="s">
        <v>2525</v>
      </c>
      <c r="E195" s="1" t="s">
        <v>2526</v>
      </c>
      <c r="F195" s="1" t="s">
        <v>2527</v>
      </c>
      <c r="H195" s="2" t="s">
        <v>5</v>
      </c>
      <c r="I195" s="2" t="s">
        <v>6</v>
      </c>
      <c r="J195" s="2" t="s">
        <v>5</v>
      </c>
      <c r="K195" s="2" t="s">
        <v>16</v>
      </c>
      <c r="L195" s="2" t="s">
        <v>7</v>
      </c>
      <c r="M195" s="1" t="s">
        <v>2528</v>
      </c>
      <c r="N195" s="1" t="s">
        <v>2529</v>
      </c>
      <c r="O195" s="2" t="s">
        <v>734</v>
      </c>
      <c r="P195" s="1" t="s">
        <v>211</v>
      </c>
      <c r="Q195" s="2" t="s">
        <v>11</v>
      </c>
      <c r="R195" s="2" t="s">
        <v>426</v>
      </c>
      <c r="T195" s="2" t="s">
        <v>520</v>
      </c>
      <c r="U195" s="3">
        <v>0</v>
      </c>
      <c r="V195" s="3">
        <v>0</v>
      </c>
      <c r="W195" s="4" t="s">
        <v>1443</v>
      </c>
      <c r="X195" s="4" t="s">
        <v>1443</v>
      </c>
      <c r="Y195" s="4" t="s">
        <v>15</v>
      </c>
      <c r="Z195" s="4" t="s">
        <v>15</v>
      </c>
      <c r="AA195" s="3">
        <v>186</v>
      </c>
      <c r="AB195" s="3">
        <v>148</v>
      </c>
      <c r="AC195" s="3">
        <v>341</v>
      </c>
      <c r="AD195" s="3">
        <v>2</v>
      </c>
      <c r="AE195" s="3">
        <v>5</v>
      </c>
      <c r="AF195" s="3">
        <v>6</v>
      </c>
      <c r="AG195" s="3">
        <v>10</v>
      </c>
      <c r="AH195" s="3">
        <v>1</v>
      </c>
      <c r="AI195" s="3">
        <v>1</v>
      </c>
      <c r="AJ195" s="3">
        <v>1</v>
      </c>
      <c r="AK195" s="3">
        <v>1</v>
      </c>
      <c r="AL195" s="3">
        <v>4</v>
      </c>
      <c r="AM195" s="3">
        <v>6</v>
      </c>
      <c r="AN195" s="3">
        <v>1</v>
      </c>
      <c r="AO195" s="3">
        <v>3</v>
      </c>
      <c r="AP195" s="3">
        <v>0</v>
      </c>
      <c r="AQ195" s="3">
        <v>0</v>
      </c>
      <c r="AR195" s="2" t="s">
        <v>5</v>
      </c>
      <c r="AS195" s="2" t="s">
        <v>5</v>
      </c>
      <c r="AU195" s="5" t="str">
        <f>HYPERLINK("https://creighton-primo.hosted.exlibrisgroup.com/primo-explore/search?tab=default_tab&amp;search_scope=EVERYTHING&amp;vid=01CRU&amp;lang=en_US&amp;offset=0&amp;query=any,contains,991000945479702656","Catalog Record")</f>
        <v>Catalog Record</v>
      </c>
      <c r="AV195" s="5" t="str">
        <f>HYPERLINK("http://www.worldcat.org/oclc/8785866","WorldCat Record")</f>
        <v>WorldCat Record</v>
      </c>
      <c r="AW195" s="2" t="s">
        <v>2530</v>
      </c>
      <c r="AX195" s="2" t="s">
        <v>2531</v>
      </c>
      <c r="AY195" s="2" t="s">
        <v>2532</v>
      </c>
      <c r="AZ195" s="2" t="s">
        <v>2532</v>
      </c>
      <c r="BA195" s="2" t="s">
        <v>2533</v>
      </c>
      <c r="BB195" s="2" t="s">
        <v>21</v>
      </c>
      <c r="BD195" s="2" t="s">
        <v>2534</v>
      </c>
      <c r="BE195" s="2" t="s">
        <v>2535</v>
      </c>
      <c r="BF195" s="2" t="s">
        <v>2536</v>
      </c>
    </row>
    <row r="196" spans="1:58" ht="41.25" customHeight="1" x14ac:dyDescent="0.25">
      <c r="A196" s="8" t="s">
        <v>5</v>
      </c>
      <c r="B196" s="1" t="s">
        <v>0</v>
      </c>
      <c r="C196" s="1" t="s">
        <v>1</v>
      </c>
      <c r="D196" s="1" t="s">
        <v>2537</v>
      </c>
      <c r="E196" s="1" t="s">
        <v>2538</v>
      </c>
      <c r="F196" s="1" t="s">
        <v>2539</v>
      </c>
      <c r="H196" s="2" t="s">
        <v>5</v>
      </c>
      <c r="I196" s="2" t="s">
        <v>6</v>
      </c>
      <c r="J196" s="2" t="s">
        <v>5</v>
      </c>
      <c r="K196" s="2" t="s">
        <v>5</v>
      </c>
      <c r="L196" s="2" t="s">
        <v>7</v>
      </c>
      <c r="M196" s="1" t="s">
        <v>2540</v>
      </c>
      <c r="N196" s="1" t="s">
        <v>2541</v>
      </c>
      <c r="O196" s="2" t="s">
        <v>872</v>
      </c>
      <c r="Q196" s="2" t="s">
        <v>11</v>
      </c>
      <c r="R196" s="2" t="s">
        <v>12</v>
      </c>
      <c r="S196" s="1" t="s">
        <v>2542</v>
      </c>
      <c r="T196" s="2" t="s">
        <v>520</v>
      </c>
      <c r="U196" s="3">
        <v>4</v>
      </c>
      <c r="V196" s="3">
        <v>4</v>
      </c>
      <c r="W196" s="4" t="s">
        <v>2336</v>
      </c>
      <c r="X196" s="4" t="s">
        <v>2336</v>
      </c>
      <c r="Y196" s="4" t="s">
        <v>2543</v>
      </c>
      <c r="Z196" s="4" t="s">
        <v>2543</v>
      </c>
      <c r="AA196" s="3">
        <v>169</v>
      </c>
      <c r="AB196" s="3">
        <v>150</v>
      </c>
      <c r="AC196" s="3">
        <v>152</v>
      </c>
      <c r="AD196" s="3">
        <v>2</v>
      </c>
      <c r="AE196" s="3">
        <v>2</v>
      </c>
      <c r="AF196" s="3">
        <v>11</v>
      </c>
      <c r="AG196" s="3">
        <v>11</v>
      </c>
      <c r="AH196" s="3">
        <v>4</v>
      </c>
      <c r="AI196" s="3">
        <v>4</v>
      </c>
      <c r="AJ196" s="3">
        <v>3</v>
      </c>
      <c r="AK196" s="3">
        <v>3</v>
      </c>
      <c r="AL196" s="3">
        <v>6</v>
      </c>
      <c r="AM196" s="3">
        <v>6</v>
      </c>
      <c r="AN196" s="3">
        <v>0</v>
      </c>
      <c r="AO196" s="3">
        <v>0</v>
      </c>
      <c r="AP196" s="3">
        <v>0</v>
      </c>
      <c r="AQ196" s="3">
        <v>0</v>
      </c>
      <c r="AR196" s="2" t="s">
        <v>5</v>
      </c>
      <c r="AS196" s="2" t="s">
        <v>16</v>
      </c>
      <c r="AT196" s="5" t="str">
        <f>HYPERLINK("http://catalog.hathitrust.org/Record/002533165","HathiTrust Record")</f>
        <v>HathiTrust Record</v>
      </c>
      <c r="AU196" s="5" t="str">
        <f>HYPERLINK("https://creighton-primo.hosted.exlibrisgroup.com/primo-explore/search?tab=default_tab&amp;search_scope=EVERYTHING&amp;vid=01CRU&amp;lang=en_US&amp;offset=0&amp;query=any,contains,991001311659702656","Catalog Record")</f>
        <v>Catalog Record</v>
      </c>
      <c r="AV196" s="5" t="str">
        <f>HYPERLINK("http://www.worldcat.org/oclc/22815537","WorldCat Record")</f>
        <v>WorldCat Record</v>
      </c>
      <c r="AW196" s="2" t="s">
        <v>2544</v>
      </c>
      <c r="AX196" s="2" t="s">
        <v>2545</v>
      </c>
      <c r="AY196" s="2" t="s">
        <v>2546</v>
      </c>
      <c r="AZ196" s="2" t="s">
        <v>2546</v>
      </c>
      <c r="BA196" s="2" t="s">
        <v>2547</v>
      </c>
      <c r="BB196" s="2" t="s">
        <v>21</v>
      </c>
      <c r="BD196" s="2" t="s">
        <v>2548</v>
      </c>
      <c r="BE196" s="2" t="s">
        <v>2549</v>
      </c>
      <c r="BF196" s="2" t="s">
        <v>2550</v>
      </c>
    </row>
    <row r="197" spans="1:58" ht="41.25" customHeight="1" x14ac:dyDescent="0.25">
      <c r="A197" s="8" t="s">
        <v>5</v>
      </c>
      <c r="B197" s="1" t="s">
        <v>0</v>
      </c>
      <c r="C197" s="1" t="s">
        <v>1</v>
      </c>
      <c r="D197" s="1" t="s">
        <v>2551</v>
      </c>
      <c r="E197" s="1" t="s">
        <v>2552</v>
      </c>
      <c r="F197" s="1" t="s">
        <v>2553</v>
      </c>
      <c r="H197" s="2" t="s">
        <v>5</v>
      </c>
      <c r="I197" s="2" t="s">
        <v>6</v>
      </c>
      <c r="J197" s="2" t="s">
        <v>5</v>
      </c>
      <c r="K197" s="2" t="s">
        <v>5</v>
      </c>
      <c r="L197" s="2" t="s">
        <v>7</v>
      </c>
      <c r="N197" s="1" t="s">
        <v>1259</v>
      </c>
      <c r="O197" s="2" t="s">
        <v>136</v>
      </c>
      <c r="Q197" s="2" t="s">
        <v>11</v>
      </c>
      <c r="R197" s="2" t="s">
        <v>12</v>
      </c>
      <c r="S197" s="1" t="s">
        <v>2554</v>
      </c>
      <c r="T197" s="2" t="s">
        <v>520</v>
      </c>
      <c r="U197" s="3">
        <v>2</v>
      </c>
      <c r="V197" s="3">
        <v>2</v>
      </c>
      <c r="W197" s="4" t="s">
        <v>2555</v>
      </c>
      <c r="X197" s="4" t="s">
        <v>2555</v>
      </c>
      <c r="Y197" s="4" t="s">
        <v>2556</v>
      </c>
      <c r="Z197" s="4" t="s">
        <v>2556</v>
      </c>
      <c r="AA197" s="3">
        <v>5</v>
      </c>
      <c r="AB197" s="3">
        <v>4</v>
      </c>
      <c r="AC197" s="3">
        <v>4</v>
      </c>
      <c r="AD197" s="3">
        <v>1</v>
      </c>
      <c r="AE197" s="3">
        <v>1</v>
      </c>
      <c r="AF197" s="3">
        <v>0</v>
      </c>
      <c r="AG197" s="3">
        <v>0</v>
      </c>
      <c r="AH197" s="3">
        <v>0</v>
      </c>
      <c r="AI197" s="3">
        <v>0</v>
      </c>
      <c r="AJ197" s="3">
        <v>0</v>
      </c>
      <c r="AK197" s="3">
        <v>0</v>
      </c>
      <c r="AL197" s="3">
        <v>0</v>
      </c>
      <c r="AM197" s="3">
        <v>0</v>
      </c>
      <c r="AN197" s="3">
        <v>0</v>
      </c>
      <c r="AO197" s="3">
        <v>0</v>
      </c>
      <c r="AP197" s="3">
        <v>0</v>
      </c>
      <c r="AQ197" s="3">
        <v>0</v>
      </c>
      <c r="AR197" s="2" t="s">
        <v>5</v>
      </c>
      <c r="AS197" s="2" t="s">
        <v>5</v>
      </c>
      <c r="AU197" s="5" t="str">
        <f>HYPERLINK("https://creighton-primo.hosted.exlibrisgroup.com/primo-explore/search?tab=default_tab&amp;search_scope=EVERYTHING&amp;vid=01CRU&amp;lang=en_US&amp;offset=0&amp;query=any,contains,991000613529702656","Catalog Record")</f>
        <v>Catalog Record</v>
      </c>
      <c r="AV197" s="5" t="str">
        <f>HYPERLINK("http://www.worldcat.org/oclc/24594154","WorldCat Record")</f>
        <v>WorldCat Record</v>
      </c>
      <c r="AW197" s="2" t="s">
        <v>2557</v>
      </c>
      <c r="AX197" s="2" t="s">
        <v>2558</v>
      </c>
      <c r="AY197" s="2" t="s">
        <v>2559</v>
      </c>
      <c r="AZ197" s="2" t="s">
        <v>2559</v>
      </c>
      <c r="BA197" s="2" t="s">
        <v>2560</v>
      </c>
      <c r="BB197" s="2" t="s">
        <v>21</v>
      </c>
      <c r="BE197" s="2" t="s">
        <v>2561</v>
      </c>
      <c r="BF197" s="2" t="s">
        <v>2562</v>
      </c>
    </row>
    <row r="198" spans="1:58" ht="41.25" customHeight="1" x14ac:dyDescent="0.25">
      <c r="A198" s="8" t="s">
        <v>5</v>
      </c>
      <c r="B198" s="1" t="s">
        <v>0</v>
      </c>
      <c r="C198" s="1" t="s">
        <v>1</v>
      </c>
      <c r="D198" s="1" t="s">
        <v>2563</v>
      </c>
      <c r="E198" s="1" t="s">
        <v>2564</v>
      </c>
      <c r="F198" s="1" t="s">
        <v>2565</v>
      </c>
      <c r="H198" s="2" t="s">
        <v>5</v>
      </c>
      <c r="I198" s="2" t="s">
        <v>6</v>
      </c>
      <c r="J198" s="2" t="s">
        <v>5</v>
      </c>
      <c r="K198" s="2" t="s">
        <v>5</v>
      </c>
      <c r="L198" s="2" t="s">
        <v>7</v>
      </c>
      <c r="N198" s="1" t="s">
        <v>2272</v>
      </c>
      <c r="O198" s="2" t="s">
        <v>354</v>
      </c>
      <c r="Q198" s="2" t="s">
        <v>11</v>
      </c>
      <c r="R198" s="2" t="s">
        <v>426</v>
      </c>
      <c r="S198" s="1" t="s">
        <v>2566</v>
      </c>
      <c r="T198" s="2" t="s">
        <v>520</v>
      </c>
      <c r="U198" s="3">
        <v>5</v>
      </c>
      <c r="V198" s="3">
        <v>5</v>
      </c>
      <c r="W198" s="4" t="s">
        <v>2072</v>
      </c>
      <c r="X198" s="4" t="s">
        <v>2072</v>
      </c>
      <c r="Y198" s="4" t="s">
        <v>1591</v>
      </c>
      <c r="Z198" s="4" t="s">
        <v>1591</v>
      </c>
      <c r="AA198" s="3">
        <v>101</v>
      </c>
      <c r="AB198" s="3">
        <v>87</v>
      </c>
      <c r="AC198" s="3">
        <v>90</v>
      </c>
      <c r="AD198" s="3">
        <v>1</v>
      </c>
      <c r="AE198" s="3">
        <v>1</v>
      </c>
      <c r="AF198" s="3">
        <v>6</v>
      </c>
      <c r="AG198" s="3">
        <v>6</v>
      </c>
      <c r="AH198" s="3">
        <v>3</v>
      </c>
      <c r="AI198" s="3">
        <v>3</v>
      </c>
      <c r="AJ198" s="3">
        <v>2</v>
      </c>
      <c r="AK198" s="3">
        <v>2</v>
      </c>
      <c r="AL198" s="3">
        <v>3</v>
      </c>
      <c r="AM198" s="3">
        <v>3</v>
      </c>
      <c r="AN198" s="3">
        <v>0</v>
      </c>
      <c r="AO198" s="3">
        <v>0</v>
      </c>
      <c r="AP198" s="3">
        <v>0</v>
      </c>
      <c r="AQ198" s="3">
        <v>0</v>
      </c>
      <c r="AR198" s="2" t="s">
        <v>5</v>
      </c>
      <c r="AS198" s="2" t="s">
        <v>16</v>
      </c>
      <c r="AT198" s="5" t="str">
        <f>HYPERLINK("http://catalog.hathitrust.org/Record/000245771","HathiTrust Record")</f>
        <v>HathiTrust Record</v>
      </c>
      <c r="AU198" s="5" t="str">
        <f>HYPERLINK("https://creighton-primo.hosted.exlibrisgroup.com/primo-explore/search?tab=default_tab&amp;search_scope=EVERYTHING&amp;vid=01CRU&amp;lang=en_US&amp;offset=0&amp;query=any,contains,991001371519702656","Catalog Record")</f>
        <v>Catalog Record</v>
      </c>
      <c r="AV198" s="5" t="str">
        <f>HYPERLINK("http://www.worldcat.org/oclc/7693851","WorldCat Record")</f>
        <v>WorldCat Record</v>
      </c>
      <c r="AW198" s="2" t="s">
        <v>2567</v>
      </c>
      <c r="AX198" s="2" t="s">
        <v>2568</v>
      </c>
      <c r="AY198" s="2" t="s">
        <v>2569</v>
      </c>
      <c r="AZ198" s="2" t="s">
        <v>2569</v>
      </c>
      <c r="BA198" s="2" t="s">
        <v>2570</v>
      </c>
      <c r="BB198" s="2" t="s">
        <v>21</v>
      </c>
      <c r="BE198" s="2" t="s">
        <v>2571</v>
      </c>
      <c r="BF198" s="2" t="s">
        <v>2572</v>
      </c>
    </row>
    <row r="199" spans="1:58" ht="41.25" customHeight="1" x14ac:dyDescent="0.25">
      <c r="A199" s="8" t="s">
        <v>5</v>
      </c>
      <c r="B199" s="1" t="s">
        <v>0</v>
      </c>
      <c r="C199" s="1" t="s">
        <v>1</v>
      </c>
      <c r="D199" s="1" t="s">
        <v>2573</v>
      </c>
      <c r="E199" s="1" t="s">
        <v>2574</v>
      </c>
      <c r="F199" s="1" t="s">
        <v>2575</v>
      </c>
      <c r="H199" s="2" t="s">
        <v>5</v>
      </c>
      <c r="I199" s="2" t="s">
        <v>6</v>
      </c>
      <c r="J199" s="2" t="s">
        <v>5</v>
      </c>
      <c r="K199" s="2" t="s">
        <v>5</v>
      </c>
      <c r="L199" s="2" t="s">
        <v>7</v>
      </c>
      <c r="M199" s="1" t="s">
        <v>2576</v>
      </c>
      <c r="N199" s="1" t="s">
        <v>2577</v>
      </c>
      <c r="O199" s="2" t="s">
        <v>10</v>
      </c>
      <c r="Q199" s="2" t="s">
        <v>11</v>
      </c>
      <c r="R199" s="2" t="s">
        <v>12</v>
      </c>
      <c r="S199" s="1" t="s">
        <v>2578</v>
      </c>
      <c r="T199" s="2" t="s">
        <v>520</v>
      </c>
      <c r="U199" s="3">
        <v>3</v>
      </c>
      <c r="V199" s="3">
        <v>3</v>
      </c>
      <c r="W199" s="4" t="s">
        <v>1443</v>
      </c>
      <c r="X199" s="4" t="s">
        <v>1443</v>
      </c>
      <c r="Y199" s="4" t="s">
        <v>2579</v>
      </c>
      <c r="Z199" s="4" t="s">
        <v>2579</v>
      </c>
      <c r="AA199" s="3">
        <v>73</v>
      </c>
      <c r="AB199" s="3">
        <v>61</v>
      </c>
      <c r="AC199" s="3">
        <v>61</v>
      </c>
      <c r="AD199" s="3">
        <v>2</v>
      </c>
      <c r="AE199" s="3">
        <v>2</v>
      </c>
      <c r="AF199" s="3">
        <v>4</v>
      </c>
      <c r="AG199" s="3">
        <v>4</v>
      </c>
      <c r="AH199" s="3">
        <v>0</v>
      </c>
      <c r="AI199" s="3">
        <v>0</v>
      </c>
      <c r="AJ199" s="3">
        <v>1</v>
      </c>
      <c r="AK199" s="3">
        <v>1</v>
      </c>
      <c r="AL199" s="3">
        <v>3</v>
      </c>
      <c r="AM199" s="3">
        <v>3</v>
      </c>
      <c r="AN199" s="3">
        <v>1</v>
      </c>
      <c r="AO199" s="3">
        <v>1</v>
      </c>
      <c r="AP199" s="3">
        <v>0</v>
      </c>
      <c r="AQ199" s="3">
        <v>0</v>
      </c>
      <c r="AR199" s="2" t="s">
        <v>5</v>
      </c>
      <c r="AS199" s="2" t="s">
        <v>5</v>
      </c>
      <c r="AU199" s="5" t="str">
        <f>HYPERLINK("https://creighton-primo.hosted.exlibrisgroup.com/primo-explore/search?tab=default_tab&amp;search_scope=EVERYTHING&amp;vid=01CRU&amp;lang=en_US&amp;offset=0&amp;query=any,contains,991001363779702656","Catalog Record")</f>
        <v>Catalog Record</v>
      </c>
      <c r="AV199" s="5" t="str">
        <f>HYPERLINK("http://www.worldcat.org/oclc/3309143","WorldCat Record")</f>
        <v>WorldCat Record</v>
      </c>
      <c r="AW199" s="2" t="s">
        <v>2580</v>
      </c>
      <c r="AX199" s="2" t="s">
        <v>2581</v>
      </c>
      <c r="AY199" s="2" t="s">
        <v>2582</v>
      </c>
      <c r="AZ199" s="2" t="s">
        <v>2582</v>
      </c>
      <c r="BA199" s="2" t="s">
        <v>2583</v>
      </c>
      <c r="BB199" s="2" t="s">
        <v>21</v>
      </c>
      <c r="BE199" s="2" t="s">
        <v>2584</v>
      </c>
      <c r="BF199" s="2" t="s">
        <v>2585</v>
      </c>
    </row>
    <row r="200" spans="1:58" ht="41.25" customHeight="1" x14ac:dyDescent="0.25">
      <c r="A200" s="8" t="s">
        <v>5</v>
      </c>
      <c r="B200" s="1" t="s">
        <v>0</v>
      </c>
      <c r="C200" s="1" t="s">
        <v>1</v>
      </c>
      <c r="D200" s="1" t="s">
        <v>2586</v>
      </c>
      <c r="E200" s="1" t="s">
        <v>2587</v>
      </c>
      <c r="F200" s="1" t="s">
        <v>2588</v>
      </c>
      <c r="H200" s="2" t="s">
        <v>5</v>
      </c>
      <c r="I200" s="2" t="s">
        <v>6</v>
      </c>
      <c r="J200" s="2" t="s">
        <v>5</v>
      </c>
      <c r="K200" s="2" t="s">
        <v>5</v>
      </c>
      <c r="L200" s="2" t="s">
        <v>7</v>
      </c>
      <c r="M200" s="1" t="s">
        <v>2589</v>
      </c>
      <c r="N200" s="1" t="s">
        <v>2541</v>
      </c>
      <c r="O200" s="2" t="s">
        <v>872</v>
      </c>
      <c r="P200" s="1" t="s">
        <v>901</v>
      </c>
      <c r="Q200" s="2" t="s">
        <v>11</v>
      </c>
      <c r="R200" s="2" t="s">
        <v>12</v>
      </c>
      <c r="S200" s="1" t="s">
        <v>2590</v>
      </c>
      <c r="T200" s="2" t="s">
        <v>520</v>
      </c>
      <c r="U200" s="3">
        <v>3</v>
      </c>
      <c r="V200" s="3">
        <v>3</v>
      </c>
      <c r="W200" s="4" t="s">
        <v>2591</v>
      </c>
      <c r="X200" s="4" t="s">
        <v>2591</v>
      </c>
      <c r="Y200" s="4" t="s">
        <v>2592</v>
      </c>
      <c r="Z200" s="4" t="s">
        <v>2592</v>
      </c>
      <c r="AA200" s="3">
        <v>256</v>
      </c>
      <c r="AB200" s="3">
        <v>219</v>
      </c>
      <c r="AC200" s="3">
        <v>437</v>
      </c>
      <c r="AD200" s="3">
        <v>2</v>
      </c>
      <c r="AE200" s="3">
        <v>4</v>
      </c>
      <c r="AF200" s="3">
        <v>11</v>
      </c>
      <c r="AG200" s="3">
        <v>16</v>
      </c>
      <c r="AH200" s="3">
        <v>3</v>
      </c>
      <c r="AI200" s="3">
        <v>6</v>
      </c>
      <c r="AJ200" s="3">
        <v>2</v>
      </c>
      <c r="AK200" s="3">
        <v>3</v>
      </c>
      <c r="AL200" s="3">
        <v>7</v>
      </c>
      <c r="AM200" s="3">
        <v>9</v>
      </c>
      <c r="AN200" s="3">
        <v>0</v>
      </c>
      <c r="AO200" s="3">
        <v>1</v>
      </c>
      <c r="AP200" s="3">
        <v>0</v>
      </c>
      <c r="AQ200" s="3">
        <v>0</v>
      </c>
      <c r="AR200" s="2" t="s">
        <v>5</v>
      </c>
      <c r="AS200" s="2" t="s">
        <v>16</v>
      </c>
      <c r="AT200" s="5" t="str">
        <f>HYPERLINK("http://catalog.hathitrust.org/Record/002511860","HathiTrust Record")</f>
        <v>HathiTrust Record</v>
      </c>
      <c r="AU200" s="5" t="str">
        <f>HYPERLINK("https://creighton-primo.hosted.exlibrisgroup.com/primo-explore/search?tab=default_tab&amp;search_scope=EVERYTHING&amp;vid=01CRU&amp;lang=en_US&amp;offset=0&amp;query=any,contains,991001244899702656","Catalog Record")</f>
        <v>Catalog Record</v>
      </c>
      <c r="AV200" s="5" t="str">
        <f>HYPERLINK("http://www.worldcat.org/oclc/19370589","WorldCat Record")</f>
        <v>WorldCat Record</v>
      </c>
      <c r="AW200" s="2" t="s">
        <v>2593</v>
      </c>
      <c r="AX200" s="2" t="s">
        <v>2594</v>
      </c>
      <c r="AY200" s="2" t="s">
        <v>2595</v>
      </c>
      <c r="AZ200" s="2" t="s">
        <v>2595</v>
      </c>
      <c r="BA200" s="2" t="s">
        <v>2596</v>
      </c>
      <c r="BB200" s="2" t="s">
        <v>21</v>
      </c>
      <c r="BD200" s="2" t="s">
        <v>2597</v>
      </c>
      <c r="BE200" s="2" t="s">
        <v>2598</v>
      </c>
      <c r="BF200" s="2" t="s">
        <v>2599</v>
      </c>
    </row>
    <row r="201" spans="1:58" ht="41.25" customHeight="1" x14ac:dyDescent="0.25">
      <c r="A201" s="8" t="s">
        <v>5</v>
      </c>
      <c r="B201" s="1" t="s">
        <v>0</v>
      </c>
      <c r="C201" s="1" t="s">
        <v>1</v>
      </c>
      <c r="D201" s="1" t="s">
        <v>2600</v>
      </c>
      <c r="E201" s="1" t="s">
        <v>2601</v>
      </c>
      <c r="F201" s="1" t="s">
        <v>2602</v>
      </c>
      <c r="H201" s="2" t="s">
        <v>5</v>
      </c>
      <c r="I201" s="2" t="s">
        <v>6</v>
      </c>
      <c r="J201" s="2" t="s">
        <v>5</v>
      </c>
      <c r="K201" s="2" t="s">
        <v>5</v>
      </c>
      <c r="L201" s="2" t="s">
        <v>7</v>
      </c>
      <c r="M201" s="1" t="s">
        <v>2603</v>
      </c>
      <c r="N201" s="1" t="s">
        <v>2604</v>
      </c>
      <c r="O201" s="2" t="s">
        <v>228</v>
      </c>
      <c r="Q201" s="2" t="s">
        <v>11</v>
      </c>
      <c r="R201" s="2" t="s">
        <v>426</v>
      </c>
      <c r="T201" s="2" t="s">
        <v>520</v>
      </c>
      <c r="U201" s="3">
        <v>3</v>
      </c>
      <c r="V201" s="3">
        <v>3</v>
      </c>
      <c r="W201" s="4" t="s">
        <v>2605</v>
      </c>
      <c r="X201" s="4" t="s">
        <v>2605</v>
      </c>
      <c r="Y201" s="4" t="s">
        <v>15</v>
      </c>
      <c r="Z201" s="4" t="s">
        <v>15</v>
      </c>
      <c r="AA201" s="3">
        <v>79</v>
      </c>
      <c r="AB201" s="3">
        <v>65</v>
      </c>
      <c r="AC201" s="3">
        <v>65</v>
      </c>
      <c r="AD201" s="3">
        <v>1</v>
      </c>
      <c r="AE201" s="3">
        <v>1</v>
      </c>
      <c r="AF201" s="3">
        <v>1</v>
      </c>
      <c r="AG201" s="3">
        <v>1</v>
      </c>
      <c r="AH201" s="3">
        <v>0</v>
      </c>
      <c r="AI201" s="3">
        <v>0</v>
      </c>
      <c r="AJ201" s="3">
        <v>0</v>
      </c>
      <c r="AK201" s="3">
        <v>0</v>
      </c>
      <c r="AL201" s="3">
        <v>1</v>
      </c>
      <c r="AM201" s="3">
        <v>1</v>
      </c>
      <c r="AN201" s="3">
        <v>0</v>
      </c>
      <c r="AO201" s="3">
        <v>0</v>
      </c>
      <c r="AP201" s="3">
        <v>0</v>
      </c>
      <c r="AQ201" s="3">
        <v>0</v>
      </c>
      <c r="AR201" s="2" t="s">
        <v>5</v>
      </c>
      <c r="AS201" s="2" t="s">
        <v>5</v>
      </c>
      <c r="AU201" s="5" t="str">
        <f>HYPERLINK("https://creighton-primo.hosted.exlibrisgroup.com/primo-explore/search?tab=default_tab&amp;search_scope=EVERYTHING&amp;vid=01CRU&amp;lang=en_US&amp;offset=0&amp;query=any,contains,991000945719702656","Catalog Record")</f>
        <v>Catalog Record</v>
      </c>
      <c r="AV201" s="5" t="str">
        <f>HYPERLINK("http://www.worldcat.org/oclc/11444833","WorldCat Record")</f>
        <v>WorldCat Record</v>
      </c>
      <c r="AW201" s="2" t="s">
        <v>2606</v>
      </c>
      <c r="AX201" s="2" t="s">
        <v>2607</v>
      </c>
      <c r="AY201" s="2" t="s">
        <v>2608</v>
      </c>
      <c r="AZ201" s="2" t="s">
        <v>2608</v>
      </c>
      <c r="BA201" s="2" t="s">
        <v>2609</v>
      </c>
      <c r="BB201" s="2" t="s">
        <v>21</v>
      </c>
      <c r="BD201" s="2" t="s">
        <v>2610</v>
      </c>
      <c r="BE201" s="2" t="s">
        <v>2611</v>
      </c>
      <c r="BF201" s="2" t="s">
        <v>2612</v>
      </c>
    </row>
    <row r="202" spans="1:58" ht="41.25" customHeight="1" x14ac:dyDescent="0.25">
      <c r="A202" s="8" t="s">
        <v>5</v>
      </c>
      <c r="B202" s="1" t="s">
        <v>0</v>
      </c>
      <c r="C202" s="1" t="s">
        <v>1</v>
      </c>
      <c r="D202" s="1" t="s">
        <v>2613</v>
      </c>
      <c r="E202" s="1" t="s">
        <v>2614</v>
      </c>
      <c r="F202" s="1" t="s">
        <v>2615</v>
      </c>
      <c r="H202" s="2" t="s">
        <v>5</v>
      </c>
      <c r="I202" s="2" t="s">
        <v>6</v>
      </c>
      <c r="J202" s="2" t="s">
        <v>5</v>
      </c>
      <c r="K202" s="2" t="s">
        <v>16</v>
      </c>
      <c r="L202" s="2" t="s">
        <v>7</v>
      </c>
      <c r="M202" s="1" t="s">
        <v>2616</v>
      </c>
      <c r="N202" s="1" t="s">
        <v>2617</v>
      </c>
      <c r="O202" s="2" t="s">
        <v>1378</v>
      </c>
      <c r="Q202" s="2" t="s">
        <v>11</v>
      </c>
      <c r="R202" s="2" t="s">
        <v>78</v>
      </c>
      <c r="T202" s="2" t="s">
        <v>520</v>
      </c>
      <c r="U202" s="3">
        <v>4</v>
      </c>
      <c r="V202" s="3">
        <v>4</v>
      </c>
      <c r="W202" s="4" t="s">
        <v>2618</v>
      </c>
      <c r="X202" s="4" t="s">
        <v>2618</v>
      </c>
      <c r="Y202" s="4" t="s">
        <v>2619</v>
      </c>
      <c r="Z202" s="4" t="s">
        <v>2619</v>
      </c>
      <c r="AA202" s="3">
        <v>295</v>
      </c>
      <c r="AB202" s="3">
        <v>222</v>
      </c>
      <c r="AC202" s="3">
        <v>854</v>
      </c>
      <c r="AD202" s="3">
        <v>1</v>
      </c>
      <c r="AE202" s="3">
        <v>11</v>
      </c>
      <c r="AF202" s="3">
        <v>8</v>
      </c>
      <c r="AG202" s="3">
        <v>35</v>
      </c>
      <c r="AH202" s="3">
        <v>4</v>
      </c>
      <c r="AI202" s="3">
        <v>11</v>
      </c>
      <c r="AJ202" s="3">
        <v>1</v>
      </c>
      <c r="AK202" s="3">
        <v>5</v>
      </c>
      <c r="AL202" s="3">
        <v>6</v>
      </c>
      <c r="AM202" s="3">
        <v>16</v>
      </c>
      <c r="AN202" s="3">
        <v>0</v>
      </c>
      <c r="AO202" s="3">
        <v>8</v>
      </c>
      <c r="AP202" s="3">
        <v>0</v>
      </c>
      <c r="AQ202" s="3">
        <v>1</v>
      </c>
      <c r="AR202" s="2" t="s">
        <v>5</v>
      </c>
      <c r="AS202" s="2" t="s">
        <v>16</v>
      </c>
      <c r="AT202" s="5" t="str">
        <f>HYPERLINK("http://catalog.hathitrust.org/Record/003248967","HathiTrust Record")</f>
        <v>HathiTrust Record</v>
      </c>
      <c r="AU202" s="5" t="str">
        <f>HYPERLINK("https://creighton-primo.hosted.exlibrisgroup.com/primo-explore/search?tab=default_tab&amp;search_scope=EVERYTHING&amp;vid=01CRU&amp;lang=en_US&amp;offset=0&amp;query=any,contains,991000597369702656","Catalog Record")</f>
        <v>Catalog Record</v>
      </c>
      <c r="AV202" s="5" t="str">
        <f>HYPERLINK("http://www.worldcat.org/oclc/38017009","WorldCat Record")</f>
        <v>WorldCat Record</v>
      </c>
      <c r="AW202" s="2" t="s">
        <v>2620</v>
      </c>
      <c r="AX202" s="2" t="s">
        <v>2621</v>
      </c>
      <c r="AY202" s="2" t="s">
        <v>2622</v>
      </c>
      <c r="AZ202" s="2" t="s">
        <v>2622</v>
      </c>
      <c r="BA202" s="2" t="s">
        <v>2623</v>
      </c>
      <c r="BB202" s="2" t="s">
        <v>21</v>
      </c>
      <c r="BD202" s="2" t="s">
        <v>2624</v>
      </c>
      <c r="BE202" s="2" t="s">
        <v>2625</v>
      </c>
      <c r="BF202" s="2" t="s">
        <v>2626</v>
      </c>
    </row>
    <row r="203" spans="1:58" ht="41.25" customHeight="1" x14ac:dyDescent="0.25">
      <c r="A203" s="8" t="s">
        <v>5</v>
      </c>
      <c r="B203" s="1" t="s">
        <v>0</v>
      </c>
      <c r="C203" s="1" t="s">
        <v>1</v>
      </c>
      <c r="D203" s="1" t="s">
        <v>2627</v>
      </c>
      <c r="E203" s="1" t="s">
        <v>2628</v>
      </c>
      <c r="F203" s="1" t="s">
        <v>2629</v>
      </c>
      <c r="H203" s="2" t="s">
        <v>5</v>
      </c>
      <c r="I203" s="2" t="s">
        <v>6</v>
      </c>
      <c r="J203" s="2" t="s">
        <v>5</v>
      </c>
      <c r="K203" s="2" t="s">
        <v>5</v>
      </c>
      <c r="L203" s="2" t="s">
        <v>7</v>
      </c>
      <c r="M203" s="1" t="s">
        <v>2630</v>
      </c>
      <c r="N203" s="1" t="s">
        <v>1220</v>
      </c>
      <c r="O203" s="2" t="s">
        <v>10</v>
      </c>
      <c r="Q203" s="2" t="s">
        <v>11</v>
      </c>
      <c r="R203" s="2" t="s">
        <v>12</v>
      </c>
      <c r="S203" s="1" t="s">
        <v>2631</v>
      </c>
      <c r="T203" s="2" t="s">
        <v>520</v>
      </c>
      <c r="U203" s="3">
        <v>1</v>
      </c>
      <c r="V203" s="3">
        <v>1</v>
      </c>
      <c r="W203" s="4" t="s">
        <v>2189</v>
      </c>
      <c r="X203" s="4" t="s">
        <v>2189</v>
      </c>
      <c r="Y203" s="4" t="s">
        <v>2632</v>
      </c>
      <c r="Z203" s="4" t="s">
        <v>2632</v>
      </c>
      <c r="AA203" s="3">
        <v>70</v>
      </c>
      <c r="AB203" s="3">
        <v>63</v>
      </c>
      <c r="AC203" s="3">
        <v>65</v>
      </c>
      <c r="AD203" s="3">
        <v>1</v>
      </c>
      <c r="AE203" s="3">
        <v>1</v>
      </c>
      <c r="AF203" s="3">
        <v>2</v>
      </c>
      <c r="AG203" s="3">
        <v>2</v>
      </c>
      <c r="AH203" s="3">
        <v>0</v>
      </c>
      <c r="AI203" s="3">
        <v>0</v>
      </c>
      <c r="AJ203" s="3">
        <v>0</v>
      </c>
      <c r="AK203" s="3">
        <v>0</v>
      </c>
      <c r="AL203" s="3">
        <v>2</v>
      </c>
      <c r="AM203" s="3">
        <v>2</v>
      </c>
      <c r="AN203" s="3">
        <v>0</v>
      </c>
      <c r="AO203" s="3">
        <v>0</v>
      </c>
      <c r="AP203" s="3">
        <v>0</v>
      </c>
      <c r="AQ203" s="3">
        <v>0</v>
      </c>
      <c r="AR203" s="2" t="s">
        <v>5</v>
      </c>
      <c r="AS203" s="2" t="s">
        <v>16</v>
      </c>
      <c r="AT203" s="5" t="str">
        <f>HYPERLINK("http://catalog.hathitrust.org/Record/000685809","HathiTrust Record")</f>
        <v>HathiTrust Record</v>
      </c>
      <c r="AU203" s="5" t="str">
        <f>HYPERLINK("https://creighton-primo.hosted.exlibrisgroup.com/primo-explore/search?tab=default_tab&amp;search_scope=EVERYTHING&amp;vid=01CRU&amp;lang=en_US&amp;offset=0&amp;query=any,contains,991001388199702656","Catalog Record")</f>
        <v>Catalog Record</v>
      </c>
      <c r="AV203" s="5" t="str">
        <f>HYPERLINK("http://www.worldcat.org/oclc/3780063","WorldCat Record")</f>
        <v>WorldCat Record</v>
      </c>
      <c r="AW203" s="2" t="s">
        <v>2633</v>
      </c>
      <c r="AX203" s="2" t="s">
        <v>2634</v>
      </c>
      <c r="AY203" s="2" t="s">
        <v>2635</v>
      </c>
      <c r="AZ203" s="2" t="s">
        <v>2635</v>
      </c>
      <c r="BA203" s="2" t="s">
        <v>2636</v>
      </c>
      <c r="BB203" s="2" t="s">
        <v>21</v>
      </c>
      <c r="BE203" s="2" t="s">
        <v>2637</v>
      </c>
      <c r="BF203" s="2" t="s">
        <v>2638</v>
      </c>
    </row>
    <row r="204" spans="1:58" ht="41.25" customHeight="1" x14ac:dyDescent="0.25">
      <c r="A204" s="8" t="s">
        <v>5</v>
      </c>
      <c r="B204" s="1" t="s">
        <v>0</v>
      </c>
      <c r="C204" s="1" t="s">
        <v>1</v>
      </c>
      <c r="D204" s="1" t="s">
        <v>2639</v>
      </c>
      <c r="E204" s="1" t="s">
        <v>2640</v>
      </c>
      <c r="F204" s="1" t="s">
        <v>2641</v>
      </c>
      <c r="H204" s="2" t="s">
        <v>5</v>
      </c>
      <c r="I204" s="2" t="s">
        <v>6</v>
      </c>
      <c r="J204" s="2" t="s">
        <v>5</v>
      </c>
      <c r="K204" s="2" t="s">
        <v>5</v>
      </c>
      <c r="L204" s="2" t="s">
        <v>7</v>
      </c>
      <c r="M204" s="1" t="s">
        <v>2642</v>
      </c>
      <c r="N204" s="1" t="s">
        <v>2643</v>
      </c>
      <c r="O204" s="2" t="s">
        <v>354</v>
      </c>
      <c r="Q204" s="2" t="s">
        <v>11</v>
      </c>
      <c r="R204" s="2" t="s">
        <v>426</v>
      </c>
      <c r="S204" s="1" t="s">
        <v>2644</v>
      </c>
      <c r="T204" s="2" t="s">
        <v>520</v>
      </c>
      <c r="U204" s="3">
        <v>2</v>
      </c>
      <c r="V204" s="3">
        <v>2</v>
      </c>
      <c r="W204" s="4" t="s">
        <v>2645</v>
      </c>
      <c r="X204" s="4" t="s">
        <v>2645</v>
      </c>
      <c r="Y204" s="4" t="s">
        <v>15</v>
      </c>
      <c r="Z204" s="4" t="s">
        <v>15</v>
      </c>
      <c r="AA204" s="3">
        <v>108</v>
      </c>
      <c r="AB204" s="3">
        <v>77</v>
      </c>
      <c r="AC204" s="3">
        <v>77</v>
      </c>
      <c r="AD204" s="3">
        <v>1</v>
      </c>
      <c r="AE204" s="3">
        <v>1</v>
      </c>
      <c r="AF204" s="3">
        <v>1</v>
      </c>
      <c r="AG204" s="3">
        <v>1</v>
      </c>
      <c r="AH204" s="3">
        <v>0</v>
      </c>
      <c r="AI204" s="3">
        <v>0</v>
      </c>
      <c r="AJ204" s="3">
        <v>0</v>
      </c>
      <c r="AK204" s="3">
        <v>0</v>
      </c>
      <c r="AL204" s="3">
        <v>1</v>
      </c>
      <c r="AM204" s="3">
        <v>1</v>
      </c>
      <c r="AN204" s="3">
        <v>0</v>
      </c>
      <c r="AO204" s="3">
        <v>0</v>
      </c>
      <c r="AP204" s="3">
        <v>0</v>
      </c>
      <c r="AQ204" s="3">
        <v>0</v>
      </c>
      <c r="AR204" s="2" t="s">
        <v>5</v>
      </c>
      <c r="AS204" s="2" t="s">
        <v>5</v>
      </c>
      <c r="AU204" s="5" t="str">
        <f>HYPERLINK("https://creighton-primo.hosted.exlibrisgroup.com/primo-explore/search?tab=default_tab&amp;search_scope=EVERYTHING&amp;vid=01CRU&amp;lang=en_US&amp;offset=0&amp;query=any,contains,991000945849702656","Catalog Record")</f>
        <v>Catalog Record</v>
      </c>
      <c r="AV204" s="5" t="str">
        <f>HYPERLINK("http://www.worldcat.org/oclc/5798653","WorldCat Record")</f>
        <v>WorldCat Record</v>
      </c>
      <c r="AW204" s="2" t="s">
        <v>2646</v>
      </c>
      <c r="AX204" s="2" t="s">
        <v>2647</v>
      </c>
      <c r="AY204" s="2" t="s">
        <v>2648</v>
      </c>
      <c r="AZ204" s="2" t="s">
        <v>2648</v>
      </c>
      <c r="BA204" s="2" t="s">
        <v>2649</v>
      </c>
      <c r="BB204" s="2" t="s">
        <v>21</v>
      </c>
      <c r="BD204" s="2" t="s">
        <v>2650</v>
      </c>
      <c r="BE204" s="2" t="s">
        <v>2651</v>
      </c>
      <c r="BF204" s="2" t="s">
        <v>2652</v>
      </c>
    </row>
    <row r="205" spans="1:58" ht="41.25" customHeight="1" x14ac:dyDescent="0.25">
      <c r="A205" s="8" t="s">
        <v>5</v>
      </c>
      <c r="B205" s="1" t="s">
        <v>0</v>
      </c>
      <c r="C205" s="1" t="s">
        <v>1</v>
      </c>
      <c r="D205" s="1" t="s">
        <v>2653</v>
      </c>
      <c r="E205" s="1" t="s">
        <v>2654</v>
      </c>
      <c r="F205" s="1" t="s">
        <v>2655</v>
      </c>
      <c r="H205" s="2" t="s">
        <v>5</v>
      </c>
      <c r="I205" s="2" t="s">
        <v>6</v>
      </c>
      <c r="J205" s="2" t="s">
        <v>5</v>
      </c>
      <c r="K205" s="2" t="s">
        <v>5</v>
      </c>
      <c r="L205" s="2" t="s">
        <v>7</v>
      </c>
      <c r="M205" s="1" t="s">
        <v>2656</v>
      </c>
      <c r="N205" s="1" t="s">
        <v>2657</v>
      </c>
      <c r="O205" s="2" t="s">
        <v>1441</v>
      </c>
      <c r="Q205" s="2" t="s">
        <v>11</v>
      </c>
      <c r="R205" s="2" t="s">
        <v>12</v>
      </c>
      <c r="S205" s="1" t="s">
        <v>2658</v>
      </c>
      <c r="T205" s="2" t="s">
        <v>520</v>
      </c>
      <c r="U205" s="3">
        <v>1</v>
      </c>
      <c r="V205" s="3">
        <v>1</v>
      </c>
      <c r="W205" s="4" t="s">
        <v>2659</v>
      </c>
      <c r="X205" s="4" t="s">
        <v>2659</v>
      </c>
      <c r="Y205" s="4" t="s">
        <v>2632</v>
      </c>
      <c r="Z205" s="4" t="s">
        <v>2632</v>
      </c>
      <c r="AA205" s="3">
        <v>86</v>
      </c>
      <c r="AB205" s="3">
        <v>75</v>
      </c>
      <c r="AC205" s="3">
        <v>80</v>
      </c>
      <c r="AD205" s="3">
        <v>2</v>
      </c>
      <c r="AE205" s="3">
        <v>2</v>
      </c>
      <c r="AF205" s="3">
        <v>3</v>
      </c>
      <c r="AG205" s="3">
        <v>3</v>
      </c>
      <c r="AH205" s="3">
        <v>0</v>
      </c>
      <c r="AI205" s="3">
        <v>0</v>
      </c>
      <c r="AJ205" s="3">
        <v>0</v>
      </c>
      <c r="AK205" s="3">
        <v>0</v>
      </c>
      <c r="AL205" s="3">
        <v>3</v>
      </c>
      <c r="AM205" s="3">
        <v>3</v>
      </c>
      <c r="AN205" s="3">
        <v>0</v>
      </c>
      <c r="AO205" s="3">
        <v>0</v>
      </c>
      <c r="AP205" s="3">
        <v>0</v>
      </c>
      <c r="AQ205" s="3">
        <v>0</v>
      </c>
      <c r="AR205" s="2" t="s">
        <v>5</v>
      </c>
      <c r="AS205" s="2" t="s">
        <v>16</v>
      </c>
      <c r="AT205" s="5" t="str">
        <f>HYPERLINK("http://catalog.hathitrust.org/Record/000024835","HathiTrust Record")</f>
        <v>HathiTrust Record</v>
      </c>
      <c r="AU205" s="5" t="str">
        <f>HYPERLINK("https://creighton-primo.hosted.exlibrisgroup.com/primo-explore/search?tab=default_tab&amp;search_scope=EVERYTHING&amp;vid=01CRU&amp;lang=en_US&amp;offset=0&amp;query=any,contains,991001387689702656","Catalog Record")</f>
        <v>Catalog Record</v>
      </c>
      <c r="AV205" s="5" t="str">
        <f>HYPERLINK("http://www.worldcat.org/oclc/1091225","WorldCat Record")</f>
        <v>WorldCat Record</v>
      </c>
      <c r="AW205" s="2" t="s">
        <v>2660</v>
      </c>
      <c r="AX205" s="2" t="s">
        <v>2661</v>
      </c>
      <c r="AY205" s="2" t="s">
        <v>2662</v>
      </c>
      <c r="AZ205" s="2" t="s">
        <v>2662</v>
      </c>
      <c r="BA205" s="2" t="s">
        <v>2663</v>
      </c>
      <c r="BB205" s="2" t="s">
        <v>21</v>
      </c>
      <c r="BE205" s="2" t="s">
        <v>2664</v>
      </c>
      <c r="BF205" s="2" t="s">
        <v>2665</v>
      </c>
    </row>
    <row r="206" spans="1:58" ht="41.25" customHeight="1" x14ac:dyDescent="0.25">
      <c r="A206" s="8" t="s">
        <v>5</v>
      </c>
      <c r="B206" s="1" t="s">
        <v>0</v>
      </c>
      <c r="C206" s="1" t="s">
        <v>1</v>
      </c>
      <c r="D206" s="1" t="s">
        <v>2666</v>
      </c>
      <c r="E206" s="1" t="s">
        <v>2667</v>
      </c>
      <c r="F206" s="1" t="s">
        <v>2668</v>
      </c>
      <c r="H206" s="2" t="s">
        <v>5</v>
      </c>
      <c r="I206" s="2" t="s">
        <v>6</v>
      </c>
      <c r="J206" s="2" t="s">
        <v>5</v>
      </c>
      <c r="K206" s="2" t="s">
        <v>5</v>
      </c>
      <c r="L206" s="2" t="s">
        <v>7</v>
      </c>
      <c r="M206" s="1" t="s">
        <v>639</v>
      </c>
      <c r="N206" s="1" t="s">
        <v>2669</v>
      </c>
      <c r="O206" s="2" t="s">
        <v>1441</v>
      </c>
      <c r="Q206" s="2" t="s">
        <v>11</v>
      </c>
      <c r="R206" s="2" t="s">
        <v>12</v>
      </c>
      <c r="S206" s="1" t="s">
        <v>2670</v>
      </c>
      <c r="T206" s="2" t="s">
        <v>520</v>
      </c>
      <c r="U206" s="3">
        <v>1</v>
      </c>
      <c r="V206" s="3">
        <v>1</v>
      </c>
      <c r="W206" s="4" t="s">
        <v>1840</v>
      </c>
      <c r="X206" s="4" t="s">
        <v>1840</v>
      </c>
      <c r="Y206" s="4" t="s">
        <v>2579</v>
      </c>
      <c r="Z206" s="4" t="s">
        <v>2579</v>
      </c>
      <c r="AA206" s="3">
        <v>89</v>
      </c>
      <c r="AB206" s="3">
        <v>83</v>
      </c>
      <c r="AC206" s="3">
        <v>84</v>
      </c>
      <c r="AD206" s="3">
        <v>2</v>
      </c>
      <c r="AE206" s="3">
        <v>2</v>
      </c>
      <c r="AF206" s="3">
        <v>3</v>
      </c>
      <c r="AG206" s="3">
        <v>3</v>
      </c>
      <c r="AH206" s="3">
        <v>0</v>
      </c>
      <c r="AI206" s="3">
        <v>0</v>
      </c>
      <c r="AJ206" s="3">
        <v>1</v>
      </c>
      <c r="AK206" s="3">
        <v>1</v>
      </c>
      <c r="AL206" s="3">
        <v>3</v>
      </c>
      <c r="AM206" s="3">
        <v>3</v>
      </c>
      <c r="AN206" s="3">
        <v>0</v>
      </c>
      <c r="AO206" s="3">
        <v>0</v>
      </c>
      <c r="AP206" s="3">
        <v>0</v>
      </c>
      <c r="AQ206" s="3">
        <v>0</v>
      </c>
      <c r="AR206" s="2" t="s">
        <v>5</v>
      </c>
      <c r="AS206" s="2" t="s">
        <v>5</v>
      </c>
      <c r="AU206" s="5" t="str">
        <f>HYPERLINK("https://creighton-primo.hosted.exlibrisgroup.com/primo-explore/search?tab=default_tab&amp;search_scope=EVERYTHING&amp;vid=01CRU&amp;lang=en_US&amp;offset=0&amp;query=any,contains,991001363169702656","Catalog Record")</f>
        <v>Catalog Record</v>
      </c>
      <c r="AV206" s="5" t="str">
        <f>HYPERLINK("http://www.worldcat.org/oclc/9882023","WorldCat Record")</f>
        <v>WorldCat Record</v>
      </c>
      <c r="AW206" s="2" t="s">
        <v>2671</v>
      </c>
      <c r="AX206" s="2" t="s">
        <v>2672</v>
      </c>
      <c r="AY206" s="2" t="s">
        <v>2673</v>
      </c>
      <c r="AZ206" s="2" t="s">
        <v>2673</v>
      </c>
      <c r="BA206" s="2" t="s">
        <v>2674</v>
      </c>
      <c r="BB206" s="2" t="s">
        <v>21</v>
      </c>
      <c r="BE206" s="2" t="s">
        <v>2675</v>
      </c>
      <c r="BF206" s="2" t="s">
        <v>2676</v>
      </c>
    </row>
    <row r="207" spans="1:58" ht="41.25" customHeight="1" x14ac:dyDescent="0.25">
      <c r="A207" s="8" t="s">
        <v>5</v>
      </c>
      <c r="B207" s="1" t="s">
        <v>0</v>
      </c>
      <c r="C207" s="1" t="s">
        <v>1</v>
      </c>
      <c r="D207" s="1" t="s">
        <v>2677</v>
      </c>
      <c r="E207" s="1" t="s">
        <v>2678</v>
      </c>
      <c r="F207" s="1" t="s">
        <v>424</v>
      </c>
      <c r="H207" s="2" t="s">
        <v>5</v>
      </c>
      <c r="I207" s="2" t="s">
        <v>6</v>
      </c>
      <c r="J207" s="2" t="s">
        <v>5</v>
      </c>
      <c r="K207" s="2" t="s">
        <v>16</v>
      </c>
      <c r="L207" s="2" t="s">
        <v>7</v>
      </c>
      <c r="M207" s="1" t="s">
        <v>425</v>
      </c>
      <c r="N207" s="1" t="s">
        <v>2175</v>
      </c>
      <c r="O207" s="2" t="s">
        <v>382</v>
      </c>
      <c r="P207" s="1" t="s">
        <v>211</v>
      </c>
      <c r="Q207" s="2" t="s">
        <v>11</v>
      </c>
      <c r="R207" s="2" t="s">
        <v>426</v>
      </c>
      <c r="T207" s="2" t="s">
        <v>520</v>
      </c>
      <c r="U207" s="3">
        <v>5</v>
      </c>
      <c r="V207" s="3">
        <v>5</v>
      </c>
      <c r="W207" s="4" t="s">
        <v>2679</v>
      </c>
      <c r="X207" s="4" t="s">
        <v>2679</v>
      </c>
      <c r="Y207" s="4" t="s">
        <v>168</v>
      </c>
      <c r="Z207" s="4" t="s">
        <v>168</v>
      </c>
      <c r="AA207" s="3">
        <v>255</v>
      </c>
      <c r="AB207" s="3">
        <v>230</v>
      </c>
      <c r="AC207" s="3">
        <v>355</v>
      </c>
      <c r="AD207" s="3">
        <v>2</v>
      </c>
      <c r="AE207" s="3">
        <v>3</v>
      </c>
      <c r="AF207" s="3">
        <v>7</v>
      </c>
      <c r="AG207" s="3">
        <v>12</v>
      </c>
      <c r="AH207" s="3">
        <v>2</v>
      </c>
      <c r="AI207" s="3">
        <v>4</v>
      </c>
      <c r="AJ207" s="3">
        <v>1</v>
      </c>
      <c r="AK207" s="3">
        <v>1</v>
      </c>
      <c r="AL207" s="3">
        <v>4</v>
      </c>
      <c r="AM207" s="3">
        <v>7</v>
      </c>
      <c r="AN207" s="3">
        <v>1</v>
      </c>
      <c r="AO207" s="3">
        <v>2</v>
      </c>
      <c r="AP207" s="3">
        <v>0</v>
      </c>
      <c r="AQ207" s="3">
        <v>0</v>
      </c>
      <c r="AR207" s="2" t="s">
        <v>5</v>
      </c>
      <c r="AS207" s="2" t="s">
        <v>16</v>
      </c>
      <c r="AT207" s="5" t="str">
        <f>HYPERLINK("http://catalog.hathitrust.org/Record/000368924","HathiTrust Record")</f>
        <v>HathiTrust Record</v>
      </c>
      <c r="AU207" s="5" t="str">
        <f>HYPERLINK("https://creighton-primo.hosted.exlibrisgroup.com/primo-explore/search?tab=default_tab&amp;search_scope=EVERYTHING&amp;vid=01CRU&amp;lang=en_US&amp;offset=0&amp;query=any,contains,991001039699702656","Catalog Record")</f>
        <v>Catalog Record</v>
      </c>
      <c r="AV207" s="5" t="str">
        <f>HYPERLINK("http://www.worldcat.org/oclc/11290804","WorldCat Record")</f>
        <v>WorldCat Record</v>
      </c>
      <c r="AW207" s="2" t="s">
        <v>429</v>
      </c>
      <c r="AX207" s="2" t="s">
        <v>2680</v>
      </c>
      <c r="AY207" s="2" t="s">
        <v>2681</v>
      </c>
      <c r="AZ207" s="2" t="s">
        <v>2681</v>
      </c>
      <c r="BA207" s="2" t="s">
        <v>2682</v>
      </c>
      <c r="BB207" s="2" t="s">
        <v>21</v>
      </c>
      <c r="BD207" s="2" t="s">
        <v>2683</v>
      </c>
      <c r="BE207" s="2" t="s">
        <v>2684</v>
      </c>
      <c r="BF207" s="2" t="s">
        <v>2685</v>
      </c>
    </row>
    <row r="208" spans="1:58" ht="41.25" customHeight="1" x14ac:dyDescent="0.25">
      <c r="A208" s="8" t="s">
        <v>5</v>
      </c>
      <c r="B208" s="1" t="s">
        <v>0</v>
      </c>
      <c r="C208" s="1" t="s">
        <v>1</v>
      </c>
      <c r="D208" s="1" t="s">
        <v>2686</v>
      </c>
      <c r="E208" s="1" t="s">
        <v>2687</v>
      </c>
      <c r="F208" s="1" t="s">
        <v>2688</v>
      </c>
      <c r="H208" s="2" t="s">
        <v>5</v>
      </c>
      <c r="I208" s="2" t="s">
        <v>6</v>
      </c>
      <c r="J208" s="2" t="s">
        <v>5</v>
      </c>
      <c r="K208" s="2" t="s">
        <v>5</v>
      </c>
      <c r="L208" s="2" t="s">
        <v>7</v>
      </c>
      <c r="N208" s="1" t="s">
        <v>2689</v>
      </c>
      <c r="O208" s="2" t="s">
        <v>989</v>
      </c>
      <c r="Q208" s="2" t="s">
        <v>11</v>
      </c>
      <c r="R208" s="2" t="s">
        <v>1140</v>
      </c>
      <c r="T208" s="2" t="s">
        <v>520</v>
      </c>
      <c r="U208" s="3">
        <v>9</v>
      </c>
      <c r="V208" s="3">
        <v>9</v>
      </c>
      <c r="W208" s="4" t="s">
        <v>2690</v>
      </c>
      <c r="X208" s="4" t="s">
        <v>2690</v>
      </c>
      <c r="Y208" s="4" t="s">
        <v>2691</v>
      </c>
      <c r="Z208" s="4" t="s">
        <v>2691</v>
      </c>
      <c r="AA208" s="3">
        <v>130</v>
      </c>
      <c r="AB208" s="3">
        <v>93</v>
      </c>
      <c r="AC208" s="3">
        <v>95</v>
      </c>
      <c r="AD208" s="3">
        <v>1</v>
      </c>
      <c r="AE208" s="3">
        <v>1</v>
      </c>
      <c r="AF208" s="3">
        <v>4</v>
      </c>
      <c r="AG208" s="3">
        <v>4</v>
      </c>
      <c r="AH208" s="3">
        <v>2</v>
      </c>
      <c r="AI208" s="3">
        <v>2</v>
      </c>
      <c r="AJ208" s="3">
        <v>1</v>
      </c>
      <c r="AK208" s="3">
        <v>1</v>
      </c>
      <c r="AL208" s="3">
        <v>3</v>
      </c>
      <c r="AM208" s="3">
        <v>3</v>
      </c>
      <c r="AN208" s="3">
        <v>0</v>
      </c>
      <c r="AO208" s="3">
        <v>0</v>
      </c>
      <c r="AP208" s="3">
        <v>0</v>
      </c>
      <c r="AQ208" s="3">
        <v>0</v>
      </c>
      <c r="AR208" s="2" t="s">
        <v>5</v>
      </c>
      <c r="AS208" s="2" t="s">
        <v>16</v>
      </c>
      <c r="AT208" s="5" t="str">
        <f>HYPERLINK("http://catalog.hathitrust.org/Record/002427901","HathiTrust Record")</f>
        <v>HathiTrust Record</v>
      </c>
      <c r="AU208" s="5" t="str">
        <f>HYPERLINK("https://creighton-primo.hosted.exlibrisgroup.com/primo-explore/search?tab=default_tab&amp;search_scope=EVERYTHING&amp;vid=01CRU&amp;lang=en_US&amp;offset=0&amp;query=any,contains,991001119859702656","Catalog Record")</f>
        <v>Catalog Record</v>
      </c>
      <c r="AV208" s="5" t="str">
        <f>HYPERLINK("http://www.worldcat.org/oclc/20262750","WorldCat Record")</f>
        <v>WorldCat Record</v>
      </c>
      <c r="AW208" s="2" t="s">
        <v>2692</v>
      </c>
      <c r="AX208" s="2" t="s">
        <v>2693</v>
      </c>
      <c r="AY208" s="2" t="s">
        <v>2694</v>
      </c>
      <c r="AZ208" s="2" t="s">
        <v>2694</v>
      </c>
      <c r="BA208" s="2" t="s">
        <v>2695</v>
      </c>
      <c r="BB208" s="2" t="s">
        <v>21</v>
      </c>
      <c r="BD208" s="2" t="s">
        <v>2696</v>
      </c>
      <c r="BE208" s="2" t="s">
        <v>2697</v>
      </c>
      <c r="BF208" s="2" t="s">
        <v>2698</v>
      </c>
    </row>
    <row r="209" spans="1:58" ht="41.25" customHeight="1" x14ac:dyDescent="0.25">
      <c r="A209" s="8" t="s">
        <v>5</v>
      </c>
      <c r="B209" s="1" t="s">
        <v>0</v>
      </c>
      <c r="C209" s="1" t="s">
        <v>1</v>
      </c>
      <c r="D209" s="1" t="s">
        <v>2699</v>
      </c>
      <c r="E209" s="1" t="s">
        <v>2700</v>
      </c>
      <c r="F209" s="1" t="s">
        <v>2701</v>
      </c>
      <c r="H209" s="2" t="s">
        <v>5</v>
      </c>
      <c r="I209" s="2" t="s">
        <v>6</v>
      </c>
      <c r="J209" s="2" t="s">
        <v>5</v>
      </c>
      <c r="K209" s="2" t="s">
        <v>5</v>
      </c>
      <c r="L209" s="2" t="s">
        <v>7</v>
      </c>
      <c r="N209" s="1" t="s">
        <v>1403</v>
      </c>
      <c r="O209" s="2" t="s">
        <v>62</v>
      </c>
      <c r="Q209" s="2" t="s">
        <v>11</v>
      </c>
      <c r="R209" s="2" t="s">
        <v>12</v>
      </c>
      <c r="S209" s="1" t="s">
        <v>2702</v>
      </c>
      <c r="T209" s="2" t="s">
        <v>520</v>
      </c>
      <c r="U209" s="3">
        <v>2</v>
      </c>
      <c r="V209" s="3">
        <v>2</v>
      </c>
      <c r="W209" s="4" t="s">
        <v>1104</v>
      </c>
      <c r="X209" s="4" t="s">
        <v>1104</v>
      </c>
      <c r="Y209" s="4" t="s">
        <v>1578</v>
      </c>
      <c r="Z209" s="4" t="s">
        <v>1578</v>
      </c>
      <c r="AA209" s="3">
        <v>110</v>
      </c>
      <c r="AB209" s="3">
        <v>89</v>
      </c>
      <c r="AC209" s="3">
        <v>91</v>
      </c>
      <c r="AD209" s="3">
        <v>1</v>
      </c>
      <c r="AE209" s="3">
        <v>1</v>
      </c>
      <c r="AF209" s="3">
        <v>2</v>
      </c>
      <c r="AG209" s="3">
        <v>2</v>
      </c>
      <c r="AH209" s="3">
        <v>0</v>
      </c>
      <c r="AI209" s="3">
        <v>0</v>
      </c>
      <c r="AJ209" s="3">
        <v>0</v>
      </c>
      <c r="AK209" s="3">
        <v>0</v>
      </c>
      <c r="AL209" s="3">
        <v>2</v>
      </c>
      <c r="AM209" s="3">
        <v>2</v>
      </c>
      <c r="AN209" s="3">
        <v>0</v>
      </c>
      <c r="AO209" s="3">
        <v>0</v>
      </c>
      <c r="AP209" s="3">
        <v>0</v>
      </c>
      <c r="AQ209" s="3">
        <v>0</v>
      </c>
      <c r="AR209" s="2" t="s">
        <v>5</v>
      </c>
      <c r="AS209" s="2" t="s">
        <v>16</v>
      </c>
      <c r="AT209" s="5" t="str">
        <f>HYPERLINK("http://catalog.hathitrust.org/Record/000297346","HathiTrust Record")</f>
        <v>HathiTrust Record</v>
      </c>
      <c r="AU209" s="5" t="str">
        <f>HYPERLINK("https://creighton-primo.hosted.exlibrisgroup.com/primo-explore/search?tab=default_tab&amp;search_scope=EVERYTHING&amp;vid=01CRU&amp;lang=en_US&amp;offset=0&amp;query=any,contains,991001376569702656","Catalog Record")</f>
        <v>Catalog Record</v>
      </c>
      <c r="AV209" s="5" t="str">
        <f>HYPERLINK("http://www.worldcat.org/oclc/5674458","WorldCat Record")</f>
        <v>WorldCat Record</v>
      </c>
      <c r="AW209" s="2" t="s">
        <v>2703</v>
      </c>
      <c r="AX209" s="2" t="s">
        <v>2704</v>
      </c>
      <c r="AY209" s="2" t="s">
        <v>2705</v>
      </c>
      <c r="AZ209" s="2" t="s">
        <v>2705</v>
      </c>
      <c r="BA209" s="2" t="s">
        <v>2706</v>
      </c>
      <c r="BB209" s="2" t="s">
        <v>21</v>
      </c>
      <c r="BE209" s="2" t="s">
        <v>2707</v>
      </c>
      <c r="BF209" s="2" t="s">
        <v>2708</v>
      </c>
    </row>
    <row r="210" spans="1:58" ht="41.25" customHeight="1" x14ac:dyDescent="0.25">
      <c r="A210" s="8" t="s">
        <v>5</v>
      </c>
      <c r="B210" s="1" t="s">
        <v>0</v>
      </c>
      <c r="C210" s="1" t="s">
        <v>1</v>
      </c>
      <c r="D210" s="1" t="s">
        <v>2709</v>
      </c>
      <c r="E210" s="1" t="s">
        <v>2710</v>
      </c>
      <c r="F210" s="1" t="s">
        <v>2711</v>
      </c>
      <c r="H210" s="2" t="s">
        <v>5</v>
      </c>
      <c r="I210" s="2" t="s">
        <v>6</v>
      </c>
      <c r="J210" s="2" t="s">
        <v>5</v>
      </c>
      <c r="K210" s="2" t="s">
        <v>5</v>
      </c>
      <c r="L210" s="2" t="s">
        <v>7</v>
      </c>
      <c r="N210" s="1" t="s">
        <v>2712</v>
      </c>
      <c r="O210" s="2" t="s">
        <v>2713</v>
      </c>
      <c r="Q210" s="2" t="s">
        <v>11</v>
      </c>
      <c r="R210" s="2" t="s">
        <v>12</v>
      </c>
      <c r="S210" s="1" t="s">
        <v>2714</v>
      </c>
      <c r="T210" s="2" t="s">
        <v>520</v>
      </c>
      <c r="U210" s="3">
        <v>1</v>
      </c>
      <c r="V210" s="3">
        <v>1</v>
      </c>
      <c r="W210" s="4" t="s">
        <v>2715</v>
      </c>
      <c r="X210" s="4" t="s">
        <v>2715</v>
      </c>
      <c r="Y210" s="4" t="s">
        <v>124</v>
      </c>
      <c r="Z210" s="4" t="s">
        <v>124</v>
      </c>
      <c r="AA210" s="3">
        <v>63</v>
      </c>
      <c r="AB210" s="3">
        <v>55</v>
      </c>
      <c r="AC210" s="3">
        <v>55</v>
      </c>
      <c r="AD210" s="3">
        <v>2</v>
      </c>
      <c r="AE210" s="3">
        <v>2</v>
      </c>
      <c r="AF210" s="3">
        <v>3</v>
      </c>
      <c r="AG210" s="3">
        <v>3</v>
      </c>
      <c r="AH210" s="3">
        <v>0</v>
      </c>
      <c r="AI210" s="3">
        <v>0</v>
      </c>
      <c r="AJ210" s="3">
        <v>1</v>
      </c>
      <c r="AK210" s="3">
        <v>1</v>
      </c>
      <c r="AL210" s="3">
        <v>2</v>
      </c>
      <c r="AM210" s="3">
        <v>2</v>
      </c>
      <c r="AN210" s="3">
        <v>0</v>
      </c>
      <c r="AO210" s="3">
        <v>0</v>
      </c>
      <c r="AP210" s="3">
        <v>0</v>
      </c>
      <c r="AQ210" s="3">
        <v>0</v>
      </c>
      <c r="AR210" s="2" t="s">
        <v>5</v>
      </c>
      <c r="AS210" s="2" t="s">
        <v>5</v>
      </c>
      <c r="AU210" s="5" t="str">
        <f>HYPERLINK("https://creighton-primo.hosted.exlibrisgroup.com/primo-explore/search?tab=default_tab&amp;search_scope=EVERYTHING&amp;vid=01CRU&amp;lang=en_US&amp;offset=0&amp;query=any,contains,991001367969702656","Catalog Record")</f>
        <v>Catalog Record</v>
      </c>
      <c r="AV210" s="5" t="str">
        <f>HYPERLINK("http://www.worldcat.org/oclc/205403","WorldCat Record")</f>
        <v>WorldCat Record</v>
      </c>
      <c r="AW210" s="2" t="s">
        <v>2716</v>
      </c>
      <c r="AX210" s="2" t="s">
        <v>2717</v>
      </c>
      <c r="AY210" s="2" t="s">
        <v>2718</v>
      </c>
      <c r="AZ210" s="2" t="s">
        <v>2718</v>
      </c>
      <c r="BA210" s="2" t="s">
        <v>2719</v>
      </c>
      <c r="BB210" s="2" t="s">
        <v>21</v>
      </c>
      <c r="BE210" s="2" t="s">
        <v>2720</v>
      </c>
      <c r="BF210" s="2" t="s">
        <v>2721</v>
      </c>
    </row>
    <row r="211" spans="1:58" ht="41.25" customHeight="1" x14ac:dyDescent="0.25">
      <c r="A211" s="8" t="s">
        <v>5</v>
      </c>
      <c r="B211" s="1" t="s">
        <v>0</v>
      </c>
      <c r="C211" s="1" t="s">
        <v>1</v>
      </c>
      <c r="D211" s="1" t="s">
        <v>2722</v>
      </c>
      <c r="E211" s="1" t="s">
        <v>2723</v>
      </c>
      <c r="F211" s="1" t="s">
        <v>2724</v>
      </c>
      <c r="H211" s="2" t="s">
        <v>5</v>
      </c>
      <c r="I211" s="2" t="s">
        <v>6</v>
      </c>
      <c r="J211" s="2" t="s">
        <v>5</v>
      </c>
      <c r="K211" s="2" t="s">
        <v>5</v>
      </c>
      <c r="L211" s="2" t="s">
        <v>7</v>
      </c>
      <c r="N211" s="1" t="s">
        <v>2725</v>
      </c>
      <c r="O211" s="2" t="s">
        <v>2726</v>
      </c>
      <c r="Q211" s="2" t="s">
        <v>11</v>
      </c>
      <c r="R211" s="2" t="s">
        <v>93</v>
      </c>
      <c r="S211" s="1" t="s">
        <v>2727</v>
      </c>
      <c r="T211" s="2" t="s">
        <v>520</v>
      </c>
      <c r="U211" s="3">
        <v>1</v>
      </c>
      <c r="V211" s="3">
        <v>1</v>
      </c>
      <c r="W211" s="4" t="s">
        <v>2715</v>
      </c>
      <c r="X211" s="4" t="s">
        <v>2715</v>
      </c>
      <c r="Y211" s="4" t="s">
        <v>124</v>
      </c>
      <c r="Z211" s="4" t="s">
        <v>124</v>
      </c>
      <c r="AA211" s="3">
        <v>54</v>
      </c>
      <c r="AB211" s="3">
        <v>51</v>
      </c>
      <c r="AC211" s="3">
        <v>51</v>
      </c>
      <c r="AD211" s="3">
        <v>2</v>
      </c>
      <c r="AE211" s="3">
        <v>2</v>
      </c>
      <c r="AF211" s="3">
        <v>1</v>
      </c>
      <c r="AG211" s="3">
        <v>1</v>
      </c>
      <c r="AH211" s="3">
        <v>1</v>
      </c>
      <c r="AI211" s="3">
        <v>1</v>
      </c>
      <c r="AJ211" s="3">
        <v>0</v>
      </c>
      <c r="AK211" s="3">
        <v>0</v>
      </c>
      <c r="AL211" s="3">
        <v>0</v>
      </c>
      <c r="AM211" s="3">
        <v>0</v>
      </c>
      <c r="AN211" s="3">
        <v>0</v>
      </c>
      <c r="AO211" s="3">
        <v>0</v>
      </c>
      <c r="AP211" s="3">
        <v>0</v>
      </c>
      <c r="AQ211" s="3">
        <v>0</v>
      </c>
      <c r="AR211" s="2" t="s">
        <v>5</v>
      </c>
      <c r="AS211" s="2" t="s">
        <v>5</v>
      </c>
      <c r="AU211" s="5" t="str">
        <f>HYPERLINK("https://creighton-primo.hosted.exlibrisgroup.com/primo-explore/search?tab=default_tab&amp;search_scope=EVERYTHING&amp;vid=01CRU&amp;lang=en_US&amp;offset=0&amp;query=any,contains,991001368169702656","Catalog Record")</f>
        <v>Catalog Record</v>
      </c>
      <c r="AV211" s="5" t="str">
        <f>HYPERLINK("http://www.worldcat.org/oclc/4499118","WorldCat Record")</f>
        <v>WorldCat Record</v>
      </c>
      <c r="AW211" s="2" t="s">
        <v>2728</v>
      </c>
      <c r="AX211" s="2" t="s">
        <v>2729</v>
      </c>
      <c r="AY211" s="2" t="s">
        <v>2730</v>
      </c>
      <c r="AZ211" s="2" t="s">
        <v>2730</v>
      </c>
      <c r="BA211" s="2" t="s">
        <v>2731</v>
      </c>
      <c r="BB211" s="2" t="s">
        <v>21</v>
      </c>
      <c r="BE211" s="2" t="s">
        <v>2732</v>
      </c>
      <c r="BF211" s="2" t="s">
        <v>2733</v>
      </c>
    </row>
    <row r="212" spans="1:58" ht="41.25" customHeight="1" x14ac:dyDescent="0.25">
      <c r="A212" s="8" t="s">
        <v>5</v>
      </c>
      <c r="B212" s="1" t="s">
        <v>0</v>
      </c>
      <c r="C212" s="1" t="s">
        <v>1</v>
      </c>
      <c r="D212" s="1" t="s">
        <v>2734</v>
      </c>
      <c r="E212" s="1" t="s">
        <v>2735</v>
      </c>
      <c r="F212" s="1" t="s">
        <v>2736</v>
      </c>
      <c r="H212" s="2" t="s">
        <v>5</v>
      </c>
      <c r="I212" s="2" t="s">
        <v>6</v>
      </c>
      <c r="J212" s="2" t="s">
        <v>5</v>
      </c>
      <c r="K212" s="2" t="s">
        <v>5</v>
      </c>
      <c r="L212" s="2" t="s">
        <v>7</v>
      </c>
      <c r="N212" s="1" t="s">
        <v>2737</v>
      </c>
      <c r="O212" s="2" t="s">
        <v>2738</v>
      </c>
      <c r="Q212" s="2" t="s">
        <v>11</v>
      </c>
      <c r="R212" s="2" t="s">
        <v>12</v>
      </c>
      <c r="S212" s="1" t="s">
        <v>2739</v>
      </c>
      <c r="T212" s="2" t="s">
        <v>520</v>
      </c>
      <c r="U212" s="3">
        <v>1</v>
      </c>
      <c r="V212" s="3">
        <v>1</v>
      </c>
      <c r="W212" s="4" t="s">
        <v>2715</v>
      </c>
      <c r="X212" s="4" t="s">
        <v>2715</v>
      </c>
      <c r="Y212" s="4" t="s">
        <v>124</v>
      </c>
      <c r="Z212" s="4" t="s">
        <v>124</v>
      </c>
      <c r="AA212" s="3">
        <v>66</v>
      </c>
      <c r="AB212" s="3">
        <v>57</v>
      </c>
      <c r="AC212" s="3">
        <v>58</v>
      </c>
      <c r="AD212" s="3">
        <v>2</v>
      </c>
      <c r="AE212" s="3">
        <v>2</v>
      </c>
      <c r="AF212" s="3">
        <v>2</v>
      </c>
      <c r="AG212" s="3">
        <v>2</v>
      </c>
      <c r="AH212" s="3">
        <v>0</v>
      </c>
      <c r="AI212" s="3">
        <v>0</v>
      </c>
      <c r="AJ212" s="3">
        <v>0</v>
      </c>
      <c r="AK212" s="3">
        <v>0</v>
      </c>
      <c r="AL212" s="3">
        <v>2</v>
      </c>
      <c r="AM212" s="3">
        <v>2</v>
      </c>
      <c r="AN212" s="3">
        <v>0</v>
      </c>
      <c r="AO212" s="3">
        <v>0</v>
      </c>
      <c r="AP212" s="3">
        <v>0</v>
      </c>
      <c r="AQ212" s="3">
        <v>0</v>
      </c>
      <c r="AR212" s="2" t="s">
        <v>5</v>
      </c>
      <c r="AS212" s="2" t="s">
        <v>5</v>
      </c>
      <c r="AU212" s="5" t="str">
        <f>HYPERLINK("https://creighton-primo.hosted.exlibrisgroup.com/primo-explore/search?tab=default_tab&amp;search_scope=EVERYTHING&amp;vid=01CRU&amp;lang=en_US&amp;offset=0&amp;query=any,contains,991001368009702656","Catalog Record")</f>
        <v>Catalog Record</v>
      </c>
      <c r="AV212" s="5" t="str">
        <f>HYPERLINK("http://www.worldcat.org/oclc/209236","WorldCat Record")</f>
        <v>WorldCat Record</v>
      </c>
      <c r="AW212" s="2" t="s">
        <v>2740</v>
      </c>
      <c r="AX212" s="2" t="s">
        <v>2741</v>
      </c>
      <c r="AY212" s="2" t="s">
        <v>2742</v>
      </c>
      <c r="AZ212" s="2" t="s">
        <v>2742</v>
      </c>
      <c r="BA212" s="2" t="s">
        <v>2743</v>
      </c>
      <c r="BB212" s="2" t="s">
        <v>21</v>
      </c>
      <c r="BE212" s="2" t="s">
        <v>2744</v>
      </c>
      <c r="BF212" s="2" t="s">
        <v>2745</v>
      </c>
    </row>
    <row r="213" spans="1:58" ht="41.25" customHeight="1" x14ac:dyDescent="0.25">
      <c r="A213" s="8" t="s">
        <v>5</v>
      </c>
      <c r="B213" s="1" t="s">
        <v>0</v>
      </c>
      <c r="C213" s="1" t="s">
        <v>1</v>
      </c>
      <c r="D213" s="1" t="s">
        <v>2746</v>
      </c>
      <c r="E213" s="1" t="s">
        <v>2747</v>
      </c>
      <c r="F213" s="1" t="s">
        <v>2748</v>
      </c>
      <c r="H213" s="2" t="s">
        <v>5</v>
      </c>
      <c r="I213" s="2" t="s">
        <v>6</v>
      </c>
      <c r="J213" s="2" t="s">
        <v>5</v>
      </c>
      <c r="K213" s="2" t="s">
        <v>5</v>
      </c>
      <c r="L213" s="2" t="s">
        <v>7</v>
      </c>
      <c r="N213" s="1" t="s">
        <v>2749</v>
      </c>
      <c r="O213" s="2" t="s">
        <v>1441</v>
      </c>
      <c r="Q213" s="2" t="s">
        <v>11</v>
      </c>
      <c r="R213" s="2" t="s">
        <v>426</v>
      </c>
      <c r="S213" s="1" t="s">
        <v>2750</v>
      </c>
      <c r="T213" s="2" t="s">
        <v>520</v>
      </c>
      <c r="U213" s="3">
        <v>1</v>
      </c>
      <c r="V213" s="3">
        <v>1</v>
      </c>
      <c r="W213" s="4" t="s">
        <v>2072</v>
      </c>
      <c r="X213" s="4" t="s">
        <v>2072</v>
      </c>
      <c r="Y213" s="4" t="s">
        <v>2751</v>
      </c>
      <c r="Z213" s="4" t="s">
        <v>2751</v>
      </c>
      <c r="AA213" s="3">
        <v>81</v>
      </c>
      <c r="AB213" s="3">
        <v>73</v>
      </c>
      <c r="AC213" s="3">
        <v>73</v>
      </c>
      <c r="AD213" s="3">
        <v>3</v>
      </c>
      <c r="AE213" s="3">
        <v>3</v>
      </c>
      <c r="AF213" s="3">
        <v>4</v>
      </c>
      <c r="AG213" s="3">
        <v>4</v>
      </c>
      <c r="AH213" s="3">
        <v>1</v>
      </c>
      <c r="AI213" s="3">
        <v>1</v>
      </c>
      <c r="AJ213" s="3">
        <v>1</v>
      </c>
      <c r="AK213" s="3">
        <v>1</v>
      </c>
      <c r="AL213" s="3">
        <v>1</v>
      </c>
      <c r="AM213" s="3">
        <v>1</v>
      </c>
      <c r="AN213" s="3">
        <v>1</v>
      </c>
      <c r="AO213" s="3">
        <v>1</v>
      </c>
      <c r="AP213" s="3">
        <v>0</v>
      </c>
      <c r="AQ213" s="3">
        <v>0</v>
      </c>
      <c r="AR213" s="2" t="s">
        <v>5</v>
      </c>
      <c r="AS213" s="2" t="s">
        <v>5</v>
      </c>
      <c r="AU213" s="5" t="str">
        <f>HYPERLINK("https://creighton-primo.hosted.exlibrisgroup.com/primo-explore/search?tab=default_tab&amp;search_scope=EVERYTHING&amp;vid=01CRU&amp;lang=en_US&amp;offset=0&amp;query=any,contains,991001376239702656","Catalog Record")</f>
        <v>Catalog Record</v>
      </c>
      <c r="AV213" s="5" t="str">
        <f>HYPERLINK("http://www.worldcat.org/oclc/3090884","WorldCat Record")</f>
        <v>WorldCat Record</v>
      </c>
      <c r="AW213" s="2" t="s">
        <v>2752</v>
      </c>
      <c r="AX213" s="2" t="s">
        <v>2753</v>
      </c>
      <c r="AY213" s="2" t="s">
        <v>2754</v>
      </c>
      <c r="AZ213" s="2" t="s">
        <v>2754</v>
      </c>
      <c r="BA213" s="2" t="s">
        <v>2755</v>
      </c>
      <c r="BB213" s="2" t="s">
        <v>21</v>
      </c>
      <c r="BE213" s="2" t="s">
        <v>2756</v>
      </c>
      <c r="BF213" s="2" t="s">
        <v>2757</v>
      </c>
    </row>
    <row r="214" spans="1:58" ht="41.25" customHeight="1" x14ac:dyDescent="0.25">
      <c r="A214" s="8" t="s">
        <v>5</v>
      </c>
      <c r="B214" s="1" t="s">
        <v>0</v>
      </c>
      <c r="C214" s="1" t="s">
        <v>1</v>
      </c>
      <c r="D214" s="1" t="s">
        <v>2758</v>
      </c>
      <c r="E214" s="1" t="s">
        <v>2759</v>
      </c>
      <c r="F214" s="1" t="s">
        <v>2760</v>
      </c>
      <c r="H214" s="2" t="s">
        <v>5</v>
      </c>
      <c r="I214" s="2" t="s">
        <v>6</v>
      </c>
      <c r="J214" s="2" t="s">
        <v>5</v>
      </c>
      <c r="K214" s="2" t="s">
        <v>5</v>
      </c>
      <c r="L214" s="2" t="s">
        <v>7</v>
      </c>
      <c r="N214" s="1" t="s">
        <v>2334</v>
      </c>
      <c r="O214" s="2" t="s">
        <v>1339</v>
      </c>
      <c r="Q214" s="2" t="s">
        <v>11</v>
      </c>
      <c r="R214" s="2" t="s">
        <v>426</v>
      </c>
      <c r="S214" s="1" t="s">
        <v>2761</v>
      </c>
      <c r="T214" s="2" t="s">
        <v>520</v>
      </c>
      <c r="U214" s="3">
        <v>5</v>
      </c>
      <c r="V214" s="3">
        <v>5</v>
      </c>
      <c r="W214" s="4" t="s">
        <v>2762</v>
      </c>
      <c r="X214" s="4" t="s">
        <v>2762</v>
      </c>
      <c r="Y214" s="4" t="s">
        <v>2579</v>
      </c>
      <c r="Z214" s="4" t="s">
        <v>2579</v>
      </c>
      <c r="AA214" s="3">
        <v>178</v>
      </c>
      <c r="AB214" s="3">
        <v>159</v>
      </c>
      <c r="AC214" s="3">
        <v>161</v>
      </c>
      <c r="AD214" s="3">
        <v>2</v>
      </c>
      <c r="AE214" s="3">
        <v>2</v>
      </c>
      <c r="AF214" s="3">
        <v>9</v>
      </c>
      <c r="AG214" s="3">
        <v>9</v>
      </c>
      <c r="AH214" s="3">
        <v>5</v>
      </c>
      <c r="AI214" s="3">
        <v>5</v>
      </c>
      <c r="AJ214" s="3">
        <v>1</v>
      </c>
      <c r="AK214" s="3">
        <v>1</v>
      </c>
      <c r="AL214" s="3">
        <v>4</v>
      </c>
      <c r="AM214" s="3">
        <v>4</v>
      </c>
      <c r="AN214" s="3">
        <v>0</v>
      </c>
      <c r="AO214" s="3">
        <v>0</v>
      </c>
      <c r="AP214" s="3">
        <v>0</v>
      </c>
      <c r="AQ214" s="3">
        <v>0</v>
      </c>
      <c r="AR214" s="2" t="s">
        <v>5</v>
      </c>
      <c r="AS214" s="2" t="s">
        <v>16</v>
      </c>
      <c r="AT214" s="5" t="str">
        <f>HYPERLINK("http://catalog.hathitrust.org/Record/002506770","HathiTrust Record")</f>
        <v>HathiTrust Record</v>
      </c>
      <c r="AU214" s="5" t="str">
        <f>HYPERLINK("https://creighton-primo.hosted.exlibrisgroup.com/primo-explore/search?tab=default_tab&amp;search_scope=EVERYTHING&amp;vid=01CRU&amp;lang=en_US&amp;offset=0&amp;query=any,contains,991001266509702656","Catalog Record")</f>
        <v>Catalog Record</v>
      </c>
      <c r="AV214" s="5" t="str">
        <f>HYPERLINK("http://www.worldcat.org/oclc/20695010","WorldCat Record")</f>
        <v>WorldCat Record</v>
      </c>
      <c r="AW214" s="2" t="s">
        <v>2763</v>
      </c>
      <c r="AX214" s="2" t="s">
        <v>2764</v>
      </c>
      <c r="AY214" s="2" t="s">
        <v>2765</v>
      </c>
      <c r="AZ214" s="2" t="s">
        <v>2765</v>
      </c>
      <c r="BA214" s="2" t="s">
        <v>2766</v>
      </c>
      <c r="BB214" s="2" t="s">
        <v>21</v>
      </c>
      <c r="BD214" s="2" t="s">
        <v>2767</v>
      </c>
      <c r="BE214" s="2" t="s">
        <v>2768</v>
      </c>
      <c r="BF214" s="2" t="s">
        <v>2769</v>
      </c>
    </row>
    <row r="215" spans="1:58" ht="41.25" customHeight="1" x14ac:dyDescent="0.25">
      <c r="A215" s="8" t="s">
        <v>5</v>
      </c>
      <c r="B215" s="1" t="s">
        <v>0</v>
      </c>
      <c r="C215" s="1" t="s">
        <v>1</v>
      </c>
      <c r="D215" s="1" t="s">
        <v>2770</v>
      </c>
      <c r="E215" s="1" t="s">
        <v>2771</v>
      </c>
      <c r="F215" s="1" t="s">
        <v>2772</v>
      </c>
      <c r="H215" s="2" t="s">
        <v>5</v>
      </c>
      <c r="I215" s="2" t="s">
        <v>6</v>
      </c>
      <c r="J215" s="2" t="s">
        <v>5</v>
      </c>
      <c r="K215" s="2" t="s">
        <v>5</v>
      </c>
      <c r="L215" s="2" t="s">
        <v>7</v>
      </c>
      <c r="M215" s="1" t="s">
        <v>2773</v>
      </c>
      <c r="N215" s="1" t="s">
        <v>1403</v>
      </c>
      <c r="O215" s="2" t="s">
        <v>285</v>
      </c>
      <c r="Q215" s="2" t="s">
        <v>11</v>
      </c>
      <c r="R215" s="2" t="s">
        <v>12</v>
      </c>
      <c r="S215" s="1" t="s">
        <v>2774</v>
      </c>
      <c r="T215" s="2" t="s">
        <v>520</v>
      </c>
      <c r="U215" s="3">
        <v>2</v>
      </c>
      <c r="V215" s="3">
        <v>2</v>
      </c>
      <c r="W215" s="4" t="s">
        <v>2775</v>
      </c>
      <c r="X215" s="4" t="s">
        <v>2775</v>
      </c>
      <c r="Y215" s="4" t="s">
        <v>1249</v>
      </c>
      <c r="Z215" s="4" t="s">
        <v>1249</v>
      </c>
      <c r="AA215" s="3">
        <v>81</v>
      </c>
      <c r="AB215" s="3">
        <v>71</v>
      </c>
      <c r="AC215" s="3">
        <v>71</v>
      </c>
      <c r="AD215" s="3">
        <v>1</v>
      </c>
      <c r="AE215" s="3">
        <v>1</v>
      </c>
      <c r="AF215" s="3">
        <v>2</v>
      </c>
      <c r="AG215" s="3">
        <v>2</v>
      </c>
      <c r="AH215" s="3">
        <v>0</v>
      </c>
      <c r="AI215" s="3">
        <v>0</v>
      </c>
      <c r="AJ215" s="3">
        <v>0</v>
      </c>
      <c r="AK215" s="3">
        <v>0</v>
      </c>
      <c r="AL215" s="3">
        <v>2</v>
      </c>
      <c r="AM215" s="3">
        <v>2</v>
      </c>
      <c r="AN215" s="3">
        <v>0</v>
      </c>
      <c r="AO215" s="3">
        <v>0</v>
      </c>
      <c r="AP215" s="3">
        <v>0</v>
      </c>
      <c r="AQ215" s="3">
        <v>0</v>
      </c>
      <c r="AR215" s="2" t="s">
        <v>5</v>
      </c>
      <c r="AS215" s="2" t="s">
        <v>5</v>
      </c>
      <c r="AU215" s="5" t="str">
        <f>HYPERLINK("https://creighton-primo.hosted.exlibrisgroup.com/primo-explore/search?tab=default_tab&amp;search_scope=EVERYTHING&amp;vid=01CRU&amp;lang=en_US&amp;offset=0&amp;query=any,contains,991001388639702656","Catalog Record")</f>
        <v>Catalog Record</v>
      </c>
      <c r="AV215" s="5" t="str">
        <f>HYPERLINK("http://www.worldcat.org/oclc/6144794","WorldCat Record")</f>
        <v>WorldCat Record</v>
      </c>
      <c r="AW215" s="2" t="s">
        <v>2776</v>
      </c>
      <c r="AX215" s="2" t="s">
        <v>2777</v>
      </c>
      <c r="AY215" s="2" t="s">
        <v>2778</v>
      </c>
      <c r="AZ215" s="2" t="s">
        <v>2778</v>
      </c>
      <c r="BA215" s="2" t="s">
        <v>2779</v>
      </c>
      <c r="BB215" s="2" t="s">
        <v>21</v>
      </c>
      <c r="BE215" s="2" t="s">
        <v>2780</v>
      </c>
      <c r="BF215" s="2" t="s">
        <v>2781</v>
      </c>
    </row>
    <row r="216" spans="1:58" ht="41.25" customHeight="1" x14ac:dyDescent="0.25">
      <c r="A216" s="8" t="s">
        <v>5</v>
      </c>
      <c r="B216" s="1" t="s">
        <v>0</v>
      </c>
      <c r="C216" s="1" t="s">
        <v>1</v>
      </c>
      <c r="D216" s="1" t="s">
        <v>2782</v>
      </c>
      <c r="E216" s="1" t="s">
        <v>2783</v>
      </c>
      <c r="F216" s="1" t="s">
        <v>2784</v>
      </c>
      <c r="H216" s="2" t="s">
        <v>5</v>
      </c>
      <c r="I216" s="2" t="s">
        <v>6</v>
      </c>
      <c r="J216" s="2" t="s">
        <v>5</v>
      </c>
      <c r="K216" s="2" t="s">
        <v>5</v>
      </c>
      <c r="L216" s="2" t="s">
        <v>7</v>
      </c>
      <c r="M216" s="1" t="s">
        <v>2785</v>
      </c>
      <c r="N216" s="1" t="s">
        <v>2786</v>
      </c>
      <c r="O216" s="2" t="s">
        <v>92</v>
      </c>
      <c r="Q216" s="2" t="s">
        <v>11</v>
      </c>
      <c r="R216" s="2" t="s">
        <v>12</v>
      </c>
      <c r="S216" s="1" t="s">
        <v>2787</v>
      </c>
      <c r="T216" s="2" t="s">
        <v>520</v>
      </c>
      <c r="U216" s="3">
        <v>3</v>
      </c>
      <c r="V216" s="3">
        <v>3</v>
      </c>
      <c r="W216" s="4" t="s">
        <v>2788</v>
      </c>
      <c r="X216" s="4" t="s">
        <v>2788</v>
      </c>
      <c r="Y216" s="4" t="s">
        <v>2579</v>
      </c>
      <c r="Z216" s="4" t="s">
        <v>2579</v>
      </c>
      <c r="AA216" s="3">
        <v>88</v>
      </c>
      <c r="AB216" s="3">
        <v>76</v>
      </c>
      <c r="AC216" s="3">
        <v>76</v>
      </c>
      <c r="AD216" s="3">
        <v>2</v>
      </c>
      <c r="AE216" s="3">
        <v>2</v>
      </c>
      <c r="AF216" s="3">
        <v>5</v>
      </c>
      <c r="AG216" s="3">
        <v>5</v>
      </c>
      <c r="AH216" s="3">
        <v>1</v>
      </c>
      <c r="AI216" s="3">
        <v>1</v>
      </c>
      <c r="AJ216" s="3">
        <v>1</v>
      </c>
      <c r="AK216" s="3">
        <v>1</v>
      </c>
      <c r="AL216" s="3">
        <v>3</v>
      </c>
      <c r="AM216" s="3">
        <v>3</v>
      </c>
      <c r="AN216" s="3">
        <v>1</v>
      </c>
      <c r="AO216" s="3">
        <v>1</v>
      </c>
      <c r="AP216" s="3">
        <v>0</v>
      </c>
      <c r="AQ216" s="3">
        <v>0</v>
      </c>
      <c r="AR216" s="2" t="s">
        <v>5</v>
      </c>
      <c r="AS216" s="2" t="s">
        <v>5</v>
      </c>
      <c r="AU216" s="5" t="str">
        <f>HYPERLINK("https://creighton-primo.hosted.exlibrisgroup.com/primo-explore/search?tab=default_tab&amp;search_scope=EVERYTHING&amp;vid=01CRU&amp;lang=en_US&amp;offset=0&amp;query=any,contains,991001363439702656","Catalog Record")</f>
        <v>Catalog Record</v>
      </c>
      <c r="AV216" s="5" t="str">
        <f>HYPERLINK("http://www.worldcat.org/oclc/2983759","WorldCat Record")</f>
        <v>WorldCat Record</v>
      </c>
      <c r="AW216" s="2" t="s">
        <v>2789</v>
      </c>
      <c r="AX216" s="2" t="s">
        <v>2790</v>
      </c>
      <c r="AY216" s="2" t="s">
        <v>2791</v>
      </c>
      <c r="AZ216" s="2" t="s">
        <v>2791</v>
      </c>
      <c r="BA216" s="2" t="s">
        <v>2792</v>
      </c>
      <c r="BB216" s="2" t="s">
        <v>21</v>
      </c>
      <c r="BE216" s="2" t="s">
        <v>2793</v>
      </c>
      <c r="BF216" s="2" t="s">
        <v>2794</v>
      </c>
    </row>
    <row r="217" spans="1:58" ht="41.25" customHeight="1" x14ac:dyDescent="0.25">
      <c r="A217" s="8" t="s">
        <v>5</v>
      </c>
      <c r="B217" s="1" t="s">
        <v>0</v>
      </c>
      <c r="C217" s="1" t="s">
        <v>1</v>
      </c>
      <c r="D217" s="1" t="s">
        <v>2795</v>
      </c>
      <c r="E217" s="1" t="s">
        <v>2796</v>
      </c>
      <c r="F217" s="1" t="s">
        <v>2797</v>
      </c>
      <c r="H217" s="2" t="s">
        <v>5</v>
      </c>
      <c r="I217" s="2" t="s">
        <v>6</v>
      </c>
      <c r="J217" s="2" t="s">
        <v>5</v>
      </c>
      <c r="K217" s="2" t="s">
        <v>5</v>
      </c>
      <c r="L217" s="2" t="s">
        <v>7</v>
      </c>
      <c r="M217" s="1" t="s">
        <v>2798</v>
      </c>
      <c r="N217" s="1" t="s">
        <v>2799</v>
      </c>
      <c r="O217" s="2" t="s">
        <v>210</v>
      </c>
      <c r="Q217" s="2" t="s">
        <v>11</v>
      </c>
      <c r="R217" s="2" t="s">
        <v>78</v>
      </c>
      <c r="S217" s="1" t="s">
        <v>2800</v>
      </c>
      <c r="T217" s="2" t="s">
        <v>520</v>
      </c>
      <c r="U217" s="3">
        <v>1</v>
      </c>
      <c r="V217" s="3">
        <v>1</v>
      </c>
      <c r="W217" s="4" t="s">
        <v>2801</v>
      </c>
      <c r="X217" s="4" t="s">
        <v>2801</v>
      </c>
      <c r="Y217" s="4" t="s">
        <v>2802</v>
      </c>
      <c r="Z217" s="4" t="s">
        <v>2802</v>
      </c>
      <c r="AA217" s="3">
        <v>69</v>
      </c>
      <c r="AB217" s="3">
        <v>45</v>
      </c>
      <c r="AC217" s="3">
        <v>48</v>
      </c>
      <c r="AD217" s="3">
        <v>1</v>
      </c>
      <c r="AE217" s="3">
        <v>1</v>
      </c>
      <c r="AF217" s="3">
        <v>0</v>
      </c>
      <c r="AG217" s="3">
        <v>0</v>
      </c>
      <c r="AH217" s="3">
        <v>0</v>
      </c>
      <c r="AI217" s="3">
        <v>0</v>
      </c>
      <c r="AJ217" s="3">
        <v>0</v>
      </c>
      <c r="AK217" s="3">
        <v>0</v>
      </c>
      <c r="AL217" s="3">
        <v>0</v>
      </c>
      <c r="AM217" s="3">
        <v>0</v>
      </c>
      <c r="AN217" s="3">
        <v>0</v>
      </c>
      <c r="AO217" s="3">
        <v>0</v>
      </c>
      <c r="AP217" s="3">
        <v>0</v>
      </c>
      <c r="AQ217" s="3">
        <v>0</v>
      </c>
      <c r="AR217" s="2" t="s">
        <v>5</v>
      </c>
      <c r="AS217" s="2" t="s">
        <v>5</v>
      </c>
      <c r="AU217" s="5" t="str">
        <f>HYPERLINK("https://creighton-primo.hosted.exlibrisgroup.com/primo-explore/search?tab=default_tab&amp;search_scope=EVERYTHING&amp;vid=01CRU&amp;lang=en_US&amp;offset=0&amp;query=any,contains,991001351039702656","Catalog Record")</f>
        <v>Catalog Record</v>
      </c>
      <c r="AV217" s="5" t="str">
        <f>HYPERLINK("http://www.worldcat.org/oclc/23355180","WorldCat Record")</f>
        <v>WorldCat Record</v>
      </c>
      <c r="AW217" s="2" t="s">
        <v>2803</v>
      </c>
      <c r="AX217" s="2" t="s">
        <v>2804</v>
      </c>
      <c r="AY217" s="2" t="s">
        <v>2805</v>
      </c>
      <c r="AZ217" s="2" t="s">
        <v>2805</v>
      </c>
      <c r="BA217" s="2" t="s">
        <v>2806</v>
      </c>
      <c r="BB217" s="2" t="s">
        <v>21</v>
      </c>
      <c r="BD217" s="2" t="s">
        <v>2807</v>
      </c>
      <c r="BE217" s="2" t="s">
        <v>2808</v>
      </c>
      <c r="BF217" s="2" t="s">
        <v>2809</v>
      </c>
    </row>
    <row r="218" spans="1:58" ht="41.25" customHeight="1" x14ac:dyDescent="0.25">
      <c r="A218" s="8" t="s">
        <v>5</v>
      </c>
      <c r="B218" s="1" t="s">
        <v>0</v>
      </c>
      <c r="C218" s="1" t="s">
        <v>1</v>
      </c>
      <c r="D218" s="1" t="s">
        <v>2810</v>
      </c>
      <c r="E218" s="1" t="s">
        <v>2811</v>
      </c>
      <c r="F218" s="1" t="s">
        <v>2812</v>
      </c>
      <c r="H218" s="2" t="s">
        <v>5</v>
      </c>
      <c r="I218" s="2" t="s">
        <v>6</v>
      </c>
      <c r="J218" s="2" t="s">
        <v>5</v>
      </c>
      <c r="K218" s="2" t="s">
        <v>5</v>
      </c>
      <c r="L218" s="2" t="s">
        <v>7</v>
      </c>
      <c r="M218" s="1" t="s">
        <v>2813</v>
      </c>
      <c r="N218" s="1" t="s">
        <v>2814</v>
      </c>
      <c r="O218" s="2" t="s">
        <v>62</v>
      </c>
      <c r="P218" s="1" t="s">
        <v>355</v>
      </c>
      <c r="Q218" s="2" t="s">
        <v>11</v>
      </c>
      <c r="R218" s="2" t="s">
        <v>426</v>
      </c>
      <c r="T218" s="2" t="s">
        <v>520</v>
      </c>
      <c r="U218" s="3">
        <v>3</v>
      </c>
      <c r="V218" s="3">
        <v>3</v>
      </c>
      <c r="W218" s="4" t="s">
        <v>2815</v>
      </c>
      <c r="X218" s="4" t="s">
        <v>2815</v>
      </c>
      <c r="Y218" s="4" t="s">
        <v>168</v>
      </c>
      <c r="Z218" s="4" t="s">
        <v>168</v>
      </c>
      <c r="AA218" s="3">
        <v>29</v>
      </c>
      <c r="AB218" s="3">
        <v>25</v>
      </c>
      <c r="AC218" s="3">
        <v>207</v>
      </c>
      <c r="AD218" s="3">
        <v>2</v>
      </c>
      <c r="AE218" s="3">
        <v>4</v>
      </c>
      <c r="AF218" s="3">
        <v>1</v>
      </c>
      <c r="AG218" s="3">
        <v>9</v>
      </c>
      <c r="AH218" s="3">
        <v>0</v>
      </c>
      <c r="AI218" s="3">
        <v>3</v>
      </c>
      <c r="AJ218" s="3">
        <v>0</v>
      </c>
      <c r="AK218" s="3">
        <v>2</v>
      </c>
      <c r="AL218" s="3">
        <v>0</v>
      </c>
      <c r="AM218" s="3">
        <v>4</v>
      </c>
      <c r="AN218" s="3">
        <v>1</v>
      </c>
      <c r="AO218" s="3">
        <v>2</v>
      </c>
      <c r="AP218" s="3">
        <v>0</v>
      </c>
      <c r="AQ218" s="3">
        <v>0</v>
      </c>
      <c r="AR218" s="2" t="s">
        <v>5</v>
      </c>
      <c r="AS218" s="2" t="s">
        <v>5</v>
      </c>
      <c r="AU218" s="5" t="str">
        <f>HYPERLINK("https://creighton-primo.hosted.exlibrisgroup.com/primo-explore/search?tab=default_tab&amp;search_scope=EVERYTHING&amp;vid=01CRU&amp;lang=en_US&amp;offset=0&amp;query=any,contains,991001040129702656","Catalog Record")</f>
        <v>Catalog Record</v>
      </c>
      <c r="AV218" s="5" t="str">
        <f>HYPERLINK("http://www.worldcat.org/oclc/11185521","WorldCat Record")</f>
        <v>WorldCat Record</v>
      </c>
      <c r="AW218" s="2" t="s">
        <v>2816</v>
      </c>
      <c r="AX218" s="2" t="s">
        <v>2817</v>
      </c>
      <c r="AY218" s="2" t="s">
        <v>2818</v>
      </c>
      <c r="AZ218" s="2" t="s">
        <v>2818</v>
      </c>
      <c r="BA218" s="2" t="s">
        <v>2819</v>
      </c>
      <c r="BB218" s="2" t="s">
        <v>21</v>
      </c>
      <c r="BD218" s="2" t="s">
        <v>2820</v>
      </c>
      <c r="BE218" s="2" t="s">
        <v>2821</v>
      </c>
      <c r="BF218" s="2" t="s">
        <v>2822</v>
      </c>
    </row>
    <row r="219" spans="1:58" ht="41.25" customHeight="1" x14ac:dyDescent="0.25">
      <c r="A219" s="8" t="s">
        <v>5</v>
      </c>
      <c r="B219" s="1" t="s">
        <v>0</v>
      </c>
      <c r="C219" s="1" t="s">
        <v>1</v>
      </c>
      <c r="D219" s="1" t="s">
        <v>2823</v>
      </c>
      <c r="E219" s="1" t="s">
        <v>2824</v>
      </c>
      <c r="F219" s="1" t="s">
        <v>2825</v>
      </c>
      <c r="H219" s="2" t="s">
        <v>5</v>
      </c>
      <c r="I219" s="2" t="s">
        <v>6</v>
      </c>
      <c r="J219" s="2" t="s">
        <v>5</v>
      </c>
      <c r="K219" s="2" t="s">
        <v>5</v>
      </c>
      <c r="L219" s="2" t="s">
        <v>7</v>
      </c>
      <c r="M219" s="1" t="s">
        <v>2813</v>
      </c>
      <c r="N219" s="1" t="s">
        <v>2826</v>
      </c>
      <c r="O219" s="2" t="s">
        <v>62</v>
      </c>
      <c r="Q219" s="2" t="s">
        <v>11</v>
      </c>
      <c r="R219" s="2" t="s">
        <v>12</v>
      </c>
      <c r="S219" s="1" t="s">
        <v>2827</v>
      </c>
      <c r="T219" s="2" t="s">
        <v>520</v>
      </c>
      <c r="U219" s="3">
        <v>5</v>
      </c>
      <c r="V219" s="3">
        <v>5</v>
      </c>
      <c r="W219" s="4" t="s">
        <v>2828</v>
      </c>
      <c r="X219" s="4" t="s">
        <v>2828</v>
      </c>
      <c r="Y219" s="4" t="s">
        <v>49</v>
      </c>
      <c r="Z219" s="4" t="s">
        <v>49</v>
      </c>
      <c r="AA219" s="3">
        <v>198</v>
      </c>
      <c r="AB219" s="3">
        <v>156</v>
      </c>
      <c r="AC219" s="3">
        <v>409</v>
      </c>
      <c r="AD219" s="3">
        <v>3</v>
      </c>
      <c r="AE219" s="3">
        <v>5</v>
      </c>
      <c r="AF219" s="3">
        <v>6</v>
      </c>
      <c r="AG219" s="3">
        <v>20</v>
      </c>
      <c r="AH219" s="3">
        <v>1</v>
      </c>
      <c r="AI219" s="3">
        <v>5</v>
      </c>
      <c r="AJ219" s="3">
        <v>0</v>
      </c>
      <c r="AK219" s="3">
        <v>5</v>
      </c>
      <c r="AL219" s="3">
        <v>5</v>
      </c>
      <c r="AM219" s="3">
        <v>11</v>
      </c>
      <c r="AN219" s="3">
        <v>1</v>
      </c>
      <c r="AO219" s="3">
        <v>3</v>
      </c>
      <c r="AP219" s="3">
        <v>0</v>
      </c>
      <c r="AQ219" s="3">
        <v>0</v>
      </c>
      <c r="AR219" s="2" t="s">
        <v>5</v>
      </c>
      <c r="AS219" s="2" t="s">
        <v>16</v>
      </c>
      <c r="AT219" s="5" t="str">
        <f>HYPERLINK("http://catalog.hathitrust.org/Record/000138230","HathiTrust Record")</f>
        <v>HathiTrust Record</v>
      </c>
      <c r="AU219" s="5" t="str">
        <f>HYPERLINK("https://creighton-primo.hosted.exlibrisgroup.com/primo-explore/search?tab=default_tab&amp;search_scope=EVERYTHING&amp;vid=01CRU&amp;lang=en_US&amp;offset=0&amp;query=any,contains,991001039809702656","Catalog Record")</f>
        <v>Catalog Record</v>
      </c>
      <c r="AV219" s="5" t="str">
        <f>HYPERLINK("http://www.worldcat.org/oclc/3771035","WorldCat Record")</f>
        <v>WorldCat Record</v>
      </c>
      <c r="AW219" s="2" t="s">
        <v>2829</v>
      </c>
      <c r="AX219" s="2" t="s">
        <v>2830</v>
      </c>
      <c r="AY219" s="2" t="s">
        <v>2831</v>
      </c>
      <c r="AZ219" s="2" t="s">
        <v>2831</v>
      </c>
      <c r="BA219" s="2" t="s">
        <v>2832</v>
      </c>
      <c r="BB219" s="2" t="s">
        <v>21</v>
      </c>
      <c r="BD219" s="2" t="s">
        <v>2833</v>
      </c>
      <c r="BE219" s="2" t="s">
        <v>2834</v>
      </c>
      <c r="BF219" s="2" t="s">
        <v>2835</v>
      </c>
    </row>
    <row r="220" spans="1:58" ht="41.25" customHeight="1" x14ac:dyDescent="0.25">
      <c r="A220" s="8" t="s">
        <v>5</v>
      </c>
      <c r="B220" s="1" t="s">
        <v>0</v>
      </c>
      <c r="C220" s="1" t="s">
        <v>1</v>
      </c>
      <c r="D220" s="1" t="s">
        <v>2836</v>
      </c>
      <c r="E220" s="1" t="s">
        <v>2837</v>
      </c>
      <c r="F220" s="1" t="s">
        <v>2838</v>
      </c>
      <c r="H220" s="2" t="s">
        <v>5</v>
      </c>
      <c r="I220" s="2" t="s">
        <v>6</v>
      </c>
      <c r="J220" s="2" t="s">
        <v>5</v>
      </c>
      <c r="K220" s="2" t="s">
        <v>5</v>
      </c>
      <c r="L220" s="2" t="s">
        <v>7</v>
      </c>
      <c r="M220" s="1" t="s">
        <v>2839</v>
      </c>
      <c r="N220" s="1" t="s">
        <v>2840</v>
      </c>
      <c r="O220" s="2" t="s">
        <v>872</v>
      </c>
      <c r="Q220" s="2" t="s">
        <v>11</v>
      </c>
      <c r="R220" s="2" t="s">
        <v>12</v>
      </c>
      <c r="S220" s="1" t="s">
        <v>2841</v>
      </c>
      <c r="T220" s="2" t="s">
        <v>520</v>
      </c>
      <c r="U220" s="3">
        <v>5</v>
      </c>
      <c r="V220" s="3">
        <v>5</v>
      </c>
      <c r="W220" s="4" t="s">
        <v>2842</v>
      </c>
      <c r="X220" s="4" t="s">
        <v>2842</v>
      </c>
      <c r="Y220" s="4" t="s">
        <v>2843</v>
      </c>
      <c r="Z220" s="4" t="s">
        <v>2843</v>
      </c>
      <c r="AA220" s="3">
        <v>248</v>
      </c>
      <c r="AB220" s="3">
        <v>211</v>
      </c>
      <c r="AC220" s="3">
        <v>218</v>
      </c>
      <c r="AD220" s="3">
        <v>1</v>
      </c>
      <c r="AE220" s="3">
        <v>1</v>
      </c>
      <c r="AF220" s="3">
        <v>12</v>
      </c>
      <c r="AG220" s="3">
        <v>12</v>
      </c>
      <c r="AH220" s="3">
        <v>3</v>
      </c>
      <c r="AI220" s="3">
        <v>3</v>
      </c>
      <c r="AJ220" s="3">
        <v>4</v>
      </c>
      <c r="AK220" s="3">
        <v>4</v>
      </c>
      <c r="AL220" s="3">
        <v>7</v>
      </c>
      <c r="AM220" s="3">
        <v>7</v>
      </c>
      <c r="AN220" s="3">
        <v>0</v>
      </c>
      <c r="AO220" s="3">
        <v>0</v>
      </c>
      <c r="AP220" s="3">
        <v>0</v>
      </c>
      <c r="AQ220" s="3">
        <v>0</v>
      </c>
      <c r="AR220" s="2" t="s">
        <v>5</v>
      </c>
      <c r="AS220" s="2" t="s">
        <v>16</v>
      </c>
      <c r="AT220" s="5" t="str">
        <f>HYPERLINK("http://catalog.hathitrust.org/Record/002506880","HathiTrust Record")</f>
        <v>HathiTrust Record</v>
      </c>
      <c r="AU220" s="5" t="str">
        <f>HYPERLINK("https://creighton-primo.hosted.exlibrisgroup.com/primo-explore/search?tab=default_tab&amp;search_scope=EVERYTHING&amp;vid=01CRU&amp;lang=en_US&amp;offset=0&amp;query=any,contains,991001321519702656","Catalog Record")</f>
        <v>Catalog Record</v>
      </c>
      <c r="AV220" s="5" t="str">
        <f>HYPERLINK("http://www.worldcat.org/oclc/22544342","WorldCat Record")</f>
        <v>WorldCat Record</v>
      </c>
      <c r="AW220" s="2" t="s">
        <v>2844</v>
      </c>
      <c r="AX220" s="2" t="s">
        <v>2845</v>
      </c>
      <c r="AY220" s="2" t="s">
        <v>2846</v>
      </c>
      <c r="AZ220" s="2" t="s">
        <v>2846</v>
      </c>
      <c r="BA220" s="2" t="s">
        <v>2847</v>
      </c>
      <c r="BB220" s="2" t="s">
        <v>21</v>
      </c>
      <c r="BD220" s="2" t="s">
        <v>2848</v>
      </c>
      <c r="BE220" s="2" t="s">
        <v>2849</v>
      </c>
      <c r="BF220" s="2" t="s">
        <v>2850</v>
      </c>
    </row>
    <row r="221" spans="1:58" ht="41.25" customHeight="1" x14ac:dyDescent="0.25">
      <c r="A221" s="8" t="s">
        <v>5</v>
      </c>
      <c r="B221" s="1" t="s">
        <v>0</v>
      </c>
      <c r="C221" s="1" t="s">
        <v>1</v>
      </c>
      <c r="D221" s="1" t="s">
        <v>2851</v>
      </c>
      <c r="E221" s="1" t="s">
        <v>2852</v>
      </c>
      <c r="F221" s="1" t="s">
        <v>2853</v>
      </c>
      <c r="H221" s="2" t="s">
        <v>5</v>
      </c>
      <c r="I221" s="2" t="s">
        <v>6</v>
      </c>
      <c r="J221" s="2" t="s">
        <v>5</v>
      </c>
      <c r="K221" s="2" t="s">
        <v>5</v>
      </c>
      <c r="L221" s="2" t="s">
        <v>7</v>
      </c>
      <c r="N221" s="1" t="s">
        <v>518</v>
      </c>
      <c r="O221" s="2" t="s">
        <v>354</v>
      </c>
      <c r="Q221" s="2" t="s">
        <v>11</v>
      </c>
      <c r="R221" s="2" t="s">
        <v>426</v>
      </c>
      <c r="S221" s="1" t="s">
        <v>2854</v>
      </c>
      <c r="T221" s="2" t="s">
        <v>520</v>
      </c>
      <c r="U221" s="3">
        <v>1</v>
      </c>
      <c r="V221" s="3">
        <v>1</v>
      </c>
      <c r="W221" s="4" t="s">
        <v>2072</v>
      </c>
      <c r="X221" s="4" t="s">
        <v>2072</v>
      </c>
      <c r="Y221" s="4" t="s">
        <v>1591</v>
      </c>
      <c r="Z221" s="4" t="s">
        <v>1591</v>
      </c>
      <c r="AA221" s="3">
        <v>27</v>
      </c>
      <c r="AB221" s="3">
        <v>26</v>
      </c>
      <c r="AC221" s="3">
        <v>26</v>
      </c>
      <c r="AD221" s="3">
        <v>1</v>
      </c>
      <c r="AE221" s="3">
        <v>1</v>
      </c>
      <c r="AF221" s="3">
        <v>2</v>
      </c>
      <c r="AG221" s="3">
        <v>2</v>
      </c>
      <c r="AH221" s="3">
        <v>0</v>
      </c>
      <c r="AI221" s="3">
        <v>0</v>
      </c>
      <c r="AJ221" s="3">
        <v>0</v>
      </c>
      <c r="AK221" s="3">
        <v>0</v>
      </c>
      <c r="AL221" s="3">
        <v>2</v>
      </c>
      <c r="AM221" s="3">
        <v>2</v>
      </c>
      <c r="AN221" s="3">
        <v>0</v>
      </c>
      <c r="AO221" s="3">
        <v>0</v>
      </c>
      <c r="AP221" s="3">
        <v>0</v>
      </c>
      <c r="AQ221" s="3">
        <v>0</v>
      </c>
      <c r="AR221" s="2" t="s">
        <v>5</v>
      </c>
      <c r="AS221" s="2" t="s">
        <v>5</v>
      </c>
      <c r="AU221" s="5" t="str">
        <f>HYPERLINK("https://creighton-primo.hosted.exlibrisgroup.com/primo-explore/search?tab=default_tab&amp;search_scope=EVERYTHING&amp;vid=01CRU&amp;lang=en_US&amp;offset=0&amp;query=any,contains,991001373089702656","Catalog Record")</f>
        <v>Catalog Record</v>
      </c>
      <c r="AV221" s="5" t="str">
        <f>HYPERLINK("http://www.worldcat.org/oclc/7776724","WorldCat Record")</f>
        <v>WorldCat Record</v>
      </c>
      <c r="AW221" s="2" t="s">
        <v>2855</v>
      </c>
      <c r="AX221" s="2" t="s">
        <v>2856</v>
      </c>
      <c r="AY221" s="2" t="s">
        <v>2857</v>
      </c>
      <c r="AZ221" s="2" t="s">
        <v>2857</v>
      </c>
      <c r="BA221" s="2" t="s">
        <v>2858</v>
      </c>
      <c r="BB221" s="2" t="s">
        <v>21</v>
      </c>
      <c r="BE221" s="2" t="s">
        <v>2859</v>
      </c>
      <c r="BF221" s="2" t="s">
        <v>2860</v>
      </c>
    </row>
    <row r="222" spans="1:58" ht="41.25" customHeight="1" x14ac:dyDescent="0.25">
      <c r="A222" s="8" t="s">
        <v>5</v>
      </c>
      <c r="B222" s="1" t="s">
        <v>0</v>
      </c>
      <c r="C222" s="1" t="s">
        <v>1</v>
      </c>
      <c r="D222" s="1" t="s">
        <v>2861</v>
      </c>
      <c r="E222" s="1" t="s">
        <v>2862</v>
      </c>
      <c r="F222" s="1" t="s">
        <v>2863</v>
      </c>
      <c r="H222" s="2" t="s">
        <v>5</v>
      </c>
      <c r="I222" s="2" t="s">
        <v>6</v>
      </c>
      <c r="J222" s="2" t="s">
        <v>5</v>
      </c>
      <c r="K222" s="2" t="s">
        <v>5</v>
      </c>
      <c r="L222" s="2" t="s">
        <v>7</v>
      </c>
      <c r="N222" s="1" t="s">
        <v>2272</v>
      </c>
      <c r="O222" s="2" t="s">
        <v>354</v>
      </c>
      <c r="Q222" s="2" t="s">
        <v>11</v>
      </c>
      <c r="R222" s="2" t="s">
        <v>426</v>
      </c>
      <c r="S222" s="1" t="s">
        <v>2864</v>
      </c>
      <c r="T222" s="2" t="s">
        <v>520</v>
      </c>
      <c r="U222" s="3">
        <v>1</v>
      </c>
      <c r="V222" s="3">
        <v>1</v>
      </c>
      <c r="W222" s="4" t="s">
        <v>2072</v>
      </c>
      <c r="X222" s="4" t="s">
        <v>2072</v>
      </c>
      <c r="Y222" s="4" t="s">
        <v>1591</v>
      </c>
      <c r="Z222" s="4" t="s">
        <v>1591</v>
      </c>
      <c r="AA222" s="3">
        <v>95</v>
      </c>
      <c r="AB222" s="3">
        <v>83</v>
      </c>
      <c r="AC222" s="3">
        <v>85</v>
      </c>
      <c r="AD222" s="3">
        <v>2</v>
      </c>
      <c r="AE222" s="3">
        <v>2</v>
      </c>
      <c r="AF222" s="3">
        <v>5</v>
      </c>
      <c r="AG222" s="3">
        <v>5</v>
      </c>
      <c r="AH222" s="3">
        <v>1</v>
      </c>
      <c r="AI222" s="3">
        <v>1</v>
      </c>
      <c r="AJ222" s="3">
        <v>0</v>
      </c>
      <c r="AK222" s="3">
        <v>0</v>
      </c>
      <c r="AL222" s="3">
        <v>3</v>
      </c>
      <c r="AM222" s="3">
        <v>3</v>
      </c>
      <c r="AN222" s="3">
        <v>1</v>
      </c>
      <c r="AO222" s="3">
        <v>1</v>
      </c>
      <c r="AP222" s="3">
        <v>0</v>
      </c>
      <c r="AQ222" s="3">
        <v>0</v>
      </c>
      <c r="AR222" s="2" t="s">
        <v>5</v>
      </c>
      <c r="AS222" s="2" t="s">
        <v>16</v>
      </c>
      <c r="AT222" s="5" t="str">
        <f>HYPERLINK("http://catalog.hathitrust.org/Record/002506611","HathiTrust Record")</f>
        <v>HathiTrust Record</v>
      </c>
      <c r="AU222" s="5" t="str">
        <f>HYPERLINK("https://creighton-primo.hosted.exlibrisgroup.com/primo-explore/search?tab=default_tab&amp;search_scope=EVERYTHING&amp;vid=01CRU&amp;lang=en_US&amp;offset=0&amp;query=any,contains,991001371559702656","Catalog Record")</f>
        <v>Catalog Record</v>
      </c>
      <c r="AV222" s="5" t="str">
        <f>HYPERLINK("http://www.worldcat.org/oclc/7693874","WorldCat Record")</f>
        <v>WorldCat Record</v>
      </c>
      <c r="AW222" s="2" t="s">
        <v>2865</v>
      </c>
      <c r="AX222" s="2" t="s">
        <v>2866</v>
      </c>
      <c r="AY222" s="2" t="s">
        <v>2867</v>
      </c>
      <c r="AZ222" s="2" t="s">
        <v>2867</v>
      </c>
      <c r="BA222" s="2" t="s">
        <v>2868</v>
      </c>
      <c r="BB222" s="2" t="s">
        <v>21</v>
      </c>
      <c r="BE222" s="2" t="s">
        <v>2869</v>
      </c>
      <c r="BF222" s="2" t="s">
        <v>2870</v>
      </c>
    </row>
    <row r="223" spans="1:58" ht="41.25" customHeight="1" x14ac:dyDescent="0.25">
      <c r="A223" s="8" t="s">
        <v>5</v>
      </c>
      <c r="B223" s="1" t="s">
        <v>0</v>
      </c>
      <c r="C223" s="1" t="s">
        <v>1</v>
      </c>
      <c r="D223" s="1" t="s">
        <v>2871</v>
      </c>
      <c r="E223" s="1" t="s">
        <v>2872</v>
      </c>
      <c r="F223" s="1" t="s">
        <v>2873</v>
      </c>
      <c r="H223" s="2" t="s">
        <v>5</v>
      </c>
      <c r="I223" s="2" t="s">
        <v>6</v>
      </c>
      <c r="J223" s="2" t="s">
        <v>5</v>
      </c>
      <c r="K223" s="2" t="s">
        <v>5</v>
      </c>
      <c r="L223" s="2" t="s">
        <v>7</v>
      </c>
      <c r="N223" s="1" t="s">
        <v>2334</v>
      </c>
      <c r="O223" s="2" t="s">
        <v>1339</v>
      </c>
      <c r="Q223" s="2" t="s">
        <v>11</v>
      </c>
      <c r="R223" s="2" t="s">
        <v>12</v>
      </c>
      <c r="S223" s="1" t="s">
        <v>2874</v>
      </c>
      <c r="T223" s="2" t="s">
        <v>520</v>
      </c>
      <c r="U223" s="3">
        <v>4</v>
      </c>
      <c r="V223" s="3">
        <v>4</v>
      </c>
      <c r="W223" s="4" t="s">
        <v>2875</v>
      </c>
      <c r="X223" s="4" t="s">
        <v>2875</v>
      </c>
      <c r="Y223" s="4" t="s">
        <v>2876</v>
      </c>
      <c r="Z223" s="4" t="s">
        <v>2876</v>
      </c>
      <c r="AA223" s="3">
        <v>218</v>
      </c>
      <c r="AB223" s="3">
        <v>197</v>
      </c>
      <c r="AC223" s="3">
        <v>204</v>
      </c>
      <c r="AD223" s="3">
        <v>4</v>
      </c>
      <c r="AE223" s="3">
        <v>4</v>
      </c>
      <c r="AF223" s="3">
        <v>13</v>
      </c>
      <c r="AG223" s="3">
        <v>13</v>
      </c>
      <c r="AH223" s="3">
        <v>5</v>
      </c>
      <c r="AI223" s="3">
        <v>5</v>
      </c>
      <c r="AJ223" s="3">
        <v>2</v>
      </c>
      <c r="AK223" s="3">
        <v>2</v>
      </c>
      <c r="AL223" s="3">
        <v>7</v>
      </c>
      <c r="AM223" s="3">
        <v>7</v>
      </c>
      <c r="AN223" s="3">
        <v>2</v>
      </c>
      <c r="AO223" s="3">
        <v>2</v>
      </c>
      <c r="AP223" s="3">
        <v>0</v>
      </c>
      <c r="AQ223" s="3">
        <v>0</v>
      </c>
      <c r="AR223" s="2" t="s">
        <v>5</v>
      </c>
      <c r="AS223" s="2" t="s">
        <v>16</v>
      </c>
      <c r="AT223" s="5" t="str">
        <f>HYPERLINK("http://catalog.hathitrust.org/Record/002506696","HathiTrust Record")</f>
        <v>HathiTrust Record</v>
      </c>
      <c r="AU223" s="5" t="str">
        <f>HYPERLINK("https://creighton-primo.hosted.exlibrisgroup.com/primo-explore/search?tab=default_tab&amp;search_scope=EVERYTHING&amp;vid=01CRU&amp;lang=en_US&amp;offset=0&amp;query=any,contains,991001536989702656","Catalog Record")</f>
        <v>Catalog Record</v>
      </c>
      <c r="AV223" s="5" t="str">
        <f>HYPERLINK("http://www.worldcat.org/oclc/15788330","WorldCat Record")</f>
        <v>WorldCat Record</v>
      </c>
      <c r="AW223" s="2" t="s">
        <v>2877</v>
      </c>
      <c r="AX223" s="2" t="s">
        <v>2878</v>
      </c>
      <c r="AY223" s="2" t="s">
        <v>2879</v>
      </c>
      <c r="AZ223" s="2" t="s">
        <v>2879</v>
      </c>
      <c r="BA223" s="2" t="s">
        <v>2880</v>
      </c>
      <c r="BB223" s="2" t="s">
        <v>21</v>
      </c>
      <c r="BD223" s="2" t="s">
        <v>2881</v>
      </c>
      <c r="BE223" s="2" t="s">
        <v>2882</v>
      </c>
      <c r="BF223" s="2" t="s">
        <v>2883</v>
      </c>
    </row>
    <row r="224" spans="1:58" ht="41.25" customHeight="1" x14ac:dyDescent="0.25">
      <c r="A224" s="8" t="s">
        <v>5</v>
      </c>
      <c r="B224" s="1" t="s">
        <v>0</v>
      </c>
      <c r="C224" s="1" t="s">
        <v>1</v>
      </c>
      <c r="D224" s="1" t="s">
        <v>2884</v>
      </c>
      <c r="E224" s="1" t="s">
        <v>2885</v>
      </c>
      <c r="F224" s="1" t="s">
        <v>2886</v>
      </c>
      <c r="H224" s="2" t="s">
        <v>5</v>
      </c>
      <c r="I224" s="2" t="s">
        <v>6</v>
      </c>
      <c r="J224" s="2" t="s">
        <v>5</v>
      </c>
      <c r="K224" s="2" t="s">
        <v>5</v>
      </c>
      <c r="L224" s="2" t="s">
        <v>7</v>
      </c>
      <c r="N224" s="1" t="s">
        <v>2887</v>
      </c>
      <c r="O224" s="2" t="s">
        <v>10</v>
      </c>
      <c r="Q224" s="2" t="s">
        <v>11</v>
      </c>
      <c r="R224" s="2" t="s">
        <v>12</v>
      </c>
      <c r="S224" s="1" t="s">
        <v>2888</v>
      </c>
      <c r="T224" s="2" t="s">
        <v>520</v>
      </c>
      <c r="U224" s="3">
        <v>1</v>
      </c>
      <c r="V224" s="3">
        <v>1</v>
      </c>
      <c r="W224" s="4" t="s">
        <v>2715</v>
      </c>
      <c r="X224" s="4" t="s">
        <v>2715</v>
      </c>
      <c r="Y224" s="4" t="s">
        <v>2579</v>
      </c>
      <c r="Z224" s="4" t="s">
        <v>2579</v>
      </c>
      <c r="AA224" s="3">
        <v>117</v>
      </c>
      <c r="AB224" s="3">
        <v>105</v>
      </c>
      <c r="AC224" s="3">
        <v>107</v>
      </c>
      <c r="AD224" s="3">
        <v>3</v>
      </c>
      <c r="AE224" s="3">
        <v>3</v>
      </c>
      <c r="AF224" s="3">
        <v>6</v>
      </c>
      <c r="AG224" s="3">
        <v>6</v>
      </c>
      <c r="AH224" s="3">
        <v>0</v>
      </c>
      <c r="AI224" s="3">
        <v>0</v>
      </c>
      <c r="AJ224" s="3">
        <v>1</v>
      </c>
      <c r="AK224" s="3">
        <v>1</v>
      </c>
      <c r="AL224" s="3">
        <v>5</v>
      </c>
      <c r="AM224" s="3">
        <v>5</v>
      </c>
      <c r="AN224" s="3">
        <v>1</v>
      </c>
      <c r="AO224" s="3">
        <v>1</v>
      </c>
      <c r="AP224" s="3">
        <v>0</v>
      </c>
      <c r="AQ224" s="3">
        <v>0</v>
      </c>
      <c r="AR224" s="2" t="s">
        <v>5</v>
      </c>
      <c r="AS224" s="2" t="s">
        <v>16</v>
      </c>
      <c r="AT224" s="5" t="str">
        <f>HYPERLINK("http://catalog.hathitrust.org/Record/000019346","HathiTrust Record")</f>
        <v>HathiTrust Record</v>
      </c>
      <c r="AU224" s="5" t="str">
        <f>HYPERLINK("https://creighton-primo.hosted.exlibrisgroup.com/primo-explore/search?tab=default_tab&amp;search_scope=EVERYTHING&amp;vid=01CRU&amp;lang=en_US&amp;offset=0&amp;query=any,contains,991001363499702656","Catalog Record")</f>
        <v>Catalog Record</v>
      </c>
      <c r="AV224" s="5" t="str">
        <f>HYPERLINK("http://www.worldcat.org/oclc/2738944","WorldCat Record")</f>
        <v>WorldCat Record</v>
      </c>
      <c r="AW224" s="2" t="s">
        <v>2889</v>
      </c>
      <c r="AX224" s="2" t="s">
        <v>2890</v>
      </c>
      <c r="AY224" s="2" t="s">
        <v>2891</v>
      </c>
      <c r="AZ224" s="2" t="s">
        <v>2891</v>
      </c>
      <c r="BA224" s="2" t="s">
        <v>2892</v>
      </c>
      <c r="BB224" s="2" t="s">
        <v>21</v>
      </c>
      <c r="BE224" s="2" t="s">
        <v>2893</v>
      </c>
      <c r="BF224" s="2" t="s">
        <v>2894</v>
      </c>
    </row>
    <row r="225" spans="1:58" ht="41.25" customHeight="1" x14ac:dyDescent="0.25">
      <c r="A225" s="8" t="s">
        <v>5</v>
      </c>
      <c r="B225" s="1" t="s">
        <v>0</v>
      </c>
      <c r="C225" s="1" t="s">
        <v>1</v>
      </c>
      <c r="D225" s="1" t="s">
        <v>2895</v>
      </c>
      <c r="E225" s="1" t="s">
        <v>2896</v>
      </c>
      <c r="F225" s="1" t="s">
        <v>2897</v>
      </c>
      <c r="H225" s="2" t="s">
        <v>5</v>
      </c>
      <c r="I225" s="2" t="s">
        <v>6</v>
      </c>
      <c r="J225" s="2" t="s">
        <v>5</v>
      </c>
      <c r="K225" s="2" t="s">
        <v>5</v>
      </c>
      <c r="L225" s="2" t="s">
        <v>7</v>
      </c>
      <c r="N225" s="1" t="s">
        <v>1220</v>
      </c>
      <c r="O225" s="2" t="s">
        <v>62</v>
      </c>
      <c r="Q225" s="2" t="s">
        <v>11</v>
      </c>
      <c r="R225" s="2" t="s">
        <v>12</v>
      </c>
      <c r="S225" s="1" t="s">
        <v>2898</v>
      </c>
      <c r="T225" s="2" t="s">
        <v>520</v>
      </c>
      <c r="U225" s="3">
        <v>4</v>
      </c>
      <c r="V225" s="3">
        <v>4</v>
      </c>
      <c r="W225" s="4" t="s">
        <v>2659</v>
      </c>
      <c r="X225" s="4" t="s">
        <v>2659</v>
      </c>
      <c r="Y225" s="4" t="s">
        <v>2632</v>
      </c>
      <c r="Z225" s="4" t="s">
        <v>2632</v>
      </c>
      <c r="AA225" s="3">
        <v>90</v>
      </c>
      <c r="AB225" s="3">
        <v>81</v>
      </c>
      <c r="AC225" s="3">
        <v>83</v>
      </c>
      <c r="AD225" s="3">
        <v>2</v>
      </c>
      <c r="AE225" s="3">
        <v>2</v>
      </c>
      <c r="AF225" s="3">
        <v>1</v>
      </c>
      <c r="AG225" s="3">
        <v>1</v>
      </c>
      <c r="AH225" s="3">
        <v>0</v>
      </c>
      <c r="AI225" s="3">
        <v>0</v>
      </c>
      <c r="AJ225" s="3">
        <v>0</v>
      </c>
      <c r="AK225" s="3">
        <v>0</v>
      </c>
      <c r="AL225" s="3">
        <v>1</v>
      </c>
      <c r="AM225" s="3">
        <v>1</v>
      </c>
      <c r="AN225" s="3">
        <v>0</v>
      </c>
      <c r="AO225" s="3">
        <v>0</v>
      </c>
      <c r="AP225" s="3">
        <v>0</v>
      </c>
      <c r="AQ225" s="3">
        <v>0</v>
      </c>
      <c r="AR225" s="2" t="s">
        <v>5</v>
      </c>
      <c r="AS225" s="2" t="s">
        <v>16</v>
      </c>
      <c r="AT225" s="5" t="str">
        <f>HYPERLINK("http://catalog.hathitrust.org/Record/000703960","HathiTrust Record")</f>
        <v>HathiTrust Record</v>
      </c>
      <c r="AU225" s="5" t="str">
        <f>HYPERLINK("https://creighton-primo.hosted.exlibrisgroup.com/primo-explore/search?tab=default_tab&amp;search_scope=EVERYTHING&amp;vid=01CRU&amp;lang=en_US&amp;offset=0&amp;query=any,contains,991001388299702656","Catalog Record")</f>
        <v>Catalog Record</v>
      </c>
      <c r="AV225" s="5" t="str">
        <f>HYPERLINK("http://www.worldcat.org/oclc/3972961","WorldCat Record")</f>
        <v>WorldCat Record</v>
      </c>
      <c r="AW225" s="2" t="s">
        <v>2899</v>
      </c>
      <c r="AX225" s="2" t="s">
        <v>2900</v>
      </c>
      <c r="AY225" s="2" t="s">
        <v>2901</v>
      </c>
      <c r="AZ225" s="2" t="s">
        <v>2901</v>
      </c>
      <c r="BA225" s="2" t="s">
        <v>2902</v>
      </c>
      <c r="BB225" s="2" t="s">
        <v>21</v>
      </c>
      <c r="BE225" s="2" t="s">
        <v>2903</v>
      </c>
      <c r="BF225" s="2" t="s">
        <v>2904</v>
      </c>
    </row>
    <row r="226" spans="1:58" ht="41.25" customHeight="1" x14ac:dyDescent="0.25">
      <c r="A226" s="8" t="s">
        <v>5</v>
      </c>
      <c r="B226" s="1" t="s">
        <v>0</v>
      </c>
      <c r="C226" s="1" t="s">
        <v>1</v>
      </c>
      <c r="D226" s="1" t="s">
        <v>2905</v>
      </c>
      <c r="E226" s="1" t="s">
        <v>2906</v>
      </c>
      <c r="F226" s="1" t="s">
        <v>2907</v>
      </c>
      <c r="H226" s="2" t="s">
        <v>5</v>
      </c>
      <c r="I226" s="2" t="s">
        <v>6</v>
      </c>
      <c r="J226" s="2" t="s">
        <v>5</v>
      </c>
      <c r="K226" s="2" t="s">
        <v>5</v>
      </c>
      <c r="L226" s="2" t="s">
        <v>7</v>
      </c>
      <c r="N226" s="1" t="s">
        <v>1403</v>
      </c>
      <c r="O226" s="2" t="s">
        <v>285</v>
      </c>
      <c r="Q226" s="2" t="s">
        <v>11</v>
      </c>
      <c r="R226" s="2" t="s">
        <v>12</v>
      </c>
      <c r="S226" s="1" t="s">
        <v>2908</v>
      </c>
      <c r="T226" s="2" t="s">
        <v>520</v>
      </c>
      <c r="U226" s="3">
        <v>2</v>
      </c>
      <c r="V226" s="3">
        <v>2</v>
      </c>
      <c r="W226" s="4" t="s">
        <v>1405</v>
      </c>
      <c r="X226" s="4" t="s">
        <v>1405</v>
      </c>
      <c r="Y226" s="4" t="s">
        <v>1249</v>
      </c>
      <c r="Z226" s="4" t="s">
        <v>1249</v>
      </c>
      <c r="AA226" s="3">
        <v>117</v>
      </c>
      <c r="AB226" s="3">
        <v>106</v>
      </c>
      <c r="AC226" s="3">
        <v>108</v>
      </c>
      <c r="AD226" s="3">
        <v>2</v>
      </c>
      <c r="AE226" s="3">
        <v>2</v>
      </c>
      <c r="AF226" s="3">
        <v>4</v>
      </c>
      <c r="AG226" s="3">
        <v>4</v>
      </c>
      <c r="AH226" s="3">
        <v>0</v>
      </c>
      <c r="AI226" s="3">
        <v>0</v>
      </c>
      <c r="AJ226" s="3">
        <v>0</v>
      </c>
      <c r="AK226" s="3">
        <v>0</v>
      </c>
      <c r="AL226" s="3">
        <v>3</v>
      </c>
      <c r="AM226" s="3">
        <v>3</v>
      </c>
      <c r="AN226" s="3">
        <v>0</v>
      </c>
      <c r="AO226" s="3">
        <v>0</v>
      </c>
      <c r="AP226" s="3">
        <v>1</v>
      </c>
      <c r="AQ226" s="3">
        <v>1</v>
      </c>
      <c r="AR226" s="2" t="s">
        <v>5</v>
      </c>
      <c r="AS226" s="2" t="s">
        <v>16</v>
      </c>
      <c r="AT226" s="5" t="str">
        <f>HYPERLINK("http://catalog.hathitrust.org/Record/000302181","HathiTrust Record")</f>
        <v>HathiTrust Record</v>
      </c>
      <c r="AU226" s="5" t="str">
        <f>HYPERLINK("https://creighton-primo.hosted.exlibrisgroup.com/primo-explore/search?tab=default_tab&amp;search_scope=EVERYTHING&amp;vid=01CRU&amp;lang=en_US&amp;offset=0&amp;query=any,contains,991001388599702656","Catalog Record")</f>
        <v>Catalog Record</v>
      </c>
      <c r="AV226" s="5" t="str">
        <f>HYPERLINK("http://www.worldcat.org/oclc/5023534","WorldCat Record")</f>
        <v>WorldCat Record</v>
      </c>
      <c r="AW226" s="2" t="s">
        <v>2909</v>
      </c>
      <c r="AX226" s="2" t="s">
        <v>2910</v>
      </c>
      <c r="AY226" s="2" t="s">
        <v>2911</v>
      </c>
      <c r="AZ226" s="2" t="s">
        <v>2911</v>
      </c>
      <c r="BA226" s="2" t="s">
        <v>2912</v>
      </c>
      <c r="BB226" s="2" t="s">
        <v>21</v>
      </c>
      <c r="BE226" s="2" t="s">
        <v>2913</v>
      </c>
      <c r="BF226" s="2" t="s">
        <v>2914</v>
      </c>
    </row>
    <row r="227" spans="1:58" ht="41.25" customHeight="1" x14ac:dyDescent="0.25">
      <c r="A227" s="8" t="s">
        <v>5</v>
      </c>
      <c r="B227" s="1" t="s">
        <v>0</v>
      </c>
      <c r="C227" s="1" t="s">
        <v>1</v>
      </c>
      <c r="D227" s="1" t="s">
        <v>2915</v>
      </c>
      <c r="E227" s="1" t="s">
        <v>2916</v>
      </c>
      <c r="F227" s="1" t="s">
        <v>2917</v>
      </c>
      <c r="H227" s="2" t="s">
        <v>5</v>
      </c>
      <c r="I227" s="2" t="s">
        <v>6</v>
      </c>
      <c r="J227" s="2" t="s">
        <v>5</v>
      </c>
      <c r="K227" s="2" t="s">
        <v>5</v>
      </c>
      <c r="L227" s="2" t="s">
        <v>7</v>
      </c>
      <c r="N227" s="1" t="s">
        <v>2918</v>
      </c>
      <c r="O227" s="2" t="s">
        <v>151</v>
      </c>
      <c r="Q227" s="2" t="s">
        <v>11</v>
      </c>
      <c r="R227" s="2" t="s">
        <v>12</v>
      </c>
      <c r="S227" s="1" t="s">
        <v>2919</v>
      </c>
      <c r="T227" s="2" t="s">
        <v>520</v>
      </c>
      <c r="U227" s="3">
        <v>1</v>
      </c>
      <c r="V227" s="3">
        <v>1</v>
      </c>
      <c r="W227" s="4" t="s">
        <v>2715</v>
      </c>
      <c r="X227" s="4" t="s">
        <v>2715</v>
      </c>
      <c r="Y227" s="4" t="s">
        <v>124</v>
      </c>
      <c r="Z227" s="4" t="s">
        <v>124</v>
      </c>
      <c r="AA227" s="3">
        <v>60</v>
      </c>
      <c r="AB227" s="3">
        <v>55</v>
      </c>
      <c r="AC227" s="3">
        <v>57</v>
      </c>
      <c r="AD227" s="3">
        <v>2</v>
      </c>
      <c r="AE227" s="3">
        <v>2</v>
      </c>
      <c r="AF227" s="3">
        <v>2</v>
      </c>
      <c r="AG227" s="3">
        <v>2</v>
      </c>
      <c r="AH227" s="3">
        <v>0</v>
      </c>
      <c r="AI227" s="3">
        <v>0</v>
      </c>
      <c r="AJ227" s="3">
        <v>0</v>
      </c>
      <c r="AK227" s="3">
        <v>0</v>
      </c>
      <c r="AL227" s="3">
        <v>1</v>
      </c>
      <c r="AM227" s="3">
        <v>1</v>
      </c>
      <c r="AN227" s="3">
        <v>1</v>
      </c>
      <c r="AO227" s="3">
        <v>1</v>
      </c>
      <c r="AP227" s="3">
        <v>0</v>
      </c>
      <c r="AQ227" s="3">
        <v>0</v>
      </c>
      <c r="AR227" s="2" t="s">
        <v>5</v>
      </c>
      <c r="AS227" s="2" t="s">
        <v>16</v>
      </c>
      <c r="AT227" s="5" t="str">
        <f>HYPERLINK("http://catalog.hathitrust.org/Record/000040932","HathiTrust Record")</f>
        <v>HathiTrust Record</v>
      </c>
      <c r="AU227" s="5" t="str">
        <f>HYPERLINK("https://creighton-primo.hosted.exlibrisgroup.com/primo-explore/search?tab=default_tab&amp;search_scope=EVERYTHING&amp;vid=01CRU&amp;lang=en_US&amp;offset=0&amp;query=any,contains,991001368899702656","Catalog Record")</f>
        <v>Catalog Record</v>
      </c>
      <c r="AV227" s="5" t="str">
        <f>HYPERLINK("http://www.worldcat.org/oclc/1659939","WorldCat Record")</f>
        <v>WorldCat Record</v>
      </c>
      <c r="AW227" s="2" t="s">
        <v>2920</v>
      </c>
      <c r="AX227" s="2" t="s">
        <v>2921</v>
      </c>
      <c r="AY227" s="2" t="s">
        <v>2922</v>
      </c>
      <c r="AZ227" s="2" t="s">
        <v>2922</v>
      </c>
      <c r="BA227" s="2" t="s">
        <v>2923</v>
      </c>
      <c r="BB227" s="2" t="s">
        <v>21</v>
      </c>
      <c r="BE227" s="2" t="s">
        <v>2924</v>
      </c>
      <c r="BF227" s="2" t="s">
        <v>2925</v>
      </c>
    </row>
    <row r="228" spans="1:58" ht="41.25" customHeight="1" x14ac:dyDescent="0.25">
      <c r="A228" s="8" t="s">
        <v>5</v>
      </c>
      <c r="B228" s="1" t="s">
        <v>0</v>
      </c>
      <c r="C228" s="1" t="s">
        <v>1</v>
      </c>
      <c r="D228" s="1" t="s">
        <v>2926</v>
      </c>
      <c r="E228" s="1" t="s">
        <v>2927</v>
      </c>
      <c r="F228" s="1" t="s">
        <v>2928</v>
      </c>
      <c r="H228" s="2" t="s">
        <v>5</v>
      </c>
      <c r="I228" s="2" t="s">
        <v>6</v>
      </c>
      <c r="J228" s="2" t="s">
        <v>5</v>
      </c>
      <c r="K228" s="2" t="s">
        <v>5</v>
      </c>
      <c r="L228" s="2" t="s">
        <v>7</v>
      </c>
      <c r="N228" s="1" t="s">
        <v>2929</v>
      </c>
      <c r="O228" s="2" t="s">
        <v>382</v>
      </c>
      <c r="P228" s="1" t="s">
        <v>2930</v>
      </c>
      <c r="Q228" s="2" t="s">
        <v>11</v>
      </c>
      <c r="R228" s="2" t="s">
        <v>426</v>
      </c>
      <c r="T228" s="2" t="s">
        <v>520</v>
      </c>
      <c r="U228" s="3">
        <v>7</v>
      </c>
      <c r="V228" s="3">
        <v>7</v>
      </c>
      <c r="W228" s="4" t="s">
        <v>2931</v>
      </c>
      <c r="X228" s="4" t="s">
        <v>2931</v>
      </c>
      <c r="Y228" s="4" t="s">
        <v>168</v>
      </c>
      <c r="Z228" s="4" t="s">
        <v>168</v>
      </c>
      <c r="AA228" s="3">
        <v>204</v>
      </c>
      <c r="AB228" s="3">
        <v>171</v>
      </c>
      <c r="AC228" s="3">
        <v>173</v>
      </c>
      <c r="AD228" s="3">
        <v>2</v>
      </c>
      <c r="AE228" s="3">
        <v>2</v>
      </c>
      <c r="AF228" s="3">
        <v>1</v>
      </c>
      <c r="AG228" s="3">
        <v>1</v>
      </c>
      <c r="AH228" s="3">
        <v>0</v>
      </c>
      <c r="AI228" s="3">
        <v>0</v>
      </c>
      <c r="AJ228" s="3">
        <v>0</v>
      </c>
      <c r="AK228" s="3">
        <v>0</v>
      </c>
      <c r="AL228" s="3">
        <v>1</v>
      </c>
      <c r="AM228" s="3">
        <v>1</v>
      </c>
      <c r="AN228" s="3">
        <v>0</v>
      </c>
      <c r="AO228" s="3">
        <v>0</v>
      </c>
      <c r="AP228" s="3">
        <v>0</v>
      </c>
      <c r="AQ228" s="3">
        <v>0</v>
      </c>
      <c r="AR228" s="2" t="s">
        <v>5</v>
      </c>
      <c r="AS228" s="2" t="s">
        <v>16</v>
      </c>
      <c r="AT228" s="5" t="str">
        <f>HYPERLINK("http://catalog.hathitrust.org/Record/000460083","HathiTrust Record")</f>
        <v>HathiTrust Record</v>
      </c>
      <c r="AU228" s="5" t="str">
        <f>HYPERLINK("https://creighton-primo.hosted.exlibrisgroup.com/primo-explore/search?tab=default_tab&amp;search_scope=EVERYTHING&amp;vid=01CRU&amp;lang=en_US&amp;offset=0&amp;query=any,contains,991000923009702656","Catalog Record")</f>
        <v>Catalog Record</v>
      </c>
      <c r="AV228" s="5" t="str">
        <f>HYPERLINK("http://www.worldcat.org/oclc/11315663","WorldCat Record")</f>
        <v>WorldCat Record</v>
      </c>
      <c r="AW228" s="2" t="s">
        <v>2932</v>
      </c>
      <c r="AX228" s="2" t="s">
        <v>2933</v>
      </c>
      <c r="AY228" s="2" t="s">
        <v>2934</v>
      </c>
      <c r="AZ228" s="2" t="s">
        <v>2934</v>
      </c>
      <c r="BA228" s="2" t="s">
        <v>2935</v>
      </c>
      <c r="BB228" s="2" t="s">
        <v>21</v>
      </c>
      <c r="BD228" s="2" t="s">
        <v>2936</v>
      </c>
      <c r="BE228" s="2" t="s">
        <v>2937</v>
      </c>
      <c r="BF228" s="2" t="s">
        <v>2938</v>
      </c>
    </row>
    <row r="229" spans="1:58" ht="41.25" customHeight="1" x14ac:dyDescent="0.25">
      <c r="A229" s="8" t="s">
        <v>5</v>
      </c>
      <c r="B229" s="1" t="s">
        <v>0</v>
      </c>
      <c r="C229" s="1" t="s">
        <v>1</v>
      </c>
      <c r="D229" s="1" t="s">
        <v>2939</v>
      </c>
      <c r="E229" s="1" t="s">
        <v>2940</v>
      </c>
      <c r="F229" s="1" t="s">
        <v>2941</v>
      </c>
      <c r="G229" s="2" t="s">
        <v>2942</v>
      </c>
      <c r="H229" s="2" t="s">
        <v>5</v>
      </c>
      <c r="I229" s="2" t="s">
        <v>6</v>
      </c>
      <c r="J229" s="2" t="s">
        <v>5</v>
      </c>
      <c r="K229" s="2" t="s">
        <v>5</v>
      </c>
      <c r="L229" s="2" t="s">
        <v>7</v>
      </c>
      <c r="M229" s="1" t="s">
        <v>2943</v>
      </c>
      <c r="N229" s="1" t="s">
        <v>2944</v>
      </c>
      <c r="O229" s="2" t="s">
        <v>1102</v>
      </c>
      <c r="Q229" s="2" t="s">
        <v>11</v>
      </c>
      <c r="R229" s="2" t="s">
        <v>426</v>
      </c>
      <c r="T229" s="2" t="s">
        <v>520</v>
      </c>
      <c r="U229" s="3">
        <v>1</v>
      </c>
      <c r="V229" s="3">
        <v>1</v>
      </c>
      <c r="W229" s="4" t="s">
        <v>2945</v>
      </c>
      <c r="X229" s="4" t="s">
        <v>2945</v>
      </c>
      <c r="Y229" s="4" t="s">
        <v>168</v>
      </c>
      <c r="Z229" s="4" t="s">
        <v>168</v>
      </c>
      <c r="AA229" s="3">
        <v>41</v>
      </c>
      <c r="AB229" s="3">
        <v>31</v>
      </c>
      <c r="AC229" s="3">
        <v>76</v>
      </c>
      <c r="AD229" s="3">
        <v>1</v>
      </c>
      <c r="AE229" s="3">
        <v>1</v>
      </c>
      <c r="AF229" s="3">
        <v>1</v>
      </c>
      <c r="AG229" s="3">
        <v>1</v>
      </c>
      <c r="AH229" s="3">
        <v>0</v>
      </c>
      <c r="AI229" s="3">
        <v>0</v>
      </c>
      <c r="AJ229" s="3">
        <v>0</v>
      </c>
      <c r="AK229" s="3">
        <v>0</v>
      </c>
      <c r="AL229" s="3">
        <v>1</v>
      </c>
      <c r="AM229" s="3">
        <v>1</v>
      </c>
      <c r="AN229" s="3">
        <v>0</v>
      </c>
      <c r="AO229" s="3">
        <v>0</v>
      </c>
      <c r="AP229" s="3">
        <v>0</v>
      </c>
      <c r="AQ229" s="3">
        <v>0</v>
      </c>
      <c r="AR229" s="2" t="s">
        <v>5</v>
      </c>
      <c r="AS229" s="2" t="s">
        <v>5</v>
      </c>
      <c r="AU229" s="5" t="str">
        <f>HYPERLINK("https://creighton-primo.hosted.exlibrisgroup.com/primo-explore/search?tab=default_tab&amp;search_scope=EVERYTHING&amp;vid=01CRU&amp;lang=en_US&amp;offset=0&amp;query=any,contains,991001040159702656","Catalog Record")</f>
        <v>Catalog Record</v>
      </c>
      <c r="AV229" s="5" t="str">
        <f>HYPERLINK("http://www.worldcat.org/oclc/13185822","WorldCat Record")</f>
        <v>WorldCat Record</v>
      </c>
      <c r="AW229" s="2" t="s">
        <v>2946</v>
      </c>
      <c r="AX229" s="2" t="s">
        <v>2947</v>
      </c>
      <c r="AY229" s="2" t="s">
        <v>2948</v>
      </c>
      <c r="AZ229" s="2" t="s">
        <v>2948</v>
      </c>
      <c r="BA229" s="2" t="s">
        <v>2949</v>
      </c>
      <c r="BB229" s="2" t="s">
        <v>21</v>
      </c>
      <c r="BD229" s="2" t="s">
        <v>2950</v>
      </c>
      <c r="BE229" s="2" t="s">
        <v>2951</v>
      </c>
      <c r="BF229" s="2" t="s">
        <v>2952</v>
      </c>
    </row>
    <row r="230" spans="1:58" ht="41.25" customHeight="1" x14ac:dyDescent="0.25">
      <c r="A230" s="8" t="s">
        <v>5</v>
      </c>
      <c r="B230" s="1" t="s">
        <v>0</v>
      </c>
      <c r="C230" s="1" t="s">
        <v>1</v>
      </c>
      <c r="D230" s="1" t="s">
        <v>2953</v>
      </c>
      <c r="E230" s="1" t="s">
        <v>2954</v>
      </c>
      <c r="F230" s="1" t="s">
        <v>2955</v>
      </c>
      <c r="H230" s="2" t="s">
        <v>5</v>
      </c>
      <c r="I230" s="2" t="s">
        <v>6</v>
      </c>
      <c r="J230" s="2" t="s">
        <v>5</v>
      </c>
      <c r="K230" s="2" t="s">
        <v>5</v>
      </c>
      <c r="L230" s="2" t="s">
        <v>7</v>
      </c>
      <c r="N230" s="1" t="s">
        <v>2138</v>
      </c>
      <c r="O230" s="2" t="s">
        <v>1863</v>
      </c>
      <c r="P230" s="1" t="s">
        <v>211</v>
      </c>
      <c r="Q230" s="2" t="s">
        <v>11</v>
      </c>
      <c r="R230" s="2" t="s">
        <v>78</v>
      </c>
      <c r="T230" s="2" t="s">
        <v>520</v>
      </c>
      <c r="U230" s="3">
        <v>2</v>
      </c>
      <c r="V230" s="3">
        <v>2</v>
      </c>
      <c r="W230" s="4" t="s">
        <v>2956</v>
      </c>
      <c r="X230" s="4" t="s">
        <v>2956</v>
      </c>
      <c r="Y230" s="4" t="s">
        <v>2957</v>
      </c>
      <c r="Z230" s="4" t="s">
        <v>2957</v>
      </c>
      <c r="AA230" s="3">
        <v>202</v>
      </c>
      <c r="AB230" s="3">
        <v>168</v>
      </c>
      <c r="AC230" s="3">
        <v>311</v>
      </c>
      <c r="AD230" s="3">
        <v>1</v>
      </c>
      <c r="AE230" s="3">
        <v>1</v>
      </c>
      <c r="AF230" s="3">
        <v>5</v>
      </c>
      <c r="AG230" s="3">
        <v>7</v>
      </c>
      <c r="AH230" s="3">
        <v>1</v>
      </c>
      <c r="AI230" s="3">
        <v>2</v>
      </c>
      <c r="AJ230" s="3">
        <v>1</v>
      </c>
      <c r="AK230" s="3">
        <v>1</v>
      </c>
      <c r="AL230" s="3">
        <v>5</v>
      </c>
      <c r="AM230" s="3">
        <v>6</v>
      </c>
      <c r="AN230" s="3">
        <v>0</v>
      </c>
      <c r="AO230" s="3">
        <v>0</v>
      </c>
      <c r="AP230" s="3">
        <v>0</v>
      </c>
      <c r="AQ230" s="3">
        <v>0</v>
      </c>
      <c r="AR230" s="2" t="s">
        <v>5</v>
      </c>
      <c r="AS230" s="2" t="s">
        <v>16</v>
      </c>
      <c r="AT230" s="5" t="str">
        <f>HYPERLINK("http://catalog.hathitrust.org/Record/004175551","HathiTrust Record")</f>
        <v>HathiTrust Record</v>
      </c>
      <c r="AU230" s="5" t="str">
        <f>HYPERLINK("https://creighton-primo.hosted.exlibrisgroup.com/primo-explore/search?tab=default_tab&amp;search_scope=EVERYTHING&amp;vid=01CRU&amp;lang=en_US&amp;offset=0&amp;query=any,contains,991000294439702656","Catalog Record")</f>
        <v>Catalog Record</v>
      </c>
      <c r="AV230" s="5" t="str">
        <f>HYPERLINK("http://www.worldcat.org/oclc/45750279","WorldCat Record")</f>
        <v>WorldCat Record</v>
      </c>
      <c r="AW230" s="2" t="s">
        <v>2958</v>
      </c>
      <c r="AX230" s="2" t="s">
        <v>2959</v>
      </c>
      <c r="AY230" s="2" t="s">
        <v>2960</v>
      </c>
      <c r="AZ230" s="2" t="s">
        <v>2960</v>
      </c>
      <c r="BA230" s="2" t="s">
        <v>2961</v>
      </c>
      <c r="BB230" s="2" t="s">
        <v>21</v>
      </c>
      <c r="BD230" s="2" t="s">
        <v>2962</v>
      </c>
      <c r="BE230" s="2" t="s">
        <v>2963</v>
      </c>
      <c r="BF230" s="2" t="s">
        <v>2964</v>
      </c>
    </row>
    <row r="231" spans="1:58" ht="41.25" customHeight="1" x14ac:dyDescent="0.25">
      <c r="A231" s="8" t="s">
        <v>5</v>
      </c>
      <c r="B231" s="1" t="s">
        <v>0</v>
      </c>
      <c r="C231" s="1" t="s">
        <v>1</v>
      </c>
      <c r="D231" s="1" t="s">
        <v>2965</v>
      </c>
      <c r="E231" s="1" t="s">
        <v>2966</v>
      </c>
      <c r="F231" s="1" t="s">
        <v>2967</v>
      </c>
      <c r="H231" s="2" t="s">
        <v>5</v>
      </c>
      <c r="I231" s="2" t="s">
        <v>6</v>
      </c>
      <c r="J231" s="2" t="s">
        <v>5</v>
      </c>
      <c r="K231" s="2" t="s">
        <v>5</v>
      </c>
      <c r="L231" s="2" t="s">
        <v>7</v>
      </c>
      <c r="N231" s="1" t="s">
        <v>2968</v>
      </c>
      <c r="O231" s="2" t="s">
        <v>1339</v>
      </c>
      <c r="Q231" s="2" t="s">
        <v>11</v>
      </c>
      <c r="R231" s="2" t="s">
        <v>426</v>
      </c>
      <c r="T231" s="2" t="s">
        <v>520</v>
      </c>
      <c r="U231" s="3">
        <v>4</v>
      </c>
      <c r="V231" s="3">
        <v>4</v>
      </c>
      <c r="W231" s="4" t="s">
        <v>2969</v>
      </c>
      <c r="X231" s="4" t="s">
        <v>2969</v>
      </c>
      <c r="Y231" s="4" t="s">
        <v>2970</v>
      </c>
      <c r="Z231" s="4" t="s">
        <v>2970</v>
      </c>
      <c r="AA231" s="3">
        <v>181</v>
      </c>
      <c r="AB231" s="3">
        <v>140</v>
      </c>
      <c r="AC231" s="3">
        <v>142</v>
      </c>
      <c r="AD231" s="3">
        <v>2</v>
      </c>
      <c r="AE231" s="3">
        <v>2</v>
      </c>
      <c r="AF231" s="3">
        <v>7</v>
      </c>
      <c r="AG231" s="3">
        <v>7</v>
      </c>
      <c r="AH231" s="3">
        <v>1</v>
      </c>
      <c r="AI231" s="3">
        <v>1</v>
      </c>
      <c r="AJ231" s="3">
        <v>2</v>
      </c>
      <c r="AK231" s="3">
        <v>2</v>
      </c>
      <c r="AL231" s="3">
        <v>5</v>
      </c>
      <c r="AM231" s="3">
        <v>5</v>
      </c>
      <c r="AN231" s="3">
        <v>0</v>
      </c>
      <c r="AO231" s="3">
        <v>0</v>
      </c>
      <c r="AP231" s="3">
        <v>0</v>
      </c>
      <c r="AQ231" s="3">
        <v>0</v>
      </c>
      <c r="AR231" s="2" t="s">
        <v>5</v>
      </c>
      <c r="AS231" s="2" t="s">
        <v>16</v>
      </c>
      <c r="AT231" s="5" t="str">
        <f>HYPERLINK("http://catalog.hathitrust.org/Record/000821521","HathiTrust Record")</f>
        <v>HathiTrust Record</v>
      </c>
      <c r="AU231" s="5" t="str">
        <f>HYPERLINK("https://creighton-primo.hosted.exlibrisgroup.com/primo-explore/search?tab=default_tab&amp;search_scope=EVERYTHING&amp;vid=01CRU&amp;lang=en_US&amp;offset=0&amp;query=any,contains,991001540169702656","Catalog Record")</f>
        <v>Catalog Record</v>
      </c>
      <c r="AV231" s="5" t="str">
        <f>HYPERLINK("http://www.worldcat.org/oclc/15366701","WorldCat Record")</f>
        <v>WorldCat Record</v>
      </c>
      <c r="AW231" s="2" t="s">
        <v>2971</v>
      </c>
      <c r="AX231" s="2" t="s">
        <v>2972</v>
      </c>
      <c r="AY231" s="2" t="s">
        <v>2973</v>
      </c>
      <c r="AZ231" s="2" t="s">
        <v>2973</v>
      </c>
      <c r="BA231" s="2" t="s">
        <v>2974</v>
      </c>
      <c r="BB231" s="2" t="s">
        <v>21</v>
      </c>
      <c r="BD231" s="2" t="s">
        <v>2975</v>
      </c>
      <c r="BE231" s="2" t="s">
        <v>2976</v>
      </c>
      <c r="BF231" s="2" t="s">
        <v>2977</v>
      </c>
    </row>
    <row r="232" spans="1:58" ht="41.25" customHeight="1" x14ac:dyDescent="0.25">
      <c r="A232" s="8" t="s">
        <v>5</v>
      </c>
      <c r="B232" s="1" t="s">
        <v>0</v>
      </c>
      <c r="C232" s="1" t="s">
        <v>1</v>
      </c>
      <c r="D232" s="1" t="s">
        <v>2978</v>
      </c>
      <c r="E232" s="1" t="s">
        <v>2979</v>
      </c>
      <c r="F232" s="1" t="s">
        <v>2980</v>
      </c>
      <c r="H232" s="2" t="s">
        <v>5</v>
      </c>
      <c r="I232" s="2" t="s">
        <v>6</v>
      </c>
      <c r="J232" s="2" t="s">
        <v>5</v>
      </c>
      <c r="K232" s="2" t="s">
        <v>5</v>
      </c>
      <c r="L232" s="2" t="s">
        <v>7</v>
      </c>
      <c r="N232" s="1" t="s">
        <v>2981</v>
      </c>
      <c r="O232" s="2" t="s">
        <v>151</v>
      </c>
      <c r="Q232" s="2" t="s">
        <v>11</v>
      </c>
      <c r="R232" s="2" t="s">
        <v>12</v>
      </c>
      <c r="S232" s="1" t="s">
        <v>2982</v>
      </c>
      <c r="T232" s="2" t="s">
        <v>520</v>
      </c>
      <c r="U232" s="3">
        <v>2</v>
      </c>
      <c r="V232" s="3">
        <v>2</v>
      </c>
      <c r="W232" s="4" t="s">
        <v>2788</v>
      </c>
      <c r="X232" s="4" t="s">
        <v>2788</v>
      </c>
      <c r="Y232" s="4" t="s">
        <v>2579</v>
      </c>
      <c r="Z232" s="4" t="s">
        <v>2579</v>
      </c>
      <c r="AA232" s="3">
        <v>87</v>
      </c>
      <c r="AB232" s="3">
        <v>75</v>
      </c>
      <c r="AC232" s="3">
        <v>77</v>
      </c>
      <c r="AD232" s="3">
        <v>2</v>
      </c>
      <c r="AE232" s="3">
        <v>2</v>
      </c>
      <c r="AF232" s="3">
        <v>3</v>
      </c>
      <c r="AG232" s="3">
        <v>3</v>
      </c>
      <c r="AH232" s="3">
        <v>0</v>
      </c>
      <c r="AI232" s="3">
        <v>0</v>
      </c>
      <c r="AJ232" s="3">
        <v>0</v>
      </c>
      <c r="AK232" s="3">
        <v>0</v>
      </c>
      <c r="AL232" s="3">
        <v>2</v>
      </c>
      <c r="AM232" s="3">
        <v>2</v>
      </c>
      <c r="AN232" s="3">
        <v>1</v>
      </c>
      <c r="AO232" s="3">
        <v>1</v>
      </c>
      <c r="AP232" s="3">
        <v>0</v>
      </c>
      <c r="AQ232" s="3">
        <v>0</v>
      </c>
      <c r="AR232" s="2" t="s">
        <v>5</v>
      </c>
      <c r="AS232" s="2" t="s">
        <v>16</v>
      </c>
      <c r="AT232" s="5" t="str">
        <f>HYPERLINK("http://catalog.hathitrust.org/Record/001574631","HathiTrust Record")</f>
        <v>HathiTrust Record</v>
      </c>
      <c r="AU232" s="5" t="str">
        <f>HYPERLINK("https://creighton-primo.hosted.exlibrisgroup.com/primo-explore/search?tab=default_tab&amp;search_scope=EVERYTHING&amp;vid=01CRU&amp;lang=en_US&amp;offset=0&amp;query=any,contains,991001363299702656","Catalog Record")</f>
        <v>Catalog Record</v>
      </c>
      <c r="AV232" s="5" t="str">
        <f>HYPERLINK("http://www.worldcat.org/oclc/3073448","WorldCat Record")</f>
        <v>WorldCat Record</v>
      </c>
      <c r="AW232" s="2" t="s">
        <v>2983</v>
      </c>
      <c r="AX232" s="2" t="s">
        <v>2984</v>
      </c>
      <c r="AY232" s="2" t="s">
        <v>2985</v>
      </c>
      <c r="AZ232" s="2" t="s">
        <v>2985</v>
      </c>
      <c r="BA232" s="2" t="s">
        <v>2986</v>
      </c>
      <c r="BB232" s="2" t="s">
        <v>21</v>
      </c>
      <c r="BE232" s="2" t="s">
        <v>2987</v>
      </c>
      <c r="BF232" s="2" t="s">
        <v>2988</v>
      </c>
    </row>
    <row r="233" spans="1:58" ht="41.25" customHeight="1" x14ac:dyDescent="0.25">
      <c r="A233" s="8" t="s">
        <v>5</v>
      </c>
      <c r="B233" s="1" t="s">
        <v>0</v>
      </c>
      <c r="C233" s="1" t="s">
        <v>1</v>
      </c>
      <c r="D233" s="1" t="s">
        <v>2989</v>
      </c>
      <c r="E233" s="1" t="s">
        <v>2990</v>
      </c>
      <c r="F233" s="1" t="s">
        <v>2991</v>
      </c>
      <c r="H233" s="2" t="s">
        <v>5</v>
      </c>
      <c r="I233" s="2" t="s">
        <v>6</v>
      </c>
      <c r="J233" s="2" t="s">
        <v>5</v>
      </c>
      <c r="K233" s="2" t="s">
        <v>5</v>
      </c>
      <c r="L233" s="2" t="s">
        <v>7</v>
      </c>
      <c r="N233" s="1" t="s">
        <v>2992</v>
      </c>
      <c r="O233" s="2" t="s">
        <v>617</v>
      </c>
      <c r="Q233" s="2" t="s">
        <v>11</v>
      </c>
      <c r="R233" s="2" t="s">
        <v>12</v>
      </c>
      <c r="S233" s="1" t="s">
        <v>2993</v>
      </c>
      <c r="T233" s="2" t="s">
        <v>520</v>
      </c>
      <c r="U233" s="3">
        <v>1</v>
      </c>
      <c r="V233" s="3">
        <v>1</v>
      </c>
      <c r="W233" s="4" t="s">
        <v>2715</v>
      </c>
      <c r="X233" s="4" t="s">
        <v>2715</v>
      </c>
      <c r="Y233" s="4" t="s">
        <v>1827</v>
      </c>
      <c r="Z233" s="4" t="s">
        <v>1827</v>
      </c>
      <c r="AA233" s="3">
        <v>39</v>
      </c>
      <c r="AB233" s="3">
        <v>36</v>
      </c>
      <c r="AC233" s="3">
        <v>43</v>
      </c>
      <c r="AD233" s="3">
        <v>1</v>
      </c>
      <c r="AE233" s="3">
        <v>1</v>
      </c>
      <c r="AF233" s="3">
        <v>1</v>
      </c>
      <c r="AG233" s="3">
        <v>1</v>
      </c>
      <c r="AH233" s="3">
        <v>0</v>
      </c>
      <c r="AI233" s="3">
        <v>0</v>
      </c>
      <c r="AJ233" s="3">
        <v>0</v>
      </c>
      <c r="AK233" s="3">
        <v>0</v>
      </c>
      <c r="AL233" s="3">
        <v>1</v>
      </c>
      <c r="AM233" s="3">
        <v>1</v>
      </c>
      <c r="AN233" s="3">
        <v>0</v>
      </c>
      <c r="AO233" s="3">
        <v>0</v>
      </c>
      <c r="AP233" s="3">
        <v>0</v>
      </c>
      <c r="AQ233" s="3">
        <v>0</v>
      </c>
      <c r="AR233" s="2" t="s">
        <v>16</v>
      </c>
      <c r="AS233" s="2" t="s">
        <v>5</v>
      </c>
      <c r="AT233" s="5" t="str">
        <f>HYPERLINK("http://catalog.hathitrust.org/Record/002072340","HathiTrust Record")</f>
        <v>HathiTrust Record</v>
      </c>
      <c r="AU233" s="5" t="str">
        <f>HYPERLINK("https://creighton-primo.hosted.exlibrisgroup.com/primo-explore/search?tab=default_tab&amp;search_scope=EVERYTHING&amp;vid=01CRU&amp;lang=en_US&amp;offset=0&amp;query=any,contains,991001364029702656","Catalog Record")</f>
        <v>Catalog Record</v>
      </c>
      <c r="AV233" s="5" t="str">
        <f>HYPERLINK("http://www.worldcat.org/oclc/7136824","WorldCat Record")</f>
        <v>WorldCat Record</v>
      </c>
      <c r="AW233" s="2" t="s">
        <v>2994</v>
      </c>
      <c r="AX233" s="2" t="s">
        <v>2995</v>
      </c>
      <c r="AY233" s="2" t="s">
        <v>2996</v>
      </c>
      <c r="AZ233" s="2" t="s">
        <v>2996</v>
      </c>
      <c r="BA233" s="2" t="s">
        <v>2997</v>
      </c>
      <c r="BB233" s="2" t="s">
        <v>21</v>
      </c>
      <c r="BE233" s="2" t="s">
        <v>2998</v>
      </c>
      <c r="BF233" s="2" t="s">
        <v>2999</v>
      </c>
    </row>
    <row r="234" spans="1:58" ht="41.25" customHeight="1" x14ac:dyDescent="0.25">
      <c r="A234" s="8" t="s">
        <v>5</v>
      </c>
      <c r="B234" s="1" t="s">
        <v>0</v>
      </c>
      <c r="C234" s="1" t="s">
        <v>1</v>
      </c>
      <c r="D234" s="1" t="s">
        <v>3000</v>
      </c>
      <c r="E234" s="1" t="s">
        <v>3001</v>
      </c>
      <c r="F234" s="1" t="s">
        <v>3002</v>
      </c>
      <c r="H234" s="2" t="s">
        <v>5</v>
      </c>
      <c r="I234" s="2" t="s">
        <v>6</v>
      </c>
      <c r="J234" s="2" t="s">
        <v>5</v>
      </c>
      <c r="K234" s="2" t="s">
        <v>5</v>
      </c>
      <c r="L234" s="2" t="s">
        <v>7</v>
      </c>
      <c r="N234" s="1" t="s">
        <v>3003</v>
      </c>
      <c r="O234" s="2" t="s">
        <v>939</v>
      </c>
      <c r="Q234" s="2" t="s">
        <v>11</v>
      </c>
      <c r="R234" s="2" t="s">
        <v>426</v>
      </c>
      <c r="S234" s="1" t="s">
        <v>3004</v>
      </c>
      <c r="T234" s="2" t="s">
        <v>520</v>
      </c>
      <c r="U234" s="3">
        <v>9</v>
      </c>
      <c r="V234" s="3">
        <v>9</v>
      </c>
      <c r="W234" s="4" t="s">
        <v>3005</v>
      </c>
      <c r="X234" s="4" t="s">
        <v>3005</v>
      </c>
      <c r="Y234" s="4" t="s">
        <v>3006</v>
      </c>
      <c r="Z234" s="4" t="s">
        <v>3006</v>
      </c>
      <c r="AA234" s="3">
        <v>130</v>
      </c>
      <c r="AB234" s="3">
        <v>91</v>
      </c>
      <c r="AC234" s="3">
        <v>93</v>
      </c>
      <c r="AD234" s="3">
        <v>1</v>
      </c>
      <c r="AE234" s="3">
        <v>1</v>
      </c>
      <c r="AF234" s="3">
        <v>2</v>
      </c>
      <c r="AG234" s="3">
        <v>2</v>
      </c>
      <c r="AH234" s="3">
        <v>0</v>
      </c>
      <c r="AI234" s="3">
        <v>0</v>
      </c>
      <c r="AJ234" s="3">
        <v>0</v>
      </c>
      <c r="AK234" s="3">
        <v>0</v>
      </c>
      <c r="AL234" s="3">
        <v>2</v>
      </c>
      <c r="AM234" s="3">
        <v>2</v>
      </c>
      <c r="AN234" s="3">
        <v>0</v>
      </c>
      <c r="AO234" s="3">
        <v>0</v>
      </c>
      <c r="AP234" s="3">
        <v>0</v>
      </c>
      <c r="AQ234" s="3">
        <v>0</v>
      </c>
      <c r="AR234" s="2" t="s">
        <v>5</v>
      </c>
      <c r="AS234" s="2" t="s">
        <v>16</v>
      </c>
      <c r="AT234" s="5" t="str">
        <f>HYPERLINK("http://catalog.hathitrust.org/Record/001069756","HathiTrust Record")</f>
        <v>HathiTrust Record</v>
      </c>
      <c r="AU234" s="5" t="str">
        <f>HYPERLINK("https://creighton-primo.hosted.exlibrisgroup.com/primo-explore/search?tab=default_tab&amp;search_scope=EVERYTHING&amp;vid=01CRU&amp;lang=en_US&amp;offset=0&amp;query=any,contains,991001354489702656","Catalog Record")</f>
        <v>Catalog Record</v>
      </c>
      <c r="AV234" s="5" t="str">
        <f>HYPERLINK("http://www.worldcat.org/oclc/17508949","WorldCat Record")</f>
        <v>WorldCat Record</v>
      </c>
      <c r="AW234" s="2" t="s">
        <v>3007</v>
      </c>
      <c r="AX234" s="2" t="s">
        <v>3008</v>
      </c>
      <c r="AY234" s="2" t="s">
        <v>3009</v>
      </c>
      <c r="AZ234" s="2" t="s">
        <v>3009</v>
      </c>
      <c r="BA234" s="2" t="s">
        <v>3010</v>
      </c>
      <c r="BB234" s="2" t="s">
        <v>21</v>
      </c>
      <c r="BD234" s="2" t="s">
        <v>3011</v>
      </c>
      <c r="BE234" s="2" t="s">
        <v>3012</v>
      </c>
      <c r="BF234" s="2" t="s">
        <v>3013</v>
      </c>
    </row>
    <row r="235" spans="1:58" ht="41.25" customHeight="1" x14ac:dyDescent="0.25">
      <c r="A235" s="8" t="s">
        <v>5</v>
      </c>
      <c r="B235" s="1" t="s">
        <v>0</v>
      </c>
      <c r="C235" s="1" t="s">
        <v>1</v>
      </c>
      <c r="D235" s="1" t="s">
        <v>3014</v>
      </c>
      <c r="E235" s="1" t="s">
        <v>3015</v>
      </c>
      <c r="F235" s="1" t="s">
        <v>3016</v>
      </c>
      <c r="H235" s="2" t="s">
        <v>5</v>
      </c>
      <c r="I235" s="2" t="s">
        <v>6</v>
      </c>
      <c r="J235" s="2" t="s">
        <v>5</v>
      </c>
      <c r="K235" s="2" t="s">
        <v>5</v>
      </c>
      <c r="L235" s="2" t="s">
        <v>7</v>
      </c>
      <c r="N235" s="1" t="s">
        <v>2887</v>
      </c>
      <c r="O235" s="2" t="s">
        <v>10</v>
      </c>
      <c r="P235" s="1" t="s">
        <v>1208</v>
      </c>
      <c r="Q235" s="2" t="s">
        <v>11</v>
      </c>
      <c r="R235" s="2" t="s">
        <v>426</v>
      </c>
      <c r="S235" s="1" t="s">
        <v>3017</v>
      </c>
      <c r="T235" s="2" t="s">
        <v>520</v>
      </c>
      <c r="U235" s="3">
        <v>2</v>
      </c>
      <c r="V235" s="3">
        <v>2</v>
      </c>
      <c r="W235" s="4" t="s">
        <v>2715</v>
      </c>
      <c r="X235" s="4" t="s">
        <v>2715</v>
      </c>
      <c r="Y235" s="4" t="s">
        <v>1827</v>
      </c>
      <c r="Z235" s="4" t="s">
        <v>1827</v>
      </c>
      <c r="AA235" s="3">
        <v>74</v>
      </c>
      <c r="AB235" s="3">
        <v>66</v>
      </c>
      <c r="AC235" s="3">
        <v>96</v>
      </c>
      <c r="AD235" s="3">
        <v>2</v>
      </c>
      <c r="AE235" s="3">
        <v>2</v>
      </c>
      <c r="AF235" s="3">
        <v>4</v>
      </c>
      <c r="AG235" s="3">
        <v>5</v>
      </c>
      <c r="AH235" s="3">
        <v>0</v>
      </c>
      <c r="AI235" s="3">
        <v>0</v>
      </c>
      <c r="AJ235" s="3">
        <v>0</v>
      </c>
      <c r="AK235" s="3">
        <v>0</v>
      </c>
      <c r="AL235" s="3">
        <v>3</v>
      </c>
      <c r="AM235" s="3">
        <v>4</v>
      </c>
      <c r="AN235" s="3">
        <v>1</v>
      </c>
      <c r="AO235" s="3">
        <v>1</v>
      </c>
      <c r="AP235" s="3">
        <v>0</v>
      </c>
      <c r="AQ235" s="3">
        <v>0</v>
      </c>
      <c r="AR235" s="2" t="s">
        <v>5</v>
      </c>
      <c r="AS235" s="2" t="s">
        <v>5</v>
      </c>
      <c r="AU235" s="5" t="str">
        <f>HYPERLINK("https://creighton-primo.hosted.exlibrisgroup.com/primo-explore/search?tab=default_tab&amp;search_scope=EVERYTHING&amp;vid=01CRU&amp;lang=en_US&amp;offset=0&amp;query=any,contains,991001366769702656","Catalog Record")</f>
        <v>Catalog Record</v>
      </c>
      <c r="AV235" s="5" t="str">
        <f>HYPERLINK("http://www.worldcat.org/oclc/3015664","WorldCat Record")</f>
        <v>WorldCat Record</v>
      </c>
      <c r="AW235" s="2" t="s">
        <v>3018</v>
      </c>
      <c r="AX235" s="2" t="s">
        <v>3019</v>
      </c>
      <c r="AY235" s="2" t="s">
        <v>3020</v>
      </c>
      <c r="AZ235" s="2" t="s">
        <v>3020</v>
      </c>
      <c r="BA235" s="2" t="s">
        <v>3021</v>
      </c>
      <c r="BB235" s="2" t="s">
        <v>21</v>
      </c>
      <c r="BE235" s="2" t="s">
        <v>3022</v>
      </c>
      <c r="BF235" s="2" t="s">
        <v>3023</v>
      </c>
    </row>
    <row r="236" spans="1:58" ht="41.25" customHeight="1" x14ac:dyDescent="0.25">
      <c r="A236" s="8" t="s">
        <v>5</v>
      </c>
      <c r="B236" s="1" t="s">
        <v>0</v>
      </c>
      <c r="C236" s="1" t="s">
        <v>1</v>
      </c>
      <c r="D236" s="1" t="s">
        <v>3024</v>
      </c>
      <c r="E236" s="1" t="s">
        <v>3025</v>
      </c>
      <c r="F236" s="1" t="s">
        <v>3026</v>
      </c>
      <c r="H236" s="2" t="s">
        <v>5</v>
      </c>
      <c r="I236" s="2" t="s">
        <v>6</v>
      </c>
      <c r="J236" s="2" t="s">
        <v>5</v>
      </c>
      <c r="K236" s="2" t="s">
        <v>16</v>
      </c>
      <c r="L236" s="2" t="s">
        <v>7</v>
      </c>
      <c r="N236" s="1" t="s">
        <v>3027</v>
      </c>
      <c r="O236" s="2" t="s">
        <v>734</v>
      </c>
      <c r="P236" s="1" t="s">
        <v>1284</v>
      </c>
      <c r="Q236" s="2" t="s">
        <v>11</v>
      </c>
      <c r="R236" s="2" t="s">
        <v>426</v>
      </c>
      <c r="S236" s="1" t="s">
        <v>3017</v>
      </c>
      <c r="T236" s="2" t="s">
        <v>520</v>
      </c>
      <c r="U236" s="3">
        <v>2</v>
      </c>
      <c r="V236" s="3">
        <v>2</v>
      </c>
      <c r="W236" s="4" t="s">
        <v>2715</v>
      </c>
      <c r="X236" s="4" t="s">
        <v>2715</v>
      </c>
      <c r="Y236" s="4" t="s">
        <v>1827</v>
      </c>
      <c r="Z236" s="4" t="s">
        <v>1827</v>
      </c>
      <c r="AA236" s="3">
        <v>91</v>
      </c>
      <c r="AB236" s="3">
        <v>80</v>
      </c>
      <c r="AC236" s="3">
        <v>119</v>
      </c>
      <c r="AD236" s="3">
        <v>2</v>
      </c>
      <c r="AE236" s="3">
        <v>2</v>
      </c>
      <c r="AF236" s="3">
        <v>5</v>
      </c>
      <c r="AG236" s="3">
        <v>7</v>
      </c>
      <c r="AH236" s="3">
        <v>1</v>
      </c>
      <c r="AI236" s="3">
        <v>3</v>
      </c>
      <c r="AJ236" s="3">
        <v>2</v>
      </c>
      <c r="AK236" s="3">
        <v>2</v>
      </c>
      <c r="AL236" s="3">
        <v>3</v>
      </c>
      <c r="AM236" s="3">
        <v>4</v>
      </c>
      <c r="AN236" s="3">
        <v>0</v>
      </c>
      <c r="AO236" s="3">
        <v>0</v>
      </c>
      <c r="AP236" s="3">
        <v>0</v>
      </c>
      <c r="AQ236" s="3">
        <v>0</v>
      </c>
      <c r="AR236" s="2" t="s">
        <v>5</v>
      </c>
      <c r="AS236" s="2" t="s">
        <v>5</v>
      </c>
      <c r="AU236" s="5" t="str">
        <f>HYPERLINK("https://creighton-primo.hosted.exlibrisgroup.com/primo-explore/search?tab=default_tab&amp;search_scope=EVERYTHING&amp;vid=01CRU&amp;lang=en_US&amp;offset=0&amp;query=any,contains,991001366729702656","Catalog Record")</f>
        <v>Catalog Record</v>
      </c>
      <c r="AV236" s="5" t="str">
        <f>HYPERLINK("http://www.worldcat.org/oclc/15162849","WorldCat Record")</f>
        <v>WorldCat Record</v>
      </c>
      <c r="AW236" s="2" t="s">
        <v>3028</v>
      </c>
      <c r="AX236" s="2" t="s">
        <v>3029</v>
      </c>
      <c r="AY236" s="2" t="s">
        <v>3030</v>
      </c>
      <c r="AZ236" s="2" t="s">
        <v>3030</v>
      </c>
      <c r="BA236" s="2" t="s">
        <v>3031</v>
      </c>
      <c r="BB236" s="2" t="s">
        <v>21</v>
      </c>
      <c r="BD236" s="2" t="s">
        <v>3032</v>
      </c>
      <c r="BE236" s="2" t="s">
        <v>3033</v>
      </c>
      <c r="BF236" s="2" t="s">
        <v>3034</v>
      </c>
    </row>
    <row r="237" spans="1:58" ht="41.25" customHeight="1" x14ac:dyDescent="0.25">
      <c r="A237" s="8" t="s">
        <v>5</v>
      </c>
      <c r="B237" s="1" t="s">
        <v>0</v>
      </c>
      <c r="C237" s="1" t="s">
        <v>1</v>
      </c>
      <c r="D237" s="1" t="s">
        <v>3035</v>
      </c>
      <c r="E237" s="1" t="s">
        <v>3036</v>
      </c>
      <c r="F237" s="1" t="s">
        <v>3037</v>
      </c>
      <c r="H237" s="2" t="s">
        <v>5</v>
      </c>
      <c r="I237" s="2" t="s">
        <v>6</v>
      </c>
      <c r="J237" s="2" t="s">
        <v>5</v>
      </c>
      <c r="K237" s="2" t="s">
        <v>16</v>
      </c>
      <c r="L237" s="2" t="s">
        <v>7</v>
      </c>
      <c r="N237" s="1" t="s">
        <v>3038</v>
      </c>
      <c r="O237" s="2" t="s">
        <v>872</v>
      </c>
      <c r="P237" s="1" t="s">
        <v>63</v>
      </c>
      <c r="Q237" s="2" t="s">
        <v>11</v>
      </c>
      <c r="R237" s="2" t="s">
        <v>12</v>
      </c>
      <c r="S237" s="1" t="s">
        <v>3017</v>
      </c>
      <c r="T237" s="2" t="s">
        <v>520</v>
      </c>
      <c r="U237" s="3">
        <v>3</v>
      </c>
      <c r="V237" s="3">
        <v>3</v>
      </c>
      <c r="W237" s="4" t="s">
        <v>2336</v>
      </c>
      <c r="X237" s="4" t="s">
        <v>2336</v>
      </c>
      <c r="Y237" s="4" t="s">
        <v>3039</v>
      </c>
      <c r="Z237" s="4" t="s">
        <v>3039</v>
      </c>
      <c r="AA237" s="3">
        <v>94</v>
      </c>
      <c r="AB237" s="3">
        <v>78</v>
      </c>
      <c r="AC237" s="3">
        <v>119</v>
      </c>
      <c r="AD237" s="3">
        <v>1</v>
      </c>
      <c r="AE237" s="3">
        <v>2</v>
      </c>
      <c r="AF237" s="3">
        <v>4</v>
      </c>
      <c r="AG237" s="3">
        <v>7</v>
      </c>
      <c r="AH237" s="3">
        <v>3</v>
      </c>
      <c r="AI237" s="3">
        <v>3</v>
      </c>
      <c r="AJ237" s="3">
        <v>0</v>
      </c>
      <c r="AK237" s="3">
        <v>2</v>
      </c>
      <c r="AL237" s="3">
        <v>2</v>
      </c>
      <c r="AM237" s="3">
        <v>4</v>
      </c>
      <c r="AN237" s="3">
        <v>0</v>
      </c>
      <c r="AO237" s="3">
        <v>0</v>
      </c>
      <c r="AP237" s="3">
        <v>0</v>
      </c>
      <c r="AQ237" s="3">
        <v>0</v>
      </c>
      <c r="AR237" s="2" t="s">
        <v>5</v>
      </c>
      <c r="AS237" s="2" t="s">
        <v>5</v>
      </c>
      <c r="AU237" s="5" t="str">
        <f>HYPERLINK("https://creighton-primo.hosted.exlibrisgroup.com/primo-explore/search?tab=default_tab&amp;search_scope=EVERYTHING&amp;vid=01CRU&amp;lang=en_US&amp;offset=0&amp;query=any,contains,991001245259702656","Catalog Record")</f>
        <v>Catalog Record</v>
      </c>
      <c r="AV237" s="5" t="str">
        <f>HYPERLINK("http://www.worldcat.org/oclc/20895455","WorldCat Record")</f>
        <v>WorldCat Record</v>
      </c>
      <c r="AW237" s="2" t="s">
        <v>3028</v>
      </c>
      <c r="AX237" s="2" t="s">
        <v>3040</v>
      </c>
      <c r="AY237" s="2" t="s">
        <v>3041</v>
      </c>
      <c r="AZ237" s="2" t="s">
        <v>3041</v>
      </c>
      <c r="BA237" s="2" t="s">
        <v>3042</v>
      </c>
      <c r="BB237" s="2" t="s">
        <v>21</v>
      </c>
      <c r="BD237" s="2" t="s">
        <v>3043</v>
      </c>
      <c r="BE237" s="2" t="s">
        <v>3044</v>
      </c>
      <c r="BF237" s="2" t="s">
        <v>3045</v>
      </c>
    </row>
    <row r="238" spans="1:58" ht="41.25" customHeight="1" x14ac:dyDescent="0.25">
      <c r="A238" s="8" t="s">
        <v>5</v>
      </c>
      <c r="B238" s="1" t="s">
        <v>0</v>
      </c>
      <c r="C238" s="1" t="s">
        <v>1</v>
      </c>
      <c r="D238" s="1" t="s">
        <v>3046</v>
      </c>
      <c r="E238" s="1" t="s">
        <v>3047</v>
      </c>
      <c r="F238" s="1" t="s">
        <v>3048</v>
      </c>
      <c r="H238" s="2" t="s">
        <v>5</v>
      </c>
      <c r="I238" s="2" t="s">
        <v>6</v>
      </c>
      <c r="J238" s="2" t="s">
        <v>5</v>
      </c>
      <c r="K238" s="2" t="s">
        <v>5</v>
      </c>
      <c r="L238" s="2" t="s">
        <v>7</v>
      </c>
      <c r="N238" s="1" t="s">
        <v>3049</v>
      </c>
      <c r="O238" s="2" t="s">
        <v>10</v>
      </c>
      <c r="Q238" s="2" t="s">
        <v>11</v>
      </c>
      <c r="R238" s="2" t="s">
        <v>12</v>
      </c>
      <c r="S238" s="1" t="s">
        <v>3050</v>
      </c>
      <c r="T238" s="2" t="s">
        <v>520</v>
      </c>
      <c r="U238" s="3">
        <v>1</v>
      </c>
      <c r="V238" s="3">
        <v>1</v>
      </c>
      <c r="W238" s="4" t="s">
        <v>576</v>
      </c>
      <c r="X238" s="4" t="s">
        <v>576</v>
      </c>
      <c r="Y238" s="4" t="s">
        <v>2425</v>
      </c>
      <c r="Z238" s="4" t="s">
        <v>2425</v>
      </c>
      <c r="AA238" s="3">
        <v>126</v>
      </c>
      <c r="AB238" s="3">
        <v>111</v>
      </c>
      <c r="AC238" s="3">
        <v>113</v>
      </c>
      <c r="AD238" s="3">
        <v>4</v>
      </c>
      <c r="AE238" s="3">
        <v>4</v>
      </c>
      <c r="AF238" s="3">
        <v>6</v>
      </c>
      <c r="AG238" s="3">
        <v>6</v>
      </c>
      <c r="AH238" s="3">
        <v>0</v>
      </c>
      <c r="AI238" s="3">
        <v>0</v>
      </c>
      <c r="AJ238" s="3">
        <v>1</v>
      </c>
      <c r="AK238" s="3">
        <v>1</v>
      </c>
      <c r="AL238" s="3">
        <v>4</v>
      </c>
      <c r="AM238" s="3">
        <v>4</v>
      </c>
      <c r="AN238" s="3">
        <v>2</v>
      </c>
      <c r="AO238" s="3">
        <v>2</v>
      </c>
      <c r="AP238" s="3">
        <v>0</v>
      </c>
      <c r="AQ238" s="3">
        <v>0</v>
      </c>
      <c r="AR238" s="2" t="s">
        <v>5</v>
      </c>
      <c r="AS238" s="2" t="s">
        <v>16</v>
      </c>
      <c r="AT238" s="5" t="str">
        <f>HYPERLINK("http://catalog.hathitrust.org/Record/000701792","HathiTrust Record")</f>
        <v>HathiTrust Record</v>
      </c>
      <c r="AU238" s="5" t="str">
        <f>HYPERLINK("https://creighton-primo.hosted.exlibrisgroup.com/primo-explore/search?tab=default_tab&amp;search_scope=EVERYTHING&amp;vid=01CRU&amp;lang=en_US&amp;offset=0&amp;query=any,contains,991001370569702656","Catalog Record")</f>
        <v>Catalog Record</v>
      </c>
      <c r="AV238" s="5" t="str">
        <f>HYPERLINK("http://www.worldcat.org/oclc/38239539","WorldCat Record")</f>
        <v>WorldCat Record</v>
      </c>
      <c r="AW238" s="2" t="s">
        <v>3051</v>
      </c>
      <c r="AX238" s="2" t="s">
        <v>3052</v>
      </c>
      <c r="AY238" s="2" t="s">
        <v>3053</v>
      </c>
      <c r="AZ238" s="2" t="s">
        <v>3053</v>
      </c>
      <c r="BA238" s="2" t="s">
        <v>3054</v>
      </c>
      <c r="BB238" s="2" t="s">
        <v>21</v>
      </c>
      <c r="BE238" s="2" t="s">
        <v>3055</v>
      </c>
      <c r="BF238" s="2" t="s">
        <v>3056</v>
      </c>
    </row>
    <row r="239" spans="1:58" ht="41.25" customHeight="1" x14ac:dyDescent="0.25">
      <c r="A239" s="8" t="s">
        <v>5</v>
      </c>
      <c r="B239" s="1" t="s">
        <v>0</v>
      </c>
      <c r="C239" s="1" t="s">
        <v>1</v>
      </c>
      <c r="D239" s="1" t="s">
        <v>3057</v>
      </c>
      <c r="E239" s="1" t="s">
        <v>3058</v>
      </c>
      <c r="F239" s="1" t="s">
        <v>3059</v>
      </c>
      <c r="H239" s="2" t="s">
        <v>5</v>
      </c>
      <c r="I239" s="2" t="s">
        <v>6</v>
      </c>
      <c r="J239" s="2" t="s">
        <v>5</v>
      </c>
      <c r="K239" s="2" t="s">
        <v>5</v>
      </c>
      <c r="L239" s="2" t="s">
        <v>7</v>
      </c>
      <c r="N239" s="1" t="s">
        <v>3060</v>
      </c>
      <c r="O239" s="2" t="s">
        <v>1441</v>
      </c>
      <c r="Q239" s="2" t="s">
        <v>11</v>
      </c>
      <c r="R239" s="2" t="s">
        <v>12</v>
      </c>
      <c r="S239" s="1" t="s">
        <v>3061</v>
      </c>
      <c r="T239" s="2" t="s">
        <v>520</v>
      </c>
      <c r="U239" s="3">
        <v>3</v>
      </c>
      <c r="V239" s="3">
        <v>3</v>
      </c>
      <c r="W239" s="4" t="s">
        <v>1826</v>
      </c>
      <c r="X239" s="4" t="s">
        <v>1826</v>
      </c>
      <c r="Y239" s="4" t="s">
        <v>124</v>
      </c>
      <c r="Z239" s="4" t="s">
        <v>124</v>
      </c>
      <c r="AA239" s="3">
        <v>55</v>
      </c>
      <c r="AB239" s="3">
        <v>48</v>
      </c>
      <c r="AC239" s="3">
        <v>48</v>
      </c>
      <c r="AD239" s="3">
        <v>1</v>
      </c>
      <c r="AE239" s="3">
        <v>1</v>
      </c>
      <c r="AF239" s="3">
        <v>3</v>
      </c>
      <c r="AG239" s="3">
        <v>3</v>
      </c>
      <c r="AH239" s="3">
        <v>0</v>
      </c>
      <c r="AI239" s="3">
        <v>0</v>
      </c>
      <c r="AJ239" s="3">
        <v>0</v>
      </c>
      <c r="AK239" s="3">
        <v>0</v>
      </c>
      <c r="AL239" s="3">
        <v>3</v>
      </c>
      <c r="AM239" s="3">
        <v>3</v>
      </c>
      <c r="AN239" s="3">
        <v>0</v>
      </c>
      <c r="AO239" s="3">
        <v>0</v>
      </c>
      <c r="AP239" s="3">
        <v>0</v>
      </c>
      <c r="AQ239" s="3">
        <v>0</v>
      </c>
      <c r="AR239" s="2" t="s">
        <v>5</v>
      </c>
      <c r="AS239" s="2" t="s">
        <v>5</v>
      </c>
      <c r="AU239" s="5" t="str">
        <f>HYPERLINK("https://creighton-primo.hosted.exlibrisgroup.com/primo-explore/search?tab=default_tab&amp;search_scope=EVERYTHING&amp;vid=01CRU&amp;lang=en_US&amp;offset=0&amp;query=any,contains,991001368649702656","Catalog Record")</f>
        <v>Catalog Record</v>
      </c>
      <c r="AV239" s="5" t="str">
        <f>HYPERLINK("http://www.worldcat.org/oclc/1734167","WorldCat Record")</f>
        <v>WorldCat Record</v>
      </c>
      <c r="AW239" s="2" t="s">
        <v>3062</v>
      </c>
      <c r="AX239" s="2" t="s">
        <v>3063</v>
      </c>
      <c r="AY239" s="2" t="s">
        <v>3064</v>
      </c>
      <c r="AZ239" s="2" t="s">
        <v>3064</v>
      </c>
      <c r="BA239" s="2" t="s">
        <v>3065</v>
      </c>
      <c r="BB239" s="2" t="s">
        <v>21</v>
      </c>
      <c r="BE239" s="2" t="s">
        <v>3066</v>
      </c>
      <c r="BF239" s="2" t="s">
        <v>3067</v>
      </c>
    </row>
    <row r="240" spans="1:58" ht="41.25" customHeight="1" x14ac:dyDescent="0.25">
      <c r="A240" s="8" t="s">
        <v>5</v>
      </c>
      <c r="B240" s="1" t="s">
        <v>0</v>
      </c>
      <c r="C240" s="1" t="s">
        <v>1</v>
      </c>
      <c r="D240" s="1" t="s">
        <v>3068</v>
      </c>
      <c r="E240" s="1" t="s">
        <v>3069</v>
      </c>
      <c r="F240" s="1" t="s">
        <v>3070</v>
      </c>
      <c r="H240" s="2" t="s">
        <v>5</v>
      </c>
      <c r="I240" s="2" t="s">
        <v>6</v>
      </c>
      <c r="J240" s="2" t="s">
        <v>5</v>
      </c>
      <c r="K240" s="2" t="s">
        <v>5</v>
      </c>
      <c r="L240" s="2" t="s">
        <v>7</v>
      </c>
      <c r="N240" s="1" t="s">
        <v>2918</v>
      </c>
      <c r="O240" s="2" t="s">
        <v>151</v>
      </c>
      <c r="Q240" s="2" t="s">
        <v>11</v>
      </c>
      <c r="R240" s="2" t="s">
        <v>12</v>
      </c>
      <c r="S240" s="1" t="s">
        <v>3071</v>
      </c>
      <c r="T240" s="2" t="s">
        <v>520</v>
      </c>
      <c r="U240" s="3">
        <v>4</v>
      </c>
      <c r="V240" s="3">
        <v>4</v>
      </c>
      <c r="W240" s="4" t="s">
        <v>3072</v>
      </c>
      <c r="X240" s="4" t="s">
        <v>3072</v>
      </c>
      <c r="Y240" s="4" t="s">
        <v>124</v>
      </c>
      <c r="Z240" s="4" t="s">
        <v>124</v>
      </c>
      <c r="AA240" s="3">
        <v>56</v>
      </c>
      <c r="AB240" s="3">
        <v>50</v>
      </c>
      <c r="AC240" s="3">
        <v>50</v>
      </c>
      <c r="AD240" s="3">
        <v>2</v>
      </c>
      <c r="AE240" s="3">
        <v>2</v>
      </c>
      <c r="AF240" s="3">
        <v>3</v>
      </c>
      <c r="AG240" s="3">
        <v>3</v>
      </c>
      <c r="AH240" s="3">
        <v>0</v>
      </c>
      <c r="AI240" s="3">
        <v>0</v>
      </c>
      <c r="AJ240" s="3">
        <v>0</v>
      </c>
      <c r="AK240" s="3">
        <v>0</v>
      </c>
      <c r="AL240" s="3">
        <v>2</v>
      </c>
      <c r="AM240" s="3">
        <v>2</v>
      </c>
      <c r="AN240" s="3">
        <v>1</v>
      </c>
      <c r="AO240" s="3">
        <v>1</v>
      </c>
      <c r="AP240" s="3">
        <v>0</v>
      </c>
      <c r="AQ240" s="3">
        <v>0</v>
      </c>
      <c r="AR240" s="2" t="s">
        <v>5</v>
      </c>
      <c r="AS240" s="2" t="s">
        <v>5</v>
      </c>
      <c r="AU240" s="5" t="str">
        <f>HYPERLINK("https://creighton-primo.hosted.exlibrisgroup.com/primo-explore/search?tab=default_tab&amp;search_scope=EVERYTHING&amp;vid=01CRU&amp;lang=en_US&amp;offset=0&amp;query=any,contains,991001369039702656","Catalog Record")</f>
        <v>Catalog Record</v>
      </c>
      <c r="AV240" s="5" t="str">
        <f>HYPERLINK("http://www.worldcat.org/oclc/2006235","WorldCat Record")</f>
        <v>WorldCat Record</v>
      </c>
      <c r="AW240" s="2" t="s">
        <v>3073</v>
      </c>
      <c r="AX240" s="2" t="s">
        <v>3074</v>
      </c>
      <c r="AY240" s="2" t="s">
        <v>3075</v>
      </c>
      <c r="AZ240" s="2" t="s">
        <v>3075</v>
      </c>
      <c r="BA240" s="2" t="s">
        <v>3076</v>
      </c>
      <c r="BB240" s="2" t="s">
        <v>21</v>
      </c>
      <c r="BD240" s="2" t="s">
        <v>3077</v>
      </c>
      <c r="BE240" s="2" t="s">
        <v>3078</v>
      </c>
      <c r="BF240" s="2" t="s">
        <v>3079</v>
      </c>
    </row>
    <row r="241" spans="1:58" ht="41.25" customHeight="1" x14ac:dyDescent="0.25">
      <c r="A241" s="8" t="s">
        <v>5</v>
      </c>
      <c r="B241" s="1" t="s">
        <v>0</v>
      </c>
      <c r="C241" s="1" t="s">
        <v>1</v>
      </c>
      <c r="D241" s="1" t="s">
        <v>3080</v>
      </c>
      <c r="E241" s="1" t="s">
        <v>3081</v>
      </c>
      <c r="F241" s="1" t="s">
        <v>3082</v>
      </c>
      <c r="H241" s="2" t="s">
        <v>5</v>
      </c>
      <c r="I241" s="2" t="s">
        <v>6</v>
      </c>
      <c r="J241" s="2" t="s">
        <v>5</v>
      </c>
      <c r="K241" s="2" t="s">
        <v>5</v>
      </c>
      <c r="L241" s="2" t="s">
        <v>7</v>
      </c>
      <c r="N241" s="1" t="s">
        <v>1588</v>
      </c>
      <c r="O241" s="2" t="s">
        <v>1102</v>
      </c>
      <c r="Q241" s="2" t="s">
        <v>11</v>
      </c>
      <c r="R241" s="2" t="s">
        <v>12</v>
      </c>
      <c r="S241" s="1" t="s">
        <v>3083</v>
      </c>
      <c r="T241" s="2" t="s">
        <v>520</v>
      </c>
      <c r="U241" s="3">
        <v>2</v>
      </c>
      <c r="V241" s="3">
        <v>2</v>
      </c>
      <c r="W241" s="4" t="s">
        <v>1104</v>
      </c>
      <c r="X241" s="4" t="s">
        <v>1104</v>
      </c>
      <c r="Y241" s="4" t="s">
        <v>1591</v>
      </c>
      <c r="Z241" s="4" t="s">
        <v>1591</v>
      </c>
      <c r="AA241" s="3">
        <v>159</v>
      </c>
      <c r="AB241" s="3">
        <v>141</v>
      </c>
      <c r="AC241" s="3">
        <v>143</v>
      </c>
      <c r="AD241" s="3">
        <v>2</v>
      </c>
      <c r="AE241" s="3">
        <v>2</v>
      </c>
      <c r="AF241" s="3">
        <v>9</v>
      </c>
      <c r="AG241" s="3">
        <v>9</v>
      </c>
      <c r="AH241" s="3">
        <v>3</v>
      </c>
      <c r="AI241" s="3">
        <v>3</v>
      </c>
      <c r="AJ241" s="3">
        <v>2</v>
      </c>
      <c r="AK241" s="3">
        <v>2</v>
      </c>
      <c r="AL241" s="3">
        <v>5</v>
      </c>
      <c r="AM241" s="3">
        <v>5</v>
      </c>
      <c r="AN241" s="3">
        <v>0</v>
      </c>
      <c r="AO241" s="3">
        <v>0</v>
      </c>
      <c r="AP241" s="3">
        <v>0</v>
      </c>
      <c r="AQ241" s="3">
        <v>0</v>
      </c>
      <c r="AR241" s="2" t="s">
        <v>5</v>
      </c>
      <c r="AS241" s="2" t="s">
        <v>16</v>
      </c>
      <c r="AT241" s="5" t="str">
        <f>HYPERLINK("http://catalog.hathitrust.org/Record/002506688","HathiTrust Record")</f>
        <v>HathiTrust Record</v>
      </c>
      <c r="AU241" s="5" t="str">
        <f>HYPERLINK("https://creighton-primo.hosted.exlibrisgroup.com/primo-explore/search?tab=default_tab&amp;search_scope=EVERYTHING&amp;vid=01CRU&amp;lang=en_US&amp;offset=0&amp;query=any,contains,991001374879702656","Catalog Record")</f>
        <v>Catalog Record</v>
      </c>
      <c r="AV241" s="5" t="str">
        <f>HYPERLINK("http://www.worldcat.org/oclc/15366592","WorldCat Record")</f>
        <v>WorldCat Record</v>
      </c>
      <c r="AW241" s="2" t="s">
        <v>3084</v>
      </c>
      <c r="AX241" s="2" t="s">
        <v>3085</v>
      </c>
      <c r="AY241" s="2" t="s">
        <v>3086</v>
      </c>
      <c r="AZ241" s="2" t="s">
        <v>3086</v>
      </c>
      <c r="BA241" s="2" t="s">
        <v>3087</v>
      </c>
      <c r="BB241" s="2" t="s">
        <v>21</v>
      </c>
      <c r="BD241" s="2" t="s">
        <v>3088</v>
      </c>
      <c r="BE241" s="2" t="s">
        <v>3089</v>
      </c>
      <c r="BF241" s="2" t="s">
        <v>3090</v>
      </c>
    </row>
    <row r="242" spans="1:58" ht="41.25" customHeight="1" x14ac:dyDescent="0.25">
      <c r="A242" s="8" t="s">
        <v>5</v>
      </c>
      <c r="B242" s="1" t="s">
        <v>0</v>
      </c>
      <c r="C242" s="1" t="s">
        <v>1</v>
      </c>
      <c r="D242" s="1" t="s">
        <v>3091</v>
      </c>
      <c r="E242" s="1" t="s">
        <v>3092</v>
      </c>
      <c r="F242" s="1" t="s">
        <v>3093</v>
      </c>
      <c r="H242" s="2" t="s">
        <v>5</v>
      </c>
      <c r="I242" s="2" t="s">
        <v>6</v>
      </c>
      <c r="J242" s="2" t="s">
        <v>5</v>
      </c>
      <c r="K242" s="2" t="s">
        <v>5</v>
      </c>
      <c r="L242" s="2" t="s">
        <v>7</v>
      </c>
      <c r="N242" s="1" t="s">
        <v>1220</v>
      </c>
      <c r="O242" s="2" t="s">
        <v>62</v>
      </c>
      <c r="Q242" s="2" t="s">
        <v>11</v>
      </c>
      <c r="R242" s="2" t="s">
        <v>12</v>
      </c>
      <c r="S242" s="1" t="s">
        <v>3094</v>
      </c>
      <c r="T242" s="2" t="s">
        <v>520</v>
      </c>
      <c r="U242" s="3">
        <v>2</v>
      </c>
      <c r="V242" s="3">
        <v>2</v>
      </c>
      <c r="W242" s="4" t="s">
        <v>3095</v>
      </c>
      <c r="X242" s="4" t="s">
        <v>3095</v>
      </c>
      <c r="Y242" s="4" t="s">
        <v>1223</v>
      </c>
      <c r="Z242" s="4" t="s">
        <v>1223</v>
      </c>
      <c r="AA242" s="3">
        <v>102</v>
      </c>
      <c r="AB242" s="3">
        <v>87</v>
      </c>
      <c r="AC242" s="3">
        <v>89</v>
      </c>
      <c r="AD242" s="3">
        <v>1</v>
      </c>
      <c r="AE242" s="3">
        <v>1</v>
      </c>
      <c r="AF242" s="3">
        <v>2</v>
      </c>
      <c r="AG242" s="3">
        <v>2</v>
      </c>
      <c r="AH242" s="3">
        <v>0</v>
      </c>
      <c r="AI242" s="3">
        <v>0</v>
      </c>
      <c r="AJ242" s="3">
        <v>0</v>
      </c>
      <c r="AK242" s="3">
        <v>0</v>
      </c>
      <c r="AL242" s="3">
        <v>2</v>
      </c>
      <c r="AM242" s="3">
        <v>2</v>
      </c>
      <c r="AN242" s="3">
        <v>0</v>
      </c>
      <c r="AO242" s="3">
        <v>0</v>
      </c>
      <c r="AP242" s="3">
        <v>0</v>
      </c>
      <c r="AQ242" s="3">
        <v>0</v>
      </c>
      <c r="AR242" s="2" t="s">
        <v>5</v>
      </c>
      <c r="AS242" s="2" t="s">
        <v>16</v>
      </c>
      <c r="AT242" s="5" t="str">
        <f>HYPERLINK("http://catalog.hathitrust.org/Record/000178654","HathiTrust Record")</f>
        <v>HathiTrust Record</v>
      </c>
      <c r="AU242" s="5" t="str">
        <f>HYPERLINK("https://creighton-primo.hosted.exlibrisgroup.com/primo-explore/search?tab=default_tab&amp;search_scope=EVERYTHING&amp;vid=01CRU&amp;lang=en_US&amp;offset=0&amp;query=any,contains,991001388369702656","Catalog Record")</f>
        <v>Catalog Record</v>
      </c>
      <c r="AV242" s="5" t="str">
        <f>HYPERLINK("http://www.worldcat.org/oclc/4642188","WorldCat Record")</f>
        <v>WorldCat Record</v>
      </c>
      <c r="AW242" s="2" t="s">
        <v>3096</v>
      </c>
      <c r="AX242" s="2" t="s">
        <v>3097</v>
      </c>
      <c r="AY242" s="2" t="s">
        <v>3098</v>
      </c>
      <c r="AZ242" s="2" t="s">
        <v>3098</v>
      </c>
      <c r="BA242" s="2" t="s">
        <v>3099</v>
      </c>
      <c r="BB242" s="2" t="s">
        <v>21</v>
      </c>
      <c r="BE242" s="2" t="s">
        <v>3100</v>
      </c>
      <c r="BF242" s="2" t="s">
        <v>3101</v>
      </c>
    </row>
    <row r="243" spans="1:58" ht="41.25" customHeight="1" x14ac:dyDescent="0.25">
      <c r="A243" s="8" t="s">
        <v>5</v>
      </c>
      <c r="B243" s="1" t="s">
        <v>0</v>
      </c>
      <c r="C243" s="1" t="s">
        <v>1</v>
      </c>
      <c r="D243" s="1" t="s">
        <v>3102</v>
      </c>
      <c r="E243" s="1" t="s">
        <v>3103</v>
      </c>
      <c r="F243" s="1" t="s">
        <v>3104</v>
      </c>
      <c r="H243" s="2" t="s">
        <v>5</v>
      </c>
      <c r="I243" s="2" t="s">
        <v>6</v>
      </c>
      <c r="J243" s="2" t="s">
        <v>5</v>
      </c>
      <c r="K243" s="2" t="s">
        <v>5</v>
      </c>
      <c r="L243" s="2" t="s">
        <v>7</v>
      </c>
      <c r="N243" s="1" t="s">
        <v>3105</v>
      </c>
      <c r="O243" s="2" t="s">
        <v>1441</v>
      </c>
      <c r="Q243" s="2" t="s">
        <v>11</v>
      </c>
      <c r="R243" s="2" t="s">
        <v>426</v>
      </c>
      <c r="S243" s="1" t="s">
        <v>3106</v>
      </c>
      <c r="T243" s="2" t="s">
        <v>520</v>
      </c>
      <c r="U243" s="3">
        <v>2</v>
      </c>
      <c r="V243" s="3">
        <v>2</v>
      </c>
      <c r="W243" s="4" t="s">
        <v>2072</v>
      </c>
      <c r="X243" s="4" t="s">
        <v>2072</v>
      </c>
      <c r="Y243" s="4" t="s">
        <v>1591</v>
      </c>
      <c r="Z243" s="4" t="s">
        <v>1591</v>
      </c>
      <c r="AA243" s="3">
        <v>99</v>
      </c>
      <c r="AB243" s="3">
        <v>87</v>
      </c>
      <c r="AC243" s="3">
        <v>89</v>
      </c>
      <c r="AD243" s="3">
        <v>3</v>
      </c>
      <c r="AE243" s="3">
        <v>3</v>
      </c>
      <c r="AF243" s="3">
        <v>2</v>
      </c>
      <c r="AG243" s="3">
        <v>2</v>
      </c>
      <c r="AH243" s="3">
        <v>0</v>
      </c>
      <c r="AI243" s="3">
        <v>0</v>
      </c>
      <c r="AJ243" s="3">
        <v>0</v>
      </c>
      <c r="AK243" s="3">
        <v>0</v>
      </c>
      <c r="AL243" s="3">
        <v>1</v>
      </c>
      <c r="AM243" s="3">
        <v>1</v>
      </c>
      <c r="AN243" s="3">
        <v>1</v>
      </c>
      <c r="AO243" s="3">
        <v>1</v>
      </c>
      <c r="AP243" s="3">
        <v>0</v>
      </c>
      <c r="AQ243" s="3">
        <v>0</v>
      </c>
      <c r="AR243" s="2" t="s">
        <v>5</v>
      </c>
      <c r="AS243" s="2" t="s">
        <v>16</v>
      </c>
      <c r="AT243" s="5" t="str">
        <f>HYPERLINK("http://catalog.hathitrust.org/Record/000026132","HathiTrust Record")</f>
        <v>HathiTrust Record</v>
      </c>
      <c r="AU243" s="5" t="str">
        <f>HYPERLINK("https://creighton-primo.hosted.exlibrisgroup.com/primo-explore/search?tab=default_tab&amp;search_scope=EVERYTHING&amp;vid=01CRU&amp;lang=en_US&amp;offset=0&amp;query=any,contains,991001376199702656","Catalog Record")</f>
        <v>Catalog Record</v>
      </c>
      <c r="AV243" s="5" t="str">
        <f>HYPERLINK("http://www.worldcat.org/oclc/1694484","WorldCat Record")</f>
        <v>WorldCat Record</v>
      </c>
      <c r="AW243" s="2" t="s">
        <v>3107</v>
      </c>
      <c r="AX243" s="2" t="s">
        <v>3108</v>
      </c>
      <c r="AY243" s="2" t="s">
        <v>3109</v>
      </c>
      <c r="AZ243" s="2" t="s">
        <v>3109</v>
      </c>
      <c r="BA243" s="2" t="s">
        <v>3110</v>
      </c>
      <c r="BB243" s="2" t="s">
        <v>21</v>
      </c>
      <c r="BE243" s="2" t="s">
        <v>3111</v>
      </c>
      <c r="BF243" s="2" t="s">
        <v>3112</v>
      </c>
    </row>
    <row r="244" spans="1:58" ht="41.25" customHeight="1" x14ac:dyDescent="0.25">
      <c r="A244" s="8" t="s">
        <v>5</v>
      </c>
      <c r="B244" s="1" t="s">
        <v>0</v>
      </c>
      <c r="C244" s="1" t="s">
        <v>1</v>
      </c>
      <c r="D244" s="1" t="s">
        <v>3113</v>
      </c>
      <c r="E244" s="1" t="s">
        <v>3114</v>
      </c>
      <c r="F244" s="1" t="s">
        <v>3115</v>
      </c>
      <c r="H244" s="2" t="s">
        <v>5</v>
      </c>
      <c r="I244" s="2" t="s">
        <v>6</v>
      </c>
      <c r="J244" s="2" t="s">
        <v>5</v>
      </c>
      <c r="K244" s="2" t="s">
        <v>5</v>
      </c>
      <c r="L244" s="2" t="s">
        <v>7</v>
      </c>
      <c r="N244" s="1" t="s">
        <v>3116</v>
      </c>
      <c r="O244" s="2" t="s">
        <v>1246</v>
      </c>
      <c r="Q244" s="2" t="s">
        <v>11</v>
      </c>
      <c r="R244" s="2" t="s">
        <v>12</v>
      </c>
      <c r="S244" s="1" t="s">
        <v>3117</v>
      </c>
      <c r="T244" s="2" t="s">
        <v>520</v>
      </c>
      <c r="U244" s="3">
        <v>2</v>
      </c>
      <c r="V244" s="3">
        <v>2</v>
      </c>
      <c r="W244" s="4" t="s">
        <v>2715</v>
      </c>
      <c r="X244" s="4" t="s">
        <v>2715</v>
      </c>
      <c r="Y244" s="4" t="s">
        <v>124</v>
      </c>
      <c r="Z244" s="4" t="s">
        <v>124</v>
      </c>
      <c r="AA244" s="3">
        <v>47</v>
      </c>
      <c r="AB244" s="3">
        <v>43</v>
      </c>
      <c r="AC244" s="3">
        <v>61</v>
      </c>
      <c r="AD244" s="3">
        <v>2</v>
      </c>
      <c r="AE244" s="3">
        <v>2</v>
      </c>
      <c r="AF244" s="3">
        <v>4</v>
      </c>
      <c r="AG244" s="3">
        <v>4</v>
      </c>
      <c r="AH244" s="3">
        <v>1</v>
      </c>
      <c r="AI244" s="3">
        <v>1</v>
      </c>
      <c r="AJ244" s="3">
        <v>0</v>
      </c>
      <c r="AK244" s="3">
        <v>0</v>
      </c>
      <c r="AL244" s="3">
        <v>3</v>
      </c>
      <c r="AM244" s="3">
        <v>3</v>
      </c>
      <c r="AN244" s="3">
        <v>0</v>
      </c>
      <c r="AO244" s="3">
        <v>0</v>
      </c>
      <c r="AP244" s="3">
        <v>0</v>
      </c>
      <c r="AQ244" s="3">
        <v>0</v>
      </c>
      <c r="AR244" s="2" t="s">
        <v>5</v>
      </c>
      <c r="AS244" s="2" t="s">
        <v>5</v>
      </c>
      <c r="AU244" s="5" t="str">
        <f>HYPERLINK("https://creighton-primo.hosted.exlibrisgroup.com/primo-explore/search?tab=default_tab&amp;search_scope=EVERYTHING&amp;vid=01CRU&amp;lang=en_US&amp;offset=0&amp;query=any,contains,991001368219702656","Catalog Record")</f>
        <v>Catalog Record</v>
      </c>
      <c r="AV244" s="5" t="str">
        <f>HYPERLINK("http://www.worldcat.org/oclc/4467222","WorldCat Record")</f>
        <v>WorldCat Record</v>
      </c>
      <c r="AW244" s="2" t="s">
        <v>3118</v>
      </c>
      <c r="AX244" s="2" t="s">
        <v>3119</v>
      </c>
      <c r="AY244" s="2" t="s">
        <v>3120</v>
      </c>
      <c r="AZ244" s="2" t="s">
        <v>3120</v>
      </c>
      <c r="BA244" s="2" t="s">
        <v>3121</v>
      </c>
      <c r="BB244" s="2" t="s">
        <v>21</v>
      </c>
      <c r="BE244" s="2" t="s">
        <v>3122</v>
      </c>
      <c r="BF244" s="2" t="s">
        <v>3123</v>
      </c>
    </row>
    <row r="245" spans="1:58" ht="41.25" customHeight="1" x14ac:dyDescent="0.25">
      <c r="A245" s="8" t="s">
        <v>5</v>
      </c>
      <c r="B245" s="1" t="s">
        <v>0</v>
      </c>
      <c r="C245" s="1" t="s">
        <v>1</v>
      </c>
      <c r="D245" s="1" t="s">
        <v>3124</v>
      </c>
      <c r="E245" s="1" t="s">
        <v>3125</v>
      </c>
      <c r="F245" s="1" t="s">
        <v>3126</v>
      </c>
      <c r="H245" s="2" t="s">
        <v>5</v>
      </c>
      <c r="I245" s="2" t="s">
        <v>6</v>
      </c>
      <c r="J245" s="2" t="s">
        <v>5</v>
      </c>
      <c r="K245" s="2" t="s">
        <v>5</v>
      </c>
      <c r="L245" s="2" t="s">
        <v>7</v>
      </c>
      <c r="N245" s="1" t="s">
        <v>3127</v>
      </c>
      <c r="O245" s="2" t="s">
        <v>1441</v>
      </c>
      <c r="Q245" s="2" t="s">
        <v>11</v>
      </c>
      <c r="R245" s="2" t="s">
        <v>93</v>
      </c>
      <c r="S245" s="1" t="s">
        <v>3128</v>
      </c>
      <c r="T245" s="2" t="s">
        <v>520</v>
      </c>
      <c r="U245" s="3">
        <v>1</v>
      </c>
      <c r="V245" s="3">
        <v>1</v>
      </c>
      <c r="W245" s="4" t="s">
        <v>2715</v>
      </c>
      <c r="X245" s="4" t="s">
        <v>2715</v>
      </c>
      <c r="Y245" s="4" t="s">
        <v>124</v>
      </c>
      <c r="Z245" s="4" t="s">
        <v>124</v>
      </c>
      <c r="AA245" s="3">
        <v>74</v>
      </c>
      <c r="AB245" s="3">
        <v>63</v>
      </c>
      <c r="AC245" s="3">
        <v>77</v>
      </c>
      <c r="AD245" s="3">
        <v>2</v>
      </c>
      <c r="AE245" s="3">
        <v>2</v>
      </c>
      <c r="AF245" s="3">
        <v>3</v>
      </c>
      <c r="AG245" s="3">
        <v>3</v>
      </c>
      <c r="AH245" s="3">
        <v>1</v>
      </c>
      <c r="AI245" s="3">
        <v>1</v>
      </c>
      <c r="AJ245" s="3">
        <v>0</v>
      </c>
      <c r="AK245" s="3">
        <v>0</v>
      </c>
      <c r="AL245" s="3">
        <v>2</v>
      </c>
      <c r="AM245" s="3">
        <v>2</v>
      </c>
      <c r="AN245" s="3">
        <v>0</v>
      </c>
      <c r="AO245" s="3">
        <v>0</v>
      </c>
      <c r="AP245" s="3">
        <v>0</v>
      </c>
      <c r="AQ245" s="3">
        <v>0</v>
      </c>
      <c r="AR245" s="2" t="s">
        <v>5</v>
      </c>
      <c r="AS245" s="2" t="s">
        <v>16</v>
      </c>
      <c r="AT245" s="5" t="str">
        <f>HYPERLINK("http://catalog.hathitrust.org/Record/001574542","HathiTrust Record")</f>
        <v>HathiTrust Record</v>
      </c>
      <c r="AU245" s="5" t="str">
        <f>HYPERLINK("https://creighton-primo.hosted.exlibrisgroup.com/primo-explore/search?tab=default_tab&amp;search_scope=EVERYTHING&amp;vid=01CRU&amp;lang=en_US&amp;offset=0&amp;query=any,contains,991001368269702656","Catalog Record")</f>
        <v>Catalog Record</v>
      </c>
      <c r="AV245" s="5" t="str">
        <f>HYPERLINK("http://www.worldcat.org/oclc/927163","WorldCat Record")</f>
        <v>WorldCat Record</v>
      </c>
      <c r="AW245" s="2" t="s">
        <v>3129</v>
      </c>
      <c r="AX245" s="2" t="s">
        <v>3130</v>
      </c>
      <c r="AY245" s="2" t="s">
        <v>3131</v>
      </c>
      <c r="AZ245" s="2" t="s">
        <v>3131</v>
      </c>
      <c r="BA245" s="2" t="s">
        <v>3132</v>
      </c>
      <c r="BB245" s="2" t="s">
        <v>21</v>
      </c>
      <c r="BE245" s="2" t="s">
        <v>3133</v>
      </c>
      <c r="BF245" s="2" t="s">
        <v>3134</v>
      </c>
    </row>
    <row r="246" spans="1:58" ht="41.25" customHeight="1" x14ac:dyDescent="0.25">
      <c r="A246" s="8" t="s">
        <v>5</v>
      </c>
      <c r="B246" s="1" t="s">
        <v>0</v>
      </c>
      <c r="C246" s="1" t="s">
        <v>1</v>
      </c>
      <c r="D246" s="1" t="s">
        <v>3135</v>
      </c>
      <c r="E246" s="1" t="s">
        <v>3136</v>
      </c>
      <c r="F246" s="1" t="s">
        <v>3137</v>
      </c>
      <c r="H246" s="2" t="s">
        <v>5</v>
      </c>
      <c r="I246" s="2" t="s">
        <v>6</v>
      </c>
      <c r="J246" s="2" t="s">
        <v>5</v>
      </c>
      <c r="K246" s="2" t="s">
        <v>5</v>
      </c>
      <c r="L246" s="2" t="s">
        <v>7</v>
      </c>
      <c r="M246" s="1" t="s">
        <v>3138</v>
      </c>
      <c r="N246" s="1" t="s">
        <v>3139</v>
      </c>
      <c r="O246" s="2" t="s">
        <v>151</v>
      </c>
      <c r="Q246" s="2" t="s">
        <v>11</v>
      </c>
      <c r="R246" s="2" t="s">
        <v>1325</v>
      </c>
      <c r="T246" s="2" t="s">
        <v>520</v>
      </c>
      <c r="U246" s="3">
        <v>1</v>
      </c>
      <c r="V246" s="3">
        <v>1</v>
      </c>
      <c r="W246" s="4" t="s">
        <v>3140</v>
      </c>
      <c r="X246" s="4" t="s">
        <v>3140</v>
      </c>
      <c r="Y246" s="4" t="s">
        <v>168</v>
      </c>
      <c r="Z246" s="4" t="s">
        <v>168</v>
      </c>
      <c r="AA246" s="3">
        <v>45</v>
      </c>
      <c r="AB246" s="3">
        <v>40</v>
      </c>
      <c r="AC246" s="3">
        <v>44</v>
      </c>
      <c r="AD246" s="3">
        <v>1</v>
      </c>
      <c r="AE246" s="3">
        <v>1</v>
      </c>
      <c r="AF246" s="3">
        <v>1</v>
      </c>
      <c r="AG246" s="3">
        <v>1</v>
      </c>
      <c r="AH246" s="3">
        <v>0</v>
      </c>
      <c r="AI246" s="3">
        <v>0</v>
      </c>
      <c r="AJ246" s="3">
        <v>0</v>
      </c>
      <c r="AK246" s="3">
        <v>0</v>
      </c>
      <c r="AL246" s="3">
        <v>1</v>
      </c>
      <c r="AM246" s="3">
        <v>1</v>
      </c>
      <c r="AN246" s="3">
        <v>0</v>
      </c>
      <c r="AO246" s="3">
        <v>0</v>
      </c>
      <c r="AP246" s="3">
        <v>0</v>
      </c>
      <c r="AQ246" s="3">
        <v>0</v>
      </c>
      <c r="AR246" s="2" t="s">
        <v>5</v>
      </c>
      <c r="AS246" s="2" t="s">
        <v>16</v>
      </c>
      <c r="AT246" s="5" t="str">
        <f>HYPERLINK("http://catalog.hathitrust.org/Record/001574632","HathiTrust Record")</f>
        <v>HathiTrust Record</v>
      </c>
      <c r="AU246" s="5" t="str">
        <f>HYPERLINK("https://creighton-primo.hosted.exlibrisgroup.com/primo-explore/search?tab=default_tab&amp;search_scope=EVERYTHING&amp;vid=01CRU&amp;lang=en_US&amp;offset=0&amp;query=any,contains,991001040199702656","Catalog Record")</f>
        <v>Catalog Record</v>
      </c>
      <c r="AV246" s="5" t="str">
        <f>HYPERLINK("http://www.worldcat.org/oclc/1931268","WorldCat Record")</f>
        <v>WorldCat Record</v>
      </c>
      <c r="AW246" s="2" t="s">
        <v>3141</v>
      </c>
      <c r="AX246" s="2" t="s">
        <v>3142</v>
      </c>
      <c r="AY246" s="2" t="s">
        <v>3143</v>
      </c>
      <c r="AZ246" s="2" t="s">
        <v>3143</v>
      </c>
      <c r="BA246" s="2" t="s">
        <v>3144</v>
      </c>
      <c r="BB246" s="2" t="s">
        <v>21</v>
      </c>
      <c r="BE246" s="2" t="s">
        <v>3145</v>
      </c>
      <c r="BF246" s="2" t="s">
        <v>3146</v>
      </c>
    </row>
    <row r="247" spans="1:58" ht="41.25" customHeight="1" x14ac:dyDescent="0.25">
      <c r="A247" s="8" t="s">
        <v>5</v>
      </c>
      <c r="B247" s="1" t="s">
        <v>0</v>
      </c>
      <c r="C247" s="1" t="s">
        <v>1</v>
      </c>
      <c r="D247" s="1" t="s">
        <v>3147</v>
      </c>
      <c r="E247" s="1" t="s">
        <v>3148</v>
      </c>
      <c r="F247" s="1" t="s">
        <v>3149</v>
      </c>
      <c r="H247" s="2" t="s">
        <v>5</v>
      </c>
      <c r="I247" s="2" t="s">
        <v>6</v>
      </c>
      <c r="J247" s="2" t="s">
        <v>5</v>
      </c>
      <c r="K247" s="2" t="s">
        <v>5</v>
      </c>
      <c r="L247" s="2" t="s">
        <v>7</v>
      </c>
      <c r="M247" s="1" t="s">
        <v>3150</v>
      </c>
      <c r="N247" s="1" t="s">
        <v>3151</v>
      </c>
      <c r="O247" s="2" t="s">
        <v>1441</v>
      </c>
      <c r="Q247" s="2" t="s">
        <v>11</v>
      </c>
      <c r="R247" s="2" t="s">
        <v>12</v>
      </c>
      <c r="S247" s="1" t="s">
        <v>3152</v>
      </c>
      <c r="T247" s="2" t="s">
        <v>520</v>
      </c>
      <c r="U247" s="3">
        <v>1</v>
      </c>
      <c r="V247" s="3">
        <v>1</v>
      </c>
      <c r="W247" s="4" t="s">
        <v>1248</v>
      </c>
      <c r="X247" s="4" t="s">
        <v>1248</v>
      </c>
      <c r="Y247" s="4" t="s">
        <v>1249</v>
      </c>
      <c r="Z247" s="4" t="s">
        <v>1249</v>
      </c>
      <c r="AA247" s="3">
        <v>73</v>
      </c>
      <c r="AB247" s="3">
        <v>64</v>
      </c>
      <c r="AC247" s="3">
        <v>66</v>
      </c>
      <c r="AD247" s="3">
        <v>2</v>
      </c>
      <c r="AE247" s="3">
        <v>2</v>
      </c>
      <c r="AF247" s="3">
        <v>2</v>
      </c>
      <c r="AG247" s="3">
        <v>2</v>
      </c>
      <c r="AH247" s="3">
        <v>0</v>
      </c>
      <c r="AI247" s="3">
        <v>0</v>
      </c>
      <c r="AJ247" s="3">
        <v>0</v>
      </c>
      <c r="AK247" s="3">
        <v>0</v>
      </c>
      <c r="AL247" s="3">
        <v>2</v>
      </c>
      <c r="AM247" s="3">
        <v>2</v>
      </c>
      <c r="AN247" s="3">
        <v>0</v>
      </c>
      <c r="AO247" s="3">
        <v>0</v>
      </c>
      <c r="AP247" s="3">
        <v>0</v>
      </c>
      <c r="AQ247" s="3">
        <v>0</v>
      </c>
      <c r="AR247" s="2" t="s">
        <v>5</v>
      </c>
      <c r="AS247" s="2" t="s">
        <v>16</v>
      </c>
      <c r="AT247" s="5" t="str">
        <f>HYPERLINK("http://catalog.hathitrust.org/Record/001574698","HathiTrust Record")</f>
        <v>HathiTrust Record</v>
      </c>
      <c r="AU247" s="5" t="str">
        <f>HYPERLINK("https://creighton-primo.hosted.exlibrisgroup.com/primo-explore/search?tab=default_tab&amp;search_scope=EVERYTHING&amp;vid=01CRU&amp;lang=en_US&amp;offset=0&amp;query=any,contains,991001384419702656","Catalog Record")</f>
        <v>Catalog Record</v>
      </c>
      <c r="AV247" s="5" t="str">
        <f>HYPERLINK("http://www.worldcat.org/oclc/903667","WorldCat Record")</f>
        <v>WorldCat Record</v>
      </c>
      <c r="AW247" s="2" t="s">
        <v>3153</v>
      </c>
      <c r="AX247" s="2" t="s">
        <v>3154</v>
      </c>
      <c r="AY247" s="2" t="s">
        <v>3155</v>
      </c>
      <c r="AZ247" s="2" t="s">
        <v>3155</v>
      </c>
      <c r="BA247" s="2" t="s">
        <v>3156</v>
      </c>
      <c r="BB247" s="2" t="s">
        <v>21</v>
      </c>
      <c r="BE247" s="2" t="s">
        <v>3157</v>
      </c>
      <c r="BF247" s="2" t="s">
        <v>3158</v>
      </c>
    </row>
    <row r="248" spans="1:58" ht="41.25" customHeight="1" x14ac:dyDescent="0.25">
      <c r="A248" s="8" t="s">
        <v>5</v>
      </c>
      <c r="B248" s="1" t="s">
        <v>0</v>
      </c>
      <c r="C248" s="1" t="s">
        <v>1</v>
      </c>
      <c r="D248" s="1" t="s">
        <v>3159</v>
      </c>
      <c r="E248" s="1" t="s">
        <v>3160</v>
      </c>
      <c r="F248" s="1" t="s">
        <v>3161</v>
      </c>
      <c r="H248" s="2" t="s">
        <v>5</v>
      </c>
      <c r="I248" s="2" t="s">
        <v>6</v>
      </c>
      <c r="J248" s="2" t="s">
        <v>5</v>
      </c>
      <c r="K248" s="2" t="s">
        <v>5</v>
      </c>
      <c r="L248" s="2" t="s">
        <v>7</v>
      </c>
      <c r="M248" s="1" t="s">
        <v>3162</v>
      </c>
      <c r="N248" s="1" t="s">
        <v>2272</v>
      </c>
      <c r="O248" s="2" t="s">
        <v>354</v>
      </c>
      <c r="Q248" s="2" t="s">
        <v>11</v>
      </c>
      <c r="R248" s="2" t="s">
        <v>426</v>
      </c>
      <c r="S248" s="1" t="s">
        <v>3163</v>
      </c>
      <c r="T248" s="2" t="s">
        <v>520</v>
      </c>
      <c r="U248" s="3">
        <v>2</v>
      </c>
      <c r="V248" s="3">
        <v>2</v>
      </c>
      <c r="W248" s="4" t="s">
        <v>3164</v>
      </c>
      <c r="X248" s="4" t="s">
        <v>3164</v>
      </c>
      <c r="Y248" s="4" t="s">
        <v>1223</v>
      </c>
      <c r="Z248" s="4" t="s">
        <v>1223</v>
      </c>
      <c r="AA248" s="3">
        <v>96</v>
      </c>
      <c r="AB248" s="3">
        <v>83</v>
      </c>
      <c r="AC248" s="3">
        <v>85</v>
      </c>
      <c r="AD248" s="3">
        <v>1</v>
      </c>
      <c r="AE248" s="3">
        <v>1</v>
      </c>
      <c r="AF248" s="3">
        <v>2</v>
      </c>
      <c r="AG248" s="3">
        <v>2</v>
      </c>
      <c r="AH248" s="3">
        <v>0</v>
      </c>
      <c r="AI248" s="3">
        <v>0</v>
      </c>
      <c r="AJ248" s="3">
        <v>0</v>
      </c>
      <c r="AK248" s="3">
        <v>0</v>
      </c>
      <c r="AL248" s="3">
        <v>2</v>
      </c>
      <c r="AM248" s="3">
        <v>2</v>
      </c>
      <c r="AN248" s="3">
        <v>0</v>
      </c>
      <c r="AO248" s="3">
        <v>0</v>
      </c>
      <c r="AP248" s="3">
        <v>0</v>
      </c>
      <c r="AQ248" s="3">
        <v>0</v>
      </c>
      <c r="AR248" s="2" t="s">
        <v>5</v>
      </c>
      <c r="AS248" s="2" t="s">
        <v>16</v>
      </c>
      <c r="AT248" s="5" t="str">
        <f>HYPERLINK("http://catalog.hathitrust.org/Record/002505046","HathiTrust Record")</f>
        <v>HathiTrust Record</v>
      </c>
      <c r="AU248" s="5" t="str">
        <f>HYPERLINK("https://creighton-primo.hosted.exlibrisgroup.com/primo-explore/search?tab=default_tab&amp;search_scope=EVERYTHING&amp;vid=01CRU&amp;lang=en_US&amp;offset=0&amp;query=any,contains,991001388889702656","Catalog Record")</f>
        <v>Catalog Record</v>
      </c>
      <c r="AV248" s="5" t="str">
        <f>HYPERLINK("http://www.worldcat.org/oclc/7775571","WorldCat Record")</f>
        <v>WorldCat Record</v>
      </c>
      <c r="AW248" s="2" t="s">
        <v>3165</v>
      </c>
      <c r="AX248" s="2" t="s">
        <v>3166</v>
      </c>
      <c r="AY248" s="2" t="s">
        <v>3167</v>
      </c>
      <c r="AZ248" s="2" t="s">
        <v>3167</v>
      </c>
      <c r="BA248" s="2" t="s">
        <v>3168</v>
      </c>
      <c r="BB248" s="2" t="s">
        <v>21</v>
      </c>
      <c r="BE248" s="2" t="s">
        <v>3169</v>
      </c>
      <c r="BF248" s="2" t="s">
        <v>3170</v>
      </c>
    </row>
    <row r="249" spans="1:58" ht="41.25" customHeight="1" x14ac:dyDescent="0.25">
      <c r="A249" s="8" t="s">
        <v>5</v>
      </c>
      <c r="B249" s="1" t="s">
        <v>0</v>
      </c>
      <c r="C249" s="1" t="s">
        <v>1</v>
      </c>
      <c r="D249" s="1" t="s">
        <v>3171</v>
      </c>
      <c r="E249" s="1" t="s">
        <v>3172</v>
      </c>
      <c r="F249" s="1" t="s">
        <v>3173</v>
      </c>
      <c r="H249" s="2" t="s">
        <v>5</v>
      </c>
      <c r="I249" s="2" t="s">
        <v>6</v>
      </c>
      <c r="J249" s="2" t="s">
        <v>5</v>
      </c>
      <c r="K249" s="2" t="s">
        <v>5</v>
      </c>
      <c r="L249" s="2" t="s">
        <v>7</v>
      </c>
      <c r="N249" s="1" t="s">
        <v>1220</v>
      </c>
      <c r="O249" s="2" t="s">
        <v>62</v>
      </c>
      <c r="Q249" s="2" t="s">
        <v>11</v>
      </c>
      <c r="R249" s="2" t="s">
        <v>12</v>
      </c>
      <c r="S249" s="1" t="s">
        <v>3174</v>
      </c>
      <c r="T249" s="2" t="s">
        <v>520</v>
      </c>
      <c r="U249" s="3">
        <v>1</v>
      </c>
      <c r="V249" s="3">
        <v>1</v>
      </c>
      <c r="W249" s="4" t="s">
        <v>2189</v>
      </c>
      <c r="X249" s="4" t="s">
        <v>2189</v>
      </c>
      <c r="Y249" s="4" t="s">
        <v>2632</v>
      </c>
      <c r="Z249" s="4" t="s">
        <v>2632</v>
      </c>
      <c r="AA249" s="3">
        <v>68</v>
      </c>
      <c r="AB249" s="3">
        <v>64</v>
      </c>
      <c r="AC249" s="3">
        <v>67</v>
      </c>
      <c r="AD249" s="3">
        <v>2</v>
      </c>
      <c r="AE249" s="3">
        <v>2</v>
      </c>
      <c r="AF249" s="3">
        <v>3</v>
      </c>
      <c r="AG249" s="3">
        <v>3</v>
      </c>
      <c r="AH249" s="3">
        <v>0</v>
      </c>
      <c r="AI249" s="3">
        <v>0</v>
      </c>
      <c r="AJ249" s="3">
        <v>0</v>
      </c>
      <c r="AK249" s="3">
        <v>0</v>
      </c>
      <c r="AL249" s="3">
        <v>3</v>
      </c>
      <c r="AM249" s="3">
        <v>3</v>
      </c>
      <c r="AN249" s="3">
        <v>0</v>
      </c>
      <c r="AO249" s="3">
        <v>0</v>
      </c>
      <c r="AP249" s="3">
        <v>0</v>
      </c>
      <c r="AQ249" s="3">
        <v>0</v>
      </c>
      <c r="AR249" s="2" t="s">
        <v>5</v>
      </c>
      <c r="AS249" s="2" t="s">
        <v>5</v>
      </c>
      <c r="AU249" s="5" t="str">
        <f>HYPERLINK("https://creighton-primo.hosted.exlibrisgroup.com/primo-explore/search?tab=default_tab&amp;search_scope=EVERYTHING&amp;vid=01CRU&amp;lang=en_US&amp;offset=0&amp;query=any,contains,991001388169702656","Catalog Record")</f>
        <v>Catalog Record</v>
      </c>
      <c r="AV249" s="5" t="str">
        <f>HYPERLINK("http://www.worldcat.org/oclc/4468337","WorldCat Record")</f>
        <v>WorldCat Record</v>
      </c>
      <c r="AW249" s="2" t="s">
        <v>3175</v>
      </c>
      <c r="AX249" s="2" t="s">
        <v>3176</v>
      </c>
      <c r="AY249" s="2" t="s">
        <v>3177</v>
      </c>
      <c r="AZ249" s="2" t="s">
        <v>3177</v>
      </c>
      <c r="BA249" s="2" t="s">
        <v>3178</v>
      </c>
      <c r="BB249" s="2" t="s">
        <v>21</v>
      </c>
      <c r="BE249" s="2" t="s">
        <v>3179</v>
      </c>
      <c r="BF249" s="2" t="s">
        <v>3180</v>
      </c>
    </row>
    <row r="250" spans="1:58" ht="41.25" customHeight="1" x14ac:dyDescent="0.25">
      <c r="A250" s="8" t="s">
        <v>5</v>
      </c>
      <c r="B250" s="1" t="s">
        <v>0</v>
      </c>
      <c r="C250" s="1" t="s">
        <v>1</v>
      </c>
      <c r="D250" s="1" t="s">
        <v>3181</v>
      </c>
      <c r="E250" s="1" t="s">
        <v>3182</v>
      </c>
      <c r="F250" s="1" t="s">
        <v>3183</v>
      </c>
      <c r="H250" s="2" t="s">
        <v>5</v>
      </c>
      <c r="I250" s="2" t="s">
        <v>6</v>
      </c>
      <c r="J250" s="2" t="s">
        <v>5</v>
      </c>
      <c r="K250" s="2" t="s">
        <v>5</v>
      </c>
      <c r="L250" s="2" t="s">
        <v>7</v>
      </c>
      <c r="N250" s="1" t="s">
        <v>3184</v>
      </c>
      <c r="O250" s="2" t="s">
        <v>708</v>
      </c>
      <c r="Q250" s="2" t="s">
        <v>11</v>
      </c>
      <c r="R250" s="2" t="s">
        <v>12</v>
      </c>
      <c r="T250" s="2" t="s">
        <v>520</v>
      </c>
      <c r="U250" s="3">
        <v>1</v>
      </c>
      <c r="V250" s="3">
        <v>1</v>
      </c>
      <c r="W250" s="4" t="s">
        <v>2225</v>
      </c>
      <c r="X250" s="4" t="s">
        <v>2225</v>
      </c>
      <c r="Y250" s="4" t="s">
        <v>2226</v>
      </c>
      <c r="Z250" s="4" t="s">
        <v>2226</v>
      </c>
      <c r="AA250" s="3">
        <v>31</v>
      </c>
      <c r="AB250" s="3">
        <v>28</v>
      </c>
      <c r="AC250" s="3">
        <v>29</v>
      </c>
      <c r="AD250" s="3">
        <v>1</v>
      </c>
      <c r="AE250" s="3">
        <v>1</v>
      </c>
      <c r="AF250" s="3">
        <v>0</v>
      </c>
      <c r="AG250" s="3">
        <v>0</v>
      </c>
      <c r="AH250" s="3">
        <v>0</v>
      </c>
      <c r="AI250" s="3">
        <v>0</v>
      </c>
      <c r="AJ250" s="3">
        <v>0</v>
      </c>
      <c r="AK250" s="3">
        <v>0</v>
      </c>
      <c r="AL250" s="3">
        <v>0</v>
      </c>
      <c r="AM250" s="3">
        <v>0</v>
      </c>
      <c r="AN250" s="3">
        <v>0</v>
      </c>
      <c r="AO250" s="3">
        <v>0</v>
      </c>
      <c r="AP250" s="3">
        <v>0</v>
      </c>
      <c r="AQ250" s="3">
        <v>0</v>
      </c>
      <c r="AR250" s="2" t="s">
        <v>5</v>
      </c>
      <c r="AS250" s="2" t="s">
        <v>16</v>
      </c>
      <c r="AT250" s="5" t="str">
        <f>HYPERLINK("http://catalog.hathitrust.org/Record/100958492","HathiTrust Record")</f>
        <v>HathiTrust Record</v>
      </c>
      <c r="AU250" s="5" t="str">
        <f>HYPERLINK("https://creighton-primo.hosted.exlibrisgroup.com/primo-explore/search?tab=default_tab&amp;search_scope=EVERYTHING&amp;vid=01CRU&amp;lang=en_US&amp;offset=0&amp;query=any,contains,991001517769702656","Catalog Record")</f>
        <v>Catalog Record</v>
      </c>
      <c r="AV250" s="5" t="str">
        <f>HYPERLINK("http://www.worldcat.org/oclc/6359303","WorldCat Record")</f>
        <v>WorldCat Record</v>
      </c>
      <c r="AW250" s="2" t="s">
        <v>3185</v>
      </c>
      <c r="AX250" s="2" t="s">
        <v>3186</v>
      </c>
      <c r="AY250" s="2" t="s">
        <v>3187</v>
      </c>
      <c r="AZ250" s="2" t="s">
        <v>3187</v>
      </c>
      <c r="BA250" s="2" t="s">
        <v>3188</v>
      </c>
      <c r="BB250" s="2" t="s">
        <v>21</v>
      </c>
      <c r="BE250" s="2" t="s">
        <v>3189</v>
      </c>
      <c r="BF250" s="2" t="s">
        <v>3190</v>
      </c>
    </row>
    <row r="251" spans="1:58" ht="41.25" customHeight="1" x14ac:dyDescent="0.25">
      <c r="A251" s="8" t="s">
        <v>5</v>
      </c>
      <c r="B251" s="1" t="s">
        <v>0</v>
      </c>
      <c r="C251" s="1" t="s">
        <v>1</v>
      </c>
      <c r="D251" s="1" t="s">
        <v>3191</v>
      </c>
      <c r="E251" s="1" t="s">
        <v>3192</v>
      </c>
      <c r="F251" s="1" t="s">
        <v>3193</v>
      </c>
      <c r="H251" s="2" t="s">
        <v>5</v>
      </c>
      <c r="I251" s="2" t="s">
        <v>6</v>
      </c>
      <c r="J251" s="2" t="s">
        <v>5</v>
      </c>
      <c r="K251" s="2" t="s">
        <v>5</v>
      </c>
      <c r="L251" s="2" t="s">
        <v>7</v>
      </c>
      <c r="N251" s="1" t="s">
        <v>1403</v>
      </c>
      <c r="O251" s="2" t="s">
        <v>285</v>
      </c>
      <c r="Q251" s="2" t="s">
        <v>11</v>
      </c>
      <c r="R251" s="2" t="s">
        <v>12</v>
      </c>
      <c r="S251" s="1" t="s">
        <v>3194</v>
      </c>
      <c r="T251" s="2" t="s">
        <v>520</v>
      </c>
      <c r="U251" s="3">
        <v>1</v>
      </c>
      <c r="V251" s="3">
        <v>1</v>
      </c>
      <c r="W251" s="4" t="s">
        <v>3195</v>
      </c>
      <c r="X251" s="4" t="s">
        <v>3195</v>
      </c>
      <c r="Y251" s="4" t="s">
        <v>1591</v>
      </c>
      <c r="Z251" s="4" t="s">
        <v>1591</v>
      </c>
      <c r="AA251" s="3">
        <v>109</v>
      </c>
      <c r="AB251" s="3">
        <v>92</v>
      </c>
      <c r="AC251" s="3">
        <v>94</v>
      </c>
      <c r="AD251" s="3">
        <v>2</v>
      </c>
      <c r="AE251" s="3">
        <v>2</v>
      </c>
      <c r="AF251" s="3">
        <v>2</v>
      </c>
      <c r="AG251" s="3">
        <v>2</v>
      </c>
      <c r="AH251" s="3">
        <v>1</v>
      </c>
      <c r="AI251" s="3">
        <v>1</v>
      </c>
      <c r="AJ251" s="3">
        <v>0</v>
      </c>
      <c r="AK251" s="3">
        <v>0</v>
      </c>
      <c r="AL251" s="3">
        <v>1</v>
      </c>
      <c r="AM251" s="3">
        <v>1</v>
      </c>
      <c r="AN251" s="3">
        <v>0</v>
      </c>
      <c r="AO251" s="3">
        <v>0</v>
      </c>
      <c r="AP251" s="3">
        <v>0</v>
      </c>
      <c r="AQ251" s="3">
        <v>0</v>
      </c>
      <c r="AR251" s="2" t="s">
        <v>5</v>
      </c>
      <c r="AS251" s="2" t="s">
        <v>16</v>
      </c>
      <c r="AT251" s="5" t="str">
        <f>HYPERLINK("http://catalog.hathitrust.org/Record/000759758","HathiTrust Record")</f>
        <v>HathiTrust Record</v>
      </c>
      <c r="AU251" s="5" t="str">
        <f>HYPERLINK("https://creighton-primo.hosted.exlibrisgroup.com/primo-explore/search?tab=default_tab&amp;search_scope=EVERYTHING&amp;vid=01CRU&amp;lang=en_US&amp;offset=0&amp;query=any,contains,991001376919702656","Catalog Record")</f>
        <v>Catalog Record</v>
      </c>
      <c r="AV251" s="5" t="str">
        <f>HYPERLINK("http://www.worldcat.org/oclc/5670891","WorldCat Record")</f>
        <v>WorldCat Record</v>
      </c>
      <c r="AW251" s="2" t="s">
        <v>3196</v>
      </c>
      <c r="AX251" s="2" t="s">
        <v>3197</v>
      </c>
      <c r="AY251" s="2" t="s">
        <v>3198</v>
      </c>
      <c r="AZ251" s="2" t="s">
        <v>3198</v>
      </c>
      <c r="BA251" s="2" t="s">
        <v>3199</v>
      </c>
      <c r="BB251" s="2" t="s">
        <v>21</v>
      </c>
      <c r="BE251" s="2" t="s">
        <v>3200</v>
      </c>
      <c r="BF251" s="2" t="s">
        <v>3201</v>
      </c>
    </row>
    <row r="252" spans="1:58" ht="41.25" customHeight="1" x14ac:dyDescent="0.25">
      <c r="A252" s="8" t="s">
        <v>5</v>
      </c>
      <c r="B252" s="1" t="s">
        <v>0</v>
      </c>
      <c r="C252" s="1" t="s">
        <v>1</v>
      </c>
      <c r="D252" s="1" t="s">
        <v>3202</v>
      </c>
      <c r="E252" s="1" t="s">
        <v>3203</v>
      </c>
      <c r="F252" s="1" t="s">
        <v>3204</v>
      </c>
      <c r="H252" s="2" t="s">
        <v>5</v>
      </c>
      <c r="I252" s="2" t="s">
        <v>6</v>
      </c>
      <c r="J252" s="2" t="s">
        <v>5</v>
      </c>
      <c r="K252" s="2" t="s">
        <v>5</v>
      </c>
      <c r="L252" s="2" t="s">
        <v>7</v>
      </c>
      <c r="N252" s="1" t="s">
        <v>3205</v>
      </c>
      <c r="O252" s="2" t="s">
        <v>414</v>
      </c>
      <c r="Q252" s="2" t="s">
        <v>11</v>
      </c>
      <c r="R252" s="2" t="s">
        <v>93</v>
      </c>
      <c r="S252" s="1" t="s">
        <v>3206</v>
      </c>
      <c r="T252" s="2" t="s">
        <v>520</v>
      </c>
      <c r="U252" s="3">
        <v>3</v>
      </c>
      <c r="V252" s="3">
        <v>3</v>
      </c>
      <c r="W252" s="4" t="s">
        <v>1826</v>
      </c>
      <c r="X252" s="4" t="s">
        <v>1826</v>
      </c>
      <c r="Y252" s="4" t="s">
        <v>1827</v>
      </c>
      <c r="Z252" s="4" t="s">
        <v>1827</v>
      </c>
      <c r="AA252" s="3">
        <v>72</v>
      </c>
      <c r="AB252" s="3">
        <v>64</v>
      </c>
      <c r="AC252" s="3">
        <v>66</v>
      </c>
      <c r="AD252" s="3">
        <v>3</v>
      </c>
      <c r="AE252" s="3">
        <v>3</v>
      </c>
      <c r="AF252" s="3">
        <v>4</v>
      </c>
      <c r="AG252" s="3">
        <v>4</v>
      </c>
      <c r="AH252" s="3">
        <v>0</v>
      </c>
      <c r="AI252" s="3">
        <v>0</v>
      </c>
      <c r="AJ252" s="3">
        <v>0</v>
      </c>
      <c r="AK252" s="3">
        <v>0</v>
      </c>
      <c r="AL252" s="3">
        <v>3</v>
      </c>
      <c r="AM252" s="3">
        <v>3</v>
      </c>
      <c r="AN252" s="3">
        <v>1</v>
      </c>
      <c r="AO252" s="3">
        <v>1</v>
      </c>
      <c r="AP252" s="3">
        <v>0</v>
      </c>
      <c r="AQ252" s="3">
        <v>0</v>
      </c>
      <c r="AR252" s="2" t="s">
        <v>5</v>
      </c>
      <c r="AS252" s="2" t="s">
        <v>16</v>
      </c>
      <c r="AT252" s="5" t="str">
        <f>HYPERLINK("http://catalog.hathitrust.org/Record/001574519","HathiTrust Record")</f>
        <v>HathiTrust Record</v>
      </c>
      <c r="AU252" s="5" t="str">
        <f>HYPERLINK("https://creighton-primo.hosted.exlibrisgroup.com/primo-explore/search?tab=default_tab&amp;search_scope=EVERYTHING&amp;vid=01CRU&amp;lang=en_US&amp;offset=0&amp;query=any,contains,991001367709702656","Catalog Record")</f>
        <v>Catalog Record</v>
      </c>
      <c r="AV252" s="5" t="str">
        <f>HYPERLINK("http://www.worldcat.org/oclc/38556","WorldCat Record")</f>
        <v>WorldCat Record</v>
      </c>
      <c r="AW252" s="2" t="s">
        <v>3207</v>
      </c>
      <c r="AX252" s="2" t="s">
        <v>3208</v>
      </c>
      <c r="AY252" s="2" t="s">
        <v>3209</v>
      </c>
      <c r="AZ252" s="2" t="s">
        <v>3209</v>
      </c>
      <c r="BA252" s="2" t="s">
        <v>3210</v>
      </c>
      <c r="BB252" s="2" t="s">
        <v>21</v>
      </c>
      <c r="BE252" s="2" t="s">
        <v>3211</v>
      </c>
      <c r="BF252" s="2" t="s">
        <v>3212</v>
      </c>
    </row>
    <row r="253" spans="1:58" ht="41.25" customHeight="1" x14ac:dyDescent="0.25">
      <c r="A253" s="8" t="s">
        <v>5</v>
      </c>
      <c r="B253" s="1" t="s">
        <v>0</v>
      </c>
      <c r="C253" s="1" t="s">
        <v>1</v>
      </c>
      <c r="D253" s="1" t="s">
        <v>3213</v>
      </c>
      <c r="E253" s="1" t="s">
        <v>3214</v>
      </c>
      <c r="F253" s="1" t="s">
        <v>3215</v>
      </c>
      <c r="H253" s="2" t="s">
        <v>5</v>
      </c>
      <c r="I253" s="2" t="s">
        <v>6</v>
      </c>
      <c r="J253" s="2" t="s">
        <v>5</v>
      </c>
      <c r="K253" s="2" t="s">
        <v>5</v>
      </c>
      <c r="L253" s="2" t="s">
        <v>7</v>
      </c>
      <c r="N253" s="1" t="s">
        <v>3216</v>
      </c>
      <c r="O253" s="2" t="s">
        <v>1441</v>
      </c>
      <c r="Q253" s="2" t="s">
        <v>11</v>
      </c>
      <c r="R253" s="2" t="s">
        <v>12</v>
      </c>
      <c r="S253" s="1" t="s">
        <v>3217</v>
      </c>
      <c r="T253" s="2" t="s">
        <v>520</v>
      </c>
      <c r="U253" s="3">
        <v>2</v>
      </c>
      <c r="V253" s="3">
        <v>2</v>
      </c>
      <c r="W253" s="4" t="s">
        <v>3218</v>
      </c>
      <c r="X253" s="4" t="s">
        <v>3218</v>
      </c>
      <c r="Y253" s="4" t="s">
        <v>2579</v>
      </c>
      <c r="Z253" s="4" t="s">
        <v>2579</v>
      </c>
      <c r="AA253" s="3">
        <v>71</v>
      </c>
      <c r="AB253" s="3">
        <v>61</v>
      </c>
      <c r="AC253" s="3">
        <v>89</v>
      </c>
      <c r="AD253" s="3">
        <v>1</v>
      </c>
      <c r="AE253" s="3">
        <v>2</v>
      </c>
      <c r="AF253" s="3">
        <v>2</v>
      </c>
      <c r="AG253" s="3">
        <v>2</v>
      </c>
      <c r="AH253" s="3">
        <v>0</v>
      </c>
      <c r="AI253" s="3">
        <v>0</v>
      </c>
      <c r="AJ253" s="3">
        <v>0</v>
      </c>
      <c r="AK253" s="3">
        <v>0</v>
      </c>
      <c r="AL253" s="3">
        <v>2</v>
      </c>
      <c r="AM253" s="3">
        <v>2</v>
      </c>
      <c r="AN253" s="3">
        <v>0</v>
      </c>
      <c r="AO253" s="3">
        <v>0</v>
      </c>
      <c r="AP253" s="3">
        <v>0</v>
      </c>
      <c r="AQ253" s="3">
        <v>0</v>
      </c>
      <c r="AR253" s="2" t="s">
        <v>5</v>
      </c>
      <c r="AS253" s="2" t="s">
        <v>16</v>
      </c>
      <c r="AT253" s="5" t="str">
        <f>HYPERLINK("http://catalog.hathitrust.org/Record/001550601","HathiTrust Record")</f>
        <v>HathiTrust Record</v>
      </c>
      <c r="AU253" s="5" t="str">
        <f>HYPERLINK("https://creighton-primo.hosted.exlibrisgroup.com/primo-explore/search?tab=default_tab&amp;search_scope=EVERYTHING&amp;vid=01CRU&amp;lang=en_US&amp;offset=0&amp;query=any,contains,991001363199702656","Catalog Record")</f>
        <v>Catalog Record</v>
      </c>
      <c r="AV253" s="5" t="str">
        <f>HYPERLINK("http://www.worldcat.org/oclc/3241391","WorldCat Record")</f>
        <v>WorldCat Record</v>
      </c>
      <c r="AW253" s="2" t="s">
        <v>3219</v>
      </c>
      <c r="AX253" s="2" t="s">
        <v>3220</v>
      </c>
      <c r="AY253" s="2" t="s">
        <v>3221</v>
      </c>
      <c r="AZ253" s="2" t="s">
        <v>3221</v>
      </c>
      <c r="BA253" s="2" t="s">
        <v>3222</v>
      </c>
      <c r="BB253" s="2" t="s">
        <v>21</v>
      </c>
      <c r="BE253" s="2" t="s">
        <v>3223</v>
      </c>
      <c r="BF253" s="2" t="s">
        <v>3224</v>
      </c>
    </row>
    <row r="254" spans="1:58" ht="41.25" customHeight="1" x14ac:dyDescent="0.25">
      <c r="A254" s="8" t="s">
        <v>5</v>
      </c>
      <c r="B254" s="1" t="s">
        <v>0</v>
      </c>
      <c r="C254" s="1" t="s">
        <v>1</v>
      </c>
      <c r="D254" s="1" t="s">
        <v>3225</v>
      </c>
      <c r="E254" s="1" t="s">
        <v>3226</v>
      </c>
      <c r="F254" s="1" t="s">
        <v>3227</v>
      </c>
      <c r="H254" s="2" t="s">
        <v>5</v>
      </c>
      <c r="I254" s="2" t="s">
        <v>6</v>
      </c>
      <c r="J254" s="2" t="s">
        <v>5</v>
      </c>
      <c r="K254" s="2" t="s">
        <v>5</v>
      </c>
      <c r="L254" s="2" t="s">
        <v>7</v>
      </c>
      <c r="M254" s="1" t="s">
        <v>3228</v>
      </c>
      <c r="O254" s="2" t="s">
        <v>1246</v>
      </c>
      <c r="Q254" s="2" t="s">
        <v>11</v>
      </c>
      <c r="R254" s="2" t="s">
        <v>78</v>
      </c>
      <c r="S254" s="1" t="s">
        <v>3229</v>
      </c>
      <c r="T254" s="2" t="s">
        <v>520</v>
      </c>
      <c r="U254" s="3">
        <v>1</v>
      </c>
      <c r="V254" s="3">
        <v>1</v>
      </c>
      <c r="W254" s="4" t="s">
        <v>3230</v>
      </c>
      <c r="X254" s="4" t="s">
        <v>3230</v>
      </c>
      <c r="Y254" s="4" t="s">
        <v>168</v>
      </c>
      <c r="Z254" s="4" t="s">
        <v>168</v>
      </c>
      <c r="AA254" s="3">
        <v>3</v>
      </c>
      <c r="AB254" s="3">
        <v>3</v>
      </c>
      <c r="AC254" s="3">
        <v>4</v>
      </c>
      <c r="AD254" s="3">
        <v>1</v>
      </c>
      <c r="AE254" s="3">
        <v>1</v>
      </c>
      <c r="AF254" s="3">
        <v>1</v>
      </c>
      <c r="AG254" s="3">
        <v>1</v>
      </c>
      <c r="AH254" s="3">
        <v>0</v>
      </c>
      <c r="AI254" s="3">
        <v>0</v>
      </c>
      <c r="AJ254" s="3">
        <v>0</v>
      </c>
      <c r="AK254" s="3">
        <v>0</v>
      </c>
      <c r="AL254" s="3">
        <v>1</v>
      </c>
      <c r="AM254" s="3">
        <v>1</v>
      </c>
      <c r="AN254" s="3">
        <v>0</v>
      </c>
      <c r="AO254" s="3">
        <v>0</v>
      </c>
      <c r="AP254" s="3">
        <v>0</v>
      </c>
      <c r="AQ254" s="3">
        <v>0</v>
      </c>
      <c r="AR254" s="2" t="s">
        <v>5</v>
      </c>
      <c r="AS254" s="2" t="s">
        <v>5</v>
      </c>
      <c r="AU254" s="5" t="str">
        <f>HYPERLINK("https://creighton-primo.hosted.exlibrisgroup.com/primo-explore/search?tab=default_tab&amp;search_scope=EVERYTHING&amp;vid=01CRU&amp;lang=en_US&amp;offset=0&amp;query=any,contains,991001040239702656","Catalog Record")</f>
        <v>Catalog Record</v>
      </c>
      <c r="AV254" s="5" t="str">
        <f>HYPERLINK("http://www.worldcat.org/oclc/4851396","WorldCat Record")</f>
        <v>WorldCat Record</v>
      </c>
      <c r="AW254" s="2" t="s">
        <v>3231</v>
      </c>
      <c r="AX254" s="2" t="s">
        <v>3232</v>
      </c>
      <c r="AY254" s="2" t="s">
        <v>3233</v>
      </c>
      <c r="AZ254" s="2" t="s">
        <v>3233</v>
      </c>
      <c r="BA254" s="2" t="s">
        <v>3234</v>
      </c>
      <c r="BB254" s="2" t="s">
        <v>21</v>
      </c>
      <c r="BE254" s="2" t="s">
        <v>3235</v>
      </c>
      <c r="BF254" s="2" t="s">
        <v>3236</v>
      </c>
    </row>
    <row r="255" spans="1:58" ht="41.25" customHeight="1" x14ac:dyDescent="0.25">
      <c r="A255" s="8" t="s">
        <v>5</v>
      </c>
      <c r="B255" s="1" t="s">
        <v>0</v>
      </c>
      <c r="C255" s="1" t="s">
        <v>1</v>
      </c>
      <c r="D255" s="1" t="s">
        <v>3237</v>
      </c>
      <c r="E255" s="1" t="s">
        <v>3238</v>
      </c>
      <c r="F255" s="1" t="s">
        <v>3239</v>
      </c>
      <c r="H255" s="2" t="s">
        <v>5</v>
      </c>
      <c r="I255" s="2" t="s">
        <v>6</v>
      </c>
      <c r="J255" s="2" t="s">
        <v>5</v>
      </c>
      <c r="K255" s="2" t="s">
        <v>5</v>
      </c>
      <c r="L255" s="2" t="s">
        <v>7</v>
      </c>
      <c r="M255" s="1" t="s">
        <v>3228</v>
      </c>
      <c r="N255" s="1" t="s">
        <v>3240</v>
      </c>
      <c r="O255" s="2" t="s">
        <v>1246</v>
      </c>
      <c r="Q255" s="2" t="s">
        <v>11</v>
      </c>
      <c r="R255" s="2" t="s">
        <v>78</v>
      </c>
      <c r="S255" s="1" t="s">
        <v>3241</v>
      </c>
      <c r="T255" s="2" t="s">
        <v>520</v>
      </c>
      <c r="U255" s="3">
        <v>4</v>
      </c>
      <c r="V255" s="3">
        <v>4</v>
      </c>
      <c r="W255" s="4" t="s">
        <v>3242</v>
      </c>
      <c r="X255" s="4" t="s">
        <v>3242</v>
      </c>
      <c r="Y255" s="4" t="s">
        <v>825</v>
      </c>
      <c r="Z255" s="4" t="s">
        <v>825</v>
      </c>
      <c r="AA255" s="3">
        <v>5</v>
      </c>
      <c r="AB255" s="3">
        <v>5</v>
      </c>
      <c r="AC255" s="3">
        <v>5</v>
      </c>
      <c r="AD255" s="3">
        <v>1</v>
      </c>
      <c r="AE255" s="3">
        <v>1</v>
      </c>
      <c r="AF255" s="3">
        <v>1</v>
      </c>
      <c r="AG255" s="3">
        <v>1</v>
      </c>
      <c r="AH255" s="3">
        <v>0</v>
      </c>
      <c r="AI255" s="3">
        <v>0</v>
      </c>
      <c r="AJ255" s="3">
        <v>0</v>
      </c>
      <c r="AK255" s="3">
        <v>0</v>
      </c>
      <c r="AL255" s="3">
        <v>1</v>
      </c>
      <c r="AM255" s="3">
        <v>1</v>
      </c>
      <c r="AN255" s="3">
        <v>0</v>
      </c>
      <c r="AO255" s="3">
        <v>0</v>
      </c>
      <c r="AP255" s="3">
        <v>0</v>
      </c>
      <c r="AQ255" s="3">
        <v>0</v>
      </c>
      <c r="AR255" s="2" t="s">
        <v>5</v>
      </c>
      <c r="AS255" s="2" t="s">
        <v>5</v>
      </c>
      <c r="AU255" s="5" t="str">
        <f>HYPERLINK("https://creighton-primo.hosted.exlibrisgroup.com/primo-explore/search?tab=default_tab&amp;search_scope=EVERYTHING&amp;vid=01CRU&amp;lang=en_US&amp;offset=0&amp;query=any,contains,991001041269702656","Catalog Record")</f>
        <v>Catalog Record</v>
      </c>
      <c r="AV255" s="5" t="str">
        <f>HYPERLINK("http://www.worldcat.org/oclc/4851386","WorldCat Record")</f>
        <v>WorldCat Record</v>
      </c>
      <c r="AW255" s="2" t="s">
        <v>3243</v>
      </c>
      <c r="AX255" s="2" t="s">
        <v>3244</v>
      </c>
      <c r="AY255" s="2" t="s">
        <v>3245</v>
      </c>
      <c r="AZ255" s="2" t="s">
        <v>3245</v>
      </c>
      <c r="BA255" s="2" t="s">
        <v>3246</v>
      </c>
      <c r="BB255" s="2" t="s">
        <v>21</v>
      </c>
      <c r="BE255" s="2" t="s">
        <v>3247</v>
      </c>
      <c r="BF255" s="2" t="s">
        <v>3248</v>
      </c>
    </row>
    <row r="256" spans="1:58" ht="41.25" customHeight="1" x14ac:dyDescent="0.25">
      <c r="A256" s="8" t="s">
        <v>5</v>
      </c>
      <c r="B256" s="1" t="s">
        <v>0</v>
      </c>
      <c r="C256" s="1" t="s">
        <v>1</v>
      </c>
      <c r="D256" s="1" t="s">
        <v>3249</v>
      </c>
      <c r="E256" s="1" t="s">
        <v>3250</v>
      </c>
      <c r="F256" s="1" t="s">
        <v>3251</v>
      </c>
      <c r="H256" s="2" t="s">
        <v>5</v>
      </c>
      <c r="I256" s="2" t="s">
        <v>6</v>
      </c>
      <c r="J256" s="2" t="s">
        <v>5</v>
      </c>
      <c r="K256" s="2" t="s">
        <v>5</v>
      </c>
      <c r="L256" s="2" t="s">
        <v>7</v>
      </c>
      <c r="N256" s="1" t="s">
        <v>2517</v>
      </c>
      <c r="O256" s="2" t="s">
        <v>989</v>
      </c>
      <c r="Q256" s="2" t="s">
        <v>11</v>
      </c>
      <c r="R256" s="2" t="s">
        <v>93</v>
      </c>
      <c r="S256" s="1" t="s">
        <v>3252</v>
      </c>
      <c r="T256" s="2" t="s">
        <v>520</v>
      </c>
      <c r="U256" s="3">
        <v>1</v>
      </c>
      <c r="V256" s="3">
        <v>1</v>
      </c>
      <c r="W256" s="4" t="s">
        <v>3253</v>
      </c>
      <c r="X256" s="4" t="s">
        <v>3253</v>
      </c>
      <c r="Y256" s="4" t="s">
        <v>3253</v>
      </c>
      <c r="Z256" s="4" t="s">
        <v>3253</v>
      </c>
      <c r="AA256" s="3">
        <v>3</v>
      </c>
      <c r="AB256" s="3">
        <v>2</v>
      </c>
      <c r="AC256" s="3">
        <v>2</v>
      </c>
      <c r="AD256" s="3">
        <v>1</v>
      </c>
      <c r="AE256" s="3">
        <v>1</v>
      </c>
      <c r="AF256" s="3">
        <v>0</v>
      </c>
      <c r="AG256" s="3">
        <v>0</v>
      </c>
      <c r="AH256" s="3">
        <v>0</v>
      </c>
      <c r="AI256" s="3">
        <v>0</v>
      </c>
      <c r="AJ256" s="3">
        <v>0</v>
      </c>
      <c r="AK256" s="3">
        <v>0</v>
      </c>
      <c r="AL256" s="3">
        <v>0</v>
      </c>
      <c r="AM256" s="3">
        <v>0</v>
      </c>
      <c r="AN256" s="3">
        <v>0</v>
      </c>
      <c r="AO256" s="3">
        <v>0</v>
      </c>
      <c r="AP256" s="3">
        <v>0</v>
      </c>
      <c r="AQ256" s="3">
        <v>0</v>
      </c>
      <c r="AR256" s="2" t="s">
        <v>5</v>
      </c>
      <c r="AS256" s="2" t="s">
        <v>5</v>
      </c>
      <c r="AU256" s="5" t="str">
        <f>HYPERLINK("https://creighton-primo.hosted.exlibrisgroup.com/primo-explore/search?tab=default_tab&amp;search_scope=EVERYTHING&amp;vid=01CRU&amp;lang=en_US&amp;offset=0&amp;query=any,contains,991000822499702656","Catalog Record")</f>
        <v>Catalog Record</v>
      </c>
      <c r="AV256" s="5" t="str">
        <f>HYPERLINK("http://www.worldcat.org/oclc/23812695","WorldCat Record")</f>
        <v>WorldCat Record</v>
      </c>
      <c r="AW256" s="2" t="s">
        <v>3254</v>
      </c>
      <c r="AX256" s="2" t="s">
        <v>3255</v>
      </c>
      <c r="AY256" s="2" t="s">
        <v>3256</v>
      </c>
      <c r="AZ256" s="2" t="s">
        <v>3256</v>
      </c>
      <c r="BA256" s="2" t="s">
        <v>3257</v>
      </c>
      <c r="BB256" s="2" t="s">
        <v>21</v>
      </c>
      <c r="BE256" s="2" t="s">
        <v>3258</v>
      </c>
      <c r="BF256" s="2" t="s">
        <v>3259</v>
      </c>
    </row>
    <row r="257" spans="1:58" ht="41.25" customHeight="1" x14ac:dyDescent="0.25">
      <c r="A257" s="8" t="s">
        <v>5</v>
      </c>
      <c r="B257" s="1" t="s">
        <v>0</v>
      </c>
      <c r="C257" s="1" t="s">
        <v>1</v>
      </c>
      <c r="D257" s="1" t="s">
        <v>3260</v>
      </c>
      <c r="E257" s="1" t="s">
        <v>3261</v>
      </c>
      <c r="F257" s="1" t="s">
        <v>3262</v>
      </c>
      <c r="H257" s="2" t="s">
        <v>5</v>
      </c>
      <c r="I257" s="2" t="s">
        <v>6</v>
      </c>
      <c r="J257" s="2" t="s">
        <v>5</v>
      </c>
      <c r="K257" s="2" t="s">
        <v>5</v>
      </c>
      <c r="L257" s="2" t="s">
        <v>7</v>
      </c>
      <c r="N257" s="1" t="s">
        <v>3263</v>
      </c>
      <c r="O257" s="2" t="s">
        <v>10</v>
      </c>
      <c r="Q257" s="2" t="s">
        <v>11</v>
      </c>
      <c r="R257" s="2" t="s">
        <v>12</v>
      </c>
      <c r="S257" s="1" t="s">
        <v>3264</v>
      </c>
      <c r="T257" s="2" t="s">
        <v>520</v>
      </c>
      <c r="U257" s="3">
        <v>1</v>
      </c>
      <c r="V257" s="3">
        <v>1</v>
      </c>
      <c r="W257" s="4" t="s">
        <v>3265</v>
      </c>
      <c r="X257" s="4" t="s">
        <v>3265</v>
      </c>
      <c r="Y257" s="4" t="s">
        <v>168</v>
      </c>
      <c r="Z257" s="4" t="s">
        <v>168</v>
      </c>
      <c r="AA257" s="3">
        <v>162</v>
      </c>
      <c r="AB257" s="3">
        <v>116</v>
      </c>
      <c r="AC257" s="3">
        <v>118</v>
      </c>
      <c r="AD257" s="3">
        <v>3</v>
      </c>
      <c r="AE257" s="3">
        <v>3</v>
      </c>
      <c r="AF257" s="3">
        <v>5</v>
      </c>
      <c r="AG257" s="3">
        <v>5</v>
      </c>
      <c r="AH257" s="3">
        <v>0</v>
      </c>
      <c r="AI257" s="3">
        <v>0</v>
      </c>
      <c r="AJ257" s="3">
        <v>1</v>
      </c>
      <c r="AK257" s="3">
        <v>1</v>
      </c>
      <c r="AL257" s="3">
        <v>2</v>
      </c>
      <c r="AM257" s="3">
        <v>2</v>
      </c>
      <c r="AN257" s="3">
        <v>2</v>
      </c>
      <c r="AO257" s="3">
        <v>2</v>
      </c>
      <c r="AP257" s="3">
        <v>0</v>
      </c>
      <c r="AQ257" s="3">
        <v>0</v>
      </c>
      <c r="AR257" s="2" t="s">
        <v>5</v>
      </c>
      <c r="AS257" s="2" t="s">
        <v>16</v>
      </c>
      <c r="AT257" s="5" t="str">
        <f>HYPERLINK("http://catalog.hathitrust.org/Record/000738522","HathiTrust Record")</f>
        <v>HathiTrust Record</v>
      </c>
      <c r="AU257" s="5" t="str">
        <f>HYPERLINK("https://creighton-primo.hosted.exlibrisgroup.com/primo-explore/search?tab=default_tab&amp;search_scope=EVERYTHING&amp;vid=01CRU&amp;lang=en_US&amp;offset=0&amp;query=any,contains,991001037839702656","Catalog Record")</f>
        <v>Catalog Record</v>
      </c>
      <c r="AV257" s="5" t="str">
        <f>HYPERLINK("http://www.worldcat.org/oclc/2911222","WorldCat Record")</f>
        <v>WorldCat Record</v>
      </c>
      <c r="AW257" s="2" t="s">
        <v>3266</v>
      </c>
      <c r="AX257" s="2" t="s">
        <v>3267</v>
      </c>
      <c r="AY257" s="2" t="s">
        <v>3268</v>
      </c>
      <c r="AZ257" s="2" t="s">
        <v>3268</v>
      </c>
      <c r="BA257" s="2" t="s">
        <v>3269</v>
      </c>
      <c r="BB257" s="2" t="s">
        <v>21</v>
      </c>
      <c r="BD257" s="2" t="s">
        <v>3270</v>
      </c>
      <c r="BE257" s="2" t="s">
        <v>3271</v>
      </c>
      <c r="BF257" s="2" t="s">
        <v>3272</v>
      </c>
    </row>
    <row r="258" spans="1:58" ht="41.25" customHeight="1" x14ac:dyDescent="0.25">
      <c r="A258" s="8" t="s">
        <v>5</v>
      </c>
      <c r="B258" s="1" t="s">
        <v>0</v>
      </c>
      <c r="C258" s="1" t="s">
        <v>1</v>
      </c>
      <c r="D258" s="1" t="s">
        <v>3273</v>
      </c>
      <c r="E258" s="1" t="s">
        <v>3274</v>
      </c>
      <c r="F258" s="1" t="s">
        <v>3275</v>
      </c>
      <c r="G258" s="2" t="s">
        <v>839</v>
      </c>
      <c r="H258" s="2" t="s">
        <v>16</v>
      </c>
      <c r="I258" s="2" t="s">
        <v>6</v>
      </c>
      <c r="J258" s="2" t="s">
        <v>5</v>
      </c>
      <c r="K258" s="2" t="s">
        <v>5</v>
      </c>
      <c r="L258" s="2" t="s">
        <v>7</v>
      </c>
      <c r="M258" s="1" t="s">
        <v>3276</v>
      </c>
      <c r="N258" s="1" t="s">
        <v>1665</v>
      </c>
      <c r="O258" s="2" t="s">
        <v>228</v>
      </c>
      <c r="Q258" s="2" t="s">
        <v>11</v>
      </c>
      <c r="R258" s="2" t="s">
        <v>426</v>
      </c>
      <c r="T258" s="2" t="s">
        <v>520</v>
      </c>
      <c r="U258" s="3">
        <v>2</v>
      </c>
      <c r="V258" s="3">
        <v>5</v>
      </c>
      <c r="W258" s="4" t="s">
        <v>3277</v>
      </c>
      <c r="X258" s="4" t="s">
        <v>3277</v>
      </c>
      <c r="Y258" s="4" t="s">
        <v>168</v>
      </c>
      <c r="Z258" s="4" t="s">
        <v>168</v>
      </c>
      <c r="AA258" s="3">
        <v>52</v>
      </c>
      <c r="AB258" s="3">
        <v>40</v>
      </c>
      <c r="AC258" s="3">
        <v>40</v>
      </c>
      <c r="AD258" s="3">
        <v>1</v>
      </c>
      <c r="AE258" s="3">
        <v>1</v>
      </c>
      <c r="AF258" s="3">
        <v>0</v>
      </c>
      <c r="AG258" s="3">
        <v>0</v>
      </c>
      <c r="AH258" s="3">
        <v>0</v>
      </c>
      <c r="AI258" s="3">
        <v>0</v>
      </c>
      <c r="AJ258" s="3">
        <v>0</v>
      </c>
      <c r="AK258" s="3">
        <v>0</v>
      </c>
      <c r="AL258" s="3">
        <v>0</v>
      </c>
      <c r="AM258" s="3">
        <v>0</v>
      </c>
      <c r="AN258" s="3">
        <v>0</v>
      </c>
      <c r="AO258" s="3">
        <v>0</v>
      </c>
      <c r="AP258" s="3">
        <v>0</v>
      </c>
      <c r="AQ258" s="3">
        <v>0</v>
      </c>
      <c r="AR258" s="2" t="s">
        <v>5</v>
      </c>
      <c r="AS258" s="2" t="s">
        <v>5</v>
      </c>
      <c r="AU258" s="5" t="str">
        <f>HYPERLINK("https://creighton-primo.hosted.exlibrisgroup.com/primo-explore/search?tab=default_tab&amp;search_scope=EVERYTHING&amp;vid=01CRU&amp;lang=en_US&amp;offset=0&amp;query=any,contains,991001037929702656","Catalog Record")</f>
        <v>Catalog Record</v>
      </c>
      <c r="AV258" s="5" t="str">
        <f>HYPERLINK("http://www.worldcat.org/oclc/7740463","WorldCat Record")</f>
        <v>WorldCat Record</v>
      </c>
      <c r="AW258" s="2" t="s">
        <v>3278</v>
      </c>
      <c r="AX258" s="2" t="s">
        <v>3279</v>
      </c>
      <c r="AY258" s="2" t="s">
        <v>3280</v>
      </c>
      <c r="AZ258" s="2" t="s">
        <v>3280</v>
      </c>
      <c r="BA258" s="2" t="s">
        <v>3281</v>
      </c>
      <c r="BB258" s="2" t="s">
        <v>21</v>
      </c>
      <c r="BD258" s="2" t="s">
        <v>3282</v>
      </c>
      <c r="BE258" s="2" t="s">
        <v>3283</v>
      </c>
      <c r="BF258" s="2" t="s">
        <v>3284</v>
      </c>
    </row>
    <row r="259" spans="1:58" ht="41.25" customHeight="1" x14ac:dyDescent="0.25">
      <c r="A259" s="8" t="s">
        <v>5</v>
      </c>
      <c r="B259" s="1" t="s">
        <v>0</v>
      </c>
      <c r="C259" s="1" t="s">
        <v>1</v>
      </c>
      <c r="D259" s="1" t="s">
        <v>3273</v>
      </c>
      <c r="E259" s="1" t="s">
        <v>3274</v>
      </c>
      <c r="F259" s="1" t="s">
        <v>3275</v>
      </c>
      <c r="G259" s="2" t="s">
        <v>820</v>
      </c>
      <c r="H259" s="2" t="s">
        <v>16</v>
      </c>
      <c r="I259" s="2" t="s">
        <v>6</v>
      </c>
      <c r="J259" s="2" t="s">
        <v>5</v>
      </c>
      <c r="K259" s="2" t="s">
        <v>5</v>
      </c>
      <c r="L259" s="2" t="s">
        <v>7</v>
      </c>
      <c r="M259" s="1" t="s">
        <v>3276</v>
      </c>
      <c r="N259" s="1" t="s">
        <v>1665</v>
      </c>
      <c r="O259" s="2" t="s">
        <v>228</v>
      </c>
      <c r="Q259" s="2" t="s">
        <v>11</v>
      </c>
      <c r="R259" s="2" t="s">
        <v>426</v>
      </c>
      <c r="T259" s="2" t="s">
        <v>520</v>
      </c>
      <c r="U259" s="3">
        <v>2</v>
      </c>
      <c r="V259" s="3">
        <v>5</v>
      </c>
      <c r="X259" s="4" t="s">
        <v>3277</v>
      </c>
      <c r="Y259" s="4" t="s">
        <v>168</v>
      </c>
      <c r="Z259" s="4" t="s">
        <v>168</v>
      </c>
      <c r="AA259" s="3">
        <v>52</v>
      </c>
      <c r="AB259" s="3">
        <v>40</v>
      </c>
      <c r="AC259" s="3">
        <v>40</v>
      </c>
      <c r="AD259" s="3">
        <v>1</v>
      </c>
      <c r="AE259" s="3">
        <v>1</v>
      </c>
      <c r="AF259" s="3">
        <v>0</v>
      </c>
      <c r="AG259" s="3">
        <v>0</v>
      </c>
      <c r="AH259" s="3">
        <v>0</v>
      </c>
      <c r="AI259" s="3">
        <v>0</v>
      </c>
      <c r="AJ259" s="3">
        <v>0</v>
      </c>
      <c r="AK259" s="3">
        <v>0</v>
      </c>
      <c r="AL259" s="3">
        <v>0</v>
      </c>
      <c r="AM259" s="3">
        <v>0</v>
      </c>
      <c r="AN259" s="3">
        <v>0</v>
      </c>
      <c r="AO259" s="3">
        <v>0</v>
      </c>
      <c r="AP259" s="3">
        <v>0</v>
      </c>
      <c r="AQ259" s="3">
        <v>0</v>
      </c>
      <c r="AR259" s="2" t="s">
        <v>5</v>
      </c>
      <c r="AS259" s="2" t="s">
        <v>5</v>
      </c>
      <c r="AU259" s="5" t="str">
        <f>HYPERLINK("https://creighton-primo.hosted.exlibrisgroup.com/primo-explore/search?tab=default_tab&amp;search_scope=EVERYTHING&amp;vid=01CRU&amp;lang=en_US&amp;offset=0&amp;query=any,contains,991001037929702656","Catalog Record")</f>
        <v>Catalog Record</v>
      </c>
      <c r="AV259" s="5" t="str">
        <f>HYPERLINK("http://www.worldcat.org/oclc/7740463","WorldCat Record")</f>
        <v>WorldCat Record</v>
      </c>
      <c r="AW259" s="2" t="s">
        <v>3278</v>
      </c>
      <c r="AX259" s="2" t="s">
        <v>3279</v>
      </c>
      <c r="AY259" s="2" t="s">
        <v>3280</v>
      </c>
      <c r="AZ259" s="2" t="s">
        <v>3280</v>
      </c>
      <c r="BA259" s="2" t="s">
        <v>3281</v>
      </c>
      <c r="BB259" s="2" t="s">
        <v>21</v>
      </c>
      <c r="BD259" s="2" t="s">
        <v>3282</v>
      </c>
      <c r="BE259" s="2" t="s">
        <v>3285</v>
      </c>
      <c r="BF259" s="2" t="s">
        <v>3286</v>
      </c>
    </row>
    <row r="260" spans="1:58" ht="41.25" customHeight="1" x14ac:dyDescent="0.25">
      <c r="A260" s="8" t="s">
        <v>5</v>
      </c>
      <c r="B260" s="1" t="s">
        <v>0</v>
      </c>
      <c r="C260" s="1" t="s">
        <v>1</v>
      </c>
      <c r="D260" s="1" t="s">
        <v>3273</v>
      </c>
      <c r="E260" s="1" t="s">
        <v>3274</v>
      </c>
      <c r="F260" s="1" t="s">
        <v>3275</v>
      </c>
      <c r="G260" s="2" t="s">
        <v>832</v>
      </c>
      <c r="H260" s="2" t="s">
        <v>16</v>
      </c>
      <c r="I260" s="2" t="s">
        <v>6</v>
      </c>
      <c r="J260" s="2" t="s">
        <v>5</v>
      </c>
      <c r="K260" s="2" t="s">
        <v>5</v>
      </c>
      <c r="L260" s="2" t="s">
        <v>7</v>
      </c>
      <c r="M260" s="1" t="s">
        <v>3276</v>
      </c>
      <c r="N260" s="1" t="s">
        <v>1665</v>
      </c>
      <c r="O260" s="2" t="s">
        <v>228</v>
      </c>
      <c r="Q260" s="2" t="s">
        <v>11</v>
      </c>
      <c r="R260" s="2" t="s">
        <v>426</v>
      </c>
      <c r="T260" s="2" t="s">
        <v>520</v>
      </c>
      <c r="U260" s="3">
        <v>1</v>
      </c>
      <c r="V260" s="3">
        <v>5</v>
      </c>
      <c r="W260" s="4" t="s">
        <v>3287</v>
      </c>
      <c r="X260" s="4" t="s">
        <v>3277</v>
      </c>
      <c r="Y260" s="4" t="s">
        <v>168</v>
      </c>
      <c r="Z260" s="4" t="s">
        <v>168</v>
      </c>
      <c r="AA260" s="3">
        <v>52</v>
      </c>
      <c r="AB260" s="3">
        <v>40</v>
      </c>
      <c r="AC260" s="3">
        <v>40</v>
      </c>
      <c r="AD260" s="3">
        <v>1</v>
      </c>
      <c r="AE260" s="3">
        <v>1</v>
      </c>
      <c r="AF260" s="3">
        <v>0</v>
      </c>
      <c r="AG260" s="3">
        <v>0</v>
      </c>
      <c r="AH260" s="3">
        <v>0</v>
      </c>
      <c r="AI260" s="3">
        <v>0</v>
      </c>
      <c r="AJ260" s="3">
        <v>0</v>
      </c>
      <c r="AK260" s="3">
        <v>0</v>
      </c>
      <c r="AL260" s="3">
        <v>0</v>
      </c>
      <c r="AM260" s="3">
        <v>0</v>
      </c>
      <c r="AN260" s="3">
        <v>0</v>
      </c>
      <c r="AO260" s="3">
        <v>0</v>
      </c>
      <c r="AP260" s="3">
        <v>0</v>
      </c>
      <c r="AQ260" s="3">
        <v>0</v>
      </c>
      <c r="AR260" s="2" t="s">
        <v>5</v>
      </c>
      <c r="AS260" s="2" t="s">
        <v>5</v>
      </c>
      <c r="AU260" s="5" t="str">
        <f>HYPERLINK("https://creighton-primo.hosted.exlibrisgroup.com/primo-explore/search?tab=default_tab&amp;search_scope=EVERYTHING&amp;vid=01CRU&amp;lang=en_US&amp;offset=0&amp;query=any,contains,991001037929702656","Catalog Record")</f>
        <v>Catalog Record</v>
      </c>
      <c r="AV260" s="5" t="str">
        <f>HYPERLINK("http://www.worldcat.org/oclc/7740463","WorldCat Record")</f>
        <v>WorldCat Record</v>
      </c>
      <c r="AW260" s="2" t="s">
        <v>3278</v>
      </c>
      <c r="AX260" s="2" t="s">
        <v>3279</v>
      </c>
      <c r="AY260" s="2" t="s">
        <v>3280</v>
      </c>
      <c r="AZ260" s="2" t="s">
        <v>3280</v>
      </c>
      <c r="BA260" s="2" t="s">
        <v>3281</v>
      </c>
      <c r="BB260" s="2" t="s">
        <v>21</v>
      </c>
      <c r="BD260" s="2" t="s">
        <v>3282</v>
      </c>
      <c r="BE260" s="2" t="s">
        <v>3288</v>
      </c>
      <c r="BF260" s="2" t="s">
        <v>3289</v>
      </c>
    </row>
    <row r="261" spans="1:58" ht="41.25" customHeight="1" x14ac:dyDescent="0.25">
      <c r="A261" s="8" t="s">
        <v>5</v>
      </c>
      <c r="B261" s="1" t="s">
        <v>0</v>
      </c>
      <c r="C261" s="1" t="s">
        <v>1</v>
      </c>
      <c r="D261" s="1" t="s">
        <v>3290</v>
      </c>
      <c r="E261" s="1" t="s">
        <v>3291</v>
      </c>
      <c r="F261" s="1" t="s">
        <v>3292</v>
      </c>
      <c r="H261" s="2" t="s">
        <v>5</v>
      </c>
      <c r="I261" s="2" t="s">
        <v>6</v>
      </c>
      <c r="J261" s="2" t="s">
        <v>5</v>
      </c>
      <c r="K261" s="2" t="s">
        <v>5</v>
      </c>
      <c r="L261" s="2" t="s">
        <v>7</v>
      </c>
      <c r="N261" s="1" t="s">
        <v>871</v>
      </c>
      <c r="O261" s="2" t="s">
        <v>872</v>
      </c>
      <c r="Q261" s="2" t="s">
        <v>11</v>
      </c>
      <c r="R261" s="2" t="s">
        <v>12</v>
      </c>
      <c r="S261" s="1" t="s">
        <v>3293</v>
      </c>
      <c r="T261" s="2" t="s">
        <v>520</v>
      </c>
      <c r="U261" s="3">
        <v>5</v>
      </c>
      <c r="V261" s="3">
        <v>5</v>
      </c>
      <c r="W261" s="4" t="s">
        <v>3294</v>
      </c>
      <c r="X261" s="4" t="s">
        <v>3294</v>
      </c>
      <c r="Y261" s="4" t="s">
        <v>3295</v>
      </c>
      <c r="Z261" s="4" t="s">
        <v>3295</v>
      </c>
      <c r="AA261" s="3">
        <v>201</v>
      </c>
      <c r="AB261" s="3">
        <v>178</v>
      </c>
      <c r="AC261" s="3">
        <v>180</v>
      </c>
      <c r="AD261" s="3">
        <v>2</v>
      </c>
      <c r="AE261" s="3">
        <v>2</v>
      </c>
      <c r="AF261" s="3">
        <v>10</v>
      </c>
      <c r="AG261" s="3">
        <v>10</v>
      </c>
      <c r="AH261" s="3">
        <v>4</v>
      </c>
      <c r="AI261" s="3">
        <v>4</v>
      </c>
      <c r="AJ261" s="3">
        <v>3</v>
      </c>
      <c r="AK261" s="3">
        <v>3</v>
      </c>
      <c r="AL261" s="3">
        <v>4</v>
      </c>
      <c r="AM261" s="3">
        <v>4</v>
      </c>
      <c r="AN261" s="3">
        <v>0</v>
      </c>
      <c r="AO261" s="3">
        <v>0</v>
      </c>
      <c r="AP261" s="3">
        <v>0</v>
      </c>
      <c r="AQ261" s="3">
        <v>0</v>
      </c>
      <c r="AR261" s="2" t="s">
        <v>5</v>
      </c>
      <c r="AS261" s="2" t="s">
        <v>16</v>
      </c>
      <c r="AT261" s="5" t="str">
        <f>HYPERLINK("http://catalog.hathitrust.org/Record/002506746","HathiTrust Record")</f>
        <v>HathiTrust Record</v>
      </c>
      <c r="AU261" s="5" t="str">
        <f>HYPERLINK("https://creighton-primo.hosted.exlibrisgroup.com/primo-explore/search?tab=default_tab&amp;search_scope=EVERYTHING&amp;vid=01CRU&amp;lang=en_US&amp;offset=0&amp;query=any,contains,991001248589702656","Catalog Record")</f>
        <v>Catalog Record</v>
      </c>
      <c r="AV261" s="5" t="str">
        <f>HYPERLINK("http://www.worldcat.org/oclc/19713774","WorldCat Record")</f>
        <v>WorldCat Record</v>
      </c>
      <c r="AW261" s="2" t="s">
        <v>3296</v>
      </c>
      <c r="AX261" s="2" t="s">
        <v>3297</v>
      </c>
      <c r="AY261" s="2" t="s">
        <v>3298</v>
      </c>
      <c r="AZ261" s="2" t="s">
        <v>3298</v>
      </c>
      <c r="BA261" s="2" t="s">
        <v>3299</v>
      </c>
      <c r="BB261" s="2" t="s">
        <v>21</v>
      </c>
      <c r="BD261" s="2" t="s">
        <v>3300</v>
      </c>
      <c r="BE261" s="2" t="s">
        <v>3301</v>
      </c>
      <c r="BF261" s="2" t="s">
        <v>3302</v>
      </c>
    </row>
    <row r="262" spans="1:58" ht="41.25" customHeight="1" x14ac:dyDescent="0.25">
      <c r="A262" s="8" t="s">
        <v>5</v>
      </c>
      <c r="B262" s="1" t="s">
        <v>0</v>
      </c>
      <c r="C262" s="1" t="s">
        <v>1</v>
      </c>
      <c r="D262" s="1" t="s">
        <v>3303</v>
      </c>
      <c r="E262" s="1" t="s">
        <v>3304</v>
      </c>
      <c r="F262" s="1" t="s">
        <v>3305</v>
      </c>
      <c r="H262" s="2" t="s">
        <v>5</v>
      </c>
      <c r="I262" s="2" t="s">
        <v>6</v>
      </c>
      <c r="J262" s="2" t="s">
        <v>5</v>
      </c>
      <c r="K262" s="2" t="s">
        <v>5</v>
      </c>
      <c r="L262" s="2" t="s">
        <v>7</v>
      </c>
      <c r="N262" s="1" t="s">
        <v>3306</v>
      </c>
      <c r="O262" s="2" t="s">
        <v>393</v>
      </c>
      <c r="Q262" s="2" t="s">
        <v>11</v>
      </c>
      <c r="R262" s="2" t="s">
        <v>1140</v>
      </c>
      <c r="S262" s="1" t="s">
        <v>3307</v>
      </c>
      <c r="T262" s="2" t="s">
        <v>520</v>
      </c>
      <c r="U262" s="3">
        <v>2</v>
      </c>
      <c r="V262" s="3">
        <v>2</v>
      </c>
      <c r="W262" s="4" t="s">
        <v>3308</v>
      </c>
      <c r="X262" s="4" t="s">
        <v>3308</v>
      </c>
      <c r="Y262" s="4" t="s">
        <v>168</v>
      </c>
      <c r="Z262" s="4" t="s">
        <v>168</v>
      </c>
      <c r="AA262" s="3">
        <v>9</v>
      </c>
      <c r="AB262" s="3">
        <v>9</v>
      </c>
      <c r="AC262" s="3">
        <v>9</v>
      </c>
      <c r="AD262" s="3">
        <v>1</v>
      </c>
      <c r="AE262" s="3">
        <v>1</v>
      </c>
      <c r="AF262" s="3">
        <v>0</v>
      </c>
      <c r="AG262" s="3">
        <v>0</v>
      </c>
      <c r="AH262" s="3">
        <v>0</v>
      </c>
      <c r="AI262" s="3">
        <v>0</v>
      </c>
      <c r="AJ262" s="3">
        <v>0</v>
      </c>
      <c r="AK262" s="3">
        <v>0</v>
      </c>
      <c r="AL262" s="3">
        <v>0</v>
      </c>
      <c r="AM262" s="3">
        <v>0</v>
      </c>
      <c r="AN262" s="3">
        <v>0</v>
      </c>
      <c r="AO262" s="3">
        <v>0</v>
      </c>
      <c r="AP262" s="3">
        <v>0</v>
      </c>
      <c r="AQ262" s="3">
        <v>0</v>
      </c>
      <c r="AR262" s="2" t="s">
        <v>5</v>
      </c>
      <c r="AS262" s="2" t="s">
        <v>5</v>
      </c>
      <c r="AU262" s="5" t="str">
        <f>HYPERLINK("https://creighton-primo.hosted.exlibrisgroup.com/primo-explore/search?tab=default_tab&amp;search_scope=EVERYTHING&amp;vid=01CRU&amp;lang=en_US&amp;offset=0&amp;query=any,contains,991001038059702656","Catalog Record")</f>
        <v>Catalog Record</v>
      </c>
      <c r="AV262" s="5" t="str">
        <f>HYPERLINK("http://www.worldcat.org/oclc/7960715","WorldCat Record")</f>
        <v>WorldCat Record</v>
      </c>
      <c r="AW262" s="2" t="s">
        <v>3309</v>
      </c>
      <c r="AX262" s="2" t="s">
        <v>3310</v>
      </c>
      <c r="AY262" s="2" t="s">
        <v>3311</v>
      </c>
      <c r="AZ262" s="2" t="s">
        <v>3311</v>
      </c>
      <c r="BA262" s="2" t="s">
        <v>3312</v>
      </c>
      <c r="BB262" s="2" t="s">
        <v>21</v>
      </c>
      <c r="BE262" s="2" t="s">
        <v>3313</v>
      </c>
      <c r="BF262" s="2" t="s">
        <v>3314</v>
      </c>
    </row>
    <row r="263" spans="1:58" ht="41.25" customHeight="1" x14ac:dyDescent="0.25">
      <c r="A263" s="8" t="s">
        <v>5</v>
      </c>
      <c r="B263" s="1" t="s">
        <v>0</v>
      </c>
      <c r="C263" s="1" t="s">
        <v>1</v>
      </c>
      <c r="D263" s="1" t="s">
        <v>3315</v>
      </c>
      <c r="E263" s="1" t="s">
        <v>3316</v>
      </c>
      <c r="F263" s="1" t="s">
        <v>3317</v>
      </c>
      <c r="H263" s="2" t="s">
        <v>5</v>
      </c>
      <c r="I263" s="2" t="s">
        <v>6</v>
      </c>
      <c r="J263" s="2" t="s">
        <v>5</v>
      </c>
      <c r="K263" s="2" t="s">
        <v>5</v>
      </c>
      <c r="L263" s="2" t="s">
        <v>7</v>
      </c>
      <c r="N263" s="1" t="s">
        <v>3318</v>
      </c>
      <c r="O263" s="2" t="s">
        <v>3319</v>
      </c>
      <c r="Q263" s="2" t="s">
        <v>11</v>
      </c>
      <c r="R263" s="2" t="s">
        <v>12</v>
      </c>
      <c r="S263" s="1" t="s">
        <v>3320</v>
      </c>
      <c r="T263" s="2" t="s">
        <v>520</v>
      </c>
      <c r="U263" s="3">
        <v>1</v>
      </c>
      <c r="V263" s="3">
        <v>1</v>
      </c>
      <c r="W263" s="4" t="s">
        <v>1248</v>
      </c>
      <c r="X263" s="4" t="s">
        <v>1248</v>
      </c>
      <c r="Y263" s="4" t="s">
        <v>577</v>
      </c>
      <c r="Z263" s="4" t="s">
        <v>577</v>
      </c>
      <c r="AA263" s="3">
        <v>44</v>
      </c>
      <c r="AB263" s="3">
        <v>41</v>
      </c>
      <c r="AC263" s="3">
        <v>43</v>
      </c>
      <c r="AD263" s="3">
        <v>2</v>
      </c>
      <c r="AE263" s="3">
        <v>2</v>
      </c>
      <c r="AF263" s="3">
        <v>3</v>
      </c>
      <c r="AG263" s="3">
        <v>3</v>
      </c>
      <c r="AH263" s="3">
        <v>0</v>
      </c>
      <c r="AI263" s="3">
        <v>0</v>
      </c>
      <c r="AJ263" s="3">
        <v>0</v>
      </c>
      <c r="AK263" s="3">
        <v>0</v>
      </c>
      <c r="AL263" s="3">
        <v>2</v>
      </c>
      <c r="AM263" s="3">
        <v>2</v>
      </c>
      <c r="AN263" s="3">
        <v>1</v>
      </c>
      <c r="AO263" s="3">
        <v>1</v>
      </c>
      <c r="AP263" s="3">
        <v>0</v>
      </c>
      <c r="AQ263" s="3">
        <v>0</v>
      </c>
      <c r="AR263" s="2" t="s">
        <v>5</v>
      </c>
      <c r="AS263" s="2" t="s">
        <v>5</v>
      </c>
      <c r="AT263" s="5" t="str">
        <f>HYPERLINK("http://catalog.hathitrust.org/Record/002072046","HathiTrust Record")</f>
        <v>HathiTrust Record</v>
      </c>
      <c r="AU263" s="5" t="str">
        <f>HYPERLINK("https://creighton-primo.hosted.exlibrisgroup.com/primo-explore/search?tab=default_tab&amp;search_scope=EVERYTHING&amp;vid=01CRU&amp;lang=en_US&amp;offset=0&amp;query=any,contains,991001361949702656","Catalog Record")</f>
        <v>Catalog Record</v>
      </c>
      <c r="AV263" s="5" t="str">
        <f>HYPERLINK("http://www.worldcat.org/oclc/1167558","WorldCat Record")</f>
        <v>WorldCat Record</v>
      </c>
      <c r="AW263" s="2" t="s">
        <v>3321</v>
      </c>
      <c r="AX263" s="2" t="s">
        <v>3322</v>
      </c>
      <c r="AY263" s="2" t="s">
        <v>3323</v>
      </c>
      <c r="AZ263" s="2" t="s">
        <v>3323</v>
      </c>
      <c r="BA263" s="2" t="s">
        <v>3324</v>
      </c>
      <c r="BB263" s="2" t="s">
        <v>21</v>
      </c>
      <c r="BE263" s="2" t="s">
        <v>3325</v>
      </c>
      <c r="BF263" s="2" t="s">
        <v>3326</v>
      </c>
    </row>
    <row r="264" spans="1:58" ht="41.25" customHeight="1" x14ac:dyDescent="0.25">
      <c r="A264" s="8" t="s">
        <v>5</v>
      </c>
      <c r="B264" s="1" t="s">
        <v>0</v>
      </c>
      <c r="C264" s="1" t="s">
        <v>1</v>
      </c>
      <c r="D264" s="1" t="s">
        <v>3327</v>
      </c>
      <c r="E264" s="1" t="s">
        <v>3328</v>
      </c>
      <c r="F264" s="1" t="s">
        <v>3329</v>
      </c>
      <c r="H264" s="2" t="s">
        <v>5</v>
      </c>
      <c r="I264" s="2" t="s">
        <v>6</v>
      </c>
      <c r="J264" s="2" t="s">
        <v>5</v>
      </c>
      <c r="K264" s="2" t="s">
        <v>5</v>
      </c>
      <c r="L264" s="2" t="s">
        <v>7</v>
      </c>
      <c r="N264" s="1" t="s">
        <v>2887</v>
      </c>
      <c r="O264" s="2" t="s">
        <v>10</v>
      </c>
      <c r="Q264" s="2" t="s">
        <v>11</v>
      </c>
      <c r="R264" s="2" t="s">
        <v>12</v>
      </c>
      <c r="S264" s="1" t="s">
        <v>3330</v>
      </c>
      <c r="T264" s="2" t="s">
        <v>520</v>
      </c>
      <c r="U264" s="3">
        <v>4</v>
      </c>
      <c r="V264" s="3">
        <v>4</v>
      </c>
      <c r="W264" s="4" t="s">
        <v>3331</v>
      </c>
      <c r="X264" s="4" t="s">
        <v>3331</v>
      </c>
      <c r="Y264" s="4" t="s">
        <v>3331</v>
      </c>
      <c r="Z264" s="4" t="s">
        <v>3331</v>
      </c>
      <c r="AA264" s="3">
        <v>111</v>
      </c>
      <c r="AB264" s="3">
        <v>94</v>
      </c>
      <c r="AC264" s="3">
        <v>96</v>
      </c>
      <c r="AD264" s="3">
        <v>3</v>
      </c>
      <c r="AE264" s="3">
        <v>3</v>
      </c>
      <c r="AF264" s="3">
        <v>5</v>
      </c>
      <c r="AG264" s="3">
        <v>5</v>
      </c>
      <c r="AH264" s="3">
        <v>0</v>
      </c>
      <c r="AI264" s="3">
        <v>0</v>
      </c>
      <c r="AJ264" s="3">
        <v>0</v>
      </c>
      <c r="AK264" s="3">
        <v>0</v>
      </c>
      <c r="AL264" s="3">
        <v>4</v>
      </c>
      <c r="AM264" s="3">
        <v>4</v>
      </c>
      <c r="AN264" s="3">
        <v>1</v>
      </c>
      <c r="AO264" s="3">
        <v>1</v>
      </c>
      <c r="AP264" s="3">
        <v>0</v>
      </c>
      <c r="AQ264" s="3">
        <v>0</v>
      </c>
      <c r="AR264" s="2" t="s">
        <v>5</v>
      </c>
      <c r="AS264" s="2" t="s">
        <v>16</v>
      </c>
      <c r="AT264" s="5" t="str">
        <f>HYPERLINK("http://catalog.hathitrust.org/Record/001549261","HathiTrust Record")</f>
        <v>HathiTrust Record</v>
      </c>
      <c r="AU264" s="5" t="str">
        <f>HYPERLINK("https://creighton-primo.hosted.exlibrisgroup.com/primo-explore/search?tab=default_tab&amp;search_scope=EVERYTHING&amp;vid=01CRU&amp;lang=en_US&amp;offset=0&amp;query=any,contains,991001370669702656","Catalog Record")</f>
        <v>Catalog Record</v>
      </c>
      <c r="AV264" s="5" t="str">
        <f>HYPERLINK("http://www.worldcat.org/oclc/3441428","WorldCat Record")</f>
        <v>WorldCat Record</v>
      </c>
      <c r="AW264" s="2" t="s">
        <v>3332</v>
      </c>
      <c r="AX264" s="2" t="s">
        <v>3333</v>
      </c>
      <c r="AY264" s="2" t="s">
        <v>3334</v>
      </c>
      <c r="AZ264" s="2" t="s">
        <v>3334</v>
      </c>
      <c r="BA264" s="2" t="s">
        <v>3335</v>
      </c>
      <c r="BB264" s="2" t="s">
        <v>21</v>
      </c>
      <c r="BE264" s="2" t="s">
        <v>3336</v>
      </c>
      <c r="BF264" s="2" t="s">
        <v>3337</v>
      </c>
    </row>
    <row r="265" spans="1:58" ht="41.25" customHeight="1" x14ac:dyDescent="0.25">
      <c r="A265" s="8" t="s">
        <v>5</v>
      </c>
      <c r="B265" s="1" t="s">
        <v>0</v>
      </c>
      <c r="C265" s="1" t="s">
        <v>1</v>
      </c>
      <c r="D265" s="1" t="s">
        <v>3338</v>
      </c>
      <c r="E265" s="1" t="s">
        <v>3339</v>
      </c>
      <c r="F265" s="1" t="s">
        <v>3340</v>
      </c>
      <c r="H265" s="2" t="s">
        <v>5</v>
      </c>
      <c r="I265" s="2" t="s">
        <v>6</v>
      </c>
      <c r="J265" s="2" t="s">
        <v>5</v>
      </c>
      <c r="K265" s="2" t="s">
        <v>5</v>
      </c>
      <c r="L265" s="2" t="s">
        <v>7</v>
      </c>
      <c r="N265" s="1" t="s">
        <v>3341</v>
      </c>
      <c r="O265" s="2" t="s">
        <v>1004</v>
      </c>
      <c r="Q265" s="2" t="s">
        <v>11</v>
      </c>
      <c r="R265" s="2" t="s">
        <v>271</v>
      </c>
      <c r="T265" s="2" t="s">
        <v>520</v>
      </c>
      <c r="U265" s="3">
        <v>3</v>
      </c>
      <c r="V265" s="3">
        <v>3</v>
      </c>
      <c r="W265" s="4" t="s">
        <v>3342</v>
      </c>
      <c r="X265" s="4" t="s">
        <v>3342</v>
      </c>
      <c r="Y265" s="4" t="s">
        <v>3343</v>
      </c>
      <c r="Z265" s="4" t="s">
        <v>3343</v>
      </c>
      <c r="AA265" s="3">
        <v>461</v>
      </c>
      <c r="AB265" s="3">
        <v>386</v>
      </c>
      <c r="AC265" s="3">
        <v>389</v>
      </c>
      <c r="AD265" s="3">
        <v>3</v>
      </c>
      <c r="AE265" s="3">
        <v>3</v>
      </c>
      <c r="AF265" s="3">
        <v>18</v>
      </c>
      <c r="AG265" s="3">
        <v>18</v>
      </c>
      <c r="AH265" s="3">
        <v>8</v>
      </c>
      <c r="AI265" s="3">
        <v>8</v>
      </c>
      <c r="AJ265" s="3">
        <v>4</v>
      </c>
      <c r="AK265" s="3">
        <v>4</v>
      </c>
      <c r="AL265" s="3">
        <v>8</v>
      </c>
      <c r="AM265" s="3">
        <v>8</v>
      </c>
      <c r="AN265" s="3">
        <v>1</v>
      </c>
      <c r="AO265" s="3">
        <v>1</v>
      </c>
      <c r="AP265" s="3">
        <v>0</v>
      </c>
      <c r="AQ265" s="3">
        <v>0</v>
      </c>
      <c r="AR265" s="2" t="s">
        <v>5</v>
      </c>
      <c r="AS265" s="2" t="s">
        <v>16</v>
      </c>
      <c r="AT265" s="5" t="str">
        <f>HYPERLINK("http://catalog.hathitrust.org/Record/003339632","HathiTrust Record")</f>
        <v>HathiTrust Record</v>
      </c>
      <c r="AU265" s="5" t="str">
        <f>HYPERLINK("https://creighton-primo.hosted.exlibrisgroup.com/primo-explore/search?tab=default_tab&amp;search_scope=EVERYTHING&amp;vid=01CRU&amp;lang=en_US&amp;offset=0&amp;query=any,contains,991001442889702656","Catalog Record")</f>
        <v>Catalog Record</v>
      </c>
      <c r="AV265" s="5" t="str">
        <f>HYPERLINK("http://www.worldcat.org/oclc/40776684","WorldCat Record")</f>
        <v>WorldCat Record</v>
      </c>
      <c r="AW265" s="2" t="s">
        <v>3344</v>
      </c>
      <c r="AX265" s="2" t="s">
        <v>3345</v>
      </c>
      <c r="AY265" s="2" t="s">
        <v>3346</v>
      </c>
      <c r="AZ265" s="2" t="s">
        <v>3346</v>
      </c>
      <c r="BA265" s="2" t="s">
        <v>3347</v>
      </c>
      <c r="BB265" s="2" t="s">
        <v>21</v>
      </c>
      <c r="BD265" s="2" t="s">
        <v>3348</v>
      </c>
      <c r="BE265" s="2" t="s">
        <v>3349</v>
      </c>
      <c r="BF265" s="2" t="s">
        <v>3350</v>
      </c>
    </row>
    <row r="266" spans="1:58" ht="41.25" customHeight="1" x14ac:dyDescent="0.25">
      <c r="A266" s="8" t="s">
        <v>5</v>
      </c>
      <c r="B266" s="1" t="s">
        <v>0</v>
      </c>
      <c r="C266" s="1" t="s">
        <v>1</v>
      </c>
      <c r="D266" s="1" t="s">
        <v>3351</v>
      </c>
      <c r="E266" s="1" t="s">
        <v>3352</v>
      </c>
      <c r="F266" s="1" t="s">
        <v>3353</v>
      </c>
      <c r="H266" s="2" t="s">
        <v>5</v>
      </c>
      <c r="I266" s="2" t="s">
        <v>6</v>
      </c>
      <c r="J266" s="2" t="s">
        <v>5</v>
      </c>
      <c r="K266" s="2" t="s">
        <v>5</v>
      </c>
      <c r="L266" s="2" t="s">
        <v>7</v>
      </c>
      <c r="M266" s="1" t="s">
        <v>3354</v>
      </c>
      <c r="N266" s="1" t="s">
        <v>3355</v>
      </c>
      <c r="O266" s="2" t="s">
        <v>382</v>
      </c>
      <c r="P266" s="1" t="s">
        <v>211</v>
      </c>
      <c r="Q266" s="2" t="s">
        <v>11</v>
      </c>
      <c r="R266" s="2" t="s">
        <v>3356</v>
      </c>
      <c r="T266" s="2" t="s">
        <v>520</v>
      </c>
      <c r="U266" s="3">
        <v>7</v>
      </c>
      <c r="V266" s="3">
        <v>7</v>
      </c>
      <c r="W266" s="4" t="s">
        <v>3357</v>
      </c>
      <c r="X266" s="4" t="s">
        <v>3357</v>
      </c>
      <c r="Y266" s="4" t="s">
        <v>168</v>
      </c>
      <c r="Z266" s="4" t="s">
        <v>168</v>
      </c>
      <c r="AA266" s="3">
        <v>185</v>
      </c>
      <c r="AB266" s="3">
        <v>162</v>
      </c>
      <c r="AC266" s="3">
        <v>164</v>
      </c>
      <c r="AD266" s="3">
        <v>2</v>
      </c>
      <c r="AE266" s="3">
        <v>2</v>
      </c>
      <c r="AF266" s="3">
        <v>2</v>
      </c>
      <c r="AG266" s="3">
        <v>2</v>
      </c>
      <c r="AH266" s="3">
        <v>1</v>
      </c>
      <c r="AI266" s="3">
        <v>1</v>
      </c>
      <c r="AJ266" s="3">
        <v>0</v>
      </c>
      <c r="AK266" s="3">
        <v>0</v>
      </c>
      <c r="AL266" s="3">
        <v>2</v>
      </c>
      <c r="AM266" s="3">
        <v>2</v>
      </c>
      <c r="AN266" s="3">
        <v>0</v>
      </c>
      <c r="AO266" s="3">
        <v>0</v>
      </c>
      <c r="AP266" s="3">
        <v>0</v>
      </c>
      <c r="AQ266" s="3">
        <v>0</v>
      </c>
      <c r="AR266" s="2" t="s">
        <v>5</v>
      </c>
      <c r="AS266" s="2" t="s">
        <v>16</v>
      </c>
      <c r="AT266" s="5" t="str">
        <f>HYPERLINK("http://catalog.hathitrust.org/Record/000459499","HathiTrust Record")</f>
        <v>HathiTrust Record</v>
      </c>
      <c r="AU266" s="5" t="str">
        <f>HYPERLINK("https://creighton-primo.hosted.exlibrisgroup.com/primo-explore/search?tab=default_tab&amp;search_scope=EVERYTHING&amp;vid=01CRU&amp;lang=en_US&amp;offset=0&amp;query=any,contains,991001039269702656","Catalog Record")</f>
        <v>Catalog Record</v>
      </c>
      <c r="AV266" s="5" t="str">
        <f>HYPERLINK("http://www.worldcat.org/oclc/11068895","WorldCat Record")</f>
        <v>WorldCat Record</v>
      </c>
      <c r="AW266" s="2" t="s">
        <v>3358</v>
      </c>
      <c r="AX266" s="2" t="s">
        <v>3359</v>
      </c>
      <c r="AY266" s="2" t="s">
        <v>3360</v>
      </c>
      <c r="AZ266" s="2" t="s">
        <v>3360</v>
      </c>
      <c r="BA266" s="2" t="s">
        <v>3361</v>
      </c>
      <c r="BB266" s="2" t="s">
        <v>21</v>
      </c>
      <c r="BD266" s="2" t="s">
        <v>3362</v>
      </c>
      <c r="BE266" s="2" t="s">
        <v>3363</v>
      </c>
      <c r="BF266" s="2" t="s">
        <v>3364</v>
      </c>
    </row>
    <row r="267" spans="1:58" ht="41.25" customHeight="1" x14ac:dyDescent="0.25">
      <c r="A267" s="8" t="s">
        <v>5</v>
      </c>
      <c r="B267" s="1" t="s">
        <v>0</v>
      </c>
      <c r="C267" s="1" t="s">
        <v>1</v>
      </c>
      <c r="D267" s="1" t="s">
        <v>3365</v>
      </c>
      <c r="E267" s="1" t="s">
        <v>3366</v>
      </c>
      <c r="F267" s="1" t="s">
        <v>3367</v>
      </c>
      <c r="H267" s="2" t="s">
        <v>5</v>
      </c>
      <c r="I267" s="2" t="s">
        <v>6</v>
      </c>
      <c r="J267" s="2" t="s">
        <v>5</v>
      </c>
      <c r="K267" s="2" t="s">
        <v>5</v>
      </c>
      <c r="L267" s="2" t="s">
        <v>7</v>
      </c>
      <c r="N267" s="1" t="s">
        <v>2918</v>
      </c>
      <c r="O267" s="2" t="s">
        <v>151</v>
      </c>
      <c r="Q267" s="2" t="s">
        <v>11</v>
      </c>
      <c r="R267" s="2" t="s">
        <v>12</v>
      </c>
      <c r="S267" s="1" t="s">
        <v>3368</v>
      </c>
      <c r="T267" s="2" t="s">
        <v>520</v>
      </c>
      <c r="U267" s="3">
        <v>5</v>
      </c>
      <c r="V267" s="3">
        <v>5</v>
      </c>
      <c r="W267" s="4" t="s">
        <v>1826</v>
      </c>
      <c r="X267" s="4" t="s">
        <v>1826</v>
      </c>
      <c r="Y267" s="4" t="s">
        <v>124</v>
      </c>
      <c r="Z267" s="4" t="s">
        <v>124</v>
      </c>
      <c r="AA267" s="3">
        <v>52</v>
      </c>
      <c r="AB267" s="3">
        <v>47</v>
      </c>
      <c r="AC267" s="3">
        <v>47</v>
      </c>
      <c r="AD267" s="3">
        <v>3</v>
      </c>
      <c r="AE267" s="3">
        <v>3</v>
      </c>
      <c r="AF267" s="3">
        <v>4</v>
      </c>
      <c r="AG267" s="3">
        <v>4</v>
      </c>
      <c r="AH267" s="3">
        <v>0</v>
      </c>
      <c r="AI267" s="3">
        <v>0</v>
      </c>
      <c r="AJ267" s="3">
        <v>1</v>
      </c>
      <c r="AK267" s="3">
        <v>1</v>
      </c>
      <c r="AL267" s="3">
        <v>2</v>
      </c>
      <c r="AM267" s="3">
        <v>2</v>
      </c>
      <c r="AN267" s="3">
        <v>1</v>
      </c>
      <c r="AO267" s="3">
        <v>1</v>
      </c>
      <c r="AP267" s="3">
        <v>0</v>
      </c>
      <c r="AQ267" s="3">
        <v>0</v>
      </c>
      <c r="AR267" s="2" t="s">
        <v>5</v>
      </c>
      <c r="AS267" s="2" t="s">
        <v>5</v>
      </c>
      <c r="AU267" s="5" t="str">
        <f>HYPERLINK("https://creighton-primo.hosted.exlibrisgroup.com/primo-explore/search?tab=default_tab&amp;search_scope=EVERYTHING&amp;vid=01CRU&amp;lang=en_US&amp;offset=0&amp;query=any,contains,991001369209702656","Catalog Record")</f>
        <v>Catalog Record</v>
      </c>
      <c r="AV267" s="5" t="str">
        <f>HYPERLINK("http://www.worldcat.org/oclc/2615824","WorldCat Record")</f>
        <v>WorldCat Record</v>
      </c>
      <c r="AW267" s="2" t="s">
        <v>3369</v>
      </c>
      <c r="AX267" s="2" t="s">
        <v>3370</v>
      </c>
      <c r="AY267" s="2" t="s">
        <v>3371</v>
      </c>
      <c r="AZ267" s="2" t="s">
        <v>3371</v>
      </c>
      <c r="BA267" s="2" t="s">
        <v>3372</v>
      </c>
      <c r="BB267" s="2" t="s">
        <v>21</v>
      </c>
      <c r="BE267" s="2" t="s">
        <v>3373</v>
      </c>
      <c r="BF267" s="2" t="s">
        <v>3374</v>
      </c>
    </row>
    <row r="268" spans="1:58" ht="41.25" customHeight="1" x14ac:dyDescent="0.25">
      <c r="A268" s="8" t="s">
        <v>5</v>
      </c>
      <c r="B268" s="1" t="s">
        <v>0</v>
      </c>
      <c r="C268" s="1" t="s">
        <v>1</v>
      </c>
      <c r="D268" s="1" t="s">
        <v>3375</v>
      </c>
      <c r="E268" s="1" t="s">
        <v>3376</v>
      </c>
      <c r="F268" s="1" t="s">
        <v>3377</v>
      </c>
      <c r="H268" s="2" t="s">
        <v>5</v>
      </c>
      <c r="I268" s="2" t="s">
        <v>6</v>
      </c>
      <c r="J268" s="2" t="s">
        <v>5</v>
      </c>
      <c r="K268" s="2" t="s">
        <v>5</v>
      </c>
      <c r="L268" s="2" t="s">
        <v>7</v>
      </c>
      <c r="N268" s="1" t="s">
        <v>1588</v>
      </c>
      <c r="O268" s="2" t="s">
        <v>1102</v>
      </c>
      <c r="Q268" s="2" t="s">
        <v>11</v>
      </c>
      <c r="R268" s="2" t="s">
        <v>12</v>
      </c>
      <c r="S268" s="1" t="s">
        <v>3378</v>
      </c>
      <c r="T268" s="2" t="s">
        <v>520</v>
      </c>
      <c r="U268" s="3">
        <v>4</v>
      </c>
      <c r="V268" s="3">
        <v>4</v>
      </c>
      <c r="W268" s="4" t="s">
        <v>3379</v>
      </c>
      <c r="X268" s="4" t="s">
        <v>3379</v>
      </c>
      <c r="Y268" s="4" t="s">
        <v>168</v>
      </c>
      <c r="Z268" s="4" t="s">
        <v>168</v>
      </c>
      <c r="AA268" s="3">
        <v>229</v>
      </c>
      <c r="AB268" s="3">
        <v>193</v>
      </c>
      <c r="AC268" s="3">
        <v>225</v>
      </c>
      <c r="AD268" s="3">
        <v>2</v>
      </c>
      <c r="AE268" s="3">
        <v>2</v>
      </c>
      <c r="AF268" s="3">
        <v>8</v>
      </c>
      <c r="AG268" s="3">
        <v>10</v>
      </c>
      <c r="AH268" s="3">
        <v>3</v>
      </c>
      <c r="AI268" s="3">
        <v>3</v>
      </c>
      <c r="AJ268" s="3">
        <v>2</v>
      </c>
      <c r="AK268" s="3">
        <v>3</v>
      </c>
      <c r="AL268" s="3">
        <v>4</v>
      </c>
      <c r="AM268" s="3">
        <v>5</v>
      </c>
      <c r="AN268" s="3">
        <v>0</v>
      </c>
      <c r="AO268" s="3">
        <v>0</v>
      </c>
      <c r="AP268" s="3">
        <v>0</v>
      </c>
      <c r="AQ268" s="3">
        <v>0</v>
      </c>
      <c r="AR268" s="2" t="s">
        <v>5</v>
      </c>
      <c r="AS268" s="2" t="s">
        <v>16</v>
      </c>
      <c r="AT268" s="5" t="str">
        <f>HYPERLINK("http://catalog.hathitrust.org/Record/002506678","HathiTrust Record")</f>
        <v>HathiTrust Record</v>
      </c>
      <c r="AU268" s="5" t="str">
        <f>HYPERLINK("https://creighton-primo.hosted.exlibrisgroup.com/primo-explore/search?tab=default_tab&amp;search_scope=EVERYTHING&amp;vid=01CRU&amp;lang=en_US&amp;offset=0&amp;query=any,contains,991001039299702656","Catalog Record")</f>
        <v>Catalog Record</v>
      </c>
      <c r="AV268" s="5" t="str">
        <f>HYPERLINK("http://www.worldcat.org/oclc/14633352","WorldCat Record")</f>
        <v>WorldCat Record</v>
      </c>
      <c r="AW268" s="2" t="s">
        <v>3380</v>
      </c>
      <c r="AX268" s="2" t="s">
        <v>3381</v>
      </c>
      <c r="AY268" s="2" t="s">
        <v>3382</v>
      </c>
      <c r="AZ268" s="2" t="s">
        <v>3382</v>
      </c>
      <c r="BA268" s="2" t="s">
        <v>3383</v>
      </c>
      <c r="BB268" s="2" t="s">
        <v>21</v>
      </c>
      <c r="BD268" s="2" t="s">
        <v>3384</v>
      </c>
      <c r="BE268" s="2" t="s">
        <v>3385</v>
      </c>
      <c r="BF268" s="2" t="s">
        <v>3386</v>
      </c>
    </row>
    <row r="269" spans="1:58" ht="41.25" customHeight="1" x14ac:dyDescent="0.25">
      <c r="A269" s="8" t="s">
        <v>5</v>
      </c>
      <c r="B269" s="1" t="s">
        <v>0</v>
      </c>
      <c r="C269" s="1" t="s">
        <v>1</v>
      </c>
      <c r="D269" s="1" t="s">
        <v>3387</v>
      </c>
      <c r="E269" s="1" t="s">
        <v>3388</v>
      </c>
      <c r="F269" s="1" t="s">
        <v>3389</v>
      </c>
      <c r="H269" s="2" t="s">
        <v>5</v>
      </c>
      <c r="I269" s="2" t="s">
        <v>6</v>
      </c>
      <c r="J269" s="2" t="s">
        <v>5</v>
      </c>
      <c r="K269" s="2" t="s">
        <v>5</v>
      </c>
      <c r="L269" s="2" t="s">
        <v>7</v>
      </c>
      <c r="N269" s="1" t="s">
        <v>3390</v>
      </c>
      <c r="O269" s="2" t="s">
        <v>285</v>
      </c>
      <c r="Q269" s="2" t="s">
        <v>11</v>
      </c>
      <c r="R269" s="2" t="s">
        <v>426</v>
      </c>
      <c r="T269" s="2" t="s">
        <v>520</v>
      </c>
      <c r="U269" s="3">
        <v>13</v>
      </c>
      <c r="V269" s="3">
        <v>13</v>
      </c>
      <c r="W269" s="4" t="s">
        <v>3391</v>
      </c>
      <c r="X269" s="4" t="s">
        <v>3391</v>
      </c>
      <c r="Y269" s="4" t="s">
        <v>329</v>
      </c>
      <c r="Z269" s="4" t="s">
        <v>329</v>
      </c>
      <c r="AA269" s="3">
        <v>173</v>
      </c>
      <c r="AB269" s="3">
        <v>145</v>
      </c>
      <c r="AC269" s="3">
        <v>154</v>
      </c>
      <c r="AD269" s="3">
        <v>3</v>
      </c>
      <c r="AE269" s="3">
        <v>3</v>
      </c>
      <c r="AF269" s="3">
        <v>8</v>
      </c>
      <c r="AG269" s="3">
        <v>8</v>
      </c>
      <c r="AH269" s="3">
        <v>0</v>
      </c>
      <c r="AI269" s="3">
        <v>0</v>
      </c>
      <c r="AJ269" s="3">
        <v>3</v>
      </c>
      <c r="AK269" s="3">
        <v>3</v>
      </c>
      <c r="AL269" s="3">
        <v>4</v>
      </c>
      <c r="AM269" s="3">
        <v>4</v>
      </c>
      <c r="AN269" s="3">
        <v>2</v>
      </c>
      <c r="AO269" s="3">
        <v>2</v>
      </c>
      <c r="AP269" s="3">
        <v>0</v>
      </c>
      <c r="AQ269" s="3">
        <v>0</v>
      </c>
      <c r="AR269" s="2" t="s">
        <v>5</v>
      </c>
      <c r="AS269" s="2" t="s">
        <v>5</v>
      </c>
      <c r="AU269" s="5" t="str">
        <f>HYPERLINK("https://creighton-primo.hosted.exlibrisgroup.com/primo-explore/search?tab=default_tab&amp;search_scope=EVERYTHING&amp;vid=01CRU&amp;lang=en_US&amp;offset=0&amp;query=any,contains,991000740449702656","Catalog Record")</f>
        <v>Catalog Record</v>
      </c>
      <c r="AV269" s="5" t="str">
        <f>HYPERLINK("http://www.worldcat.org/oclc/7716571","WorldCat Record")</f>
        <v>WorldCat Record</v>
      </c>
      <c r="AW269" s="2" t="s">
        <v>3392</v>
      </c>
      <c r="AX269" s="2" t="s">
        <v>3393</v>
      </c>
      <c r="AY269" s="2" t="s">
        <v>3394</v>
      </c>
      <c r="AZ269" s="2" t="s">
        <v>3394</v>
      </c>
      <c r="BA269" s="2" t="s">
        <v>3395</v>
      </c>
      <c r="BB269" s="2" t="s">
        <v>21</v>
      </c>
      <c r="BE269" s="2" t="s">
        <v>3396</v>
      </c>
      <c r="BF269" s="2" t="s">
        <v>3397</v>
      </c>
    </row>
    <row r="270" spans="1:58" ht="41.25" customHeight="1" x14ac:dyDescent="0.25">
      <c r="A270" s="8" t="s">
        <v>5</v>
      </c>
      <c r="B270" s="1" t="s">
        <v>0</v>
      </c>
      <c r="C270" s="1" t="s">
        <v>1</v>
      </c>
      <c r="D270" s="1" t="s">
        <v>3398</v>
      </c>
      <c r="E270" s="1" t="s">
        <v>3399</v>
      </c>
      <c r="F270" s="1" t="s">
        <v>3400</v>
      </c>
      <c r="H270" s="2" t="s">
        <v>5</v>
      </c>
      <c r="I270" s="2" t="s">
        <v>6</v>
      </c>
      <c r="J270" s="2" t="s">
        <v>5</v>
      </c>
      <c r="K270" s="2" t="s">
        <v>5</v>
      </c>
      <c r="L270" s="2" t="s">
        <v>7</v>
      </c>
      <c r="M270" s="1" t="s">
        <v>3401</v>
      </c>
      <c r="N270" s="1" t="s">
        <v>3402</v>
      </c>
      <c r="O270" s="2" t="s">
        <v>151</v>
      </c>
      <c r="Q270" s="2" t="s">
        <v>11</v>
      </c>
      <c r="R270" s="2" t="s">
        <v>12</v>
      </c>
      <c r="S270" s="1" t="s">
        <v>3403</v>
      </c>
      <c r="T270" s="2" t="s">
        <v>520</v>
      </c>
      <c r="U270" s="3">
        <v>1</v>
      </c>
      <c r="V270" s="3">
        <v>1</v>
      </c>
      <c r="W270" s="4" t="s">
        <v>2659</v>
      </c>
      <c r="X270" s="4" t="s">
        <v>2659</v>
      </c>
      <c r="Y270" s="4" t="s">
        <v>2632</v>
      </c>
      <c r="Z270" s="4" t="s">
        <v>2632</v>
      </c>
      <c r="AA270" s="3">
        <v>72</v>
      </c>
      <c r="AB270" s="3">
        <v>65</v>
      </c>
      <c r="AC270" s="3">
        <v>65</v>
      </c>
      <c r="AD270" s="3">
        <v>2</v>
      </c>
      <c r="AE270" s="3">
        <v>2</v>
      </c>
      <c r="AF270" s="3">
        <v>4</v>
      </c>
      <c r="AG270" s="3">
        <v>4</v>
      </c>
      <c r="AH270" s="3">
        <v>0</v>
      </c>
      <c r="AI270" s="3">
        <v>0</v>
      </c>
      <c r="AJ270" s="3">
        <v>0</v>
      </c>
      <c r="AK270" s="3">
        <v>0</v>
      </c>
      <c r="AL270" s="3">
        <v>3</v>
      </c>
      <c r="AM270" s="3">
        <v>3</v>
      </c>
      <c r="AN270" s="3">
        <v>1</v>
      </c>
      <c r="AO270" s="3">
        <v>1</v>
      </c>
      <c r="AP270" s="3">
        <v>0</v>
      </c>
      <c r="AQ270" s="3">
        <v>0</v>
      </c>
      <c r="AR270" s="2" t="s">
        <v>5</v>
      </c>
      <c r="AS270" s="2" t="s">
        <v>5</v>
      </c>
      <c r="AU270" s="5" t="str">
        <f>HYPERLINK("https://creighton-primo.hosted.exlibrisgroup.com/primo-explore/search?tab=default_tab&amp;search_scope=EVERYTHING&amp;vid=01CRU&amp;lang=en_US&amp;offset=0&amp;query=any,contains,991001387779702656","Catalog Record")</f>
        <v>Catalog Record</v>
      </c>
      <c r="AV270" s="5" t="str">
        <f>HYPERLINK("http://www.worldcat.org/oclc/1555881","WorldCat Record")</f>
        <v>WorldCat Record</v>
      </c>
      <c r="AW270" s="2" t="s">
        <v>3404</v>
      </c>
      <c r="AX270" s="2" t="s">
        <v>3405</v>
      </c>
      <c r="AY270" s="2" t="s">
        <v>3406</v>
      </c>
      <c r="AZ270" s="2" t="s">
        <v>3406</v>
      </c>
      <c r="BA270" s="2" t="s">
        <v>3407</v>
      </c>
      <c r="BB270" s="2" t="s">
        <v>21</v>
      </c>
      <c r="BE270" s="2" t="s">
        <v>3408</v>
      </c>
      <c r="BF270" s="2" t="s">
        <v>3409</v>
      </c>
    </row>
    <row r="271" spans="1:58" ht="41.25" customHeight="1" x14ac:dyDescent="0.25">
      <c r="A271" s="8" t="s">
        <v>5</v>
      </c>
      <c r="B271" s="1" t="s">
        <v>0</v>
      </c>
      <c r="C271" s="1" t="s">
        <v>1</v>
      </c>
      <c r="D271" s="1" t="s">
        <v>3410</v>
      </c>
      <c r="E271" s="1" t="s">
        <v>3411</v>
      </c>
      <c r="F271" s="1" t="s">
        <v>3412</v>
      </c>
      <c r="H271" s="2" t="s">
        <v>5</v>
      </c>
      <c r="I271" s="2" t="s">
        <v>6</v>
      </c>
      <c r="J271" s="2" t="s">
        <v>5</v>
      </c>
      <c r="K271" s="2" t="s">
        <v>16</v>
      </c>
      <c r="L271" s="2" t="s">
        <v>6</v>
      </c>
      <c r="M271" s="1" t="s">
        <v>3413</v>
      </c>
      <c r="N271" s="1" t="s">
        <v>3414</v>
      </c>
      <c r="O271" s="2" t="s">
        <v>210</v>
      </c>
      <c r="P271" s="1" t="s">
        <v>901</v>
      </c>
      <c r="Q271" s="2" t="s">
        <v>11</v>
      </c>
      <c r="R271" s="2" t="s">
        <v>426</v>
      </c>
      <c r="T271" s="2" t="s">
        <v>520</v>
      </c>
      <c r="U271" s="3">
        <v>6</v>
      </c>
      <c r="V271" s="3">
        <v>6</v>
      </c>
      <c r="W271" s="4" t="s">
        <v>3415</v>
      </c>
      <c r="X271" s="4" t="s">
        <v>3415</v>
      </c>
      <c r="Y271" s="4" t="s">
        <v>3416</v>
      </c>
      <c r="Z271" s="4" t="s">
        <v>3416</v>
      </c>
      <c r="AA271" s="3">
        <v>343</v>
      </c>
      <c r="AB271" s="3">
        <v>272</v>
      </c>
      <c r="AC271" s="3">
        <v>721</v>
      </c>
      <c r="AD271" s="3">
        <v>2</v>
      </c>
      <c r="AE271" s="3">
        <v>3</v>
      </c>
      <c r="AF271" s="3">
        <v>10</v>
      </c>
      <c r="AG271" s="3">
        <v>25</v>
      </c>
      <c r="AH271" s="3">
        <v>6</v>
      </c>
      <c r="AI271" s="3">
        <v>13</v>
      </c>
      <c r="AJ271" s="3">
        <v>2</v>
      </c>
      <c r="AK271" s="3">
        <v>4</v>
      </c>
      <c r="AL271" s="3">
        <v>6</v>
      </c>
      <c r="AM271" s="3">
        <v>14</v>
      </c>
      <c r="AN271" s="3">
        <v>0</v>
      </c>
      <c r="AO271" s="3">
        <v>1</v>
      </c>
      <c r="AP271" s="3">
        <v>0</v>
      </c>
      <c r="AQ271" s="3">
        <v>0</v>
      </c>
      <c r="AR271" s="2" t="s">
        <v>5</v>
      </c>
      <c r="AS271" s="2" t="s">
        <v>16</v>
      </c>
      <c r="AT271" s="5" t="str">
        <f>HYPERLINK("http://catalog.hathitrust.org/Record/002518676","HathiTrust Record")</f>
        <v>HathiTrust Record</v>
      </c>
      <c r="AU271" s="5" t="str">
        <f>HYPERLINK("https://creighton-primo.hosted.exlibrisgroup.com/primo-explore/search?tab=default_tab&amp;search_scope=EVERYTHING&amp;vid=01CRU&amp;lang=en_US&amp;offset=0&amp;query=any,contains,991001302519702656","Catalog Record")</f>
        <v>Catalog Record</v>
      </c>
      <c r="AV271" s="5" t="str">
        <f>HYPERLINK("http://www.worldcat.org/oclc/24540126","WorldCat Record")</f>
        <v>WorldCat Record</v>
      </c>
      <c r="AW271" s="2" t="s">
        <v>3417</v>
      </c>
      <c r="AX271" s="2" t="s">
        <v>3418</v>
      </c>
      <c r="AY271" s="2" t="s">
        <v>3419</v>
      </c>
      <c r="AZ271" s="2" t="s">
        <v>3419</v>
      </c>
      <c r="BA271" s="2" t="s">
        <v>3420</v>
      </c>
      <c r="BB271" s="2" t="s">
        <v>21</v>
      </c>
      <c r="BD271" s="2" t="s">
        <v>3421</v>
      </c>
      <c r="BE271" s="2" t="s">
        <v>3422</v>
      </c>
      <c r="BF271" s="2" t="s">
        <v>3423</v>
      </c>
    </row>
    <row r="272" spans="1:58" ht="41.25" customHeight="1" x14ac:dyDescent="0.25">
      <c r="A272" s="8" t="s">
        <v>5</v>
      </c>
      <c r="B272" s="1" t="s">
        <v>0</v>
      </c>
      <c r="C272" s="1" t="s">
        <v>1</v>
      </c>
      <c r="D272" s="1" t="s">
        <v>3424</v>
      </c>
      <c r="E272" s="1" t="s">
        <v>3425</v>
      </c>
      <c r="F272" s="1" t="s">
        <v>3426</v>
      </c>
      <c r="H272" s="2" t="s">
        <v>5</v>
      </c>
      <c r="I272" s="2" t="s">
        <v>6</v>
      </c>
      <c r="J272" s="2" t="s">
        <v>5</v>
      </c>
      <c r="K272" s="2" t="s">
        <v>5</v>
      </c>
      <c r="L272" s="2" t="s">
        <v>7</v>
      </c>
      <c r="N272" s="1" t="s">
        <v>1985</v>
      </c>
      <c r="O272" s="2" t="s">
        <v>92</v>
      </c>
      <c r="Q272" s="2" t="s">
        <v>11</v>
      </c>
      <c r="R272" s="2" t="s">
        <v>12</v>
      </c>
      <c r="S272" s="1" t="s">
        <v>3427</v>
      </c>
      <c r="T272" s="2" t="s">
        <v>520</v>
      </c>
      <c r="U272" s="3">
        <v>3</v>
      </c>
      <c r="V272" s="3">
        <v>3</v>
      </c>
      <c r="W272" s="4" t="s">
        <v>3428</v>
      </c>
      <c r="X272" s="4" t="s">
        <v>3428</v>
      </c>
      <c r="Y272" s="4" t="s">
        <v>2632</v>
      </c>
      <c r="Z272" s="4" t="s">
        <v>2632</v>
      </c>
      <c r="AA272" s="3">
        <v>64</v>
      </c>
      <c r="AB272" s="3">
        <v>58</v>
      </c>
      <c r="AC272" s="3">
        <v>61</v>
      </c>
      <c r="AD272" s="3">
        <v>2</v>
      </c>
      <c r="AE272" s="3">
        <v>2</v>
      </c>
      <c r="AF272" s="3">
        <v>3</v>
      </c>
      <c r="AG272" s="3">
        <v>3</v>
      </c>
      <c r="AH272" s="3">
        <v>0</v>
      </c>
      <c r="AI272" s="3">
        <v>0</v>
      </c>
      <c r="AJ272" s="3">
        <v>0</v>
      </c>
      <c r="AK272" s="3">
        <v>0</v>
      </c>
      <c r="AL272" s="3">
        <v>2</v>
      </c>
      <c r="AM272" s="3">
        <v>2</v>
      </c>
      <c r="AN272" s="3">
        <v>1</v>
      </c>
      <c r="AO272" s="3">
        <v>1</v>
      </c>
      <c r="AP272" s="3">
        <v>0</v>
      </c>
      <c r="AQ272" s="3">
        <v>0</v>
      </c>
      <c r="AR272" s="2" t="s">
        <v>5</v>
      </c>
      <c r="AS272" s="2" t="s">
        <v>16</v>
      </c>
      <c r="AT272" s="5" t="str">
        <f>HYPERLINK("http://catalog.hathitrust.org/Record/000171176","HathiTrust Record")</f>
        <v>HathiTrust Record</v>
      </c>
      <c r="AU272" s="5" t="str">
        <f>HYPERLINK("https://creighton-primo.hosted.exlibrisgroup.com/primo-explore/search?tab=default_tab&amp;search_scope=EVERYTHING&amp;vid=01CRU&amp;lang=en_US&amp;offset=0&amp;query=any,contains,991001387929702656","Catalog Record")</f>
        <v>Catalog Record</v>
      </c>
      <c r="AV272" s="5" t="str">
        <f>HYPERLINK("http://www.worldcat.org/oclc/2707124","WorldCat Record")</f>
        <v>WorldCat Record</v>
      </c>
      <c r="AW272" s="2" t="s">
        <v>3429</v>
      </c>
      <c r="AX272" s="2" t="s">
        <v>3430</v>
      </c>
      <c r="AY272" s="2" t="s">
        <v>3431</v>
      </c>
      <c r="AZ272" s="2" t="s">
        <v>3431</v>
      </c>
      <c r="BA272" s="2" t="s">
        <v>3432</v>
      </c>
      <c r="BB272" s="2" t="s">
        <v>21</v>
      </c>
      <c r="BE272" s="2" t="s">
        <v>3433</v>
      </c>
      <c r="BF272" s="2" t="s">
        <v>3434</v>
      </c>
    </row>
    <row r="273" spans="1:58" ht="41.25" customHeight="1" x14ac:dyDescent="0.25">
      <c r="A273" s="8" t="s">
        <v>5</v>
      </c>
      <c r="B273" s="1" t="s">
        <v>0</v>
      </c>
      <c r="C273" s="1" t="s">
        <v>1</v>
      </c>
      <c r="D273" s="1" t="s">
        <v>3435</v>
      </c>
      <c r="E273" s="1" t="s">
        <v>3436</v>
      </c>
      <c r="F273" s="1" t="s">
        <v>3437</v>
      </c>
      <c r="H273" s="2" t="s">
        <v>5</v>
      </c>
      <c r="I273" s="2" t="s">
        <v>6</v>
      </c>
      <c r="J273" s="2" t="s">
        <v>5</v>
      </c>
      <c r="K273" s="2" t="s">
        <v>5</v>
      </c>
      <c r="L273" s="2" t="s">
        <v>7</v>
      </c>
      <c r="M273" s="1" t="s">
        <v>3438</v>
      </c>
      <c r="N273" s="1" t="s">
        <v>3439</v>
      </c>
      <c r="O273" s="2" t="s">
        <v>77</v>
      </c>
      <c r="Q273" s="2" t="s">
        <v>11</v>
      </c>
      <c r="R273" s="2" t="s">
        <v>12</v>
      </c>
      <c r="S273" s="1" t="s">
        <v>3440</v>
      </c>
      <c r="T273" s="2" t="s">
        <v>520</v>
      </c>
      <c r="U273" s="3">
        <v>2</v>
      </c>
      <c r="V273" s="3">
        <v>2</v>
      </c>
      <c r="W273" s="4" t="s">
        <v>2788</v>
      </c>
      <c r="X273" s="4" t="s">
        <v>2788</v>
      </c>
      <c r="Y273" s="4" t="s">
        <v>2579</v>
      </c>
      <c r="Z273" s="4" t="s">
        <v>2579</v>
      </c>
      <c r="AA273" s="3">
        <v>47</v>
      </c>
      <c r="AB273" s="3">
        <v>41</v>
      </c>
      <c r="AC273" s="3">
        <v>42</v>
      </c>
      <c r="AD273" s="3">
        <v>2</v>
      </c>
      <c r="AE273" s="3">
        <v>2</v>
      </c>
      <c r="AF273" s="3">
        <v>0</v>
      </c>
      <c r="AG273" s="3">
        <v>0</v>
      </c>
      <c r="AH273" s="3">
        <v>0</v>
      </c>
      <c r="AI273" s="3">
        <v>0</v>
      </c>
      <c r="AJ273" s="3">
        <v>0</v>
      </c>
      <c r="AK273" s="3">
        <v>0</v>
      </c>
      <c r="AL273" s="3">
        <v>0</v>
      </c>
      <c r="AM273" s="3">
        <v>0</v>
      </c>
      <c r="AN273" s="3">
        <v>0</v>
      </c>
      <c r="AO273" s="3">
        <v>0</v>
      </c>
      <c r="AP273" s="3">
        <v>0</v>
      </c>
      <c r="AQ273" s="3">
        <v>0</v>
      </c>
      <c r="AR273" s="2" t="s">
        <v>5</v>
      </c>
      <c r="AS273" s="2" t="s">
        <v>16</v>
      </c>
      <c r="AT273" s="5" t="str">
        <f>HYPERLINK("http://catalog.hathitrust.org/Record/001107749","HathiTrust Record")</f>
        <v>HathiTrust Record</v>
      </c>
      <c r="AU273" s="5" t="str">
        <f>HYPERLINK("https://creighton-primo.hosted.exlibrisgroup.com/primo-explore/search?tab=default_tab&amp;search_scope=EVERYTHING&amp;vid=01CRU&amp;lang=en_US&amp;offset=0&amp;query=any,contains,991001362359702656","Catalog Record")</f>
        <v>Catalog Record</v>
      </c>
      <c r="AV273" s="5" t="str">
        <f>HYPERLINK("http://www.worldcat.org/oclc/82070","WorldCat Record")</f>
        <v>WorldCat Record</v>
      </c>
      <c r="AW273" s="2" t="s">
        <v>3441</v>
      </c>
      <c r="AX273" s="2" t="s">
        <v>3442</v>
      </c>
      <c r="AY273" s="2" t="s">
        <v>3443</v>
      </c>
      <c r="AZ273" s="2" t="s">
        <v>3443</v>
      </c>
      <c r="BA273" s="2" t="s">
        <v>3444</v>
      </c>
      <c r="BB273" s="2" t="s">
        <v>21</v>
      </c>
      <c r="BE273" s="2" t="s">
        <v>3445</v>
      </c>
      <c r="BF273" s="2" t="s">
        <v>3446</v>
      </c>
    </row>
    <row r="274" spans="1:58" ht="41.25" customHeight="1" x14ac:dyDescent="0.25">
      <c r="A274" s="8" t="s">
        <v>5</v>
      </c>
      <c r="B274" s="1" t="s">
        <v>0</v>
      </c>
      <c r="C274" s="1" t="s">
        <v>1</v>
      </c>
      <c r="D274" s="1" t="s">
        <v>3447</v>
      </c>
      <c r="E274" s="1" t="s">
        <v>3448</v>
      </c>
      <c r="F274" s="1" t="s">
        <v>3449</v>
      </c>
      <c r="H274" s="2" t="s">
        <v>5</v>
      </c>
      <c r="I274" s="2" t="s">
        <v>6</v>
      </c>
      <c r="J274" s="2" t="s">
        <v>5</v>
      </c>
      <c r="K274" s="2" t="s">
        <v>16</v>
      </c>
      <c r="L274" s="2" t="s">
        <v>7</v>
      </c>
      <c r="M274" s="1" t="s">
        <v>3450</v>
      </c>
      <c r="N274" s="1" t="s">
        <v>3451</v>
      </c>
      <c r="O274" s="2" t="s">
        <v>872</v>
      </c>
      <c r="Q274" s="2" t="s">
        <v>11</v>
      </c>
      <c r="R274" s="2" t="s">
        <v>426</v>
      </c>
      <c r="T274" s="2" t="s">
        <v>520</v>
      </c>
      <c r="U274" s="3">
        <v>10</v>
      </c>
      <c r="V274" s="3">
        <v>10</v>
      </c>
      <c r="W274" s="4" t="s">
        <v>3452</v>
      </c>
      <c r="X274" s="4" t="s">
        <v>3452</v>
      </c>
      <c r="Y274" s="4" t="s">
        <v>3453</v>
      </c>
      <c r="Z274" s="4" t="s">
        <v>3453</v>
      </c>
      <c r="AA274" s="3">
        <v>273</v>
      </c>
      <c r="AB274" s="3">
        <v>229</v>
      </c>
      <c r="AC274" s="3">
        <v>358</v>
      </c>
      <c r="AD274" s="3">
        <v>4</v>
      </c>
      <c r="AE274" s="3">
        <v>4</v>
      </c>
      <c r="AF274" s="3">
        <v>8</v>
      </c>
      <c r="AG274" s="3">
        <v>13</v>
      </c>
      <c r="AH274" s="3">
        <v>1</v>
      </c>
      <c r="AI274" s="3">
        <v>4</v>
      </c>
      <c r="AJ274" s="3">
        <v>1</v>
      </c>
      <c r="AK274" s="3">
        <v>2</v>
      </c>
      <c r="AL274" s="3">
        <v>4</v>
      </c>
      <c r="AM274" s="3">
        <v>8</v>
      </c>
      <c r="AN274" s="3">
        <v>2</v>
      </c>
      <c r="AO274" s="3">
        <v>2</v>
      </c>
      <c r="AP274" s="3">
        <v>0</v>
      </c>
      <c r="AQ274" s="3">
        <v>0</v>
      </c>
      <c r="AR274" s="2" t="s">
        <v>5</v>
      </c>
      <c r="AS274" s="2" t="s">
        <v>16</v>
      </c>
      <c r="AT274" s="5" t="str">
        <f>HYPERLINK("http://catalog.hathitrust.org/Record/001080607","HathiTrust Record")</f>
        <v>HathiTrust Record</v>
      </c>
      <c r="AU274" s="5" t="str">
        <f>HYPERLINK("https://creighton-primo.hosted.exlibrisgroup.com/primo-explore/search?tab=default_tab&amp;search_scope=EVERYTHING&amp;vid=01CRU&amp;lang=en_US&amp;offset=0&amp;query=any,contains,991000948319702656","Catalog Record")</f>
        <v>Catalog Record</v>
      </c>
      <c r="AV274" s="5" t="str">
        <f>HYPERLINK("http://www.worldcat.org/oclc/18290066","WorldCat Record")</f>
        <v>WorldCat Record</v>
      </c>
      <c r="AW274" s="2" t="s">
        <v>3454</v>
      </c>
      <c r="AX274" s="2" t="s">
        <v>3455</v>
      </c>
      <c r="AY274" s="2" t="s">
        <v>3456</v>
      </c>
      <c r="AZ274" s="2" t="s">
        <v>3456</v>
      </c>
      <c r="BA274" s="2" t="s">
        <v>3457</v>
      </c>
      <c r="BB274" s="2" t="s">
        <v>21</v>
      </c>
      <c r="BD274" s="2" t="s">
        <v>3458</v>
      </c>
      <c r="BE274" s="2" t="s">
        <v>3459</v>
      </c>
      <c r="BF274" s="2" t="s">
        <v>3460</v>
      </c>
    </row>
    <row r="275" spans="1:58" ht="41.25" customHeight="1" x14ac:dyDescent="0.25">
      <c r="A275" s="8" t="s">
        <v>5</v>
      </c>
      <c r="B275" s="1" t="s">
        <v>0</v>
      </c>
      <c r="C275" s="1" t="s">
        <v>1</v>
      </c>
      <c r="D275" s="1" t="s">
        <v>3461</v>
      </c>
      <c r="E275" s="1" t="s">
        <v>3462</v>
      </c>
      <c r="F275" s="1" t="s">
        <v>3463</v>
      </c>
      <c r="H275" s="2" t="s">
        <v>5</v>
      </c>
      <c r="I275" s="2" t="s">
        <v>6</v>
      </c>
      <c r="J275" s="2" t="s">
        <v>5</v>
      </c>
      <c r="K275" s="2" t="s">
        <v>5</v>
      </c>
      <c r="L275" s="2" t="s">
        <v>6</v>
      </c>
      <c r="N275" s="1" t="s">
        <v>3464</v>
      </c>
      <c r="O275" s="2" t="s">
        <v>3465</v>
      </c>
      <c r="P275" s="1" t="s">
        <v>211</v>
      </c>
      <c r="Q275" s="2" t="s">
        <v>11</v>
      </c>
      <c r="R275" s="2" t="s">
        <v>12</v>
      </c>
      <c r="S275" s="1" t="s">
        <v>3466</v>
      </c>
      <c r="T275" s="2" t="s">
        <v>520</v>
      </c>
      <c r="U275" s="3">
        <v>1</v>
      </c>
      <c r="V275" s="3">
        <v>1</v>
      </c>
      <c r="W275" s="4" t="s">
        <v>3391</v>
      </c>
      <c r="X275" s="4" t="s">
        <v>3391</v>
      </c>
      <c r="Y275" s="4" t="s">
        <v>2104</v>
      </c>
      <c r="Z275" s="4" t="s">
        <v>2104</v>
      </c>
      <c r="AA275" s="3">
        <v>371</v>
      </c>
      <c r="AB275" s="3">
        <v>265</v>
      </c>
      <c r="AC275" s="3">
        <v>1396</v>
      </c>
      <c r="AD275" s="3">
        <v>2</v>
      </c>
      <c r="AE275" s="3">
        <v>17</v>
      </c>
      <c r="AF275" s="3">
        <v>8</v>
      </c>
      <c r="AG275" s="3">
        <v>57</v>
      </c>
      <c r="AH275" s="3">
        <v>2</v>
      </c>
      <c r="AI275" s="3">
        <v>20</v>
      </c>
      <c r="AJ275" s="3">
        <v>1</v>
      </c>
      <c r="AK275" s="3">
        <v>11</v>
      </c>
      <c r="AL275" s="3">
        <v>5</v>
      </c>
      <c r="AM275" s="3">
        <v>19</v>
      </c>
      <c r="AN275" s="3">
        <v>1</v>
      </c>
      <c r="AO275" s="3">
        <v>15</v>
      </c>
      <c r="AP275" s="3">
        <v>0</v>
      </c>
      <c r="AQ275" s="3">
        <v>2</v>
      </c>
      <c r="AR275" s="2" t="s">
        <v>5</v>
      </c>
      <c r="AS275" s="2" t="s">
        <v>5</v>
      </c>
      <c r="AU275" s="5" t="str">
        <f>HYPERLINK("https://creighton-primo.hosted.exlibrisgroup.com/primo-explore/search?tab=default_tab&amp;search_scope=EVERYTHING&amp;vid=01CRU&amp;lang=en_US&amp;offset=0&amp;query=any,contains,991000611029702656","Catalog Record")</f>
        <v>Catalog Record</v>
      </c>
      <c r="AV275" s="5" t="str">
        <f>HYPERLINK("http://www.worldcat.org/oclc/71273730","WorldCat Record")</f>
        <v>WorldCat Record</v>
      </c>
      <c r="AW275" s="2" t="s">
        <v>3467</v>
      </c>
      <c r="AX275" s="2" t="s">
        <v>3468</v>
      </c>
      <c r="AY275" s="2" t="s">
        <v>3469</v>
      </c>
      <c r="AZ275" s="2" t="s">
        <v>3469</v>
      </c>
      <c r="BA275" s="2" t="s">
        <v>3470</v>
      </c>
      <c r="BB275" s="2" t="s">
        <v>21</v>
      </c>
      <c r="BD275" s="2" t="s">
        <v>3471</v>
      </c>
      <c r="BE275" s="2" t="s">
        <v>3472</v>
      </c>
      <c r="BF275" s="2" t="s">
        <v>3473</v>
      </c>
    </row>
    <row r="276" spans="1:58" ht="41.25" customHeight="1" x14ac:dyDescent="0.25">
      <c r="A276" s="8" t="s">
        <v>5</v>
      </c>
      <c r="B276" s="1" t="s">
        <v>0</v>
      </c>
      <c r="C276" s="1" t="s">
        <v>1</v>
      </c>
      <c r="D276" s="1" t="s">
        <v>3474</v>
      </c>
      <c r="E276" s="1" t="s">
        <v>3475</v>
      </c>
      <c r="F276" s="1" t="s">
        <v>3476</v>
      </c>
      <c r="H276" s="2" t="s">
        <v>5</v>
      </c>
      <c r="I276" s="2" t="s">
        <v>6</v>
      </c>
      <c r="J276" s="2" t="s">
        <v>5</v>
      </c>
      <c r="K276" s="2" t="s">
        <v>5</v>
      </c>
      <c r="L276" s="2" t="s">
        <v>7</v>
      </c>
      <c r="M276" s="1" t="s">
        <v>3477</v>
      </c>
      <c r="N276" s="1" t="s">
        <v>3478</v>
      </c>
      <c r="O276" s="2" t="s">
        <v>414</v>
      </c>
      <c r="Q276" s="2" t="s">
        <v>11</v>
      </c>
      <c r="R276" s="2" t="s">
        <v>12</v>
      </c>
      <c r="S276" s="1" t="s">
        <v>3479</v>
      </c>
      <c r="T276" s="2" t="s">
        <v>520</v>
      </c>
      <c r="U276" s="3">
        <v>1</v>
      </c>
      <c r="V276" s="3">
        <v>1</v>
      </c>
      <c r="W276" s="4" t="s">
        <v>2659</v>
      </c>
      <c r="X276" s="4" t="s">
        <v>2659</v>
      </c>
      <c r="Y276" s="4" t="s">
        <v>2632</v>
      </c>
      <c r="Z276" s="4" t="s">
        <v>2632</v>
      </c>
      <c r="AA276" s="3">
        <v>54</v>
      </c>
      <c r="AB276" s="3">
        <v>46</v>
      </c>
      <c r="AC276" s="3">
        <v>50</v>
      </c>
      <c r="AD276" s="3">
        <v>1</v>
      </c>
      <c r="AE276" s="3">
        <v>1</v>
      </c>
      <c r="AF276" s="3">
        <v>2</v>
      </c>
      <c r="AG276" s="3">
        <v>3</v>
      </c>
      <c r="AH276" s="3">
        <v>0</v>
      </c>
      <c r="AI276" s="3">
        <v>0</v>
      </c>
      <c r="AJ276" s="3">
        <v>0</v>
      </c>
      <c r="AK276" s="3">
        <v>0</v>
      </c>
      <c r="AL276" s="3">
        <v>2</v>
      </c>
      <c r="AM276" s="3">
        <v>3</v>
      </c>
      <c r="AN276" s="3">
        <v>0</v>
      </c>
      <c r="AO276" s="3">
        <v>0</v>
      </c>
      <c r="AP276" s="3">
        <v>0</v>
      </c>
      <c r="AQ276" s="3">
        <v>0</v>
      </c>
      <c r="AR276" s="2" t="s">
        <v>5</v>
      </c>
      <c r="AS276" s="2" t="s">
        <v>16</v>
      </c>
      <c r="AT276" s="5" t="str">
        <f>HYPERLINK("http://catalog.hathitrust.org/Record/001574584","HathiTrust Record")</f>
        <v>HathiTrust Record</v>
      </c>
      <c r="AU276" s="5" t="str">
        <f>HYPERLINK("https://creighton-primo.hosted.exlibrisgroup.com/primo-explore/search?tab=default_tab&amp;search_scope=EVERYTHING&amp;vid=01CRU&amp;lang=en_US&amp;offset=0&amp;query=any,contains,991001387589702656","Catalog Record")</f>
        <v>Catalog Record</v>
      </c>
      <c r="AV276" s="5" t="str">
        <f>HYPERLINK("http://www.worldcat.org/oclc/29128","WorldCat Record")</f>
        <v>WorldCat Record</v>
      </c>
      <c r="AW276" s="2" t="s">
        <v>3480</v>
      </c>
      <c r="AX276" s="2" t="s">
        <v>3481</v>
      </c>
      <c r="AY276" s="2" t="s">
        <v>3482</v>
      </c>
      <c r="AZ276" s="2" t="s">
        <v>3482</v>
      </c>
      <c r="BA276" s="2" t="s">
        <v>3483</v>
      </c>
      <c r="BB276" s="2" t="s">
        <v>21</v>
      </c>
      <c r="BE276" s="2" t="s">
        <v>3484</v>
      </c>
      <c r="BF276" s="2" t="s">
        <v>3485</v>
      </c>
    </row>
    <row r="277" spans="1:58" ht="41.25" customHeight="1" x14ac:dyDescent="0.25">
      <c r="A277" s="8" t="s">
        <v>5</v>
      </c>
      <c r="B277" s="1" t="s">
        <v>0</v>
      </c>
      <c r="C277" s="1" t="s">
        <v>1</v>
      </c>
      <c r="D277" s="1" t="s">
        <v>3486</v>
      </c>
      <c r="E277" s="1" t="s">
        <v>3487</v>
      </c>
      <c r="F277" s="1" t="s">
        <v>3488</v>
      </c>
      <c r="H277" s="2" t="s">
        <v>5</v>
      </c>
      <c r="I277" s="2" t="s">
        <v>6</v>
      </c>
      <c r="J277" s="2" t="s">
        <v>5</v>
      </c>
      <c r="K277" s="2" t="s">
        <v>5</v>
      </c>
      <c r="L277" s="2" t="s">
        <v>7</v>
      </c>
      <c r="N277" s="1" t="s">
        <v>1220</v>
      </c>
      <c r="O277" s="2" t="s">
        <v>62</v>
      </c>
      <c r="Q277" s="2" t="s">
        <v>11</v>
      </c>
      <c r="R277" s="2" t="s">
        <v>12</v>
      </c>
      <c r="S277" s="1" t="s">
        <v>3489</v>
      </c>
      <c r="T277" s="2" t="s">
        <v>520</v>
      </c>
      <c r="U277" s="3">
        <v>1</v>
      </c>
      <c r="V277" s="3">
        <v>1</v>
      </c>
      <c r="W277" s="4" t="s">
        <v>2072</v>
      </c>
      <c r="X277" s="4" t="s">
        <v>2072</v>
      </c>
      <c r="Y277" s="4" t="s">
        <v>1591</v>
      </c>
      <c r="Z277" s="4" t="s">
        <v>1591</v>
      </c>
      <c r="AA277" s="3">
        <v>102</v>
      </c>
      <c r="AB277" s="3">
        <v>85</v>
      </c>
      <c r="AC277" s="3">
        <v>87</v>
      </c>
      <c r="AD277" s="3">
        <v>1</v>
      </c>
      <c r="AE277" s="3">
        <v>1</v>
      </c>
      <c r="AF277" s="3">
        <v>4</v>
      </c>
      <c r="AG277" s="3">
        <v>4</v>
      </c>
      <c r="AH277" s="3">
        <v>1</v>
      </c>
      <c r="AI277" s="3">
        <v>1</v>
      </c>
      <c r="AJ277" s="3">
        <v>1</v>
      </c>
      <c r="AK277" s="3">
        <v>1</v>
      </c>
      <c r="AL277" s="3">
        <v>3</v>
      </c>
      <c r="AM277" s="3">
        <v>3</v>
      </c>
      <c r="AN277" s="3">
        <v>0</v>
      </c>
      <c r="AO277" s="3">
        <v>0</v>
      </c>
      <c r="AP277" s="3">
        <v>0</v>
      </c>
      <c r="AQ277" s="3">
        <v>0</v>
      </c>
      <c r="AR277" s="2" t="s">
        <v>5</v>
      </c>
      <c r="AS277" s="2" t="s">
        <v>16</v>
      </c>
      <c r="AT277" s="5" t="str">
        <f>HYPERLINK("http://catalog.hathitrust.org/Record/000220703","HathiTrust Record")</f>
        <v>HathiTrust Record</v>
      </c>
      <c r="AU277" s="5" t="str">
        <f>HYPERLINK("https://creighton-primo.hosted.exlibrisgroup.com/primo-explore/search?tab=default_tab&amp;search_scope=EVERYTHING&amp;vid=01CRU&amp;lang=en_US&amp;offset=0&amp;query=any,contains,991001376519702656","Catalog Record")</f>
        <v>Catalog Record</v>
      </c>
      <c r="AV277" s="5" t="str">
        <f>HYPERLINK("http://www.worldcat.org/oclc/5125989","WorldCat Record")</f>
        <v>WorldCat Record</v>
      </c>
      <c r="AW277" s="2" t="s">
        <v>3490</v>
      </c>
      <c r="AX277" s="2" t="s">
        <v>3491</v>
      </c>
      <c r="AY277" s="2" t="s">
        <v>3492</v>
      </c>
      <c r="AZ277" s="2" t="s">
        <v>3492</v>
      </c>
      <c r="BA277" s="2" t="s">
        <v>3493</v>
      </c>
      <c r="BB277" s="2" t="s">
        <v>21</v>
      </c>
      <c r="BE277" s="2" t="s">
        <v>3494</v>
      </c>
      <c r="BF277" s="2" t="s">
        <v>3495</v>
      </c>
    </row>
    <row r="278" spans="1:58" ht="41.25" customHeight="1" x14ac:dyDescent="0.25">
      <c r="A278" s="8" t="s">
        <v>5</v>
      </c>
      <c r="B278" s="1" t="s">
        <v>0</v>
      </c>
      <c r="C278" s="1" t="s">
        <v>1</v>
      </c>
      <c r="D278" s="1" t="s">
        <v>3496</v>
      </c>
      <c r="E278" s="1" t="s">
        <v>3497</v>
      </c>
      <c r="F278" s="1" t="s">
        <v>3498</v>
      </c>
      <c r="H278" s="2" t="s">
        <v>5</v>
      </c>
      <c r="I278" s="2" t="s">
        <v>6</v>
      </c>
      <c r="J278" s="2" t="s">
        <v>5</v>
      </c>
      <c r="K278" s="2" t="s">
        <v>5</v>
      </c>
      <c r="L278" s="2" t="s">
        <v>7</v>
      </c>
      <c r="M278" s="1" t="s">
        <v>3499</v>
      </c>
      <c r="N278" s="1" t="s">
        <v>3500</v>
      </c>
      <c r="O278" s="2" t="s">
        <v>3501</v>
      </c>
      <c r="Q278" s="2" t="s">
        <v>11</v>
      </c>
      <c r="R278" s="2" t="s">
        <v>12</v>
      </c>
      <c r="S278" s="1" t="s">
        <v>3502</v>
      </c>
      <c r="T278" s="2" t="s">
        <v>520</v>
      </c>
      <c r="U278" s="3">
        <v>2</v>
      </c>
      <c r="V278" s="3">
        <v>2</v>
      </c>
      <c r="W278" s="4" t="s">
        <v>1717</v>
      </c>
      <c r="X278" s="4" t="s">
        <v>1717</v>
      </c>
      <c r="Y278" s="4" t="s">
        <v>1591</v>
      </c>
      <c r="Z278" s="4" t="s">
        <v>1591</v>
      </c>
      <c r="AA278" s="3">
        <v>49</v>
      </c>
      <c r="AB278" s="3">
        <v>44</v>
      </c>
      <c r="AC278" s="3">
        <v>51</v>
      </c>
      <c r="AD278" s="3">
        <v>1</v>
      </c>
      <c r="AE278" s="3">
        <v>1</v>
      </c>
      <c r="AF278" s="3">
        <v>2</v>
      </c>
      <c r="AG278" s="3">
        <v>2</v>
      </c>
      <c r="AH278" s="3">
        <v>0</v>
      </c>
      <c r="AI278" s="3">
        <v>0</v>
      </c>
      <c r="AJ278" s="3">
        <v>0</v>
      </c>
      <c r="AK278" s="3">
        <v>0</v>
      </c>
      <c r="AL278" s="3">
        <v>2</v>
      </c>
      <c r="AM278" s="3">
        <v>2</v>
      </c>
      <c r="AN278" s="3">
        <v>0</v>
      </c>
      <c r="AO278" s="3">
        <v>0</v>
      </c>
      <c r="AP278" s="3">
        <v>0</v>
      </c>
      <c r="AQ278" s="3">
        <v>0</v>
      </c>
      <c r="AR278" s="2" t="s">
        <v>16</v>
      </c>
      <c r="AS278" s="2" t="s">
        <v>5</v>
      </c>
      <c r="AT278" s="5" t="str">
        <f>HYPERLINK("http://catalog.hathitrust.org/Record/002072073","HathiTrust Record")</f>
        <v>HathiTrust Record</v>
      </c>
      <c r="AU278" s="5" t="str">
        <f>HYPERLINK("https://creighton-primo.hosted.exlibrisgroup.com/primo-explore/search?tab=default_tab&amp;search_scope=EVERYTHING&amp;vid=01CRU&amp;lang=en_US&amp;offset=0&amp;query=any,contains,991001375279702656","Catalog Record")</f>
        <v>Catalog Record</v>
      </c>
      <c r="AV278" s="5" t="str">
        <f>HYPERLINK("http://www.worldcat.org/oclc/3280770","WorldCat Record")</f>
        <v>WorldCat Record</v>
      </c>
      <c r="AW278" s="2" t="s">
        <v>3503</v>
      </c>
      <c r="AX278" s="2" t="s">
        <v>3504</v>
      </c>
      <c r="AY278" s="2" t="s">
        <v>3505</v>
      </c>
      <c r="AZ278" s="2" t="s">
        <v>3505</v>
      </c>
      <c r="BA278" s="2" t="s">
        <v>3506</v>
      </c>
      <c r="BB278" s="2" t="s">
        <v>21</v>
      </c>
      <c r="BE278" s="2" t="s">
        <v>3507</v>
      </c>
      <c r="BF278" s="2" t="s">
        <v>3508</v>
      </c>
    </row>
    <row r="279" spans="1:58" ht="41.25" customHeight="1" x14ac:dyDescent="0.25">
      <c r="A279" s="8" t="s">
        <v>5</v>
      </c>
      <c r="B279" s="1" t="s">
        <v>0</v>
      </c>
      <c r="C279" s="1" t="s">
        <v>1</v>
      </c>
      <c r="D279" s="1" t="s">
        <v>3509</v>
      </c>
      <c r="E279" s="1" t="s">
        <v>3510</v>
      </c>
      <c r="F279" s="1" t="s">
        <v>3511</v>
      </c>
      <c r="H279" s="2" t="s">
        <v>5</v>
      </c>
      <c r="I279" s="2" t="s">
        <v>6</v>
      </c>
      <c r="J279" s="2" t="s">
        <v>5</v>
      </c>
      <c r="K279" s="2" t="s">
        <v>5</v>
      </c>
      <c r="L279" s="2" t="s">
        <v>7</v>
      </c>
      <c r="M279" s="1" t="s">
        <v>3512</v>
      </c>
      <c r="N279" s="1" t="s">
        <v>2887</v>
      </c>
      <c r="O279" s="2" t="s">
        <v>10</v>
      </c>
      <c r="Q279" s="2" t="s">
        <v>11</v>
      </c>
      <c r="R279" s="2" t="s">
        <v>12</v>
      </c>
      <c r="S279" s="1" t="s">
        <v>3513</v>
      </c>
      <c r="T279" s="2" t="s">
        <v>520</v>
      </c>
      <c r="U279" s="3">
        <v>3</v>
      </c>
      <c r="V279" s="3">
        <v>3</v>
      </c>
      <c r="W279" s="4" t="s">
        <v>3514</v>
      </c>
      <c r="X279" s="4" t="s">
        <v>3514</v>
      </c>
      <c r="Y279" s="4" t="s">
        <v>2632</v>
      </c>
      <c r="Z279" s="4" t="s">
        <v>2632</v>
      </c>
      <c r="AA279" s="3">
        <v>90</v>
      </c>
      <c r="AB279" s="3">
        <v>73</v>
      </c>
      <c r="AC279" s="3">
        <v>73</v>
      </c>
      <c r="AD279" s="3">
        <v>3</v>
      </c>
      <c r="AE279" s="3">
        <v>3</v>
      </c>
      <c r="AF279" s="3">
        <v>4</v>
      </c>
      <c r="AG279" s="3">
        <v>4</v>
      </c>
      <c r="AH279" s="3">
        <v>0</v>
      </c>
      <c r="AI279" s="3">
        <v>0</v>
      </c>
      <c r="AJ279" s="3">
        <v>0</v>
      </c>
      <c r="AK279" s="3">
        <v>0</v>
      </c>
      <c r="AL279" s="3">
        <v>3</v>
      </c>
      <c r="AM279" s="3">
        <v>3</v>
      </c>
      <c r="AN279" s="3">
        <v>1</v>
      </c>
      <c r="AO279" s="3">
        <v>1</v>
      </c>
      <c r="AP279" s="3">
        <v>0</v>
      </c>
      <c r="AQ279" s="3">
        <v>0</v>
      </c>
      <c r="AR279" s="2" t="s">
        <v>5</v>
      </c>
      <c r="AS279" s="2" t="s">
        <v>5</v>
      </c>
      <c r="AU279" s="5" t="str">
        <f>HYPERLINK("https://creighton-primo.hosted.exlibrisgroup.com/primo-explore/search?tab=default_tab&amp;search_scope=EVERYTHING&amp;vid=01CRU&amp;lang=en_US&amp;offset=0&amp;query=any,contains,991001388019702656","Catalog Record")</f>
        <v>Catalog Record</v>
      </c>
      <c r="AV279" s="5" t="str">
        <f>HYPERLINK("http://www.worldcat.org/oclc/3189485","WorldCat Record")</f>
        <v>WorldCat Record</v>
      </c>
      <c r="AW279" s="2" t="s">
        <v>3515</v>
      </c>
      <c r="AX279" s="2" t="s">
        <v>3516</v>
      </c>
      <c r="AY279" s="2" t="s">
        <v>3517</v>
      </c>
      <c r="AZ279" s="2" t="s">
        <v>3517</v>
      </c>
      <c r="BA279" s="2" t="s">
        <v>3518</v>
      </c>
      <c r="BB279" s="2" t="s">
        <v>21</v>
      </c>
      <c r="BE279" s="2" t="s">
        <v>3519</v>
      </c>
      <c r="BF279" s="2" t="s">
        <v>3520</v>
      </c>
    </row>
    <row r="280" spans="1:58" ht="41.25" customHeight="1" x14ac:dyDescent="0.25">
      <c r="A280" s="8" t="s">
        <v>5</v>
      </c>
      <c r="B280" s="1" t="s">
        <v>0</v>
      </c>
      <c r="C280" s="1" t="s">
        <v>1</v>
      </c>
      <c r="D280" s="1" t="s">
        <v>3521</v>
      </c>
      <c r="E280" s="1" t="s">
        <v>3522</v>
      </c>
      <c r="F280" s="1" t="s">
        <v>3523</v>
      </c>
      <c r="H280" s="2" t="s">
        <v>5</v>
      </c>
      <c r="I280" s="2" t="s">
        <v>6</v>
      </c>
      <c r="J280" s="2" t="s">
        <v>5</v>
      </c>
      <c r="K280" s="2" t="s">
        <v>5</v>
      </c>
      <c r="L280" s="2" t="s">
        <v>7</v>
      </c>
      <c r="N280" s="1" t="s">
        <v>3524</v>
      </c>
      <c r="O280" s="2" t="s">
        <v>617</v>
      </c>
      <c r="Q280" s="2" t="s">
        <v>11</v>
      </c>
      <c r="R280" s="2" t="s">
        <v>12</v>
      </c>
      <c r="S280" s="1" t="s">
        <v>3525</v>
      </c>
      <c r="T280" s="2" t="s">
        <v>520</v>
      </c>
      <c r="U280" s="3">
        <v>1</v>
      </c>
      <c r="V280" s="3">
        <v>1</v>
      </c>
      <c r="W280" s="4" t="s">
        <v>1717</v>
      </c>
      <c r="X280" s="4" t="s">
        <v>1717</v>
      </c>
      <c r="Y280" s="4" t="s">
        <v>1591</v>
      </c>
      <c r="Z280" s="4" t="s">
        <v>1591</v>
      </c>
      <c r="AA280" s="3">
        <v>27</v>
      </c>
      <c r="AB280" s="3">
        <v>25</v>
      </c>
      <c r="AC280" s="3">
        <v>32</v>
      </c>
      <c r="AD280" s="3">
        <v>1</v>
      </c>
      <c r="AE280" s="3">
        <v>1</v>
      </c>
      <c r="AF280" s="3">
        <v>1</v>
      </c>
      <c r="AG280" s="3">
        <v>1</v>
      </c>
      <c r="AH280" s="3">
        <v>0</v>
      </c>
      <c r="AI280" s="3">
        <v>0</v>
      </c>
      <c r="AJ280" s="3">
        <v>0</v>
      </c>
      <c r="AK280" s="3">
        <v>0</v>
      </c>
      <c r="AL280" s="3">
        <v>1</v>
      </c>
      <c r="AM280" s="3">
        <v>1</v>
      </c>
      <c r="AN280" s="3">
        <v>0</v>
      </c>
      <c r="AO280" s="3">
        <v>0</v>
      </c>
      <c r="AP280" s="3">
        <v>0</v>
      </c>
      <c r="AQ280" s="3">
        <v>0</v>
      </c>
      <c r="AR280" s="2" t="s">
        <v>16</v>
      </c>
      <c r="AS280" s="2" t="s">
        <v>5</v>
      </c>
      <c r="AT280" s="5" t="str">
        <f>HYPERLINK("http://catalog.hathitrust.org/Record/002074905","HathiTrust Record")</f>
        <v>HathiTrust Record</v>
      </c>
      <c r="AU280" s="5" t="str">
        <f>HYPERLINK("https://creighton-primo.hosted.exlibrisgroup.com/primo-explore/search?tab=default_tab&amp;search_scope=EVERYTHING&amp;vid=01CRU&amp;lang=en_US&amp;offset=0&amp;query=any,contains,991001375169702656","Catalog Record")</f>
        <v>Catalog Record</v>
      </c>
      <c r="AV280" s="5" t="str">
        <f>HYPERLINK("http://www.worldcat.org/oclc/1202047","WorldCat Record")</f>
        <v>WorldCat Record</v>
      </c>
      <c r="AW280" s="2" t="s">
        <v>3526</v>
      </c>
      <c r="AX280" s="2" t="s">
        <v>3527</v>
      </c>
      <c r="AY280" s="2" t="s">
        <v>3528</v>
      </c>
      <c r="AZ280" s="2" t="s">
        <v>3528</v>
      </c>
      <c r="BA280" s="2" t="s">
        <v>3529</v>
      </c>
      <c r="BB280" s="2" t="s">
        <v>21</v>
      </c>
      <c r="BE280" s="2" t="s">
        <v>3530</v>
      </c>
      <c r="BF280" s="2" t="s">
        <v>3531</v>
      </c>
    </row>
    <row r="281" spans="1:58" ht="41.25" customHeight="1" x14ac:dyDescent="0.25">
      <c r="A281" s="8" t="s">
        <v>5</v>
      </c>
      <c r="B281" s="1" t="s">
        <v>0</v>
      </c>
      <c r="C281" s="1" t="s">
        <v>1</v>
      </c>
      <c r="D281" s="1" t="s">
        <v>3532</v>
      </c>
      <c r="E281" s="1" t="s">
        <v>3533</v>
      </c>
      <c r="F281" s="1" t="s">
        <v>3534</v>
      </c>
      <c r="H281" s="2" t="s">
        <v>5</v>
      </c>
      <c r="I281" s="2" t="s">
        <v>6</v>
      </c>
      <c r="J281" s="2" t="s">
        <v>5</v>
      </c>
      <c r="K281" s="2" t="s">
        <v>5</v>
      </c>
      <c r="L281" s="2" t="s">
        <v>7</v>
      </c>
      <c r="N281" s="1" t="s">
        <v>3535</v>
      </c>
      <c r="O281" s="2" t="s">
        <v>354</v>
      </c>
      <c r="Q281" s="2" t="s">
        <v>11</v>
      </c>
      <c r="R281" s="2" t="s">
        <v>426</v>
      </c>
      <c r="T281" s="2" t="s">
        <v>520</v>
      </c>
      <c r="U281" s="3">
        <v>6</v>
      </c>
      <c r="V281" s="3">
        <v>6</v>
      </c>
      <c r="W281" s="4" t="s">
        <v>3536</v>
      </c>
      <c r="X281" s="4" t="s">
        <v>3536</v>
      </c>
      <c r="Y281" s="4" t="s">
        <v>168</v>
      </c>
      <c r="Z281" s="4" t="s">
        <v>168</v>
      </c>
      <c r="AA281" s="3">
        <v>93</v>
      </c>
      <c r="AB281" s="3">
        <v>65</v>
      </c>
      <c r="AC281" s="3">
        <v>65</v>
      </c>
      <c r="AD281" s="3">
        <v>1</v>
      </c>
      <c r="AE281" s="3">
        <v>1</v>
      </c>
      <c r="AF281" s="3">
        <v>3</v>
      </c>
      <c r="AG281" s="3">
        <v>3</v>
      </c>
      <c r="AH281" s="3">
        <v>1</v>
      </c>
      <c r="AI281" s="3">
        <v>1</v>
      </c>
      <c r="AJ281" s="3">
        <v>0</v>
      </c>
      <c r="AK281" s="3">
        <v>0</v>
      </c>
      <c r="AL281" s="3">
        <v>2</v>
      </c>
      <c r="AM281" s="3">
        <v>2</v>
      </c>
      <c r="AN281" s="3">
        <v>0</v>
      </c>
      <c r="AO281" s="3">
        <v>0</v>
      </c>
      <c r="AP281" s="3">
        <v>0</v>
      </c>
      <c r="AQ281" s="3">
        <v>0</v>
      </c>
      <c r="AR281" s="2" t="s">
        <v>5</v>
      </c>
      <c r="AS281" s="2" t="s">
        <v>5</v>
      </c>
      <c r="AU281" s="5" t="str">
        <f>HYPERLINK("https://creighton-primo.hosted.exlibrisgroup.com/primo-explore/search?tab=default_tab&amp;search_scope=EVERYTHING&amp;vid=01CRU&amp;lang=en_US&amp;offset=0&amp;query=any,contains,991001039369702656","Catalog Record")</f>
        <v>Catalog Record</v>
      </c>
      <c r="AV281" s="5" t="str">
        <f>HYPERLINK("http://www.worldcat.org/oclc/5264484","WorldCat Record")</f>
        <v>WorldCat Record</v>
      </c>
      <c r="AW281" s="2" t="s">
        <v>3537</v>
      </c>
      <c r="AX281" s="2" t="s">
        <v>3538</v>
      </c>
      <c r="AY281" s="2" t="s">
        <v>3539</v>
      </c>
      <c r="AZ281" s="2" t="s">
        <v>3539</v>
      </c>
      <c r="BA281" s="2" t="s">
        <v>3540</v>
      </c>
      <c r="BB281" s="2" t="s">
        <v>21</v>
      </c>
      <c r="BD281" s="2" t="s">
        <v>3541</v>
      </c>
      <c r="BE281" s="2" t="s">
        <v>3542</v>
      </c>
      <c r="BF281" s="2" t="s">
        <v>3543</v>
      </c>
    </row>
    <row r="282" spans="1:58" ht="41.25" customHeight="1" x14ac:dyDescent="0.25">
      <c r="A282" s="8" t="s">
        <v>5</v>
      </c>
      <c r="B282" s="1" t="s">
        <v>0</v>
      </c>
      <c r="C282" s="1" t="s">
        <v>1</v>
      </c>
      <c r="D282" s="1" t="s">
        <v>3544</v>
      </c>
      <c r="E282" s="1" t="s">
        <v>3545</v>
      </c>
      <c r="F282" s="1" t="s">
        <v>3546</v>
      </c>
      <c r="H282" s="2" t="s">
        <v>5</v>
      </c>
      <c r="I282" s="2" t="s">
        <v>6</v>
      </c>
      <c r="J282" s="2" t="s">
        <v>5</v>
      </c>
      <c r="K282" s="2" t="s">
        <v>5</v>
      </c>
      <c r="L282" s="2" t="s">
        <v>7</v>
      </c>
      <c r="N282" s="1" t="s">
        <v>3535</v>
      </c>
      <c r="O282" s="2" t="s">
        <v>354</v>
      </c>
      <c r="Q282" s="2" t="s">
        <v>11</v>
      </c>
      <c r="R282" s="2" t="s">
        <v>12</v>
      </c>
      <c r="T282" s="2" t="s">
        <v>520</v>
      </c>
      <c r="U282" s="3">
        <v>1</v>
      </c>
      <c r="V282" s="3">
        <v>1</v>
      </c>
      <c r="W282" s="4" t="s">
        <v>3536</v>
      </c>
      <c r="X282" s="4" t="s">
        <v>3536</v>
      </c>
      <c r="Y282" s="4" t="s">
        <v>96</v>
      </c>
      <c r="Z282" s="4" t="s">
        <v>96</v>
      </c>
      <c r="AA282" s="3">
        <v>3</v>
      </c>
      <c r="AB282" s="3">
        <v>3</v>
      </c>
      <c r="AC282" s="3">
        <v>3</v>
      </c>
      <c r="AD282" s="3">
        <v>1</v>
      </c>
      <c r="AE282" s="3">
        <v>1</v>
      </c>
      <c r="AF282" s="3">
        <v>0</v>
      </c>
      <c r="AG282" s="3">
        <v>0</v>
      </c>
      <c r="AH282" s="3">
        <v>0</v>
      </c>
      <c r="AI282" s="3">
        <v>0</v>
      </c>
      <c r="AJ282" s="3">
        <v>0</v>
      </c>
      <c r="AK282" s="3">
        <v>0</v>
      </c>
      <c r="AL282" s="3">
        <v>0</v>
      </c>
      <c r="AM282" s="3">
        <v>0</v>
      </c>
      <c r="AN282" s="3">
        <v>0</v>
      </c>
      <c r="AO282" s="3">
        <v>0</v>
      </c>
      <c r="AP282" s="3">
        <v>0</v>
      </c>
      <c r="AQ282" s="3">
        <v>0</v>
      </c>
      <c r="AR282" s="2" t="s">
        <v>5</v>
      </c>
      <c r="AS282" s="2" t="s">
        <v>5</v>
      </c>
      <c r="AU282" s="5" t="str">
        <f>HYPERLINK("https://creighton-primo.hosted.exlibrisgroup.com/primo-explore/search?tab=default_tab&amp;search_scope=EVERYTHING&amp;vid=01CRU&amp;lang=en_US&amp;offset=0&amp;query=any,contains,991001039479702656","Catalog Record")</f>
        <v>Catalog Record</v>
      </c>
      <c r="AV282" s="5" t="str">
        <f>HYPERLINK("http://www.worldcat.org/oclc/6514204","WorldCat Record")</f>
        <v>WorldCat Record</v>
      </c>
      <c r="AW282" s="2" t="s">
        <v>3547</v>
      </c>
      <c r="AX282" s="2" t="s">
        <v>3548</v>
      </c>
      <c r="AY282" s="2" t="s">
        <v>3549</v>
      </c>
      <c r="AZ282" s="2" t="s">
        <v>3549</v>
      </c>
      <c r="BA282" s="2" t="s">
        <v>3550</v>
      </c>
      <c r="BB282" s="2" t="s">
        <v>21</v>
      </c>
      <c r="BD282" s="2" t="s">
        <v>3551</v>
      </c>
      <c r="BE282" s="2" t="s">
        <v>3552</v>
      </c>
      <c r="BF282" s="2" t="s">
        <v>3553</v>
      </c>
    </row>
    <row r="283" spans="1:58" ht="41.25" customHeight="1" x14ac:dyDescent="0.25">
      <c r="A283" s="8" t="s">
        <v>5</v>
      </c>
      <c r="B283" s="1" t="s">
        <v>0</v>
      </c>
      <c r="C283" s="1" t="s">
        <v>1</v>
      </c>
      <c r="D283" s="1" t="s">
        <v>3554</v>
      </c>
      <c r="E283" s="1" t="s">
        <v>3555</v>
      </c>
      <c r="F283" s="1" t="s">
        <v>3556</v>
      </c>
      <c r="H283" s="2" t="s">
        <v>5</v>
      </c>
      <c r="I283" s="2" t="s">
        <v>6</v>
      </c>
      <c r="J283" s="2" t="s">
        <v>5</v>
      </c>
      <c r="K283" s="2" t="s">
        <v>5</v>
      </c>
      <c r="L283" s="2" t="s">
        <v>7</v>
      </c>
      <c r="M283" s="1" t="s">
        <v>3557</v>
      </c>
      <c r="N283" s="1" t="s">
        <v>3558</v>
      </c>
      <c r="O283" s="2" t="s">
        <v>617</v>
      </c>
      <c r="Q283" s="2" t="s">
        <v>11</v>
      </c>
      <c r="R283" s="2" t="s">
        <v>93</v>
      </c>
      <c r="S283" s="1" t="s">
        <v>3559</v>
      </c>
      <c r="T283" s="2" t="s">
        <v>520</v>
      </c>
      <c r="U283" s="3">
        <v>2</v>
      </c>
      <c r="V283" s="3">
        <v>2</v>
      </c>
      <c r="W283" s="4" t="s">
        <v>2788</v>
      </c>
      <c r="X283" s="4" t="s">
        <v>2788</v>
      </c>
      <c r="Y283" s="4" t="s">
        <v>577</v>
      </c>
      <c r="Z283" s="4" t="s">
        <v>577</v>
      </c>
      <c r="AA283" s="3">
        <v>16</v>
      </c>
      <c r="AB283" s="3">
        <v>14</v>
      </c>
      <c r="AC283" s="3">
        <v>43</v>
      </c>
      <c r="AD283" s="3">
        <v>1</v>
      </c>
      <c r="AE283" s="3">
        <v>1</v>
      </c>
      <c r="AF283" s="3">
        <v>0</v>
      </c>
      <c r="AG283" s="3">
        <v>2</v>
      </c>
      <c r="AH283" s="3">
        <v>0</v>
      </c>
      <c r="AI283" s="3">
        <v>0</v>
      </c>
      <c r="AJ283" s="3">
        <v>0</v>
      </c>
      <c r="AK283" s="3">
        <v>0</v>
      </c>
      <c r="AL283" s="3">
        <v>0</v>
      </c>
      <c r="AM283" s="3">
        <v>2</v>
      </c>
      <c r="AN283" s="3">
        <v>0</v>
      </c>
      <c r="AO283" s="3">
        <v>0</v>
      </c>
      <c r="AP283" s="3">
        <v>0</v>
      </c>
      <c r="AQ283" s="3">
        <v>0</v>
      </c>
      <c r="AR283" s="2" t="s">
        <v>5</v>
      </c>
      <c r="AS283" s="2" t="s">
        <v>5</v>
      </c>
      <c r="AT283" s="5" t="str">
        <f>HYPERLINK("http://catalog.hathitrust.org/Record/002072092","HathiTrust Record")</f>
        <v>HathiTrust Record</v>
      </c>
      <c r="AU283" s="5" t="str">
        <f>HYPERLINK("https://creighton-primo.hosted.exlibrisgroup.com/primo-explore/search?tab=default_tab&amp;search_scope=EVERYTHING&amp;vid=01CRU&amp;lang=en_US&amp;offset=0&amp;query=any,contains,991001360689702656","Catalog Record")</f>
        <v>Catalog Record</v>
      </c>
      <c r="AV283" s="5" t="str">
        <f>HYPERLINK("http://www.worldcat.org/oclc/14612448","WorldCat Record")</f>
        <v>WorldCat Record</v>
      </c>
      <c r="AW283" s="2" t="s">
        <v>3560</v>
      </c>
      <c r="AX283" s="2" t="s">
        <v>3561</v>
      </c>
      <c r="AY283" s="2" t="s">
        <v>3562</v>
      </c>
      <c r="AZ283" s="2" t="s">
        <v>3562</v>
      </c>
      <c r="BA283" s="2" t="s">
        <v>3563</v>
      </c>
      <c r="BB283" s="2" t="s">
        <v>21</v>
      </c>
      <c r="BE283" s="2" t="s">
        <v>3564</v>
      </c>
      <c r="BF283" s="2" t="s">
        <v>3565</v>
      </c>
    </row>
    <row r="284" spans="1:58" ht="41.25" customHeight="1" x14ac:dyDescent="0.25">
      <c r="A284" s="8" t="s">
        <v>5</v>
      </c>
      <c r="B284" s="1" t="s">
        <v>0</v>
      </c>
      <c r="C284" s="1" t="s">
        <v>1</v>
      </c>
      <c r="D284" s="1" t="s">
        <v>3566</v>
      </c>
      <c r="E284" s="1" t="s">
        <v>3567</v>
      </c>
      <c r="F284" s="1" t="s">
        <v>3568</v>
      </c>
      <c r="H284" s="2" t="s">
        <v>5</v>
      </c>
      <c r="I284" s="2" t="s">
        <v>6</v>
      </c>
      <c r="J284" s="2" t="s">
        <v>5</v>
      </c>
      <c r="K284" s="2" t="s">
        <v>5</v>
      </c>
      <c r="L284" s="2" t="s">
        <v>7</v>
      </c>
      <c r="M284" s="1" t="s">
        <v>3569</v>
      </c>
      <c r="N284" s="1" t="s">
        <v>3570</v>
      </c>
      <c r="O284" s="2" t="s">
        <v>1046</v>
      </c>
      <c r="Q284" s="2" t="s">
        <v>11</v>
      </c>
      <c r="R284" s="2" t="s">
        <v>3571</v>
      </c>
      <c r="T284" s="2" t="s">
        <v>520</v>
      </c>
      <c r="U284" s="3">
        <v>0</v>
      </c>
      <c r="V284" s="3">
        <v>0</v>
      </c>
      <c r="W284" s="4" t="s">
        <v>3572</v>
      </c>
      <c r="X284" s="4" t="s">
        <v>3572</v>
      </c>
      <c r="Y284" s="4" t="s">
        <v>3573</v>
      </c>
      <c r="Z284" s="4" t="s">
        <v>3573</v>
      </c>
      <c r="AA284" s="3">
        <v>107</v>
      </c>
      <c r="AB284" s="3">
        <v>27</v>
      </c>
      <c r="AC284" s="3">
        <v>27</v>
      </c>
      <c r="AD284" s="3">
        <v>1</v>
      </c>
      <c r="AE284" s="3">
        <v>1</v>
      </c>
      <c r="AF284" s="3">
        <v>2</v>
      </c>
      <c r="AG284" s="3">
        <v>2</v>
      </c>
      <c r="AH284" s="3">
        <v>0</v>
      </c>
      <c r="AI284" s="3">
        <v>0</v>
      </c>
      <c r="AJ284" s="3">
        <v>2</v>
      </c>
      <c r="AK284" s="3">
        <v>2</v>
      </c>
      <c r="AL284" s="3">
        <v>1</v>
      </c>
      <c r="AM284" s="3">
        <v>1</v>
      </c>
      <c r="AN284" s="3">
        <v>0</v>
      </c>
      <c r="AO284" s="3">
        <v>0</v>
      </c>
      <c r="AP284" s="3">
        <v>0</v>
      </c>
      <c r="AQ284" s="3">
        <v>0</v>
      </c>
      <c r="AR284" s="2" t="s">
        <v>5</v>
      </c>
      <c r="AS284" s="2" t="s">
        <v>5</v>
      </c>
      <c r="AU284" s="5" t="str">
        <f>HYPERLINK("https://creighton-primo.hosted.exlibrisgroup.com/primo-explore/search?tab=default_tab&amp;search_scope=EVERYTHING&amp;vid=01CRU&amp;lang=en_US&amp;offset=0&amp;query=any,contains,991000453529702656","Catalog Record")</f>
        <v>Catalog Record</v>
      </c>
      <c r="AV284" s="5" t="str">
        <f>HYPERLINK("http://www.worldcat.org/oclc/51258353","WorldCat Record")</f>
        <v>WorldCat Record</v>
      </c>
      <c r="AW284" s="2" t="s">
        <v>3574</v>
      </c>
      <c r="AX284" s="2" t="s">
        <v>3575</v>
      </c>
      <c r="AY284" s="2" t="s">
        <v>3576</v>
      </c>
      <c r="AZ284" s="2" t="s">
        <v>3576</v>
      </c>
      <c r="BA284" s="2" t="s">
        <v>3577</v>
      </c>
      <c r="BB284" s="2" t="s">
        <v>21</v>
      </c>
      <c r="BD284" s="2" t="s">
        <v>3578</v>
      </c>
      <c r="BE284" s="2" t="s">
        <v>3579</v>
      </c>
      <c r="BF284" s="2" t="s">
        <v>3580</v>
      </c>
    </row>
    <row r="285" spans="1:58" ht="41.25" customHeight="1" x14ac:dyDescent="0.25">
      <c r="A285" s="8" t="s">
        <v>5</v>
      </c>
      <c r="B285" s="1" t="s">
        <v>0</v>
      </c>
      <c r="C285" s="1" t="s">
        <v>1</v>
      </c>
      <c r="D285" s="1" t="s">
        <v>3581</v>
      </c>
      <c r="E285" s="1" t="s">
        <v>3582</v>
      </c>
      <c r="F285" s="1" t="s">
        <v>3583</v>
      </c>
      <c r="H285" s="2" t="s">
        <v>5</v>
      </c>
      <c r="I285" s="2" t="s">
        <v>6</v>
      </c>
      <c r="J285" s="2" t="s">
        <v>5</v>
      </c>
      <c r="K285" s="2" t="s">
        <v>5</v>
      </c>
      <c r="L285" s="2" t="s">
        <v>7</v>
      </c>
      <c r="M285" s="1" t="s">
        <v>3584</v>
      </c>
      <c r="N285" s="1" t="s">
        <v>3585</v>
      </c>
      <c r="O285" s="2" t="s">
        <v>354</v>
      </c>
      <c r="Q285" s="2" t="s">
        <v>11</v>
      </c>
      <c r="R285" s="2" t="s">
        <v>31</v>
      </c>
      <c r="T285" s="2" t="s">
        <v>520</v>
      </c>
      <c r="U285" s="3">
        <v>4</v>
      </c>
      <c r="V285" s="3">
        <v>4</v>
      </c>
      <c r="W285" s="4" t="s">
        <v>3586</v>
      </c>
      <c r="X285" s="4" t="s">
        <v>3586</v>
      </c>
      <c r="Y285" s="4" t="s">
        <v>329</v>
      </c>
      <c r="Z285" s="4" t="s">
        <v>329</v>
      </c>
      <c r="AA285" s="3">
        <v>169</v>
      </c>
      <c r="AB285" s="3">
        <v>114</v>
      </c>
      <c r="AC285" s="3">
        <v>114</v>
      </c>
      <c r="AD285" s="3">
        <v>1</v>
      </c>
      <c r="AE285" s="3">
        <v>1</v>
      </c>
      <c r="AF285" s="3">
        <v>3</v>
      </c>
      <c r="AG285" s="3">
        <v>3</v>
      </c>
      <c r="AH285" s="3">
        <v>0</v>
      </c>
      <c r="AI285" s="3">
        <v>0</v>
      </c>
      <c r="AJ285" s="3">
        <v>1</v>
      </c>
      <c r="AK285" s="3">
        <v>1</v>
      </c>
      <c r="AL285" s="3">
        <v>2</v>
      </c>
      <c r="AM285" s="3">
        <v>2</v>
      </c>
      <c r="AN285" s="3">
        <v>0</v>
      </c>
      <c r="AO285" s="3">
        <v>0</v>
      </c>
      <c r="AP285" s="3">
        <v>0</v>
      </c>
      <c r="AQ285" s="3">
        <v>0</v>
      </c>
      <c r="AR285" s="2" t="s">
        <v>5</v>
      </c>
      <c r="AS285" s="2" t="s">
        <v>5</v>
      </c>
      <c r="AU285" s="5" t="str">
        <f>HYPERLINK("https://creighton-primo.hosted.exlibrisgroup.com/primo-explore/search?tab=default_tab&amp;search_scope=EVERYTHING&amp;vid=01CRU&amp;lang=en_US&amp;offset=0&amp;query=any,contains,991000740199702656","Catalog Record")</f>
        <v>Catalog Record</v>
      </c>
      <c r="AV285" s="5" t="str">
        <f>HYPERLINK("http://www.worldcat.org/oclc/5170969","WorldCat Record")</f>
        <v>WorldCat Record</v>
      </c>
      <c r="AW285" s="2" t="s">
        <v>3587</v>
      </c>
      <c r="AX285" s="2" t="s">
        <v>3588</v>
      </c>
      <c r="AY285" s="2" t="s">
        <v>3589</v>
      </c>
      <c r="AZ285" s="2" t="s">
        <v>3589</v>
      </c>
      <c r="BA285" s="2" t="s">
        <v>3590</v>
      </c>
      <c r="BB285" s="2" t="s">
        <v>21</v>
      </c>
      <c r="BD285" s="2" t="s">
        <v>3591</v>
      </c>
      <c r="BE285" s="2" t="s">
        <v>3592</v>
      </c>
      <c r="BF285" s="2" t="s">
        <v>3593</v>
      </c>
    </row>
    <row r="286" spans="1:58" ht="41.25" customHeight="1" x14ac:dyDescent="0.25">
      <c r="A286" s="8" t="s">
        <v>5</v>
      </c>
      <c r="B286" s="1" t="s">
        <v>0</v>
      </c>
      <c r="C286" s="1" t="s">
        <v>1</v>
      </c>
      <c r="D286" s="1" t="s">
        <v>3594</v>
      </c>
      <c r="E286" s="1" t="s">
        <v>3595</v>
      </c>
      <c r="F286" s="1" t="s">
        <v>3596</v>
      </c>
      <c r="H286" s="2" t="s">
        <v>5</v>
      </c>
      <c r="I286" s="2" t="s">
        <v>6</v>
      </c>
      <c r="J286" s="2" t="s">
        <v>5</v>
      </c>
      <c r="K286" s="2" t="s">
        <v>5</v>
      </c>
      <c r="L286" s="2" t="s">
        <v>7</v>
      </c>
      <c r="M286" s="1" t="s">
        <v>3597</v>
      </c>
      <c r="N286" s="1" t="s">
        <v>3318</v>
      </c>
      <c r="O286" s="2" t="s">
        <v>3319</v>
      </c>
      <c r="Q286" s="2" t="s">
        <v>11</v>
      </c>
      <c r="R286" s="2" t="s">
        <v>93</v>
      </c>
      <c r="S286" s="1" t="s">
        <v>3598</v>
      </c>
      <c r="T286" s="2" t="s">
        <v>520</v>
      </c>
      <c r="U286" s="3">
        <v>4</v>
      </c>
      <c r="V286" s="3">
        <v>4</v>
      </c>
      <c r="W286" s="4" t="s">
        <v>3599</v>
      </c>
      <c r="X286" s="4" t="s">
        <v>3599</v>
      </c>
      <c r="Y286" s="4" t="s">
        <v>1827</v>
      </c>
      <c r="Z286" s="4" t="s">
        <v>1827</v>
      </c>
      <c r="AA286" s="3">
        <v>35</v>
      </c>
      <c r="AB286" s="3">
        <v>32</v>
      </c>
      <c r="AC286" s="3">
        <v>39</v>
      </c>
      <c r="AD286" s="3">
        <v>1</v>
      </c>
      <c r="AE286" s="3">
        <v>1</v>
      </c>
      <c r="AF286" s="3">
        <v>1</v>
      </c>
      <c r="AG286" s="3">
        <v>1</v>
      </c>
      <c r="AH286" s="3">
        <v>0</v>
      </c>
      <c r="AI286" s="3">
        <v>0</v>
      </c>
      <c r="AJ286" s="3">
        <v>0</v>
      </c>
      <c r="AK286" s="3">
        <v>0</v>
      </c>
      <c r="AL286" s="3">
        <v>1</v>
      </c>
      <c r="AM286" s="3">
        <v>1</v>
      </c>
      <c r="AN286" s="3">
        <v>0</v>
      </c>
      <c r="AO286" s="3">
        <v>0</v>
      </c>
      <c r="AP286" s="3">
        <v>0</v>
      </c>
      <c r="AQ286" s="3">
        <v>0</v>
      </c>
      <c r="AR286" s="2" t="s">
        <v>16</v>
      </c>
      <c r="AS286" s="2" t="s">
        <v>5</v>
      </c>
      <c r="AT286" s="5" t="str">
        <f>HYPERLINK("http://catalog.hathitrust.org/Record/002072096","HathiTrust Record")</f>
        <v>HathiTrust Record</v>
      </c>
      <c r="AU286" s="5" t="str">
        <f>HYPERLINK("https://creighton-primo.hosted.exlibrisgroup.com/primo-explore/search?tab=default_tab&amp;search_scope=EVERYTHING&amp;vid=01CRU&amp;lang=en_US&amp;offset=0&amp;query=any,contains,991001364359702656","Catalog Record")</f>
        <v>Catalog Record</v>
      </c>
      <c r="AV286" s="5" t="str">
        <f>HYPERLINK("http://www.worldcat.org/oclc/1027674","WorldCat Record")</f>
        <v>WorldCat Record</v>
      </c>
      <c r="AW286" s="2" t="s">
        <v>3600</v>
      </c>
      <c r="AX286" s="2" t="s">
        <v>3601</v>
      </c>
      <c r="AY286" s="2" t="s">
        <v>3602</v>
      </c>
      <c r="AZ286" s="2" t="s">
        <v>3602</v>
      </c>
      <c r="BA286" s="2" t="s">
        <v>3603</v>
      </c>
      <c r="BB286" s="2" t="s">
        <v>21</v>
      </c>
      <c r="BE286" s="2" t="s">
        <v>3604</v>
      </c>
      <c r="BF286" s="2" t="s">
        <v>3605</v>
      </c>
    </row>
    <row r="287" spans="1:58" ht="41.25" customHeight="1" x14ac:dyDescent="0.25">
      <c r="A287" s="8" t="s">
        <v>5</v>
      </c>
      <c r="B287" s="1" t="s">
        <v>0</v>
      </c>
      <c r="C287" s="1" t="s">
        <v>1</v>
      </c>
      <c r="D287" s="1" t="s">
        <v>3606</v>
      </c>
      <c r="E287" s="1" t="s">
        <v>3607</v>
      </c>
      <c r="F287" s="1" t="s">
        <v>3608</v>
      </c>
      <c r="H287" s="2" t="s">
        <v>5</v>
      </c>
      <c r="I287" s="2" t="s">
        <v>6</v>
      </c>
      <c r="J287" s="2" t="s">
        <v>5</v>
      </c>
      <c r="K287" s="2" t="s">
        <v>5</v>
      </c>
      <c r="L287" s="2" t="s">
        <v>7</v>
      </c>
      <c r="N287" s="1" t="s">
        <v>1403</v>
      </c>
      <c r="O287" s="2" t="s">
        <v>285</v>
      </c>
      <c r="Q287" s="2" t="s">
        <v>11</v>
      </c>
      <c r="R287" s="2" t="s">
        <v>426</v>
      </c>
      <c r="S287" s="1" t="s">
        <v>3609</v>
      </c>
      <c r="T287" s="2" t="s">
        <v>520</v>
      </c>
      <c r="U287" s="3">
        <v>1</v>
      </c>
      <c r="V287" s="3">
        <v>1</v>
      </c>
      <c r="W287" s="4" t="s">
        <v>1987</v>
      </c>
      <c r="X287" s="4" t="s">
        <v>1987</v>
      </c>
      <c r="Y287" s="4" t="s">
        <v>1591</v>
      </c>
      <c r="Z287" s="4" t="s">
        <v>1591</v>
      </c>
      <c r="AA287" s="3">
        <v>105</v>
      </c>
      <c r="AB287" s="3">
        <v>89</v>
      </c>
      <c r="AC287" s="3">
        <v>91</v>
      </c>
      <c r="AD287" s="3">
        <v>1</v>
      </c>
      <c r="AE287" s="3">
        <v>1</v>
      </c>
      <c r="AF287" s="3">
        <v>3</v>
      </c>
      <c r="AG287" s="3">
        <v>3</v>
      </c>
      <c r="AH287" s="3">
        <v>0</v>
      </c>
      <c r="AI287" s="3">
        <v>0</v>
      </c>
      <c r="AJ287" s="3">
        <v>0</v>
      </c>
      <c r="AK287" s="3">
        <v>0</v>
      </c>
      <c r="AL287" s="3">
        <v>3</v>
      </c>
      <c r="AM287" s="3">
        <v>3</v>
      </c>
      <c r="AN287" s="3">
        <v>0</v>
      </c>
      <c r="AO287" s="3">
        <v>0</v>
      </c>
      <c r="AP287" s="3">
        <v>0</v>
      </c>
      <c r="AQ287" s="3">
        <v>0</v>
      </c>
      <c r="AR287" s="2" t="s">
        <v>5</v>
      </c>
      <c r="AS287" s="2" t="s">
        <v>16</v>
      </c>
      <c r="AT287" s="5" t="str">
        <f>HYPERLINK("http://catalog.hathitrust.org/Record/000717823","HathiTrust Record")</f>
        <v>HathiTrust Record</v>
      </c>
      <c r="AU287" s="5" t="str">
        <f>HYPERLINK("https://creighton-primo.hosted.exlibrisgroup.com/primo-explore/search?tab=default_tab&amp;search_scope=EVERYTHING&amp;vid=01CRU&amp;lang=en_US&amp;offset=0&amp;query=any,contains,991001371289702656","Catalog Record")</f>
        <v>Catalog Record</v>
      </c>
      <c r="AV287" s="5" t="str">
        <f>HYPERLINK("http://www.worldcat.org/oclc/6144806","WorldCat Record")</f>
        <v>WorldCat Record</v>
      </c>
      <c r="AW287" s="2" t="s">
        <v>3610</v>
      </c>
      <c r="AX287" s="2" t="s">
        <v>3611</v>
      </c>
      <c r="AY287" s="2" t="s">
        <v>3612</v>
      </c>
      <c r="AZ287" s="2" t="s">
        <v>3612</v>
      </c>
      <c r="BA287" s="2" t="s">
        <v>3613</v>
      </c>
      <c r="BB287" s="2" t="s">
        <v>21</v>
      </c>
      <c r="BE287" s="2" t="s">
        <v>3614</v>
      </c>
      <c r="BF287" s="2" t="s">
        <v>3615</v>
      </c>
    </row>
    <row r="288" spans="1:58" ht="41.25" customHeight="1" x14ac:dyDescent="0.25">
      <c r="A288" s="8" t="s">
        <v>5</v>
      </c>
      <c r="B288" s="1" t="s">
        <v>0</v>
      </c>
      <c r="C288" s="1" t="s">
        <v>1</v>
      </c>
      <c r="D288" s="1" t="s">
        <v>3616</v>
      </c>
      <c r="E288" s="1" t="s">
        <v>3617</v>
      </c>
      <c r="F288" s="1" t="s">
        <v>3618</v>
      </c>
      <c r="H288" s="2" t="s">
        <v>5</v>
      </c>
      <c r="I288" s="2" t="s">
        <v>6</v>
      </c>
      <c r="J288" s="2" t="s">
        <v>5</v>
      </c>
      <c r="K288" s="2" t="s">
        <v>5</v>
      </c>
      <c r="L288" s="2" t="s">
        <v>7</v>
      </c>
      <c r="N288" s="1" t="s">
        <v>3619</v>
      </c>
      <c r="O288" s="2" t="s">
        <v>3620</v>
      </c>
      <c r="Q288" s="2" t="s">
        <v>11</v>
      </c>
      <c r="R288" s="2" t="s">
        <v>12</v>
      </c>
      <c r="S288" s="1" t="s">
        <v>3621</v>
      </c>
      <c r="T288" s="2" t="s">
        <v>520</v>
      </c>
      <c r="U288" s="3">
        <v>1</v>
      </c>
      <c r="V288" s="3">
        <v>1</v>
      </c>
      <c r="W288" s="4" t="s">
        <v>2225</v>
      </c>
      <c r="X288" s="4" t="s">
        <v>2225</v>
      </c>
      <c r="Y288" s="4" t="s">
        <v>2226</v>
      </c>
      <c r="Z288" s="4" t="s">
        <v>2226</v>
      </c>
      <c r="AA288" s="3">
        <v>8</v>
      </c>
      <c r="AB288" s="3">
        <v>8</v>
      </c>
      <c r="AC288" s="3">
        <v>23</v>
      </c>
      <c r="AD288" s="3">
        <v>1</v>
      </c>
      <c r="AE288" s="3">
        <v>1</v>
      </c>
      <c r="AF288" s="3">
        <v>0</v>
      </c>
      <c r="AG288" s="3">
        <v>0</v>
      </c>
      <c r="AH288" s="3">
        <v>0</v>
      </c>
      <c r="AI288" s="3">
        <v>0</v>
      </c>
      <c r="AJ288" s="3">
        <v>0</v>
      </c>
      <c r="AK288" s="3">
        <v>0</v>
      </c>
      <c r="AL288" s="3">
        <v>0</v>
      </c>
      <c r="AM288" s="3">
        <v>0</v>
      </c>
      <c r="AN288" s="3">
        <v>0</v>
      </c>
      <c r="AO288" s="3">
        <v>0</v>
      </c>
      <c r="AP288" s="3">
        <v>0</v>
      </c>
      <c r="AQ288" s="3">
        <v>0</v>
      </c>
      <c r="AR288" s="2" t="s">
        <v>5</v>
      </c>
      <c r="AS288" s="2" t="s">
        <v>5</v>
      </c>
      <c r="AU288" s="5" t="str">
        <f>HYPERLINK("https://creighton-primo.hosted.exlibrisgroup.com/primo-explore/search?tab=default_tab&amp;search_scope=EVERYTHING&amp;vid=01CRU&amp;lang=en_US&amp;offset=0&amp;query=any,contains,991001518109702656","Catalog Record")</f>
        <v>Catalog Record</v>
      </c>
      <c r="AV288" s="5" t="str">
        <f>HYPERLINK("http://www.worldcat.org/oclc/14682277","WorldCat Record")</f>
        <v>WorldCat Record</v>
      </c>
      <c r="AW288" s="2" t="s">
        <v>3622</v>
      </c>
      <c r="AX288" s="2" t="s">
        <v>3623</v>
      </c>
      <c r="AY288" s="2" t="s">
        <v>3624</v>
      </c>
      <c r="AZ288" s="2" t="s">
        <v>3624</v>
      </c>
      <c r="BA288" s="2" t="s">
        <v>3625</v>
      </c>
      <c r="BB288" s="2" t="s">
        <v>21</v>
      </c>
      <c r="BE288" s="2" t="s">
        <v>3626</v>
      </c>
      <c r="BF288" s="2" t="s">
        <v>3627</v>
      </c>
    </row>
    <row r="289" spans="1:58" ht="41.25" customHeight="1" x14ac:dyDescent="0.25">
      <c r="A289" s="8" t="s">
        <v>5</v>
      </c>
      <c r="B289" s="1" t="s">
        <v>0</v>
      </c>
      <c r="C289" s="1" t="s">
        <v>1</v>
      </c>
      <c r="D289" s="1" t="s">
        <v>3628</v>
      </c>
      <c r="E289" s="1" t="s">
        <v>3629</v>
      </c>
      <c r="F289" s="1" t="s">
        <v>3630</v>
      </c>
      <c r="H289" s="2" t="s">
        <v>5</v>
      </c>
      <c r="I289" s="2" t="s">
        <v>6</v>
      </c>
      <c r="J289" s="2" t="s">
        <v>5</v>
      </c>
      <c r="K289" s="2" t="s">
        <v>5</v>
      </c>
      <c r="L289" s="2" t="s">
        <v>7</v>
      </c>
      <c r="M289" s="1" t="s">
        <v>3631</v>
      </c>
      <c r="N289" s="1" t="s">
        <v>3632</v>
      </c>
      <c r="O289" s="2" t="s">
        <v>2738</v>
      </c>
      <c r="Q289" s="2" t="s">
        <v>11</v>
      </c>
      <c r="R289" s="2" t="s">
        <v>12</v>
      </c>
      <c r="S289" s="1" t="s">
        <v>3633</v>
      </c>
      <c r="T289" s="2" t="s">
        <v>520</v>
      </c>
      <c r="U289" s="3">
        <v>1</v>
      </c>
      <c r="V289" s="3">
        <v>1</v>
      </c>
      <c r="W289" s="4" t="s">
        <v>1717</v>
      </c>
      <c r="X289" s="4" t="s">
        <v>1717</v>
      </c>
      <c r="Y289" s="4" t="s">
        <v>1591</v>
      </c>
      <c r="Z289" s="4" t="s">
        <v>1591</v>
      </c>
      <c r="AA289" s="3">
        <v>40</v>
      </c>
      <c r="AB289" s="3">
        <v>40</v>
      </c>
      <c r="AC289" s="3">
        <v>41</v>
      </c>
      <c r="AD289" s="3">
        <v>2</v>
      </c>
      <c r="AE289" s="3">
        <v>2</v>
      </c>
      <c r="AF289" s="3">
        <v>3</v>
      </c>
      <c r="AG289" s="3">
        <v>3</v>
      </c>
      <c r="AH289" s="3">
        <v>0</v>
      </c>
      <c r="AI289" s="3">
        <v>0</v>
      </c>
      <c r="AJ289" s="3">
        <v>0</v>
      </c>
      <c r="AK289" s="3">
        <v>0</v>
      </c>
      <c r="AL289" s="3">
        <v>2</v>
      </c>
      <c r="AM289" s="3">
        <v>2</v>
      </c>
      <c r="AN289" s="3">
        <v>1</v>
      </c>
      <c r="AO289" s="3">
        <v>1</v>
      </c>
      <c r="AP289" s="3">
        <v>0</v>
      </c>
      <c r="AQ289" s="3">
        <v>0</v>
      </c>
      <c r="AR289" s="2" t="s">
        <v>5</v>
      </c>
      <c r="AS289" s="2" t="s">
        <v>5</v>
      </c>
      <c r="AU289" s="5" t="str">
        <f>HYPERLINK("https://creighton-primo.hosted.exlibrisgroup.com/primo-explore/search?tab=default_tab&amp;search_scope=EVERYTHING&amp;vid=01CRU&amp;lang=en_US&amp;offset=0&amp;query=any,contains,991001376019702656","Catalog Record")</f>
        <v>Catalog Record</v>
      </c>
      <c r="AV289" s="5" t="str">
        <f>HYPERLINK("http://www.worldcat.org/oclc/657845","WorldCat Record")</f>
        <v>WorldCat Record</v>
      </c>
      <c r="AW289" s="2" t="s">
        <v>3634</v>
      </c>
      <c r="AX289" s="2" t="s">
        <v>3635</v>
      </c>
      <c r="AY289" s="2" t="s">
        <v>3636</v>
      </c>
      <c r="AZ289" s="2" t="s">
        <v>3636</v>
      </c>
      <c r="BA289" s="2" t="s">
        <v>3637</v>
      </c>
      <c r="BB289" s="2" t="s">
        <v>21</v>
      </c>
      <c r="BE289" s="2" t="s">
        <v>3638</v>
      </c>
      <c r="BF289" s="2" t="s">
        <v>3639</v>
      </c>
    </row>
    <row r="290" spans="1:58" ht="41.25" customHeight="1" x14ac:dyDescent="0.25">
      <c r="A290" s="8" t="s">
        <v>5</v>
      </c>
      <c r="B290" s="1" t="s">
        <v>0</v>
      </c>
      <c r="C290" s="1" t="s">
        <v>1</v>
      </c>
      <c r="D290" s="1" t="s">
        <v>3640</v>
      </c>
      <c r="E290" s="1" t="s">
        <v>3641</v>
      </c>
      <c r="F290" s="1" t="s">
        <v>3642</v>
      </c>
      <c r="H290" s="2" t="s">
        <v>5</v>
      </c>
      <c r="I290" s="2" t="s">
        <v>6</v>
      </c>
      <c r="J290" s="2" t="s">
        <v>5</v>
      </c>
      <c r="K290" s="2" t="s">
        <v>5</v>
      </c>
      <c r="L290" s="2" t="s">
        <v>7</v>
      </c>
      <c r="N290" s="1" t="s">
        <v>3643</v>
      </c>
      <c r="O290" s="2" t="s">
        <v>3644</v>
      </c>
      <c r="Q290" s="2" t="s">
        <v>11</v>
      </c>
      <c r="R290" s="2" t="s">
        <v>12</v>
      </c>
      <c r="S290" s="1" t="s">
        <v>3645</v>
      </c>
      <c r="T290" s="2" t="s">
        <v>520</v>
      </c>
      <c r="U290" s="3">
        <v>2</v>
      </c>
      <c r="V290" s="3">
        <v>2</v>
      </c>
      <c r="W290" s="4" t="s">
        <v>2225</v>
      </c>
      <c r="X290" s="4" t="s">
        <v>2225</v>
      </c>
      <c r="Y290" s="4" t="s">
        <v>2226</v>
      </c>
      <c r="Z290" s="4" t="s">
        <v>2226</v>
      </c>
      <c r="AA290" s="3">
        <v>16</v>
      </c>
      <c r="AB290" s="3">
        <v>16</v>
      </c>
      <c r="AC290" s="3">
        <v>16</v>
      </c>
      <c r="AD290" s="3">
        <v>1</v>
      </c>
      <c r="AE290" s="3">
        <v>1</v>
      </c>
      <c r="AF290" s="3">
        <v>1</v>
      </c>
      <c r="AG290" s="3">
        <v>1</v>
      </c>
      <c r="AH290" s="3">
        <v>0</v>
      </c>
      <c r="AI290" s="3">
        <v>0</v>
      </c>
      <c r="AJ290" s="3">
        <v>0</v>
      </c>
      <c r="AK290" s="3">
        <v>0</v>
      </c>
      <c r="AL290" s="3">
        <v>1</v>
      </c>
      <c r="AM290" s="3">
        <v>1</v>
      </c>
      <c r="AN290" s="3">
        <v>0</v>
      </c>
      <c r="AO290" s="3">
        <v>0</v>
      </c>
      <c r="AP290" s="3">
        <v>0</v>
      </c>
      <c r="AQ290" s="3">
        <v>0</v>
      </c>
      <c r="AR290" s="2" t="s">
        <v>5</v>
      </c>
      <c r="AS290" s="2" t="s">
        <v>5</v>
      </c>
      <c r="AU290" s="5" t="str">
        <f>HYPERLINK("https://creighton-primo.hosted.exlibrisgroup.com/primo-explore/search?tab=default_tab&amp;search_scope=EVERYTHING&amp;vid=01CRU&amp;lang=en_US&amp;offset=0&amp;query=any,contains,991001518029702656","Catalog Record")</f>
        <v>Catalog Record</v>
      </c>
      <c r="AV290" s="5" t="str">
        <f>HYPERLINK("http://www.worldcat.org/oclc/6794702","WorldCat Record")</f>
        <v>WorldCat Record</v>
      </c>
      <c r="AW290" s="2" t="s">
        <v>3646</v>
      </c>
      <c r="AX290" s="2" t="s">
        <v>3647</v>
      </c>
      <c r="AY290" s="2" t="s">
        <v>3648</v>
      </c>
      <c r="AZ290" s="2" t="s">
        <v>3648</v>
      </c>
      <c r="BA290" s="2" t="s">
        <v>3649</v>
      </c>
      <c r="BB290" s="2" t="s">
        <v>21</v>
      </c>
      <c r="BE290" s="2" t="s">
        <v>3650</v>
      </c>
      <c r="BF290" s="2" t="s">
        <v>3651</v>
      </c>
    </row>
    <row r="291" spans="1:58" ht="41.25" customHeight="1" x14ac:dyDescent="0.25">
      <c r="A291" s="8" t="s">
        <v>5</v>
      </c>
      <c r="B291" s="1" t="s">
        <v>0</v>
      </c>
      <c r="C291" s="1" t="s">
        <v>1</v>
      </c>
      <c r="D291" s="1" t="s">
        <v>3652</v>
      </c>
      <c r="E291" s="1" t="s">
        <v>3653</v>
      </c>
      <c r="F291" s="1" t="s">
        <v>3654</v>
      </c>
      <c r="H291" s="2" t="s">
        <v>5</v>
      </c>
      <c r="I291" s="2" t="s">
        <v>6</v>
      </c>
      <c r="J291" s="2" t="s">
        <v>5</v>
      </c>
      <c r="K291" s="2" t="s">
        <v>5</v>
      </c>
      <c r="L291" s="2" t="s">
        <v>7</v>
      </c>
      <c r="M291" s="1" t="s">
        <v>3655</v>
      </c>
      <c r="N291" s="1" t="s">
        <v>2887</v>
      </c>
      <c r="O291" s="2" t="s">
        <v>92</v>
      </c>
      <c r="Q291" s="2" t="s">
        <v>11</v>
      </c>
      <c r="R291" s="2" t="s">
        <v>12</v>
      </c>
      <c r="S291" s="1" t="s">
        <v>3656</v>
      </c>
      <c r="T291" s="2" t="s">
        <v>520</v>
      </c>
      <c r="U291" s="3">
        <v>1</v>
      </c>
      <c r="V291" s="3">
        <v>1</v>
      </c>
      <c r="W291" s="4" t="s">
        <v>2775</v>
      </c>
      <c r="X291" s="4" t="s">
        <v>2775</v>
      </c>
      <c r="Y291" s="4" t="s">
        <v>2632</v>
      </c>
      <c r="Z291" s="4" t="s">
        <v>2632</v>
      </c>
      <c r="AA291" s="3">
        <v>82</v>
      </c>
      <c r="AB291" s="3">
        <v>72</v>
      </c>
      <c r="AC291" s="3">
        <v>74</v>
      </c>
      <c r="AD291" s="3">
        <v>2</v>
      </c>
      <c r="AE291" s="3">
        <v>2</v>
      </c>
      <c r="AF291" s="3">
        <v>3</v>
      </c>
      <c r="AG291" s="3">
        <v>3</v>
      </c>
      <c r="AH291" s="3">
        <v>0</v>
      </c>
      <c r="AI291" s="3">
        <v>0</v>
      </c>
      <c r="AJ291" s="3">
        <v>1</v>
      </c>
      <c r="AK291" s="3">
        <v>1</v>
      </c>
      <c r="AL291" s="3">
        <v>3</v>
      </c>
      <c r="AM291" s="3">
        <v>3</v>
      </c>
      <c r="AN291" s="3">
        <v>0</v>
      </c>
      <c r="AO291" s="3">
        <v>0</v>
      </c>
      <c r="AP291" s="3">
        <v>0</v>
      </c>
      <c r="AQ291" s="3">
        <v>0</v>
      </c>
      <c r="AR291" s="2" t="s">
        <v>5</v>
      </c>
      <c r="AS291" s="2" t="s">
        <v>16</v>
      </c>
      <c r="AT291" s="5" t="str">
        <f>HYPERLINK("http://catalog.hathitrust.org/Record/001545325","HathiTrust Record")</f>
        <v>HathiTrust Record</v>
      </c>
      <c r="AU291" s="5" t="str">
        <f>HYPERLINK("https://creighton-primo.hosted.exlibrisgroup.com/primo-explore/search?tab=default_tab&amp;search_scope=EVERYTHING&amp;vid=01CRU&amp;lang=en_US&amp;offset=0&amp;query=any,contains,991001388059702656","Catalog Record")</f>
        <v>Catalog Record</v>
      </c>
      <c r="AV291" s="5" t="str">
        <f>HYPERLINK("http://www.worldcat.org/oclc/3442391","WorldCat Record")</f>
        <v>WorldCat Record</v>
      </c>
      <c r="AW291" s="2" t="s">
        <v>3657</v>
      </c>
      <c r="AX291" s="2" t="s">
        <v>3658</v>
      </c>
      <c r="AY291" s="2" t="s">
        <v>3659</v>
      </c>
      <c r="AZ291" s="2" t="s">
        <v>3659</v>
      </c>
      <c r="BA291" s="2" t="s">
        <v>3660</v>
      </c>
      <c r="BB291" s="2" t="s">
        <v>21</v>
      </c>
      <c r="BE291" s="2" t="s">
        <v>3661</v>
      </c>
      <c r="BF291" s="2" t="s">
        <v>3662</v>
      </c>
    </row>
    <row r="292" spans="1:58" ht="41.25" customHeight="1" x14ac:dyDescent="0.25">
      <c r="A292" s="8" t="s">
        <v>5</v>
      </c>
      <c r="B292" s="1" t="s">
        <v>0</v>
      </c>
      <c r="C292" s="1" t="s">
        <v>1</v>
      </c>
      <c r="D292" s="1" t="s">
        <v>3663</v>
      </c>
      <c r="E292" s="1" t="s">
        <v>3664</v>
      </c>
      <c r="F292" s="1" t="s">
        <v>3665</v>
      </c>
      <c r="H292" s="2" t="s">
        <v>5</v>
      </c>
      <c r="I292" s="2" t="s">
        <v>6</v>
      </c>
      <c r="J292" s="2" t="s">
        <v>5</v>
      </c>
      <c r="K292" s="2" t="s">
        <v>5</v>
      </c>
      <c r="L292" s="2" t="s">
        <v>7</v>
      </c>
      <c r="M292" s="1" t="s">
        <v>3666</v>
      </c>
      <c r="N292" s="1" t="s">
        <v>3667</v>
      </c>
      <c r="O292" s="2" t="s">
        <v>888</v>
      </c>
      <c r="Q292" s="2" t="s">
        <v>11</v>
      </c>
      <c r="R292" s="2" t="s">
        <v>426</v>
      </c>
      <c r="T292" s="2" t="s">
        <v>520</v>
      </c>
      <c r="U292" s="3">
        <v>5</v>
      </c>
      <c r="V292" s="3">
        <v>5</v>
      </c>
      <c r="W292" s="4" t="s">
        <v>3668</v>
      </c>
      <c r="X292" s="4" t="s">
        <v>3668</v>
      </c>
      <c r="Y292" s="4" t="s">
        <v>168</v>
      </c>
      <c r="Z292" s="4" t="s">
        <v>168</v>
      </c>
      <c r="AA292" s="3">
        <v>324</v>
      </c>
      <c r="AB292" s="3">
        <v>285</v>
      </c>
      <c r="AC292" s="3">
        <v>287</v>
      </c>
      <c r="AD292" s="3">
        <v>4</v>
      </c>
      <c r="AE292" s="3">
        <v>4</v>
      </c>
      <c r="AF292" s="3">
        <v>12</v>
      </c>
      <c r="AG292" s="3">
        <v>12</v>
      </c>
      <c r="AH292" s="3">
        <v>4</v>
      </c>
      <c r="AI292" s="3">
        <v>4</v>
      </c>
      <c r="AJ292" s="3">
        <v>2</v>
      </c>
      <c r="AK292" s="3">
        <v>2</v>
      </c>
      <c r="AL292" s="3">
        <v>7</v>
      </c>
      <c r="AM292" s="3">
        <v>7</v>
      </c>
      <c r="AN292" s="3">
        <v>2</v>
      </c>
      <c r="AO292" s="3">
        <v>2</v>
      </c>
      <c r="AP292" s="3">
        <v>0</v>
      </c>
      <c r="AQ292" s="3">
        <v>0</v>
      </c>
      <c r="AR292" s="2" t="s">
        <v>5</v>
      </c>
      <c r="AS292" s="2" t="s">
        <v>16</v>
      </c>
      <c r="AT292" s="5" t="str">
        <f>HYPERLINK("http://catalog.hathitrust.org/Record/000241734","HathiTrust Record")</f>
        <v>HathiTrust Record</v>
      </c>
      <c r="AU292" s="5" t="str">
        <f>HYPERLINK("https://creighton-primo.hosted.exlibrisgroup.com/primo-explore/search?tab=default_tab&amp;search_scope=EVERYTHING&amp;vid=01CRU&amp;lang=en_US&amp;offset=0&amp;query=any,contains,991001041209702656","Catalog Record")</f>
        <v>Catalog Record</v>
      </c>
      <c r="AV292" s="5" t="str">
        <f>HYPERLINK("http://www.worldcat.org/oclc/9761742","WorldCat Record")</f>
        <v>WorldCat Record</v>
      </c>
      <c r="AW292" s="2" t="s">
        <v>3669</v>
      </c>
      <c r="AX292" s="2" t="s">
        <v>3670</v>
      </c>
      <c r="AY292" s="2" t="s">
        <v>3671</v>
      </c>
      <c r="AZ292" s="2" t="s">
        <v>3671</v>
      </c>
      <c r="BA292" s="2" t="s">
        <v>3672</v>
      </c>
      <c r="BB292" s="2" t="s">
        <v>21</v>
      </c>
      <c r="BD292" s="2" t="s">
        <v>3673</v>
      </c>
      <c r="BE292" s="2" t="s">
        <v>3674</v>
      </c>
      <c r="BF292" s="2" t="s">
        <v>3675</v>
      </c>
    </row>
    <row r="293" spans="1:58" ht="41.25" customHeight="1" x14ac:dyDescent="0.25">
      <c r="A293" s="8" t="s">
        <v>5</v>
      </c>
      <c r="B293" s="1" t="s">
        <v>0</v>
      </c>
      <c r="C293" s="1" t="s">
        <v>1</v>
      </c>
      <c r="D293" s="1" t="s">
        <v>3676</v>
      </c>
      <c r="E293" s="1" t="s">
        <v>3677</v>
      </c>
      <c r="F293" s="1" t="s">
        <v>3678</v>
      </c>
      <c r="H293" s="2" t="s">
        <v>5</v>
      </c>
      <c r="I293" s="2" t="s">
        <v>6</v>
      </c>
      <c r="J293" s="2" t="s">
        <v>5</v>
      </c>
      <c r="K293" s="2" t="s">
        <v>5</v>
      </c>
      <c r="L293" s="2" t="s">
        <v>7</v>
      </c>
      <c r="M293" s="1" t="s">
        <v>3679</v>
      </c>
      <c r="N293" s="1" t="s">
        <v>3680</v>
      </c>
      <c r="O293" s="2" t="s">
        <v>228</v>
      </c>
      <c r="P293" s="1" t="s">
        <v>901</v>
      </c>
      <c r="Q293" s="2" t="s">
        <v>11</v>
      </c>
      <c r="R293" s="2" t="s">
        <v>426</v>
      </c>
      <c r="T293" s="2" t="s">
        <v>520</v>
      </c>
      <c r="U293" s="3">
        <v>3</v>
      </c>
      <c r="V293" s="3">
        <v>3</v>
      </c>
      <c r="W293" s="4" t="s">
        <v>3681</v>
      </c>
      <c r="X293" s="4" t="s">
        <v>3681</v>
      </c>
      <c r="Y293" s="4" t="s">
        <v>329</v>
      </c>
      <c r="Z293" s="4" t="s">
        <v>329</v>
      </c>
      <c r="AA293" s="3">
        <v>113</v>
      </c>
      <c r="AB293" s="3">
        <v>104</v>
      </c>
      <c r="AC293" s="3">
        <v>105</v>
      </c>
      <c r="AD293" s="3">
        <v>1</v>
      </c>
      <c r="AE293" s="3">
        <v>1</v>
      </c>
      <c r="AF293" s="3">
        <v>0</v>
      </c>
      <c r="AG293" s="3">
        <v>0</v>
      </c>
      <c r="AH293" s="3">
        <v>0</v>
      </c>
      <c r="AI293" s="3">
        <v>0</v>
      </c>
      <c r="AJ293" s="3">
        <v>0</v>
      </c>
      <c r="AK293" s="3">
        <v>0</v>
      </c>
      <c r="AL293" s="3">
        <v>0</v>
      </c>
      <c r="AM293" s="3">
        <v>0</v>
      </c>
      <c r="AN293" s="3">
        <v>0</v>
      </c>
      <c r="AO293" s="3">
        <v>0</v>
      </c>
      <c r="AP293" s="3">
        <v>0</v>
      </c>
      <c r="AQ293" s="3">
        <v>0</v>
      </c>
      <c r="AR293" s="2" t="s">
        <v>5</v>
      </c>
      <c r="AS293" s="2" t="s">
        <v>5</v>
      </c>
      <c r="AU293" s="5" t="str">
        <f>HYPERLINK("https://creighton-primo.hosted.exlibrisgroup.com/primo-explore/search?tab=default_tab&amp;search_scope=EVERYTHING&amp;vid=01CRU&amp;lang=en_US&amp;offset=0&amp;query=any,contains,991000740139702656","Catalog Record")</f>
        <v>Catalog Record</v>
      </c>
      <c r="AV293" s="5" t="str">
        <f>HYPERLINK("http://www.worldcat.org/oclc/7978812","WorldCat Record")</f>
        <v>WorldCat Record</v>
      </c>
      <c r="AW293" s="2" t="s">
        <v>3682</v>
      </c>
      <c r="AX293" s="2" t="s">
        <v>3683</v>
      </c>
      <c r="AY293" s="2" t="s">
        <v>3684</v>
      </c>
      <c r="AZ293" s="2" t="s">
        <v>3684</v>
      </c>
      <c r="BA293" s="2" t="s">
        <v>3685</v>
      </c>
      <c r="BB293" s="2" t="s">
        <v>21</v>
      </c>
      <c r="BD293" s="2" t="s">
        <v>3686</v>
      </c>
      <c r="BE293" s="2" t="s">
        <v>3687</v>
      </c>
      <c r="BF293" s="2" t="s">
        <v>3688</v>
      </c>
    </row>
    <row r="294" spans="1:58" ht="41.25" customHeight="1" x14ac:dyDescent="0.25">
      <c r="A294" s="8" t="s">
        <v>5</v>
      </c>
      <c r="B294" s="1" t="s">
        <v>0</v>
      </c>
      <c r="C294" s="1" t="s">
        <v>1</v>
      </c>
      <c r="D294" s="1" t="s">
        <v>3689</v>
      </c>
      <c r="E294" s="1" t="s">
        <v>3690</v>
      </c>
      <c r="F294" s="1" t="s">
        <v>3691</v>
      </c>
      <c r="H294" s="2" t="s">
        <v>5</v>
      </c>
      <c r="I294" s="2" t="s">
        <v>6</v>
      </c>
      <c r="J294" s="2" t="s">
        <v>5</v>
      </c>
      <c r="K294" s="2" t="s">
        <v>5</v>
      </c>
      <c r="L294" s="2" t="s">
        <v>7</v>
      </c>
      <c r="M294" s="1" t="s">
        <v>3692</v>
      </c>
      <c r="N294" s="1" t="s">
        <v>3693</v>
      </c>
      <c r="O294" s="2" t="s">
        <v>1102</v>
      </c>
      <c r="P294" s="1" t="s">
        <v>901</v>
      </c>
      <c r="Q294" s="2" t="s">
        <v>11</v>
      </c>
      <c r="R294" s="2" t="s">
        <v>426</v>
      </c>
      <c r="T294" s="2" t="s">
        <v>520</v>
      </c>
      <c r="U294" s="3">
        <v>11</v>
      </c>
      <c r="V294" s="3">
        <v>11</v>
      </c>
      <c r="W294" s="4" t="s">
        <v>3694</v>
      </c>
      <c r="X294" s="4" t="s">
        <v>3694</v>
      </c>
      <c r="Y294" s="4" t="s">
        <v>3695</v>
      </c>
      <c r="Z294" s="4" t="s">
        <v>3695</v>
      </c>
      <c r="AA294" s="3">
        <v>234</v>
      </c>
      <c r="AB294" s="3">
        <v>200</v>
      </c>
      <c r="AC294" s="3">
        <v>370</v>
      </c>
      <c r="AD294" s="3">
        <v>3</v>
      </c>
      <c r="AE294" s="3">
        <v>5</v>
      </c>
      <c r="AF294" s="3">
        <v>4</v>
      </c>
      <c r="AG294" s="3">
        <v>10</v>
      </c>
      <c r="AH294" s="3">
        <v>0</v>
      </c>
      <c r="AI294" s="3">
        <v>2</v>
      </c>
      <c r="AJ294" s="3">
        <v>2</v>
      </c>
      <c r="AK294" s="3">
        <v>3</v>
      </c>
      <c r="AL294" s="3">
        <v>2</v>
      </c>
      <c r="AM294" s="3">
        <v>3</v>
      </c>
      <c r="AN294" s="3">
        <v>0</v>
      </c>
      <c r="AO294" s="3">
        <v>2</v>
      </c>
      <c r="AP294" s="3">
        <v>0</v>
      </c>
      <c r="AQ294" s="3">
        <v>0</v>
      </c>
      <c r="AR294" s="2" t="s">
        <v>5</v>
      </c>
      <c r="AS294" s="2" t="s">
        <v>16</v>
      </c>
      <c r="AT294" s="5" t="str">
        <f>HYPERLINK("http://catalog.hathitrust.org/Record/000475722","HathiTrust Record")</f>
        <v>HathiTrust Record</v>
      </c>
      <c r="AU294" s="5" t="str">
        <f>HYPERLINK("https://creighton-primo.hosted.exlibrisgroup.com/primo-explore/search?tab=default_tab&amp;search_scope=EVERYTHING&amp;vid=01CRU&amp;lang=en_US&amp;offset=0&amp;query=any,contains,991000843359702656","Catalog Record")</f>
        <v>Catalog Record</v>
      </c>
      <c r="AV294" s="5" t="str">
        <f>HYPERLINK("http://www.worldcat.org/oclc/12837652","WorldCat Record")</f>
        <v>WorldCat Record</v>
      </c>
      <c r="AW294" s="2" t="s">
        <v>3696</v>
      </c>
      <c r="AX294" s="2" t="s">
        <v>3697</v>
      </c>
      <c r="AY294" s="2" t="s">
        <v>3698</v>
      </c>
      <c r="AZ294" s="2" t="s">
        <v>3698</v>
      </c>
      <c r="BA294" s="2" t="s">
        <v>3699</v>
      </c>
      <c r="BB294" s="2" t="s">
        <v>21</v>
      </c>
      <c r="BD294" s="2" t="s">
        <v>3700</v>
      </c>
      <c r="BE294" s="2" t="s">
        <v>3701</v>
      </c>
      <c r="BF294" s="2" t="s">
        <v>3702</v>
      </c>
    </row>
    <row r="295" spans="1:58" ht="41.25" customHeight="1" x14ac:dyDescent="0.25">
      <c r="A295" s="8" t="s">
        <v>5</v>
      </c>
      <c r="B295" s="1" t="s">
        <v>0</v>
      </c>
      <c r="C295" s="1" t="s">
        <v>1</v>
      </c>
      <c r="D295" s="1" t="s">
        <v>3703</v>
      </c>
      <c r="E295" s="1" t="s">
        <v>3704</v>
      </c>
      <c r="F295" s="1" t="s">
        <v>3705</v>
      </c>
      <c r="H295" s="2" t="s">
        <v>5</v>
      </c>
      <c r="I295" s="2" t="s">
        <v>6</v>
      </c>
      <c r="J295" s="2" t="s">
        <v>5</v>
      </c>
      <c r="K295" s="2" t="s">
        <v>5</v>
      </c>
      <c r="L295" s="2" t="s">
        <v>7</v>
      </c>
      <c r="M295" s="1" t="s">
        <v>3706</v>
      </c>
      <c r="N295" s="1" t="s">
        <v>3707</v>
      </c>
      <c r="O295" s="2" t="s">
        <v>2726</v>
      </c>
      <c r="Q295" s="2" t="s">
        <v>11</v>
      </c>
      <c r="R295" s="2" t="s">
        <v>78</v>
      </c>
      <c r="S295" s="1" t="s">
        <v>3241</v>
      </c>
      <c r="T295" s="2" t="s">
        <v>520</v>
      </c>
      <c r="U295" s="3">
        <v>3</v>
      </c>
      <c r="V295" s="3">
        <v>3</v>
      </c>
      <c r="W295" s="4" t="s">
        <v>3005</v>
      </c>
      <c r="X295" s="4" t="s">
        <v>3005</v>
      </c>
      <c r="Y295" s="4" t="s">
        <v>168</v>
      </c>
      <c r="Z295" s="4" t="s">
        <v>168</v>
      </c>
      <c r="AA295" s="3">
        <v>4</v>
      </c>
      <c r="AB295" s="3">
        <v>4</v>
      </c>
      <c r="AC295" s="3">
        <v>4</v>
      </c>
      <c r="AD295" s="3">
        <v>1</v>
      </c>
      <c r="AE295" s="3">
        <v>1</v>
      </c>
      <c r="AF295" s="3">
        <v>1</v>
      </c>
      <c r="AG295" s="3">
        <v>1</v>
      </c>
      <c r="AH295" s="3">
        <v>0</v>
      </c>
      <c r="AI295" s="3">
        <v>0</v>
      </c>
      <c r="AJ295" s="3">
        <v>0</v>
      </c>
      <c r="AK295" s="3">
        <v>0</v>
      </c>
      <c r="AL295" s="3">
        <v>1</v>
      </c>
      <c r="AM295" s="3">
        <v>1</v>
      </c>
      <c r="AN295" s="3">
        <v>0</v>
      </c>
      <c r="AO295" s="3">
        <v>0</v>
      </c>
      <c r="AP295" s="3">
        <v>0</v>
      </c>
      <c r="AQ295" s="3">
        <v>0</v>
      </c>
      <c r="AR295" s="2" t="s">
        <v>5</v>
      </c>
      <c r="AS295" s="2" t="s">
        <v>5</v>
      </c>
      <c r="AU295" s="5" t="str">
        <f>HYPERLINK("https://creighton-primo.hosted.exlibrisgroup.com/primo-explore/search?tab=default_tab&amp;search_scope=EVERYTHING&amp;vid=01CRU&amp;lang=en_US&amp;offset=0&amp;query=any,contains,991001041429702656","Catalog Record")</f>
        <v>Catalog Record</v>
      </c>
      <c r="AV295" s="5" t="str">
        <f>HYPERLINK("http://www.worldcat.org/oclc/4851315","WorldCat Record")</f>
        <v>WorldCat Record</v>
      </c>
      <c r="AW295" s="2" t="s">
        <v>3708</v>
      </c>
      <c r="AX295" s="2" t="s">
        <v>3709</v>
      </c>
      <c r="AY295" s="2" t="s">
        <v>3710</v>
      </c>
      <c r="AZ295" s="2" t="s">
        <v>3710</v>
      </c>
      <c r="BA295" s="2" t="s">
        <v>3711</v>
      </c>
      <c r="BB295" s="2" t="s">
        <v>21</v>
      </c>
      <c r="BE295" s="2" t="s">
        <v>3712</v>
      </c>
      <c r="BF295" s="2" t="s">
        <v>3713</v>
      </c>
    </row>
    <row r="296" spans="1:58" ht="41.25" customHeight="1" x14ac:dyDescent="0.25">
      <c r="A296" s="8" t="s">
        <v>5</v>
      </c>
      <c r="B296" s="1" t="s">
        <v>0</v>
      </c>
      <c r="C296" s="1" t="s">
        <v>1</v>
      </c>
      <c r="D296" s="1" t="s">
        <v>3714</v>
      </c>
      <c r="E296" s="1" t="s">
        <v>3715</v>
      </c>
      <c r="F296" s="1" t="s">
        <v>3716</v>
      </c>
      <c r="H296" s="2" t="s">
        <v>5</v>
      </c>
      <c r="I296" s="2" t="s">
        <v>6</v>
      </c>
      <c r="J296" s="2" t="s">
        <v>5</v>
      </c>
      <c r="K296" s="2" t="s">
        <v>5</v>
      </c>
      <c r="L296" s="2" t="s">
        <v>7</v>
      </c>
      <c r="M296" s="1" t="s">
        <v>3706</v>
      </c>
      <c r="N296" s="1" t="s">
        <v>3717</v>
      </c>
      <c r="O296" s="2" t="s">
        <v>1246</v>
      </c>
      <c r="Q296" s="2" t="s">
        <v>11</v>
      </c>
      <c r="R296" s="2" t="s">
        <v>78</v>
      </c>
      <c r="S296" s="1" t="s">
        <v>3241</v>
      </c>
      <c r="T296" s="2" t="s">
        <v>520</v>
      </c>
      <c r="U296" s="3">
        <v>3</v>
      </c>
      <c r="V296" s="3">
        <v>3</v>
      </c>
      <c r="W296" s="4" t="s">
        <v>3718</v>
      </c>
      <c r="X296" s="4" t="s">
        <v>3718</v>
      </c>
      <c r="Y296" s="4" t="s">
        <v>168</v>
      </c>
      <c r="Z296" s="4" t="s">
        <v>168</v>
      </c>
      <c r="AA296" s="3">
        <v>3</v>
      </c>
      <c r="AB296" s="3">
        <v>3</v>
      </c>
      <c r="AC296" s="3">
        <v>3</v>
      </c>
      <c r="AD296" s="3">
        <v>1</v>
      </c>
      <c r="AE296" s="3">
        <v>1</v>
      </c>
      <c r="AF296" s="3">
        <v>1</v>
      </c>
      <c r="AG296" s="3">
        <v>1</v>
      </c>
      <c r="AH296" s="3">
        <v>0</v>
      </c>
      <c r="AI296" s="3">
        <v>0</v>
      </c>
      <c r="AJ296" s="3">
        <v>0</v>
      </c>
      <c r="AK296" s="3">
        <v>0</v>
      </c>
      <c r="AL296" s="3">
        <v>1</v>
      </c>
      <c r="AM296" s="3">
        <v>1</v>
      </c>
      <c r="AN296" s="3">
        <v>0</v>
      </c>
      <c r="AO296" s="3">
        <v>0</v>
      </c>
      <c r="AP296" s="3">
        <v>0</v>
      </c>
      <c r="AQ296" s="3">
        <v>0</v>
      </c>
      <c r="AR296" s="2" t="s">
        <v>5</v>
      </c>
      <c r="AS296" s="2" t="s">
        <v>5</v>
      </c>
      <c r="AU296" s="5" t="str">
        <f>HYPERLINK("https://creighton-primo.hosted.exlibrisgroup.com/primo-explore/search?tab=default_tab&amp;search_scope=EVERYTHING&amp;vid=01CRU&amp;lang=en_US&amp;offset=0&amp;query=any,contains,991001041309702656","Catalog Record")</f>
        <v>Catalog Record</v>
      </c>
      <c r="AV296" s="5" t="str">
        <f>HYPERLINK("http://www.worldcat.org/oclc/4851452","WorldCat Record")</f>
        <v>WorldCat Record</v>
      </c>
      <c r="AW296" s="2" t="s">
        <v>3719</v>
      </c>
      <c r="AX296" s="2" t="s">
        <v>3720</v>
      </c>
      <c r="AY296" s="2" t="s">
        <v>3721</v>
      </c>
      <c r="AZ296" s="2" t="s">
        <v>3721</v>
      </c>
      <c r="BA296" s="2" t="s">
        <v>3722</v>
      </c>
      <c r="BB296" s="2" t="s">
        <v>21</v>
      </c>
      <c r="BE296" s="2" t="s">
        <v>3723</v>
      </c>
      <c r="BF296" s="2" t="s">
        <v>3724</v>
      </c>
    </row>
    <row r="297" spans="1:58" ht="41.25" customHeight="1" x14ac:dyDescent="0.25">
      <c r="A297" s="8" t="s">
        <v>5</v>
      </c>
      <c r="B297" s="1" t="s">
        <v>0</v>
      </c>
      <c r="C297" s="1" t="s">
        <v>1</v>
      </c>
      <c r="D297" s="1" t="s">
        <v>3725</v>
      </c>
      <c r="E297" s="1" t="s">
        <v>3726</v>
      </c>
      <c r="F297" s="1" t="s">
        <v>3727</v>
      </c>
      <c r="H297" s="2" t="s">
        <v>5</v>
      </c>
      <c r="I297" s="2" t="s">
        <v>6</v>
      </c>
      <c r="J297" s="2" t="s">
        <v>5</v>
      </c>
      <c r="K297" s="2" t="s">
        <v>5</v>
      </c>
      <c r="L297" s="2" t="s">
        <v>7</v>
      </c>
      <c r="M297" s="1" t="s">
        <v>3728</v>
      </c>
      <c r="N297" s="1" t="s">
        <v>692</v>
      </c>
      <c r="O297" s="2" t="s">
        <v>62</v>
      </c>
      <c r="Q297" s="2" t="s">
        <v>11</v>
      </c>
      <c r="R297" s="2" t="s">
        <v>78</v>
      </c>
      <c r="T297" s="2" t="s">
        <v>520</v>
      </c>
      <c r="U297" s="3">
        <v>2</v>
      </c>
      <c r="V297" s="3">
        <v>2</v>
      </c>
      <c r="W297" s="4" t="s">
        <v>3729</v>
      </c>
      <c r="X297" s="4" t="s">
        <v>3729</v>
      </c>
      <c r="Y297" s="4" t="s">
        <v>168</v>
      </c>
      <c r="Z297" s="4" t="s">
        <v>168</v>
      </c>
      <c r="AA297" s="3">
        <v>68</v>
      </c>
      <c r="AB297" s="3">
        <v>37</v>
      </c>
      <c r="AC297" s="3">
        <v>37</v>
      </c>
      <c r="AD297" s="3">
        <v>1</v>
      </c>
      <c r="AE297" s="3">
        <v>1</v>
      </c>
      <c r="AF297" s="3">
        <v>1</v>
      </c>
      <c r="AG297" s="3">
        <v>1</v>
      </c>
      <c r="AH297" s="3">
        <v>0</v>
      </c>
      <c r="AI297" s="3">
        <v>0</v>
      </c>
      <c r="AJ297" s="3">
        <v>0</v>
      </c>
      <c r="AK297" s="3">
        <v>0</v>
      </c>
      <c r="AL297" s="3">
        <v>1</v>
      </c>
      <c r="AM297" s="3">
        <v>1</v>
      </c>
      <c r="AN297" s="3">
        <v>0</v>
      </c>
      <c r="AO297" s="3">
        <v>0</v>
      </c>
      <c r="AP297" s="3">
        <v>0</v>
      </c>
      <c r="AQ297" s="3">
        <v>0</v>
      </c>
      <c r="AR297" s="2" t="s">
        <v>5</v>
      </c>
      <c r="AS297" s="2" t="s">
        <v>5</v>
      </c>
      <c r="AU297" s="5" t="str">
        <f>HYPERLINK("https://creighton-primo.hosted.exlibrisgroup.com/primo-explore/search?tab=default_tab&amp;search_scope=EVERYTHING&amp;vid=01CRU&amp;lang=en_US&amp;offset=0&amp;query=any,contains,991001041469702656","Catalog Record")</f>
        <v>Catalog Record</v>
      </c>
      <c r="AV297" s="5" t="str">
        <f>HYPERLINK("http://www.worldcat.org/oclc/4023849","WorldCat Record")</f>
        <v>WorldCat Record</v>
      </c>
      <c r="AW297" s="2" t="s">
        <v>3730</v>
      </c>
      <c r="AX297" s="2" t="s">
        <v>3731</v>
      </c>
      <c r="AY297" s="2" t="s">
        <v>3732</v>
      </c>
      <c r="AZ297" s="2" t="s">
        <v>3732</v>
      </c>
      <c r="BA297" s="2" t="s">
        <v>3733</v>
      </c>
      <c r="BB297" s="2" t="s">
        <v>21</v>
      </c>
      <c r="BD297" s="2" t="s">
        <v>3734</v>
      </c>
      <c r="BE297" s="2" t="s">
        <v>3735</v>
      </c>
      <c r="BF297" s="2" t="s">
        <v>3736</v>
      </c>
    </row>
    <row r="298" spans="1:58" ht="41.25" customHeight="1" x14ac:dyDescent="0.25">
      <c r="A298" s="8" t="s">
        <v>5</v>
      </c>
      <c r="B298" s="1" t="s">
        <v>0</v>
      </c>
      <c r="C298" s="1" t="s">
        <v>1</v>
      </c>
      <c r="D298" s="1" t="s">
        <v>3737</v>
      </c>
      <c r="E298" s="1" t="s">
        <v>3738</v>
      </c>
      <c r="F298" s="1" t="s">
        <v>3739</v>
      </c>
      <c r="H298" s="2" t="s">
        <v>5</v>
      </c>
      <c r="I298" s="2" t="s">
        <v>6</v>
      </c>
      <c r="J298" s="2" t="s">
        <v>5</v>
      </c>
      <c r="K298" s="2" t="s">
        <v>5</v>
      </c>
      <c r="L298" s="2" t="s">
        <v>7</v>
      </c>
      <c r="M298" s="1" t="s">
        <v>3740</v>
      </c>
      <c r="N298" s="1" t="s">
        <v>3741</v>
      </c>
      <c r="O298" s="2" t="s">
        <v>62</v>
      </c>
      <c r="Q298" s="2" t="s">
        <v>11</v>
      </c>
      <c r="R298" s="2" t="s">
        <v>12</v>
      </c>
      <c r="S298" s="1" t="s">
        <v>3742</v>
      </c>
      <c r="T298" s="2" t="s">
        <v>520</v>
      </c>
      <c r="U298" s="3">
        <v>3</v>
      </c>
      <c r="V298" s="3">
        <v>3</v>
      </c>
      <c r="W298" s="4" t="s">
        <v>1590</v>
      </c>
      <c r="X298" s="4" t="s">
        <v>1590</v>
      </c>
      <c r="Y298" s="4" t="s">
        <v>1249</v>
      </c>
      <c r="Z298" s="4" t="s">
        <v>1249</v>
      </c>
      <c r="AA298" s="3">
        <v>97</v>
      </c>
      <c r="AB298" s="3">
        <v>85</v>
      </c>
      <c r="AC298" s="3">
        <v>85</v>
      </c>
      <c r="AD298" s="3">
        <v>1</v>
      </c>
      <c r="AE298" s="3">
        <v>1</v>
      </c>
      <c r="AF298" s="3">
        <v>4</v>
      </c>
      <c r="AG298" s="3">
        <v>4</v>
      </c>
      <c r="AH298" s="3">
        <v>2</v>
      </c>
      <c r="AI298" s="3">
        <v>2</v>
      </c>
      <c r="AJ298" s="3">
        <v>0</v>
      </c>
      <c r="AK298" s="3">
        <v>0</v>
      </c>
      <c r="AL298" s="3">
        <v>2</v>
      </c>
      <c r="AM298" s="3">
        <v>2</v>
      </c>
      <c r="AN298" s="3">
        <v>0</v>
      </c>
      <c r="AO298" s="3">
        <v>0</v>
      </c>
      <c r="AP298" s="3">
        <v>0</v>
      </c>
      <c r="AQ298" s="3">
        <v>0</v>
      </c>
      <c r="AR298" s="2" t="s">
        <v>5</v>
      </c>
      <c r="AS298" s="2" t="s">
        <v>5</v>
      </c>
      <c r="AU298" s="5" t="str">
        <f>HYPERLINK("https://creighton-primo.hosted.exlibrisgroup.com/primo-explore/search?tab=default_tab&amp;search_scope=EVERYTHING&amp;vid=01CRU&amp;lang=en_US&amp;offset=0&amp;query=any,contains,991001388799702656","Catalog Record")</f>
        <v>Catalog Record</v>
      </c>
      <c r="AV298" s="5" t="str">
        <f>HYPERLINK("http://www.worldcat.org/oclc/5430385","WorldCat Record")</f>
        <v>WorldCat Record</v>
      </c>
      <c r="AW298" s="2" t="s">
        <v>3743</v>
      </c>
      <c r="AX298" s="2" t="s">
        <v>3744</v>
      </c>
      <c r="AY298" s="2" t="s">
        <v>3745</v>
      </c>
      <c r="AZ298" s="2" t="s">
        <v>3745</v>
      </c>
      <c r="BA298" s="2" t="s">
        <v>3746</v>
      </c>
      <c r="BB298" s="2" t="s">
        <v>21</v>
      </c>
      <c r="BE298" s="2" t="s">
        <v>3747</v>
      </c>
      <c r="BF298" s="2" t="s">
        <v>3748</v>
      </c>
    </row>
    <row r="299" spans="1:58" ht="41.25" customHeight="1" x14ac:dyDescent="0.25">
      <c r="A299" s="8" t="s">
        <v>5</v>
      </c>
      <c r="B299" s="1" t="s">
        <v>0</v>
      </c>
      <c r="C299" s="1" t="s">
        <v>1</v>
      </c>
      <c r="D299" s="1" t="s">
        <v>3749</v>
      </c>
      <c r="E299" s="1" t="s">
        <v>3750</v>
      </c>
      <c r="F299" s="1" t="s">
        <v>3751</v>
      </c>
      <c r="H299" s="2" t="s">
        <v>5</v>
      </c>
      <c r="I299" s="2" t="s">
        <v>6</v>
      </c>
      <c r="J299" s="2" t="s">
        <v>5</v>
      </c>
      <c r="K299" s="2" t="s">
        <v>5</v>
      </c>
      <c r="L299" s="2" t="s">
        <v>7</v>
      </c>
      <c r="M299" s="1" t="s">
        <v>3752</v>
      </c>
      <c r="N299" s="1" t="s">
        <v>3753</v>
      </c>
      <c r="O299" s="2" t="s">
        <v>151</v>
      </c>
      <c r="Q299" s="2" t="s">
        <v>11</v>
      </c>
      <c r="R299" s="2" t="s">
        <v>31</v>
      </c>
      <c r="T299" s="2" t="s">
        <v>520</v>
      </c>
      <c r="U299" s="3">
        <v>2</v>
      </c>
      <c r="V299" s="3">
        <v>2</v>
      </c>
      <c r="W299" s="4" t="s">
        <v>3754</v>
      </c>
      <c r="X299" s="4" t="s">
        <v>3754</v>
      </c>
      <c r="Y299" s="4" t="s">
        <v>3755</v>
      </c>
      <c r="Z299" s="4" t="s">
        <v>3755</v>
      </c>
      <c r="AA299" s="3">
        <v>166</v>
      </c>
      <c r="AB299" s="3">
        <v>127</v>
      </c>
      <c r="AC299" s="3">
        <v>130</v>
      </c>
      <c r="AD299" s="3">
        <v>2</v>
      </c>
      <c r="AE299" s="3">
        <v>2</v>
      </c>
      <c r="AF299" s="3">
        <v>8</v>
      </c>
      <c r="AG299" s="3">
        <v>8</v>
      </c>
      <c r="AH299" s="3">
        <v>1</v>
      </c>
      <c r="AI299" s="3">
        <v>1</v>
      </c>
      <c r="AJ299" s="3">
        <v>2</v>
      </c>
      <c r="AK299" s="3">
        <v>2</v>
      </c>
      <c r="AL299" s="3">
        <v>4</v>
      </c>
      <c r="AM299" s="3">
        <v>4</v>
      </c>
      <c r="AN299" s="3">
        <v>1</v>
      </c>
      <c r="AO299" s="3">
        <v>1</v>
      </c>
      <c r="AP299" s="3">
        <v>0</v>
      </c>
      <c r="AQ299" s="3">
        <v>0</v>
      </c>
      <c r="AR299" s="2" t="s">
        <v>5</v>
      </c>
      <c r="AS299" s="2" t="s">
        <v>16</v>
      </c>
      <c r="AT299" s="5" t="str">
        <f>HYPERLINK("http://catalog.hathitrust.org/Record/000027429","HathiTrust Record")</f>
        <v>HathiTrust Record</v>
      </c>
      <c r="AU299" s="5" t="str">
        <f>HYPERLINK("https://creighton-primo.hosted.exlibrisgroup.com/primo-explore/search?tab=default_tab&amp;search_scope=EVERYTHING&amp;vid=01CRU&amp;lang=en_US&amp;offset=0&amp;query=any,contains,991001041599702656","Catalog Record")</f>
        <v>Catalog Record</v>
      </c>
      <c r="AV299" s="5" t="str">
        <f>HYPERLINK("http://www.worldcat.org/oclc/1085692","WorldCat Record")</f>
        <v>WorldCat Record</v>
      </c>
      <c r="AW299" s="2" t="s">
        <v>3756</v>
      </c>
      <c r="AX299" s="2" t="s">
        <v>3757</v>
      </c>
      <c r="AY299" s="2" t="s">
        <v>3758</v>
      </c>
      <c r="AZ299" s="2" t="s">
        <v>3758</v>
      </c>
      <c r="BA299" s="2" t="s">
        <v>3759</v>
      </c>
      <c r="BB299" s="2" t="s">
        <v>21</v>
      </c>
      <c r="BD299" s="2" t="s">
        <v>3760</v>
      </c>
      <c r="BE299" s="2" t="s">
        <v>3761</v>
      </c>
      <c r="BF299" s="2" t="s">
        <v>3762</v>
      </c>
    </row>
    <row r="300" spans="1:58" ht="41.25" customHeight="1" x14ac:dyDescent="0.25">
      <c r="A300" s="8" t="s">
        <v>5</v>
      </c>
      <c r="B300" s="1" t="s">
        <v>0</v>
      </c>
      <c r="C300" s="1" t="s">
        <v>1</v>
      </c>
      <c r="D300" s="1" t="s">
        <v>3763</v>
      </c>
      <c r="E300" s="1" t="s">
        <v>3764</v>
      </c>
      <c r="F300" s="1" t="s">
        <v>3765</v>
      </c>
      <c r="H300" s="2" t="s">
        <v>5</v>
      </c>
      <c r="I300" s="2" t="s">
        <v>6</v>
      </c>
      <c r="J300" s="2" t="s">
        <v>5</v>
      </c>
      <c r="K300" s="2" t="s">
        <v>5</v>
      </c>
      <c r="L300" s="2" t="s">
        <v>7</v>
      </c>
      <c r="N300" s="1" t="s">
        <v>3766</v>
      </c>
      <c r="O300" s="2" t="s">
        <v>136</v>
      </c>
      <c r="Q300" s="2" t="s">
        <v>11</v>
      </c>
      <c r="R300" s="2" t="s">
        <v>1140</v>
      </c>
      <c r="T300" s="2" t="s">
        <v>520</v>
      </c>
      <c r="U300" s="3">
        <v>6</v>
      </c>
      <c r="V300" s="3">
        <v>6</v>
      </c>
      <c r="W300" s="4" t="s">
        <v>3767</v>
      </c>
      <c r="X300" s="4" t="s">
        <v>3767</v>
      </c>
      <c r="Y300" s="4" t="s">
        <v>3768</v>
      </c>
      <c r="Z300" s="4" t="s">
        <v>3768</v>
      </c>
      <c r="AA300" s="3">
        <v>61</v>
      </c>
      <c r="AB300" s="3">
        <v>50</v>
      </c>
      <c r="AC300" s="3">
        <v>85</v>
      </c>
      <c r="AD300" s="3">
        <v>1</v>
      </c>
      <c r="AE300" s="3">
        <v>1</v>
      </c>
      <c r="AF300" s="3">
        <v>0</v>
      </c>
      <c r="AG300" s="3">
        <v>1</v>
      </c>
      <c r="AH300" s="3">
        <v>0</v>
      </c>
      <c r="AI300" s="3">
        <v>0</v>
      </c>
      <c r="AJ300" s="3">
        <v>0</v>
      </c>
      <c r="AK300" s="3">
        <v>0</v>
      </c>
      <c r="AL300" s="3">
        <v>0</v>
      </c>
      <c r="AM300" s="3">
        <v>1</v>
      </c>
      <c r="AN300" s="3">
        <v>0</v>
      </c>
      <c r="AO300" s="3">
        <v>0</v>
      </c>
      <c r="AP300" s="3">
        <v>0</v>
      </c>
      <c r="AQ300" s="3">
        <v>0</v>
      </c>
      <c r="AR300" s="2" t="s">
        <v>5</v>
      </c>
      <c r="AS300" s="2" t="s">
        <v>5</v>
      </c>
      <c r="AU300" s="5" t="str">
        <f>HYPERLINK("https://creighton-primo.hosted.exlibrisgroup.com/primo-explore/search?tab=default_tab&amp;search_scope=EVERYTHING&amp;vid=01CRU&amp;lang=en_US&amp;offset=0&amp;query=any,contains,991001299919702656","Catalog Record")</f>
        <v>Catalog Record</v>
      </c>
      <c r="AV300" s="5" t="str">
        <f>HYPERLINK("http://www.worldcat.org/oclc/22207757","WorldCat Record")</f>
        <v>WorldCat Record</v>
      </c>
      <c r="AW300" s="2" t="s">
        <v>3769</v>
      </c>
      <c r="AX300" s="2" t="s">
        <v>3770</v>
      </c>
      <c r="AY300" s="2" t="s">
        <v>3771</v>
      </c>
      <c r="AZ300" s="2" t="s">
        <v>3771</v>
      </c>
      <c r="BA300" s="2" t="s">
        <v>3772</v>
      </c>
      <c r="BB300" s="2" t="s">
        <v>21</v>
      </c>
      <c r="BD300" s="2" t="s">
        <v>3773</v>
      </c>
      <c r="BE300" s="2" t="s">
        <v>3774</v>
      </c>
      <c r="BF300" s="2" t="s">
        <v>3775</v>
      </c>
    </row>
    <row r="301" spans="1:58" ht="41.25" customHeight="1" x14ac:dyDescent="0.25">
      <c r="A301" s="8" t="s">
        <v>5</v>
      </c>
      <c r="B301" s="1" t="s">
        <v>0</v>
      </c>
      <c r="C301" s="1" t="s">
        <v>1</v>
      </c>
      <c r="D301" s="1" t="s">
        <v>3776</v>
      </c>
      <c r="E301" s="1" t="s">
        <v>3777</v>
      </c>
      <c r="F301" s="1" t="s">
        <v>3778</v>
      </c>
      <c r="H301" s="2" t="s">
        <v>5</v>
      </c>
      <c r="I301" s="2" t="s">
        <v>6</v>
      </c>
      <c r="J301" s="2" t="s">
        <v>5</v>
      </c>
      <c r="K301" s="2" t="s">
        <v>5</v>
      </c>
      <c r="L301" s="2" t="s">
        <v>7</v>
      </c>
      <c r="M301" s="1" t="s">
        <v>3779</v>
      </c>
      <c r="N301" s="1" t="s">
        <v>3780</v>
      </c>
      <c r="O301" s="2" t="s">
        <v>382</v>
      </c>
      <c r="Q301" s="2" t="s">
        <v>11</v>
      </c>
      <c r="R301" s="2" t="s">
        <v>12</v>
      </c>
      <c r="S301" s="1" t="s">
        <v>3781</v>
      </c>
      <c r="T301" s="2" t="s">
        <v>520</v>
      </c>
      <c r="U301" s="3">
        <v>5</v>
      </c>
      <c r="V301" s="3">
        <v>5</v>
      </c>
      <c r="W301" s="4" t="s">
        <v>3782</v>
      </c>
      <c r="X301" s="4" t="s">
        <v>3782</v>
      </c>
      <c r="Y301" s="4" t="s">
        <v>96</v>
      </c>
      <c r="Z301" s="4" t="s">
        <v>96</v>
      </c>
      <c r="AA301" s="3">
        <v>292</v>
      </c>
      <c r="AB301" s="3">
        <v>254</v>
      </c>
      <c r="AC301" s="3">
        <v>256</v>
      </c>
      <c r="AD301" s="3">
        <v>4</v>
      </c>
      <c r="AE301" s="3">
        <v>4</v>
      </c>
      <c r="AF301" s="3">
        <v>12</v>
      </c>
      <c r="AG301" s="3">
        <v>12</v>
      </c>
      <c r="AH301" s="3">
        <v>2</v>
      </c>
      <c r="AI301" s="3">
        <v>2</v>
      </c>
      <c r="AJ301" s="3">
        <v>3</v>
      </c>
      <c r="AK301" s="3">
        <v>3</v>
      </c>
      <c r="AL301" s="3">
        <v>7</v>
      </c>
      <c r="AM301" s="3">
        <v>7</v>
      </c>
      <c r="AN301" s="3">
        <v>2</v>
      </c>
      <c r="AO301" s="3">
        <v>2</v>
      </c>
      <c r="AP301" s="3">
        <v>0</v>
      </c>
      <c r="AQ301" s="3">
        <v>0</v>
      </c>
      <c r="AR301" s="2" t="s">
        <v>5</v>
      </c>
      <c r="AS301" s="2" t="s">
        <v>16</v>
      </c>
      <c r="AT301" s="5" t="str">
        <f>HYPERLINK("http://catalog.hathitrust.org/Record/002505079","HathiTrust Record")</f>
        <v>HathiTrust Record</v>
      </c>
      <c r="AU301" s="5" t="str">
        <f>HYPERLINK("https://creighton-primo.hosted.exlibrisgroup.com/primo-explore/search?tab=default_tab&amp;search_scope=EVERYTHING&amp;vid=01CRU&amp;lang=en_US&amp;offset=0&amp;query=any,contains,991001041639702656","Catalog Record")</f>
        <v>Catalog Record</v>
      </c>
      <c r="AV301" s="5" t="str">
        <f>HYPERLINK("http://www.worldcat.org/oclc/12228423","WorldCat Record")</f>
        <v>WorldCat Record</v>
      </c>
      <c r="AW301" s="2" t="s">
        <v>3783</v>
      </c>
      <c r="AX301" s="2" t="s">
        <v>3784</v>
      </c>
      <c r="AY301" s="2" t="s">
        <v>3785</v>
      </c>
      <c r="AZ301" s="2" t="s">
        <v>3785</v>
      </c>
      <c r="BA301" s="2" t="s">
        <v>3786</v>
      </c>
      <c r="BB301" s="2" t="s">
        <v>21</v>
      </c>
      <c r="BD301" s="2" t="s">
        <v>3787</v>
      </c>
      <c r="BE301" s="2" t="s">
        <v>3788</v>
      </c>
      <c r="BF301" s="2" t="s">
        <v>3789</v>
      </c>
    </row>
    <row r="302" spans="1:58" ht="41.25" customHeight="1" x14ac:dyDescent="0.25">
      <c r="A302" s="8" t="s">
        <v>5</v>
      </c>
      <c r="B302" s="1" t="s">
        <v>0</v>
      </c>
      <c r="C302" s="1" t="s">
        <v>1</v>
      </c>
      <c r="D302" s="1" t="s">
        <v>3790</v>
      </c>
      <c r="E302" s="1" t="s">
        <v>3791</v>
      </c>
      <c r="F302" s="1" t="s">
        <v>3792</v>
      </c>
      <c r="H302" s="2" t="s">
        <v>5</v>
      </c>
      <c r="I302" s="2" t="s">
        <v>6</v>
      </c>
      <c r="J302" s="2" t="s">
        <v>5</v>
      </c>
      <c r="K302" s="2" t="s">
        <v>5</v>
      </c>
      <c r="L302" s="2" t="s">
        <v>7</v>
      </c>
      <c r="M302" s="1" t="s">
        <v>3793</v>
      </c>
      <c r="N302" s="1" t="s">
        <v>2887</v>
      </c>
      <c r="O302" s="2" t="s">
        <v>10</v>
      </c>
      <c r="Q302" s="2" t="s">
        <v>11</v>
      </c>
      <c r="R302" s="2" t="s">
        <v>12</v>
      </c>
      <c r="S302" s="1" t="s">
        <v>3794</v>
      </c>
      <c r="T302" s="2" t="s">
        <v>520</v>
      </c>
      <c r="U302" s="3">
        <v>5</v>
      </c>
      <c r="V302" s="3">
        <v>5</v>
      </c>
      <c r="W302" s="4" t="s">
        <v>123</v>
      </c>
      <c r="X302" s="4" t="s">
        <v>123</v>
      </c>
      <c r="Y302" s="4" t="s">
        <v>2579</v>
      </c>
      <c r="Z302" s="4" t="s">
        <v>2579</v>
      </c>
      <c r="AA302" s="3">
        <v>80</v>
      </c>
      <c r="AB302" s="3">
        <v>72</v>
      </c>
      <c r="AC302" s="3">
        <v>75</v>
      </c>
      <c r="AD302" s="3">
        <v>2</v>
      </c>
      <c r="AE302" s="3">
        <v>2</v>
      </c>
      <c r="AF302" s="3">
        <v>4</v>
      </c>
      <c r="AG302" s="3">
        <v>4</v>
      </c>
      <c r="AH302" s="3">
        <v>1</v>
      </c>
      <c r="AI302" s="3">
        <v>1</v>
      </c>
      <c r="AJ302" s="3">
        <v>0</v>
      </c>
      <c r="AK302" s="3">
        <v>0</v>
      </c>
      <c r="AL302" s="3">
        <v>3</v>
      </c>
      <c r="AM302" s="3">
        <v>3</v>
      </c>
      <c r="AN302" s="3">
        <v>0</v>
      </c>
      <c r="AO302" s="3">
        <v>0</v>
      </c>
      <c r="AP302" s="3">
        <v>0</v>
      </c>
      <c r="AQ302" s="3">
        <v>0</v>
      </c>
      <c r="AR302" s="2" t="s">
        <v>5</v>
      </c>
      <c r="AS302" s="2" t="s">
        <v>16</v>
      </c>
      <c r="AT302" s="5" t="str">
        <f>HYPERLINK("http://catalog.hathitrust.org/Record/001545318","HathiTrust Record")</f>
        <v>HathiTrust Record</v>
      </c>
      <c r="AU302" s="5" t="str">
        <f>HYPERLINK("https://creighton-primo.hosted.exlibrisgroup.com/primo-explore/search?tab=default_tab&amp;search_scope=EVERYTHING&amp;vid=01CRU&amp;lang=en_US&amp;offset=0&amp;query=any,contains,991001363819702656","Catalog Record")</f>
        <v>Catalog Record</v>
      </c>
      <c r="AV302" s="5" t="str">
        <f>HYPERLINK("http://www.worldcat.org/oclc/3338603","WorldCat Record")</f>
        <v>WorldCat Record</v>
      </c>
      <c r="AW302" s="2" t="s">
        <v>3795</v>
      </c>
      <c r="AX302" s="2" t="s">
        <v>3796</v>
      </c>
      <c r="AY302" s="2" t="s">
        <v>3797</v>
      </c>
      <c r="AZ302" s="2" t="s">
        <v>3797</v>
      </c>
      <c r="BA302" s="2" t="s">
        <v>3798</v>
      </c>
      <c r="BB302" s="2" t="s">
        <v>21</v>
      </c>
      <c r="BE302" s="2" t="s">
        <v>3799</v>
      </c>
      <c r="BF302" s="2" t="s">
        <v>3800</v>
      </c>
    </row>
    <row r="303" spans="1:58" ht="41.25" customHeight="1" x14ac:dyDescent="0.25">
      <c r="A303" s="8" t="s">
        <v>5</v>
      </c>
      <c r="B303" s="1" t="s">
        <v>0</v>
      </c>
      <c r="C303" s="1" t="s">
        <v>1</v>
      </c>
      <c r="D303" s="1" t="s">
        <v>3801</v>
      </c>
      <c r="E303" s="1" t="s">
        <v>3802</v>
      </c>
      <c r="F303" s="1" t="s">
        <v>3803</v>
      </c>
      <c r="H303" s="2" t="s">
        <v>5</v>
      </c>
      <c r="I303" s="2" t="s">
        <v>6</v>
      </c>
      <c r="J303" s="2" t="s">
        <v>5</v>
      </c>
      <c r="K303" s="2" t="s">
        <v>5</v>
      </c>
      <c r="L303" s="2" t="s">
        <v>7</v>
      </c>
      <c r="N303" s="1" t="s">
        <v>3804</v>
      </c>
      <c r="O303" s="2" t="s">
        <v>1339</v>
      </c>
      <c r="Q303" s="2" t="s">
        <v>11</v>
      </c>
      <c r="R303" s="2" t="s">
        <v>426</v>
      </c>
      <c r="S303" s="1" t="s">
        <v>3805</v>
      </c>
      <c r="T303" s="2" t="s">
        <v>520</v>
      </c>
      <c r="U303" s="3">
        <v>2</v>
      </c>
      <c r="V303" s="3">
        <v>2</v>
      </c>
      <c r="W303" s="4" t="s">
        <v>3806</v>
      </c>
      <c r="X303" s="4" t="s">
        <v>3806</v>
      </c>
      <c r="Y303" s="4" t="s">
        <v>3807</v>
      </c>
      <c r="Z303" s="4" t="s">
        <v>3807</v>
      </c>
      <c r="AA303" s="3">
        <v>127</v>
      </c>
      <c r="AB303" s="3">
        <v>107</v>
      </c>
      <c r="AC303" s="3">
        <v>108</v>
      </c>
      <c r="AD303" s="3">
        <v>2</v>
      </c>
      <c r="AE303" s="3">
        <v>2</v>
      </c>
      <c r="AF303" s="3">
        <v>3</v>
      </c>
      <c r="AG303" s="3">
        <v>3</v>
      </c>
      <c r="AH303" s="3">
        <v>0</v>
      </c>
      <c r="AI303" s="3">
        <v>0</v>
      </c>
      <c r="AJ303" s="3">
        <v>1</v>
      </c>
      <c r="AK303" s="3">
        <v>1</v>
      </c>
      <c r="AL303" s="3">
        <v>3</v>
      </c>
      <c r="AM303" s="3">
        <v>3</v>
      </c>
      <c r="AN303" s="3">
        <v>0</v>
      </c>
      <c r="AO303" s="3">
        <v>0</v>
      </c>
      <c r="AP303" s="3">
        <v>0</v>
      </c>
      <c r="AQ303" s="3">
        <v>0</v>
      </c>
      <c r="AR303" s="2" t="s">
        <v>5</v>
      </c>
      <c r="AS303" s="2" t="s">
        <v>5</v>
      </c>
      <c r="AU303" s="5" t="str">
        <f>HYPERLINK("https://creighton-primo.hosted.exlibrisgroup.com/primo-explore/search?tab=default_tab&amp;search_scope=EVERYTHING&amp;vid=01CRU&amp;lang=en_US&amp;offset=0&amp;query=any,contains,991001449679702656","Catalog Record")</f>
        <v>Catalog Record</v>
      </c>
      <c r="AV303" s="5" t="str">
        <f>HYPERLINK("http://www.worldcat.org/oclc/15697734","WorldCat Record")</f>
        <v>WorldCat Record</v>
      </c>
      <c r="AW303" s="2" t="s">
        <v>3808</v>
      </c>
      <c r="AX303" s="2" t="s">
        <v>3809</v>
      </c>
      <c r="AY303" s="2" t="s">
        <v>3810</v>
      </c>
      <c r="AZ303" s="2" t="s">
        <v>3810</v>
      </c>
      <c r="BA303" s="2" t="s">
        <v>3811</v>
      </c>
      <c r="BB303" s="2" t="s">
        <v>21</v>
      </c>
      <c r="BD303" s="2" t="s">
        <v>3812</v>
      </c>
      <c r="BE303" s="2" t="s">
        <v>3813</v>
      </c>
      <c r="BF303" s="2" t="s">
        <v>3814</v>
      </c>
    </row>
    <row r="304" spans="1:58" ht="41.25" customHeight="1" x14ac:dyDescent="0.25">
      <c r="A304" s="8" t="s">
        <v>5</v>
      </c>
      <c r="B304" s="1" t="s">
        <v>0</v>
      </c>
      <c r="C304" s="1" t="s">
        <v>1</v>
      </c>
      <c r="D304" s="1" t="s">
        <v>3815</v>
      </c>
      <c r="E304" s="1" t="s">
        <v>3816</v>
      </c>
      <c r="F304" s="1" t="s">
        <v>3817</v>
      </c>
      <c r="H304" s="2" t="s">
        <v>5</v>
      </c>
      <c r="I304" s="2" t="s">
        <v>6</v>
      </c>
      <c r="J304" s="2" t="s">
        <v>5</v>
      </c>
      <c r="K304" s="2" t="s">
        <v>5</v>
      </c>
      <c r="L304" s="2" t="s">
        <v>7</v>
      </c>
      <c r="M304" s="1" t="s">
        <v>3818</v>
      </c>
      <c r="N304" s="1" t="s">
        <v>3819</v>
      </c>
      <c r="O304" s="2" t="s">
        <v>989</v>
      </c>
      <c r="Q304" s="2" t="s">
        <v>11</v>
      </c>
      <c r="R304" s="2" t="s">
        <v>426</v>
      </c>
      <c r="T304" s="2" t="s">
        <v>520</v>
      </c>
      <c r="U304" s="3">
        <v>11</v>
      </c>
      <c r="V304" s="3">
        <v>11</v>
      </c>
      <c r="W304" s="4" t="s">
        <v>3820</v>
      </c>
      <c r="X304" s="4" t="s">
        <v>3820</v>
      </c>
      <c r="Y304" s="4" t="s">
        <v>3821</v>
      </c>
      <c r="Z304" s="4" t="s">
        <v>3821</v>
      </c>
      <c r="AA304" s="3">
        <v>126</v>
      </c>
      <c r="AB304" s="3">
        <v>110</v>
      </c>
      <c r="AC304" s="3">
        <v>222</v>
      </c>
      <c r="AD304" s="3">
        <v>2</v>
      </c>
      <c r="AE304" s="3">
        <v>3</v>
      </c>
      <c r="AF304" s="3">
        <v>3</v>
      </c>
      <c r="AG304" s="3">
        <v>4</v>
      </c>
      <c r="AH304" s="3">
        <v>0</v>
      </c>
      <c r="AI304" s="3">
        <v>1</v>
      </c>
      <c r="AJ304" s="3">
        <v>0</v>
      </c>
      <c r="AK304" s="3">
        <v>0</v>
      </c>
      <c r="AL304" s="3">
        <v>2</v>
      </c>
      <c r="AM304" s="3">
        <v>2</v>
      </c>
      <c r="AN304" s="3">
        <v>1</v>
      </c>
      <c r="AO304" s="3">
        <v>1</v>
      </c>
      <c r="AP304" s="3">
        <v>0</v>
      </c>
      <c r="AQ304" s="3">
        <v>0</v>
      </c>
      <c r="AR304" s="2" t="s">
        <v>5</v>
      </c>
      <c r="AS304" s="2" t="s">
        <v>16</v>
      </c>
      <c r="AT304" s="5" t="str">
        <f>HYPERLINK("http://catalog.hathitrust.org/Record/003204036","HathiTrust Record")</f>
        <v>HathiTrust Record</v>
      </c>
      <c r="AU304" s="5" t="str">
        <f>HYPERLINK("https://creighton-primo.hosted.exlibrisgroup.com/primo-explore/search?tab=default_tab&amp;search_scope=EVERYTHING&amp;vid=01CRU&amp;lang=en_US&amp;offset=0&amp;query=any,contains,991001446619702656","Catalog Record")</f>
        <v>Catalog Record</v>
      </c>
      <c r="AV304" s="5" t="str">
        <f>HYPERLINK("http://www.worldcat.org/oclc/18985000","WorldCat Record")</f>
        <v>WorldCat Record</v>
      </c>
      <c r="AW304" s="2" t="s">
        <v>3822</v>
      </c>
      <c r="AX304" s="2" t="s">
        <v>3823</v>
      </c>
      <c r="AY304" s="2" t="s">
        <v>3824</v>
      </c>
      <c r="AZ304" s="2" t="s">
        <v>3824</v>
      </c>
      <c r="BA304" s="2" t="s">
        <v>3825</v>
      </c>
      <c r="BB304" s="2" t="s">
        <v>21</v>
      </c>
      <c r="BD304" s="2" t="s">
        <v>3826</v>
      </c>
      <c r="BE304" s="2" t="s">
        <v>3827</v>
      </c>
      <c r="BF304" s="2" t="s">
        <v>3828</v>
      </c>
    </row>
    <row r="305" spans="1:58" ht="41.25" customHeight="1" x14ac:dyDescent="0.25">
      <c r="A305" s="8" t="s">
        <v>5</v>
      </c>
      <c r="B305" s="1" t="s">
        <v>0</v>
      </c>
      <c r="C305" s="1" t="s">
        <v>1</v>
      </c>
      <c r="D305" s="1" t="s">
        <v>3829</v>
      </c>
      <c r="E305" s="1" t="s">
        <v>3830</v>
      </c>
      <c r="F305" s="1" t="s">
        <v>3831</v>
      </c>
      <c r="H305" s="2" t="s">
        <v>5</v>
      </c>
      <c r="I305" s="2" t="s">
        <v>6</v>
      </c>
      <c r="J305" s="2" t="s">
        <v>5</v>
      </c>
      <c r="K305" s="2" t="s">
        <v>5</v>
      </c>
      <c r="L305" s="2" t="s">
        <v>7</v>
      </c>
      <c r="M305" s="1" t="s">
        <v>3832</v>
      </c>
      <c r="N305" s="1" t="s">
        <v>3833</v>
      </c>
      <c r="O305" s="2" t="s">
        <v>734</v>
      </c>
      <c r="Q305" s="2" t="s">
        <v>11</v>
      </c>
      <c r="R305" s="2" t="s">
        <v>426</v>
      </c>
      <c r="T305" s="2" t="s">
        <v>520</v>
      </c>
      <c r="U305" s="3">
        <v>1</v>
      </c>
      <c r="V305" s="3">
        <v>1</v>
      </c>
      <c r="W305" s="4" t="s">
        <v>3834</v>
      </c>
      <c r="X305" s="4" t="s">
        <v>3834</v>
      </c>
      <c r="Y305" s="4" t="s">
        <v>168</v>
      </c>
      <c r="Z305" s="4" t="s">
        <v>168</v>
      </c>
      <c r="AA305" s="3">
        <v>64</v>
      </c>
      <c r="AB305" s="3">
        <v>56</v>
      </c>
      <c r="AC305" s="3">
        <v>56</v>
      </c>
      <c r="AD305" s="3">
        <v>1</v>
      </c>
      <c r="AE305" s="3">
        <v>1</v>
      </c>
      <c r="AF305" s="3">
        <v>0</v>
      </c>
      <c r="AG305" s="3">
        <v>0</v>
      </c>
      <c r="AH305" s="3">
        <v>0</v>
      </c>
      <c r="AI305" s="3">
        <v>0</v>
      </c>
      <c r="AJ305" s="3">
        <v>0</v>
      </c>
      <c r="AK305" s="3">
        <v>0</v>
      </c>
      <c r="AL305" s="3">
        <v>0</v>
      </c>
      <c r="AM305" s="3">
        <v>0</v>
      </c>
      <c r="AN305" s="3">
        <v>0</v>
      </c>
      <c r="AO305" s="3">
        <v>0</v>
      </c>
      <c r="AP305" s="3">
        <v>0</v>
      </c>
      <c r="AQ305" s="3">
        <v>0</v>
      </c>
      <c r="AR305" s="2" t="s">
        <v>5</v>
      </c>
      <c r="AS305" s="2" t="s">
        <v>5</v>
      </c>
      <c r="AU305" s="5" t="str">
        <f>HYPERLINK("https://creighton-primo.hosted.exlibrisgroup.com/primo-explore/search?tab=default_tab&amp;search_scope=EVERYTHING&amp;vid=01CRU&amp;lang=en_US&amp;offset=0&amp;query=any,contains,991001041929702656","Catalog Record")</f>
        <v>Catalog Record</v>
      </c>
      <c r="AV305" s="5" t="str">
        <f>HYPERLINK("http://www.worldcat.org/oclc/8785854","WorldCat Record")</f>
        <v>WorldCat Record</v>
      </c>
      <c r="AW305" s="2" t="s">
        <v>3835</v>
      </c>
      <c r="AX305" s="2" t="s">
        <v>3836</v>
      </c>
      <c r="AY305" s="2" t="s">
        <v>3837</v>
      </c>
      <c r="AZ305" s="2" t="s">
        <v>3837</v>
      </c>
      <c r="BA305" s="2" t="s">
        <v>3838</v>
      </c>
      <c r="BB305" s="2" t="s">
        <v>21</v>
      </c>
      <c r="BD305" s="2" t="s">
        <v>3839</v>
      </c>
      <c r="BE305" s="2" t="s">
        <v>3840</v>
      </c>
      <c r="BF305" s="2" t="s">
        <v>3841</v>
      </c>
    </row>
    <row r="306" spans="1:58" ht="41.25" customHeight="1" x14ac:dyDescent="0.25">
      <c r="A306" s="8" t="s">
        <v>5</v>
      </c>
      <c r="B306" s="1" t="s">
        <v>0</v>
      </c>
      <c r="C306" s="1" t="s">
        <v>1</v>
      </c>
      <c r="D306" s="1" t="s">
        <v>3842</v>
      </c>
      <c r="E306" s="1" t="s">
        <v>3843</v>
      </c>
      <c r="F306" s="1" t="s">
        <v>3844</v>
      </c>
      <c r="H306" s="2" t="s">
        <v>5</v>
      </c>
      <c r="I306" s="2" t="s">
        <v>6</v>
      </c>
      <c r="J306" s="2" t="s">
        <v>5</v>
      </c>
      <c r="K306" s="2" t="s">
        <v>5</v>
      </c>
      <c r="L306" s="2" t="s">
        <v>7</v>
      </c>
      <c r="N306" s="1" t="s">
        <v>2272</v>
      </c>
      <c r="O306" s="2" t="s">
        <v>354</v>
      </c>
      <c r="Q306" s="2" t="s">
        <v>11</v>
      </c>
      <c r="R306" s="2" t="s">
        <v>426</v>
      </c>
      <c r="S306" s="1" t="s">
        <v>3845</v>
      </c>
      <c r="T306" s="2" t="s">
        <v>520</v>
      </c>
      <c r="U306" s="3">
        <v>1</v>
      </c>
      <c r="V306" s="3">
        <v>1</v>
      </c>
      <c r="W306" s="4" t="s">
        <v>1104</v>
      </c>
      <c r="X306" s="4" t="s">
        <v>1104</v>
      </c>
      <c r="Y306" s="4" t="s">
        <v>1578</v>
      </c>
      <c r="Z306" s="4" t="s">
        <v>1578</v>
      </c>
      <c r="AA306" s="3">
        <v>21</v>
      </c>
      <c r="AB306" s="3">
        <v>19</v>
      </c>
      <c r="AC306" s="3">
        <v>19</v>
      </c>
      <c r="AD306" s="3">
        <v>1</v>
      </c>
      <c r="AE306" s="3">
        <v>1</v>
      </c>
      <c r="AF306" s="3">
        <v>1</v>
      </c>
      <c r="AG306" s="3">
        <v>1</v>
      </c>
      <c r="AH306" s="3">
        <v>0</v>
      </c>
      <c r="AI306" s="3">
        <v>0</v>
      </c>
      <c r="AJ306" s="3">
        <v>0</v>
      </c>
      <c r="AK306" s="3">
        <v>0</v>
      </c>
      <c r="AL306" s="3">
        <v>1</v>
      </c>
      <c r="AM306" s="3">
        <v>1</v>
      </c>
      <c r="AN306" s="3">
        <v>0</v>
      </c>
      <c r="AO306" s="3">
        <v>0</v>
      </c>
      <c r="AP306" s="3">
        <v>0</v>
      </c>
      <c r="AQ306" s="3">
        <v>0</v>
      </c>
      <c r="AR306" s="2" t="s">
        <v>5</v>
      </c>
      <c r="AS306" s="2" t="s">
        <v>5</v>
      </c>
      <c r="AU306" s="5" t="str">
        <f>HYPERLINK("https://creighton-primo.hosted.exlibrisgroup.com/primo-explore/search?tab=default_tab&amp;search_scope=EVERYTHING&amp;vid=01CRU&amp;lang=en_US&amp;offset=0&amp;query=any,contains,991001379769702656","Catalog Record")</f>
        <v>Catalog Record</v>
      </c>
      <c r="AV306" s="5" t="str">
        <f>HYPERLINK("http://www.worldcat.org/oclc/6420475","WorldCat Record")</f>
        <v>WorldCat Record</v>
      </c>
      <c r="AW306" s="2" t="s">
        <v>3846</v>
      </c>
      <c r="AX306" s="2" t="s">
        <v>3847</v>
      </c>
      <c r="AY306" s="2" t="s">
        <v>3848</v>
      </c>
      <c r="AZ306" s="2" t="s">
        <v>3848</v>
      </c>
      <c r="BA306" s="2" t="s">
        <v>3849</v>
      </c>
      <c r="BB306" s="2" t="s">
        <v>21</v>
      </c>
      <c r="BE306" s="2" t="s">
        <v>3850</v>
      </c>
      <c r="BF306" s="2" t="s">
        <v>3851</v>
      </c>
    </row>
    <row r="307" spans="1:58" ht="41.25" customHeight="1" x14ac:dyDescent="0.25">
      <c r="A307" s="8" t="s">
        <v>5</v>
      </c>
      <c r="B307" s="1" t="s">
        <v>0</v>
      </c>
      <c r="C307" s="1" t="s">
        <v>1</v>
      </c>
      <c r="D307" s="1" t="s">
        <v>3852</v>
      </c>
      <c r="E307" s="1" t="s">
        <v>3853</v>
      </c>
      <c r="F307" s="1" t="s">
        <v>3854</v>
      </c>
      <c r="H307" s="2" t="s">
        <v>5</v>
      </c>
      <c r="I307" s="2" t="s">
        <v>6</v>
      </c>
      <c r="J307" s="2" t="s">
        <v>5</v>
      </c>
      <c r="K307" s="2" t="s">
        <v>5</v>
      </c>
      <c r="L307" s="2" t="s">
        <v>7</v>
      </c>
      <c r="M307" s="1" t="s">
        <v>3855</v>
      </c>
      <c r="N307" s="1" t="s">
        <v>3856</v>
      </c>
      <c r="O307" s="2" t="s">
        <v>2738</v>
      </c>
      <c r="Q307" s="2" t="s">
        <v>11</v>
      </c>
      <c r="R307" s="2" t="s">
        <v>12</v>
      </c>
      <c r="S307" s="1" t="s">
        <v>3857</v>
      </c>
      <c r="T307" s="2" t="s">
        <v>520</v>
      </c>
      <c r="U307" s="3">
        <v>2</v>
      </c>
      <c r="V307" s="3">
        <v>2</v>
      </c>
      <c r="W307" s="4" t="s">
        <v>1924</v>
      </c>
      <c r="X307" s="4" t="s">
        <v>1924</v>
      </c>
      <c r="Y307" s="4" t="s">
        <v>183</v>
      </c>
      <c r="Z307" s="4" t="s">
        <v>183</v>
      </c>
      <c r="AA307" s="3">
        <v>75</v>
      </c>
      <c r="AB307" s="3">
        <v>57</v>
      </c>
      <c r="AC307" s="3">
        <v>176</v>
      </c>
      <c r="AD307" s="3">
        <v>3</v>
      </c>
      <c r="AE307" s="3">
        <v>3</v>
      </c>
      <c r="AF307" s="3">
        <v>3</v>
      </c>
      <c r="AG307" s="3">
        <v>10</v>
      </c>
      <c r="AH307" s="3">
        <v>1</v>
      </c>
      <c r="AI307" s="3">
        <v>2</v>
      </c>
      <c r="AJ307" s="3">
        <v>0</v>
      </c>
      <c r="AK307" s="3">
        <v>3</v>
      </c>
      <c r="AL307" s="3">
        <v>0</v>
      </c>
      <c r="AM307" s="3">
        <v>4</v>
      </c>
      <c r="AN307" s="3">
        <v>2</v>
      </c>
      <c r="AO307" s="3">
        <v>2</v>
      </c>
      <c r="AP307" s="3">
        <v>0</v>
      </c>
      <c r="AQ307" s="3">
        <v>0</v>
      </c>
      <c r="AR307" s="2" t="s">
        <v>5</v>
      </c>
      <c r="AS307" s="2" t="s">
        <v>5</v>
      </c>
      <c r="AU307" s="5" t="str">
        <f>HYPERLINK("https://creighton-primo.hosted.exlibrisgroup.com/primo-explore/search?tab=default_tab&amp;search_scope=EVERYTHING&amp;vid=01CRU&amp;lang=en_US&amp;offset=0&amp;query=any,contains,991001041999702656","Catalog Record")</f>
        <v>Catalog Record</v>
      </c>
      <c r="AV307" s="5" t="str">
        <f>HYPERLINK("http://www.worldcat.org/oclc/217267","WorldCat Record")</f>
        <v>WorldCat Record</v>
      </c>
      <c r="AW307" s="2" t="s">
        <v>3858</v>
      </c>
      <c r="AX307" s="2" t="s">
        <v>3859</v>
      </c>
      <c r="AY307" s="2" t="s">
        <v>3860</v>
      </c>
      <c r="AZ307" s="2" t="s">
        <v>3860</v>
      </c>
      <c r="BA307" s="2" t="s">
        <v>3861</v>
      </c>
      <c r="BB307" s="2" t="s">
        <v>21</v>
      </c>
      <c r="BD307" s="2" t="s">
        <v>3862</v>
      </c>
      <c r="BE307" s="2" t="s">
        <v>3863</v>
      </c>
      <c r="BF307" s="2" t="s">
        <v>3864</v>
      </c>
    </row>
    <row r="308" spans="1:58" ht="41.25" customHeight="1" x14ac:dyDescent="0.25">
      <c r="A308" s="8" t="s">
        <v>5</v>
      </c>
      <c r="B308" s="1" t="s">
        <v>0</v>
      </c>
      <c r="C308" s="1" t="s">
        <v>1</v>
      </c>
      <c r="D308" s="1" t="s">
        <v>3865</v>
      </c>
      <c r="E308" s="1" t="s">
        <v>3866</v>
      </c>
      <c r="F308" s="1" t="s">
        <v>3867</v>
      </c>
      <c r="H308" s="2" t="s">
        <v>5</v>
      </c>
      <c r="I308" s="2" t="s">
        <v>6</v>
      </c>
      <c r="J308" s="2" t="s">
        <v>5</v>
      </c>
      <c r="K308" s="2" t="s">
        <v>5</v>
      </c>
      <c r="L308" s="2" t="s">
        <v>7</v>
      </c>
      <c r="M308" s="1" t="s">
        <v>3855</v>
      </c>
      <c r="N308" s="1" t="s">
        <v>3868</v>
      </c>
      <c r="O308" s="2" t="s">
        <v>2726</v>
      </c>
      <c r="Q308" s="2" t="s">
        <v>11</v>
      </c>
      <c r="R308" s="2" t="s">
        <v>12</v>
      </c>
      <c r="S308" s="1" t="s">
        <v>195</v>
      </c>
      <c r="T308" s="2" t="s">
        <v>520</v>
      </c>
      <c r="U308" s="3">
        <v>9</v>
      </c>
      <c r="V308" s="3">
        <v>9</v>
      </c>
      <c r="W308" s="4" t="s">
        <v>3869</v>
      </c>
      <c r="X308" s="4" t="s">
        <v>3869</v>
      </c>
      <c r="Y308" s="4" t="s">
        <v>183</v>
      </c>
      <c r="Z308" s="4" t="s">
        <v>183</v>
      </c>
      <c r="AA308" s="3">
        <v>158</v>
      </c>
      <c r="AB308" s="3">
        <v>136</v>
      </c>
      <c r="AC308" s="3">
        <v>137</v>
      </c>
      <c r="AD308" s="3">
        <v>1</v>
      </c>
      <c r="AE308" s="3">
        <v>1</v>
      </c>
      <c r="AF308" s="3">
        <v>7</v>
      </c>
      <c r="AG308" s="3">
        <v>7</v>
      </c>
      <c r="AH308" s="3">
        <v>1</v>
      </c>
      <c r="AI308" s="3">
        <v>1</v>
      </c>
      <c r="AJ308" s="3">
        <v>2</v>
      </c>
      <c r="AK308" s="3">
        <v>2</v>
      </c>
      <c r="AL308" s="3">
        <v>4</v>
      </c>
      <c r="AM308" s="3">
        <v>4</v>
      </c>
      <c r="AN308" s="3">
        <v>0</v>
      </c>
      <c r="AO308" s="3">
        <v>0</v>
      </c>
      <c r="AP308" s="3">
        <v>0</v>
      </c>
      <c r="AQ308" s="3">
        <v>0</v>
      </c>
      <c r="AR308" s="2" t="s">
        <v>5</v>
      </c>
      <c r="AS308" s="2" t="s">
        <v>5</v>
      </c>
      <c r="AU308" s="5" t="str">
        <f>HYPERLINK("https://creighton-primo.hosted.exlibrisgroup.com/primo-explore/search?tab=default_tab&amp;search_scope=EVERYTHING&amp;vid=01CRU&amp;lang=en_US&amp;offset=0&amp;query=any,contains,991001042079702656","Catalog Record")</f>
        <v>Catalog Record</v>
      </c>
      <c r="AV308" s="5" t="str">
        <f>HYPERLINK("http://www.worldcat.org/oclc/578137","WorldCat Record")</f>
        <v>WorldCat Record</v>
      </c>
      <c r="AW308" s="2" t="s">
        <v>3870</v>
      </c>
      <c r="AX308" s="2" t="s">
        <v>3871</v>
      </c>
      <c r="AY308" s="2" t="s">
        <v>3872</v>
      </c>
      <c r="AZ308" s="2" t="s">
        <v>3872</v>
      </c>
      <c r="BA308" s="2" t="s">
        <v>3873</v>
      </c>
      <c r="BB308" s="2" t="s">
        <v>21</v>
      </c>
      <c r="BE308" s="2" t="s">
        <v>3874</v>
      </c>
      <c r="BF308" s="2" t="s">
        <v>3875</v>
      </c>
    </row>
    <row r="309" spans="1:58" ht="41.25" customHeight="1" x14ac:dyDescent="0.25">
      <c r="A309" s="8" t="s">
        <v>5</v>
      </c>
      <c r="B309" s="1" t="s">
        <v>0</v>
      </c>
      <c r="C309" s="1" t="s">
        <v>1</v>
      </c>
      <c r="D309" s="1" t="s">
        <v>3876</v>
      </c>
      <c r="E309" s="1" t="s">
        <v>3877</v>
      </c>
      <c r="F309" s="1" t="s">
        <v>3878</v>
      </c>
      <c r="H309" s="2" t="s">
        <v>5</v>
      </c>
      <c r="I309" s="2" t="s">
        <v>6</v>
      </c>
      <c r="J309" s="2" t="s">
        <v>5</v>
      </c>
      <c r="K309" s="2" t="s">
        <v>5</v>
      </c>
      <c r="L309" s="2" t="s">
        <v>7</v>
      </c>
      <c r="M309" s="1" t="s">
        <v>3879</v>
      </c>
      <c r="N309" s="1" t="s">
        <v>1403</v>
      </c>
      <c r="O309" s="2" t="s">
        <v>285</v>
      </c>
      <c r="Q309" s="2" t="s">
        <v>11</v>
      </c>
      <c r="R309" s="2" t="s">
        <v>12</v>
      </c>
      <c r="S309" s="1" t="s">
        <v>3880</v>
      </c>
      <c r="T309" s="2" t="s">
        <v>520</v>
      </c>
      <c r="U309" s="3">
        <v>0</v>
      </c>
      <c r="V309" s="3">
        <v>0</v>
      </c>
      <c r="W309" s="4" t="s">
        <v>3881</v>
      </c>
      <c r="X309" s="4" t="s">
        <v>3881</v>
      </c>
      <c r="Y309" s="4" t="s">
        <v>604</v>
      </c>
      <c r="Z309" s="4" t="s">
        <v>604</v>
      </c>
      <c r="AA309" s="3">
        <v>71</v>
      </c>
      <c r="AB309" s="3">
        <v>61</v>
      </c>
      <c r="AC309" s="3">
        <v>61</v>
      </c>
      <c r="AD309" s="3">
        <v>1</v>
      </c>
      <c r="AE309" s="3">
        <v>1</v>
      </c>
      <c r="AF309" s="3">
        <v>2</v>
      </c>
      <c r="AG309" s="3">
        <v>2</v>
      </c>
      <c r="AH309" s="3">
        <v>0</v>
      </c>
      <c r="AI309" s="3">
        <v>0</v>
      </c>
      <c r="AJ309" s="3">
        <v>0</v>
      </c>
      <c r="AK309" s="3">
        <v>0</v>
      </c>
      <c r="AL309" s="3">
        <v>2</v>
      </c>
      <c r="AM309" s="3">
        <v>2</v>
      </c>
      <c r="AN309" s="3">
        <v>0</v>
      </c>
      <c r="AO309" s="3">
        <v>0</v>
      </c>
      <c r="AP309" s="3">
        <v>0</v>
      </c>
      <c r="AQ309" s="3">
        <v>0</v>
      </c>
      <c r="AR309" s="2" t="s">
        <v>5</v>
      </c>
      <c r="AS309" s="2" t="s">
        <v>5</v>
      </c>
      <c r="AU309" s="5" t="str">
        <f>HYPERLINK("https://creighton-primo.hosted.exlibrisgroup.com/primo-explore/search?tab=default_tab&amp;search_scope=EVERYTHING&amp;vid=01CRU&amp;lang=en_US&amp;offset=0&amp;query=any,contains,991000176849702656","Catalog Record")</f>
        <v>Catalog Record</v>
      </c>
      <c r="AV309" s="5" t="str">
        <f>HYPERLINK("http://www.worldcat.org/oclc/5676052","WorldCat Record")</f>
        <v>WorldCat Record</v>
      </c>
      <c r="AW309" s="2" t="s">
        <v>3882</v>
      </c>
      <c r="AX309" s="2" t="s">
        <v>3883</v>
      </c>
      <c r="AY309" s="2" t="s">
        <v>3884</v>
      </c>
      <c r="AZ309" s="2" t="s">
        <v>3884</v>
      </c>
      <c r="BA309" s="2" t="s">
        <v>3885</v>
      </c>
      <c r="BB309" s="2" t="s">
        <v>21</v>
      </c>
      <c r="BE309" s="2" t="s">
        <v>3886</v>
      </c>
      <c r="BF309" s="2" t="s">
        <v>3887</v>
      </c>
    </row>
    <row r="310" spans="1:58" ht="41.25" customHeight="1" x14ac:dyDescent="0.25">
      <c r="A310" s="8" t="s">
        <v>5</v>
      </c>
      <c r="B310" s="1" t="s">
        <v>0</v>
      </c>
      <c r="C310" s="1" t="s">
        <v>1</v>
      </c>
      <c r="D310" s="1" t="s">
        <v>3888</v>
      </c>
      <c r="E310" s="1" t="s">
        <v>3889</v>
      </c>
      <c r="F310" s="1" t="s">
        <v>3890</v>
      </c>
      <c r="H310" s="2" t="s">
        <v>5</v>
      </c>
      <c r="I310" s="2" t="s">
        <v>6</v>
      </c>
      <c r="J310" s="2" t="s">
        <v>5</v>
      </c>
      <c r="K310" s="2" t="s">
        <v>5</v>
      </c>
      <c r="L310" s="2" t="s">
        <v>7</v>
      </c>
      <c r="M310" s="1" t="s">
        <v>3891</v>
      </c>
      <c r="N310" s="1" t="s">
        <v>3892</v>
      </c>
      <c r="O310" s="2" t="s">
        <v>1195</v>
      </c>
      <c r="Q310" s="2" t="s">
        <v>11</v>
      </c>
      <c r="R310" s="2" t="s">
        <v>271</v>
      </c>
      <c r="T310" s="2" t="s">
        <v>520</v>
      </c>
      <c r="U310" s="3">
        <v>1</v>
      </c>
      <c r="V310" s="3">
        <v>1</v>
      </c>
      <c r="W310" s="4" t="s">
        <v>3893</v>
      </c>
      <c r="X310" s="4" t="s">
        <v>3893</v>
      </c>
      <c r="Y310" s="4" t="s">
        <v>3894</v>
      </c>
      <c r="Z310" s="4" t="s">
        <v>3894</v>
      </c>
      <c r="AA310" s="3">
        <v>185</v>
      </c>
      <c r="AB310" s="3">
        <v>169</v>
      </c>
      <c r="AC310" s="3">
        <v>173</v>
      </c>
      <c r="AD310" s="3">
        <v>1</v>
      </c>
      <c r="AE310" s="3">
        <v>1</v>
      </c>
      <c r="AF310" s="3">
        <v>8</v>
      </c>
      <c r="AG310" s="3">
        <v>8</v>
      </c>
      <c r="AH310" s="3">
        <v>4</v>
      </c>
      <c r="AI310" s="3">
        <v>4</v>
      </c>
      <c r="AJ310" s="3">
        <v>3</v>
      </c>
      <c r="AK310" s="3">
        <v>3</v>
      </c>
      <c r="AL310" s="3">
        <v>2</v>
      </c>
      <c r="AM310" s="3">
        <v>2</v>
      </c>
      <c r="AN310" s="3">
        <v>0</v>
      </c>
      <c r="AO310" s="3">
        <v>0</v>
      </c>
      <c r="AP310" s="3">
        <v>0</v>
      </c>
      <c r="AQ310" s="3">
        <v>0</v>
      </c>
      <c r="AR310" s="2" t="s">
        <v>5</v>
      </c>
      <c r="AS310" s="2" t="s">
        <v>16</v>
      </c>
      <c r="AT310" s="5" t="str">
        <f>HYPERLINK("http://catalog.hathitrust.org/Record/003546407","HathiTrust Record")</f>
        <v>HathiTrust Record</v>
      </c>
      <c r="AU310" s="5" t="str">
        <f>HYPERLINK("https://creighton-primo.hosted.exlibrisgroup.com/primo-explore/search?tab=default_tab&amp;search_scope=EVERYTHING&amp;vid=01CRU&amp;lang=en_US&amp;offset=0&amp;query=any,contains,991000353339702656","Catalog Record")</f>
        <v>Catalog Record</v>
      </c>
      <c r="AV310" s="5" t="str">
        <f>HYPERLINK("http://www.worldcat.org/oclc/45015534","WorldCat Record")</f>
        <v>WorldCat Record</v>
      </c>
      <c r="AW310" s="2" t="s">
        <v>3895</v>
      </c>
      <c r="AX310" s="2" t="s">
        <v>3896</v>
      </c>
      <c r="AY310" s="2" t="s">
        <v>3897</v>
      </c>
      <c r="AZ310" s="2" t="s">
        <v>3897</v>
      </c>
      <c r="BA310" s="2" t="s">
        <v>3898</v>
      </c>
      <c r="BB310" s="2" t="s">
        <v>21</v>
      </c>
      <c r="BD310" s="2" t="s">
        <v>3899</v>
      </c>
      <c r="BE310" s="2" t="s">
        <v>3900</v>
      </c>
      <c r="BF310" s="2" t="s">
        <v>3901</v>
      </c>
    </row>
    <row r="311" spans="1:58" ht="41.25" customHeight="1" x14ac:dyDescent="0.25">
      <c r="A311" s="8" t="s">
        <v>5</v>
      </c>
      <c r="B311" s="1" t="s">
        <v>0</v>
      </c>
      <c r="C311" s="1" t="s">
        <v>1</v>
      </c>
      <c r="D311" s="1" t="s">
        <v>3902</v>
      </c>
      <c r="E311" s="1" t="s">
        <v>3903</v>
      </c>
      <c r="F311" s="1" t="s">
        <v>3904</v>
      </c>
      <c r="H311" s="2" t="s">
        <v>5</v>
      </c>
      <c r="I311" s="2" t="s">
        <v>6</v>
      </c>
      <c r="J311" s="2" t="s">
        <v>5</v>
      </c>
      <c r="K311" s="2" t="s">
        <v>5</v>
      </c>
      <c r="L311" s="2" t="s">
        <v>7</v>
      </c>
      <c r="M311" s="1" t="s">
        <v>3905</v>
      </c>
      <c r="N311" s="1" t="s">
        <v>3906</v>
      </c>
      <c r="O311" s="2" t="s">
        <v>1102</v>
      </c>
      <c r="Q311" s="2" t="s">
        <v>11</v>
      </c>
      <c r="R311" s="2" t="s">
        <v>426</v>
      </c>
      <c r="S311" s="1" t="s">
        <v>3907</v>
      </c>
      <c r="T311" s="2" t="s">
        <v>520</v>
      </c>
      <c r="U311" s="3">
        <v>5</v>
      </c>
      <c r="V311" s="3">
        <v>5</v>
      </c>
      <c r="W311" s="4" t="s">
        <v>123</v>
      </c>
      <c r="X311" s="4" t="s">
        <v>123</v>
      </c>
      <c r="Y311" s="4" t="s">
        <v>1249</v>
      </c>
      <c r="Z311" s="4" t="s">
        <v>1249</v>
      </c>
      <c r="AA311" s="3">
        <v>227</v>
      </c>
      <c r="AB311" s="3">
        <v>196</v>
      </c>
      <c r="AC311" s="3">
        <v>203</v>
      </c>
      <c r="AD311" s="3">
        <v>2</v>
      </c>
      <c r="AE311" s="3">
        <v>2</v>
      </c>
      <c r="AF311" s="3">
        <v>10</v>
      </c>
      <c r="AG311" s="3">
        <v>10</v>
      </c>
      <c r="AH311" s="3">
        <v>4</v>
      </c>
      <c r="AI311" s="3">
        <v>4</v>
      </c>
      <c r="AJ311" s="3">
        <v>2</v>
      </c>
      <c r="AK311" s="3">
        <v>2</v>
      </c>
      <c r="AL311" s="3">
        <v>6</v>
      </c>
      <c r="AM311" s="3">
        <v>6</v>
      </c>
      <c r="AN311" s="3">
        <v>0</v>
      </c>
      <c r="AO311" s="3">
        <v>0</v>
      </c>
      <c r="AP311" s="3">
        <v>0</v>
      </c>
      <c r="AQ311" s="3">
        <v>0</v>
      </c>
      <c r="AR311" s="2" t="s">
        <v>5</v>
      </c>
      <c r="AS311" s="2" t="s">
        <v>16</v>
      </c>
      <c r="AT311" s="5" t="str">
        <f>HYPERLINK("http://catalog.hathitrust.org/Record/002506665","HathiTrust Record")</f>
        <v>HathiTrust Record</v>
      </c>
      <c r="AU311" s="5" t="str">
        <f>HYPERLINK("https://creighton-primo.hosted.exlibrisgroup.com/primo-explore/search?tab=default_tab&amp;search_scope=EVERYTHING&amp;vid=01CRU&amp;lang=en_US&amp;offset=0&amp;query=any,contains,991001383409702656","Catalog Record")</f>
        <v>Catalog Record</v>
      </c>
      <c r="AV311" s="5" t="str">
        <f>HYPERLINK("http://www.worldcat.org/oclc/13843033","WorldCat Record")</f>
        <v>WorldCat Record</v>
      </c>
      <c r="AW311" s="2" t="s">
        <v>3908</v>
      </c>
      <c r="AX311" s="2" t="s">
        <v>3909</v>
      </c>
      <c r="AY311" s="2" t="s">
        <v>3910</v>
      </c>
      <c r="AZ311" s="2" t="s">
        <v>3910</v>
      </c>
      <c r="BA311" s="2" t="s">
        <v>3911</v>
      </c>
      <c r="BB311" s="2" t="s">
        <v>21</v>
      </c>
      <c r="BD311" s="2" t="s">
        <v>3912</v>
      </c>
      <c r="BE311" s="2" t="s">
        <v>3913</v>
      </c>
      <c r="BF311" s="2" t="s">
        <v>3914</v>
      </c>
    </row>
    <row r="312" spans="1:58" ht="41.25" customHeight="1" x14ac:dyDescent="0.25">
      <c r="A312" s="8" t="s">
        <v>5</v>
      </c>
      <c r="B312" s="1" t="s">
        <v>0</v>
      </c>
      <c r="C312" s="1" t="s">
        <v>1</v>
      </c>
      <c r="D312" s="1" t="s">
        <v>3915</v>
      </c>
      <c r="E312" s="1" t="s">
        <v>3916</v>
      </c>
      <c r="F312" s="1" t="s">
        <v>3917</v>
      </c>
      <c r="H312" s="2" t="s">
        <v>5</v>
      </c>
      <c r="I312" s="2" t="s">
        <v>6</v>
      </c>
      <c r="J312" s="2" t="s">
        <v>5</v>
      </c>
      <c r="K312" s="2" t="s">
        <v>5</v>
      </c>
      <c r="L312" s="2" t="s">
        <v>7</v>
      </c>
      <c r="M312" s="1" t="s">
        <v>3918</v>
      </c>
      <c r="N312" s="1" t="s">
        <v>3919</v>
      </c>
      <c r="O312" s="2" t="s">
        <v>1339</v>
      </c>
      <c r="Q312" s="2" t="s">
        <v>11</v>
      </c>
      <c r="R312" s="2" t="s">
        <v>12</v>
      </c>
      <c r="S312" s="1" t="s">
        <v>3920</v>
      </c>
      <c r="T312" s="2" t="s">
        <v>520</v>
      </c>
      <c r="U312" s="3">
        <v>4</v>
      </c>
      <c r="V312" s="3">
        <v>4</v>
      </c>
      <c r="W312" s="4" t="s">
        <v>3921</v>
      </c>
      <c r="X312" s="4" t="s">
        <v>3921</v>
      </c>
      <c r="Y312" s="4" t="s">
        <v>522</v>
      </c>
      <c r="Z312" s="4" t="s">
        <v>522</v>
      </c>
      <c r="AA312" s="3">
        <v>211</v>
      </c>
      <c r="AB312" s="3">
        <v>185</v>
      </c>
      <c r="AC312" s="3">
        <v>194</v>
      </c>
      <c r="AD312" s="3">
        <v>2</v>
      </c>
      <c r="AE312" s="3">
        <v>2</v>
      </c>
      <c r="AF312" s="3">
        <v>8</v>
      </c>
      <c r="AG312" s="3">
        <v>8</v>
      </c>
      <c r="AH312" s="3">
        <v>3</v>
      </c>
      <c r="AI312" s="3">
        <v>3</v>
      </c>
      <c r="AJ312" s="3">
        <v>0</v>
      </c>
      <c r="AK312" s="3">
        <v>0</v>
      </c>
      <c r="AL312" s="3">
        <v>6</v>
      </c>
      <c r="AM312" s="3">
        <v>6</v>
      </c>
      <c r="AN312" s="3">
        <v>0</v>
      </c>
      <c r="AO312" s="3">
        <v>0</v>
      </c>
      <c r="AP312" s="3">
        <v>0</v>
      </c>
      <c r="AQ312" s="3">
        <v>0</v>
      </c>
      <c r="AR312" s="2" t="s">
        <v>5</v>
      </c>
      <c r="AS312" s="2" t="s">
        <v>16</v>
      </c>
      <c r="AT312" s="5" t="str">
        <f>HYPERLINK("http://catalog.hathitrust.org/Record/004404655","HathiTrust Record")</f>
        <v>HathiTrust Record</v>
      </c>
      <c r="AU312" s="5" t="str">
        <f>HYPERLINK("https://creighton-primo.hosted.exlibrisgroup.com/primo-explore/search?tab=default_tab&amp;search_scope=EVERYTHING&amp;vid=01CRU&amp;lang=en_US&amp;offset=0&amp;query=any,contains,991001201989702656","Catalog Record")</f>
        <v>Catalog Record</v>
      </c>
      <c r="AV312" s="5" t="str">
        <f>HYPERLINK("http://www.worldcat.org/oclc/15799359","WorldCat Record")</f>
        <v>WorldCat Record</v>
      </c>
      <c r="AW312" s="2" t="s">
        <v>3922</v>
      </c>
      <c r="AX312" s="2" t="s">
        <v>3923</v>
      </c>
      <c r="AY312" s="2" t="s">
        <v>3924</v>
      </c>
      <c r="AZ312" s="2" t="s">
        <v>3924</v>
      </c>
      <c r="BA312" s="2" t="s">
        <v>3925</v>
      </c>
      <c r="BB312" s="2" t="s">
        <v>21</v>
      </c>
      <c r="BD312" s="2" t="s">
        <v>3926</v>
      </c>
      <c r="BE312" s="2" t="s">
        <v>3927</v>
      </c>
      <c r="BF312" s="2" t="s">
        <v>3928</v>
      </c>
    </row>
    <row r="313" spans="1:58" ht="41.25" customHeight="1" x14ac:dyDescent="0.25">
      <c r="A313" s="8" t="s">
        <v>5</v>
      </c>
      <c r="B313" s="1" t="s">
        <v>0</v>
      </c>
      <c r="C313" s="1" t="s">
        <v>1</v>
      </c>
      <c r="D313" s="1" t="s">
        <v>3929</v>
      </c>
      <c r="E313" s="1" t="s">
        <v>3930</v>
      </c>
      <c r="F313" s="1" t="s">
        <v>3931</v>
      </c>
      <c r="H313" s="2" t="s">
        <v>5</v>
      </c>
      <c r="I313" s="2" t="s">
        <v>6</v>
      </c>
      <c r="J313" s="2" t="s">
        <v>5</v>
      </c>
      <c r="K313" s="2" t="s">
        <v>5</v>
      </c>
      <c r="L313" s="2" t="s">
        <v>7</v>
      </c>
      <c r="M313" s="1" t="s">
        <v>3932</v>
      </c>
      <c r="N313" s="1" t="s">
        <v>3933</v>
      </c>
      <c r="O313" s="2" t="s">
        <v>77</v>
      </c>
      <c r="Q313" s="2" t="s">
        <v>11</v>
      </c>
      <c r="R313" s="2" t="s">
        <v>93</v>
      </c>
      <c r="T313" s="2" t="s">
        <v>520</v>
      </c>
      <c r="U313" s="3">
        <v>3</v>
      </c>
      <c r="V313" s="3">
        <v>3</v>
      </c>
      <c r="W313" s="4" t="s">
        <v>3754</v>
      </c>
      <c r="X313" s="4" t="s">
        <v>3754</v>
      </c>
      <c r="Y313" s="4" t="s">
        <v>168</v>
      </c>
      <c r="Z313" s="4" t="s">
        <v>168</v>
      </c>
      <c r="AA313" s="3">
        <v>27</v>
      </c>
      <c r="AB313" s="3">
        <v>24</v>
      </c>
      <c r="AC313" s="3">
        <v>24</v>
      </c>
      <c r="AD313" s="3">
        <v>1</v>
      </c>
      <c r="AE313" s="3">
        <v>1</v>
      </c>
      <c r="AF313" s="3">
        <v>2</v>
      </c>
      <c r="AG313" s="3">
        <v>2</v>
      </c>
      <c r="AH313" s="3">
        <v>0</v>
      </c>
      <c r="AI313" s="3">
        <v>0</v>
      </c>
      <c r="AJ313" s="3">
        <v>0</v>
      </c>
      <c r="AK313" s="3">
        <v>0</v>
      </c>
      <c r="AL313" s="3">
        <v>2</v>
      </c>
      <c r="AM313" s="3">
        <v>2</v>
      </c>
      <c r="AN313" s="3">
        <v>0</v>
      </c>
      <c r="AO313" s="3">
        <v>0</v>
      </c>
      <c r="AP313" s="3">
        <v>0</v>
      </c>
      <c r="AQ313" s="3">
        <v>0</v>
      </c>
      <c r="AR313" s="2" t="s">
        <v>5</v>
      </c>
      <c r="AS313" s="2" t="s">
        <v>5</v>
      </c>
      <c r="AU313" s="5" t="str">
        <f>HYPERLINK("https://creighton-primo.hosted.exlibrisgroup.com/primo-explore/search?tab=default_tab&amp;search_scope=EVERYTHING&amp;vid=01CRU&amp;lang=en_US&amp;offset=0&amp;query=any,contains,991001043549702656","Catalog Record")</f>
        <v>Catalog Record</v>
      </c>
      <c r="AV313" s="5" t="str">
        <f>HYPERLINK("http://www.worldcat.org/oclc/3144880","WorldCat Record")</f>
        <v>WorldCat Record</v>
      </c>
      <c r="AW313" s="2" t="s">
        <v>3934</v>
      </c>
      <c r="AX313" s="2" t="s">
        <v>3935</v>
      </c>
      <c r="AY313" s="2" t="s">
        <v>3936</v>
      </c>
      <c r="AZ313" s="2" t="s">
        <v>3936</v>
      </c>
      <c r="BA313" s="2" t="s">
        <v>3937</v>
      </c>
      <c r="BB313" s="2" t="s">
        <v>21</v>
      </c>
      <c r="BE313" s="2" t="s">
        <v>3938</v>
      </c>
      <c r="BF313" s="2" t="s">
        <v>3939</v>
      </c>
    </row>
    <row r="314" spans="1:58" ht="41.25" customHeight="1" x14ac:dyDescent="0.25">
      <c r="A314" s="8" t="s">
        <v>5</v>
      </c>
      <c r="B314" s="1" t="s">
        <v>0</v>
      </c>
      <c r="C314" s="1" t="s">
        <v>1</v>
      </c>
      <c r="D314" s="1" t="s">
        <v>3940</v>
      </c>
      <c r="E314" s="1" t="s">
        <v>3941</v>
      </c>
      <c r="F314" s="1" t="s">
        <v>3942</v>
      </c>
      <c r="H314" s="2" t="s">
        <v>5</v>
      </c>
      <c r="I314" s="2" t="s">
        <v>6</v>
      </c>
      <c r="J314" s="2" t="s">
        <v>5</v>
      </c>
      <c r="K314" s="2" t="s">
        <v>5</v>
      </c>
      <c r="L314" s="2" t="s">
        <v>7</v>
      </c>
      <c r="M314" s="1" t="s">
        <v>3943</v>
      </c>
      <c r="N314" s="1" t="s">
        <v>1985</v>
      </c>
      <c r="O314" s="2" t="s">
        <v>92</v>
      </c>
      <c r="Q314" s="2" t="s">
        <v>11</v>
      </c>
      <c r="R314" s="2" t="s">
        <v>12</v>
      </c>
      <c r="S314" s="1" t="s">
        <v>3944</v>
      </c>
      <c r="T314" s="2" t="s">
        <v>520</v>
      </c>
      <c r="U314" s="3">
        <v>2</v>
      </c>
      <c r="V314" s="3">
        <v>2</v>
      </c>
      <c r="W314" s="4" t="s">
        <v>1826</v>
      </c>
      <c r="X314" s="4" t="s">
        <v>1826</v>
      </c>
      <c r="Y314" s="4" t="s">
        <v>2425</v>
      </c>
      <c r="Z314" s="4" t="s">
        <v>2425</v>
      </c>
      <c r="AA314" s="3">
        <v>71</v>
      </c>
      <c r="AB314" s="3">
        <v>69</v>
      </c>
      <c r="AC314" s="3">
        <v>76</v>
      </c>
      <c r="AD314" s="3">
        <v>3</v>
      </c>
      <c r="AE314" s="3">
        <v>3</v>
      </c>
      <c r="AF314" s="3">
        <v>4</v>
      </c>
      <c r="AG314" s="3">
        <v>4</v>
      </c>
      <c r="AH314" s="3">
        <v>1</v>
      </c>
      <c r="AI314" s="3">
        <v>1</v>
      </c>
      <c r="AJ314" s="3">
        <v>0</v>
      </c>
      <c r="AK314" s="3">
        <v>0</v>
      </c>
      <c r="AL314" s="3">
        <v>2</v>
      </c>
      <c r="AM314" s="3">
        <v>2</v>
      </c>
      <c r="AN314" s="3">
        <v>1</v>
      </c>
      <c r="AO314" s="3">
        <v>1</v>
      </c>
      <c r="AP314" s="3">
        <v>0</v>
      </c>
      <c r="AQ314" s="3">
        <v>0</v>
      </c>
      <c r="AR314" s="2" t="s">
        <v>5</v>
      </c>
      <c r="AS314" s="2" t="s">
        <v>16</v>
      </c>
      <c r="AT314" s="5" t="str">
        <f>HYPERLINK("http://catalog.hathitrust.org/Record/000129507","HathiTrust Record")</f>
        <v>HathiTrust Record</v>
      </c>
      <c r="AU314" s="5" t="str">
        <f>HYPERLINK("https://creighton-primo.hosted.exlibrisgroup.com/primo-explore/search?tab=default_tab&amp;search_scope=EVERYTHING&amp;vid=01CRU&amp;lang=en_US&amp;offset=0&amp;query=any,contains,991001370419702656","Catalog Record")</f>
        <v>Catalog Record</v>
      </c>
      <c r="AV314" s="5" t="str">
        <f>HYPERLINK("http://www.worldcat.org/oclc/2642728","WorldCat Record")</f>
        <v>WorldCat Record</v>
      </c>
      <c r="AW314" s="2" t="s">
        <v>3945</v>
      </c>
      <c r="AX314" s="2" t="s">
        <v>3946</v>
      </c>
      <c r="AY314" s="2" t="s">
        <v>3947</v>
      </c>
      <c r="AZ314" s="2" t="s">
        <v>3947</v>
      </c>
      <c r="BA314" s="2" t="s">
        <v>3948</v>
      </c>
      <c r="BB314" s="2" t="s">
        <v>21</v>
      </c>
      <c r="BE314" s="2" t="s">
        <v>3949</v>
      </c>
      <c r="BF314" s="2" t="s">
        <v>3950</v>
      </c>
    </row>
    <row r="315" spans="1:58" ht="41.25" customHeight="1" x14ac:dyDescent="0.25">
      <c r="A315" s="8" t="s">
        <v>5</v>
      </c>
      <c r="B315" s="1" t="s">
        <v>0</v>
      </c>
      <c r="C315" s="1" t="s">
        <v>1</v>
      </c>
      <c r="D315" s="1" t="s">
        <v>3951</v>
      </c>
      <c r="E315" s="1" t="s">
        <v>3952</v>
      </c>
      <c r="F315" s="1" t="s">
        <v>3953</v>
      </c>
      <c r="H315" s="2" t="s">
        <v>5</v>
      </c>
      <c r="I315" s="2" t="s">
        <v>6</v>
      </c>
      <c r="J315" s="2" t="s">
        <v>5</v>
      </c>
      <c r="K315" s="2" t="s">
        <v>5</v>
      </c>
      <c r="L315" s="2" t="s">
        <v>7</v>
      </c>
      <c r="M315" s="1" t="s">
        <v>3943</v>
      </c>
      <c r="N315" s="1" t="s">
        <v>3954</v>
      </c>
      <c r="O315" s="2" t="s">
        <v>92</v>
      </c>
      <c r="Q315" s="2" t="s">
        <v>11</v>
      </c>
      <c r="R315" s="2" t="s">
        <v>93</v>
      </c>
      <c r="S315" s="1" t="s">
        <v>3955</v>
      </c>
      <c r="T315" s="2" t="s">
        <v>520</v>
      </c>
      <c r="U315" s="3">
        <v>2</v>
      </c>
      <c r="V315" s="3">
        <v>2</v>
      </c>
      <c r="W315" s="4" t="s">
        <v>1826</v>
      </c>
      <c r="X315" s="4" t="s">
        <v>1826</v>
      </c>
      <c r="Y315" s="4" t="s">
        <v>124</v>
      </c>
      <c r="Z315" s="4" t="s">
        <v>124</v>
      </c>
      <c r="AA315" s="3">
        <v>84</v>
      </c>
      <c r="AB315" s="3">
        <v>72</v>
      </c>
      <c r="AC315" s="3">
        <v>74</v>
      </c>
      <c r="AD315" s="3">
        <v>1</v>
      </c>
      <c r="AE315" s="3">
        <v>1</v>
      </c>
      <c r="AF315" s="3">
        <v>4</v>
      </c>
      <c r="AG315" s="3">
        <v>4</v>
      </c>
      <c r="AH315" s="3">
        <v>1</v>
      </c>
      <c r="AI315" s="3">
        <v>1</v>
      </c>
      <c r="AJ315" s="3">
        <v>0</v>
      </c>
      <c r="AK315" s="3">
        <v>0</v>
      </c>
      <c r="AL315" s="3">
        <v>3</v>
      </c>
      <c r="AM315" s="3">
        <v>3</v>
      </c>
      <c r="AN315" s="3">
        <v>0</v>
      </c>
      <c r="AO315" s="3">
        <v>0</v>
      </c>
      <c r="AP315" s="3">
        <v>0</v>
      </c>
      <c r="AQ315" s="3">
        <v>0</v>
      </c>
      <c r="AR315" s="2" t="s">
        <v>5</v>
      </c>
      <c r="AS315" s="2" t="s">
        <v>16</v>
      </c>
      <c r="AT315" s="5" t="str">
        <f>HYPERLINK("http://catalog.hathitrust.org/Record/000212612","HathiTrust Record")</f>
        <v>HathiTrust Record</v>
      </c>
      <c r="AU315" s="5" t="str">
        <f>HYPERLINK("https://creighton-primo.hosted.exlibrisgroup.com/primo-explore/search?tab=default_tab&amp;search_scope=EVERYTHING&amp;vid=01CRU&amp;lang=en_US&amp;offset=0&amp;query=any,contains,991001369739702656","Catalog Record")</f>
        <v>Catalog Record</v>
      </c>
      <c r="AV315" s="5" t="str">
        <f>HYPERLINK("http://www.worldcat.org/oclc/2930639","WorldCat Record")</f>
        <v>WorldCat Record</v>
      </c>
      <c r="AW315" s="2" t="s">
        <v>3956</v>
      </c>
      <c r="AX315" s="2" t="s">
        <v>3957</v>
      </c>
      <c r="AY315" s="2" t="s">
        <v>3958</v>
      </c>
      <c r="AZ315" s="2" t="s">
        <v>3958</v>
      </c>
      <c r="BA315" s="2" t="s">
        <v>3959</v>
      </c>
      <c r="BB315" s="2" t="s">
        <v>21</v>
      </c>
      <c r="BE315" s="2" t="s">
        <v>3960</v>
      </c>
      <c r="BF315" s="2" t="s">
        <v>3961</v>
      </c>
    </row>
    <row r="316" spans="1:58" ht="41.25" customHeight="1" x14ac:dyDescent="0.25">
      <c r="A316" s="8" t="s">
        <v>5</v>
      </c>
      <c r="B316" s="1" t="s">
        <v>0</v>
      </c>
      <c r="C316" s="1" t="s">
        <v>1</v>
      </c>
      <c r="D316" s="1" t="s">
        <v>3962</v>
      </c>
      <c r="E316" s="1" t="s">
        <v>3963</v>
      </c>
      <c r="F316" s="1" t="s">
        <v>3964</v>
      </c>
      <c r="G316" s="2" t="s">
        <v>3965</v>
      </c>
      <c r="H316" s="2" t="s">
        <v>5</v>
      </c>
      <c r="I316" s="2" t="s">
        <v>6</v>
      </c>
      <c r="J316" s="2" t="s">
        <v>5</v>
      </c>
      <c r="K316" s="2" t="s">
        <v>5</v>
      </c>
      <c r="L316" s="2" t="s">
        <v>7</v>
      </c>
      <c r="M316" s="1" t="s">
        <v>1822</v>
      </c>
      <c r="N316" s="1" t="s">
        <v>3966</v>
      </c>
      <c r="O316" s="2" t="s">
        <v>92</v>
      </c>
      <c r="Q316" s="2" t="s">
        <v>11</v>
      </c>
      <c r="R316" s="2" t="s">
        <v>12</v>
      </c>
      <c r="S316" s="1" t="s">
        <v>3967</v>
      </c>
      <c r="T316" s="2" t="s">
        <v>520</v>
      </c>
      <c r="U316" s="3">
        <v>1</v>
      </c>
      <c r="V316" s="3">
        <v>1</v>
      </c>
      <c r="W316" s="4" t="s">
        <v>3968</v>
      </c>
      <c r="X316" s="4" t="s">
        <v>3968</v>
      </c>
      <c r="Y316" s="4" t="s">
        <v>3969</v>
      </c>
      <c r="Z316" s="4" t="s">
        <v>3969</v>
      </c>
      <c r="AA316" s="3">
        <v>67</v>
      </c>
      <c r="AB316" s="3">
        <v>56</v>
      </c>
      <c r="AC316" s="3">
        <v>58</v>
      </c>
      <c r="AD316" s="3">
        <v>1</v>
      </c>
      <c r="AE316" s="3">
        <v>1</v>
      </c>
      <c r="AF316" s="3">
        <v>1</v>
      </c>
      <c r="AG316" s="3">
        <v>1</v>
      </c>
      <c r="AH316" s="3">
        <v>0</v>
      </c>
      <c r="AI316" s="3">
        <v>0</v>
      </c>
      <c r="AJ316" s="3">
        <v>1</v>
      </c>
      <c r="AK316" s="3">
        <v>1</v>
      </c>
      <c r="AL316" s="3">
        <v>0</v>
      </c>
      <c r="AM316" s="3">
        <v>0</v>
      </c>
      <c r="AN316" s="3">
        <v>0</v>
      </c>
      <c r="AO316" s="3">
        <v>0</v>
      </c>
      <c r="AP316" s="3">
        <v>0</v>
      </c>
      <c r="AQ316" s="3">
        <v>0</v>
      </c>
      <c r="AR316" s="2" t="s">
        <v>5</v>
      </c>
      <c r="AS316" s="2" t="s">
        <v>16</v>
      </c>
      <c r="AT316" s="5" t="str">
        <f>HYPERLINK("http://catalog.hathitrust.org/Record/000188384","HathiTrust Record")</f>
        <v>HathiTrust Record</v>
      </c>
      <c r="AU316" s="5" t="str">
        <f>HYPERLINK("https://creighton-primo.hosted.exlibrisgroup.com/primo-explore/search?tab=default_tab&amp;search_scope=EVERYTHING&amp;vid=01CRU&amp;lang=en_US&amp;offset=0&amp;query=any,contains,991001342729702656","Catalog Record")</f>
        <v>Catalog Record</v>
      </c>
      <c r="AV316" s="5" t="str">
        <f>HYPERLINK("http://www.worldcat.org/oclc/2615821","WorldCat Record")</f>
        <v>WorldCat Record</v>
      </c>
      <c r="AW316" s="2" t="s">
        <v>3970</v>
      </c>
      <c r="AX316" s="2" t="s">
        <v>3971</v>
      </c>
      <c r="AY316" s="2" t="s">
        <v>3972</v>
      </c>
      <c r="AZ316" s="2" t="s">
        <v>3972</v>
      </c>
      <c r="BA316" s="2" t="s">
        <v>3973</v>
      </c>
      <c r="BB316" s="2" t="s">
        <v>21</v>
      </c>
      <c r="BE316" s="2" t="s">
        <v>3974</v>
      </c>
      <c r="BF316" s="2" t="s">
        <v>3975</v>
      </c>
    </row>
    <row r="317" spans="1:58" ht="41.25" customHeight="1" x14ac:dyDescent="0.25">
      <c r="A317" s="8" t="s">
        <v>5</v>
      </c>
      <c r="B317" s="1" t="s">
        <v>0</v>
      </c>
      <c r="C317" s="1" t="s">
        <v>1</v>
      </c>
      <c r="D317" s="1" t="s">
        <v>3976</v>
      </c>
      <c r="E317" s="1" t="s">
        <v>3977</v>
      </c>
      <c r="F317" s="1" t="s">
        <v>3978</v>
      </c>
      <c r="H317" s="2" t="s">
        <v>5</v>
      </c>
      <c r="I317" s="2" t="s">
        <v>6</v>
      </c>
      <c r="J317" s="2" t="s">
        <v>5</v>
      </c>
      <c r="K317" s="2" t="s">
        <v>16</v>
      </c>
      <c r="L317" s="2" t="s">
        <v>7</v>
      </c>
      <c r="N317" s="1" t="s">
        <v>1985</v>
      </c>
      <c r="O317" s="2" t="s">
        <v>92</v>
      </c>
      <c r="P317" s="1" t="s">
        <v>3979</v>
      </c>
      <c r="Q317" s="2" t="s">
        <v>11</v>
      </c>
      <c r="R317" s="2" t="s">
        <v>426</v>
      </c>
      <c r="S317" s="1" t="s">
        <v>3980</v>
      </c>
      <c r="T317" s="2" t="s">
        <v>520</v>
      </c>
      <c r="U317" s="3">
        <v>1</v>
      </c>
      <c r="V317" s="3">
        <v>1</v>
      </c>
      <c r="W317" s="4" t="s">
        <v>2715</v>
      </c>
      <c r="X317" s="4" t="s">
        <v>2715</v>
      </c>
      <c r="Y317" s="4" t="s">
        <v>2579</v>
      </c>
      <c r="Z317" s="4" t="s">
        <v>2579</v>
      </c>
      <c r="AA317" s="3">
        <v>13</v>
      </c>
      <c r="AB317" s="3">
        <v>13</v>
      </c>
      <c r="AC317" s="3">
        <v>223</v>
      </c>
      <c r="AD317" s="3">
        <v>1</v>
      </c>
      <c r="AE317" s="3">
        <v>3</v>
      </c>
      <c r="AF317" s="3">
        <v>1</v>
      </c>
      <c r="AG317" s="3">
        <v>11</v>
      </c>
      <c r="AH317" s="3">
        <v>0</v>
      </c>
      <c r="AI317" s="3">
        <v>2</v>
      </c>
      <c r="AJ317" s="3">
        <v>0</v>
      </c>
      <c r="AK317" s="3">
        <v>2</v>
      </c>
      <c r="AL317" s="3">
        <v>1</v>
      </c>
      <c r="AM317" s="3">
        <v>7</v>
      </c>
      <c r="AN317" s="3">
        <v>0</v>
      </c>
      <c r="AO317" s="3">
        <v>1</v>
      </c>
      <c r="AP317" s="3">
        <v>0</v>
      </c>
      <c r="AQ317" s="3">
        <v>0</v>
      </c>
      <c r="AR317" s="2" t="s">
        <v>5</v>
      </c>
      <c r="AS317" s="2" t="s">
        <v>5</v>
      </c>
      <c r="AU317" s="5" t="str">
        <f>HYPERLINK("https://creighton-primo.hosted.exlibrisgroup.com/primo-explore/search?tab=default_tab&amp;search_scope=EVERYTHING&amp;vid=01CRU&amp;lang=en_US&amp;offset=0&amp;query=any,contains,991001363009702656","Catalog Record")</f>
        <v>Catalog Record</v>
      </c>
      <c r="AV317" s="5" t="str">
        <f>HYPERLINK("http://www.worldcat.org/oclc/14382593","WorldCat Record")</f>
        <v>WorldCat Record</v>
      </c>
      <c r="AW317" s="2" t="s">
        <v>3981</v>
      </c>
      <c r="AX317" s="2" t="s">
        <v>3982</v>
      </c>
      <c r="AY317" s="2" t="s">
        <v>3983</v>
      </c>
      <c r="AZ317" s="2" t="s">
        <v>3983</v>
      </c>
      <c r="BA317" s="2" t="s">
        <v>3984</v>
      </c>
      <c r="BB317" s="2" t="s">
        <v>21</v>
      </c>
      <c r="BE317" s="2" t="s">
        <v>3985</v>
      </c>
      <c r="BF317" s="2" t="s">
        <v>3986</v>
      </c>
    </row>
    <row r="318" spans="1:58" ht="41.25" customHeight="1" x14ac:dyDescent="0.25">
      <c r="A318" s="8" t="s">
        <v>5</v>
      </c>
      <c r="B318" s="1" t="s">
        <v>0</v>
      </c>
      <c r="C318" s="1" t="s">
        <v>1</v>
      </c>
      <c r="D318" s="1" t="s">
        <v>3987</v>
      </c>
      <c r="E318" s="1" t="s">
        <v>3988</v>
      </c>
      <c r="F318" s="1" t="s">
        <v>3989</v>
      </c>
      <c r="H318" s="2" t="s">
        <v>5</v>
      </c>
      <c r="I318" s="2" t="s">
        <v>6</v>
      </c>
      <c r="J318" s="2" t="s">
        <v>5</v>
      </c>
      <c r="K318" s="2" t="s">
        <v>5</v>
      </c>
      <c r="L318" s="2" t="s">
        <v>7</v>
      </c>
      <c r="M318" s="1" t="s">
        <v>3990</v>
      </c>
      <c r="N318" s="1" t="s">
        <v>3991</v>
      </c>
      <c r="O318" s="2" t="s">
        <v>382</v>
      </c>
      <c r="Q318" s="2" t="s">
        <v>11</v>
      </c>
      <c r="R318" s="2" t="s">
        <v>12</v>
      </c>
      <c r="T318" s="2" t="s">
        <v>520</v>
      </c>
      <c r="U318" s="3">
        <v>5</v>
      </c>
      <c r="V318" s="3">
        <v>5</v>
      </c>
      <c r="W318" s="4" t="s">
        <v>2072</v>
      </c>
      <c r="X318" s="4" t="s">
        <v>2072</v>
      </c>
      <c r="Y318" s="4" t="s">
        <v>168</v>
      </c>
      <c r="Z318" s="4" t="s">
        <v>168</v>
      </c>
      <c r="AA318" s="3">
        <v>256</v>
      </c>
      <c r="AB318" s="3">
        <v>221</v>
      </c>
      <c r="AC318" s="3">
        <v>228</v>
      </c>
      <c r="AD318" s="3">
        <v>3</v>
      </c>
      <c r="AE318" s="3">
        <v>3</v>
      </c>
      <c r="AF318" s="3">
        <v>15</v>
      </c>
      <c r="AG318" s="3">
        <v>15</v>
      </c>
      <c r="AH318" s="3">
        <v>5</v>
      </c>
      <c r="AI318" s="3">
        <v>5</v>
      </c>
      <c r="AJ318" s="3">
        <v>4</v>
      </c>
      <c r="AK318" s="3">
        <v>4</v>
      </c>
      <c r="AL318" s="3">
        <v>9</v>
      </c>
      <c r="AM318" s="3">
        <v>9</v>
      </c>
      <c r="AN318" s="3">
        <v>1</v>
      </c>
      <c r="AO318" s="3">
        <v>1</v>
      </c>
      <c r="AP318" s="3">
        <v>0</v>
      </c>
      <c r="AQ318" s="3">
        <v>0</v>
      </c>
      <c r="AR318" s="2" t="s">
        <v>5</v>
      </c>
      <c r="AS318" s="2" t="s">
        <v>16</v>
      </c>
      <c r="AT318" s="5" t="str">
        <f>HYPERLINK("http://catalog.hathitrust.org/Record/000585806","HathiTrust Record")</f>
        <v>HathiTrust Record</v>
      </c>
      <c r="AU318" s="5" t="str">
        <f>HYPERLINK("https://creighton-primo.hosted.exlibrisgroup.com/primo-explore/search?tab=default_tab&amp;search_scope=EVERYTHING&amp;vid=01CRU&amp;lang=en_US&amp;offset=0&amp;query=any,contains,991001043639702656","Catalog Record")</f>
        <v>Catalog Record</v>
      </c>
      <c r="AV318" s="5" t="str">
        <f>HYPERLINK("http://www.worldcat.org/oclc/12667134","WorldCat Record")</f>
        <v>WorldCat Record</v>
      </c>
      <c r="AW318" s="2" t="s">
        <v>3992</v>
      </c>
      <c r="AX318" s="2" t="s">
        <v>3993</v>
      </c>
      <c r="AY318" s="2" t="s">
        <v>3994</v>
      </c>
      <c r="AZ318" s="2" t="s">
        <v>3994</v>
      </c>
      <c r="BA318" s="2" t="s">
        <v>3995</v>
      </c>
      <c r="BB318" s="2" t="s">
        <v>21</v>
      </c>
      <c r="BD318" s="2" t="s">
        <v>3996</v>
      </c>
      <c r="BE318" s="2" t="s">
        <v>3997</v>
      </c>
      <c r="BF318" s="2" t="s">
        <v>3998</v>
      </c>
    </row>
    <row r="319" spans="1:58" ht="41.25" customHeight="1" x14ac:dyDescent="0.25">
      <c r="A319" s="8" t="s">
        <v>5</v>
      </c>
      <c r="B319" s="1" t="s">
        <v>0</v>
      </c>
      <c r="C319" s="1" t="s">
        <v>1</v>
      </c>
      <c r="D319" s="1" t="s">
        <v>3999</v>
      </c>
      <c r="E319" s="1" t="s">
        <v>4000</v>
      </c>
      <c r="F319" s="1" t="s">
        <v>4001</v>
      </c>
      <c r="H319" s="2" t="s">
        <v>5</v>
      </c>
      <c r="I319" s="2" t="s">
        <v>6</v>
      </c>
      <c r="J319" s="2" t="s">
        <v>5</v>
      </c>
      <c r="K319" s="2" t="s">
        <v>5</v>
      </c>
      <c r="L319" s="2" t="s">
        <v>7</v>
      </c>
      <c r="M319" s="1" t="s">
        <v>4002</v>
      </c>
      <c r="N319" s="1" t="s">
        <v>2334</v>
      </c>
      <c r="O319" s="2" t="s">
        <v>1339</v>
      </c>
      <c r="Q319" s="2" t="s">
        <v>11</v>
      </c>
      <c r="R319" s="2" t="s">
        <v>426</v>
      </c>
      <c r="S319" s="1" t="s">
        <v>4003</v>
      </c>
      <c r="T319" s="2" t="s">
        <v>520</v>
      </c>
      <c r="U319" s="3">
        <v>3</v>
      </c>
      <c r="V319" s="3">
        <v>3</v>
      </c>
      <c r="W319" s="4" t="s">
        <v>2072</v>
      </c>
      <c r="X319" s="4" t="s">
        <v>2072</v>
      </c>
      <c r="Y319" s="4" t="s">
        <v>522</v>
      </c>
      <c r="Z319" s="4" t="s">
        <v>522</v>
      </c>
      <c r="AA319" s="3">
        <v>91</v>
      </c>
      <c r="AB319" s="3">
        <v>83</v>
      </c>
      <c r="AC319" s="3">
        <v>118</v>
      </c>
      <c r="AD319" s="3">
        <v>1</v>
      </c>
      <c r="AE319" s="3">
        <v>1</v>
      </c>
      <c r="AF319" s="3">
        <v>3</v>
      </c>
      <c r="AG319" s="3">
        <v>4</v>
      </c>
      <c r="AH319" s="3">
        <v>1</v>
      </c>
      <c r="AI319" s="3">
        <v>1</v>
      </c>
      <c r="AJ319" s="3">
        <v>0</v>
      </c>
      <c r="AK319" s="3">
        <v>0</v>
      </c>
      <c r="AL319" s="3">
        <v>2</v>
      </c>
      <c r="AM319" s="3">
        <v>3</v>
      </c>
      <c r="AN319" s="3">
        <v>0</v>
      </c>
      <c r="AO319" s="3">
        <v>0</v>
      </c>
      <c r="AP319" s="3">
        <v>0</v>
      </c>
      <c r="AQ319" s="3">
        <v>0</v>
      </c>
      <c r="AR319" s="2" t="s">
        <v>5</v>
      </c>
      <c r="AS319" s="2" t="s">
        <v>5</v>
      </c>
      <c r="AU319" s="5" t="str">
        <f>HYPERLINK("https://creighton-primo.hosted.exlibrisgroup.com/primo-explore/search?tab=default_tab&amp;search_scope=EVERYTHING&amp;vid=01CRU&amp;lang=en_US&amp;offset=0&amp;query=any,contains,991000761549702656","Catalog Record")</f>
        <v>Catalog Record</v>
      </c>
      <c r="AV319" s="5" t="str">
        <f>HYPERLINK("http://www.worldcat.org/oclc/18629024","WorldCat Record")</f>
        <v>WorldCat Record</v>
      </c>
      <c r="AW319" s="2" t="s">
        <v>4004</v>
      </c>
      <c r="AX319" s="2" t="s">
        <v>4005</v>
      </c>
      <c r="AY319" s="2" t="s">
        <v>4006</v>
      </c>
      <c r="AZ319" s="2" t="s">
        <v>4006</v>
      </c>
      <c r="BA319" s="2" t="s">
        <v>4007</v>
      </c>
      <c r="BB319" s="2" t="s">
        <v>21</v>
      </c>
      <c r="BD319" s="2" t="s">
        <v>4008</v>
      </c>
      <c r="BE319" s="2" t="s">
        <v>4009</v>
      </c>
      <c r="BF319" s="2" t="s">
        <v>4010</v>
      </c>
    </row>
    <row r="320" spans="1:58" ht="41.25" customHeight="1" x14ac:dyDescent="0.25">
      <c r="A320" s="8" t="s">
        <v>5</v>
      </c>
      <c r="B320" s="1" t="s">
        <v>0</v>
      </c>
      <c r="C320" s="1" t="s">
        <v>1</v>
      </c>
      <c r="D320" s="1" t="s">
        <v>4011</v>
      </c>
      <c r="E320" s="1" t="s">
        <v>4012</v>
      </c>
      <c r="F320" s="1" t="s">
        <v>4013</v>
      </c>
      <c r="H320" s="2" t="s">
        <v>5</v>
      </c>
      <c r="I320" s="2" t="s">
        <v>6</v>
      </c>
      <c r="J320" s="2" t="s">
        <v>5</v>
      </c>
      <c r="K320" s="2" t="s">
        <v>5</v>
      </c>
      <c r="L320" s="2" t="s">
        <v>7</v>
      </c>
      <c r="M320" s="1" t="s">
        <v>4014</v>
      </c>
      <c r="N320" s="1" t="s">
        <v>4015</v>
      </c>
      <c r="O320" s="2" t="s">
        <v>872</v>
      </c>
      <c r="P320" s="1" t="s">
        <v>211</v>
      </c>
      <c r="Q320" s="2" t="s">
        <v>11</v>
      </c>
      <c r="R320" s="2" t="s">
        <v>12</v>
      </c>
      <c r="S320" s="1" t="s">
        <v>4016</v>
      </c>
      <c r="T320" s="2" t="s">
        <v>520</v>
      </c>
      <c r="U320" s="3">
        <v>0</v>
      </c>
      <c r="V320" s="3">
        <v>0</v>
      </c>
      <c r="W320" s="4" t="s">
        <v>3968</v>
      </c>
      <c r="X320" s="4" t="s">
        <v>3968</v>
      </c>
      <c r="Y320" s="4" t="s">
        <v>604</v>
      </c>
      <c r="Z320" s="4" t="s">
        <v>604</v>
      </c>
      <c r="AA320" s="3">
        <v>88</v>
      </c>
      <c r="AB320" s="3">
        <v>78</v>
      </c>
      <c r="AC320" s="3">
        <v>109</v>
      </c>
      <c r="AD320" s="3">
        <v>1</v>
      </c>
      <c r="AE320" s="3">
        <v>1</v>
      </c>
      <c r="AF320" s="3">
        <v>1</v>
      </c>
      <c r="AG320" s="3">
        <v>4</v>
      </c>
      <c r="AH320" s="3">
        <v>1</v>
      </c>
      <c r="AI320" s="3">
        <v>2</v>
      </c>
      <c r="AJ320" s="3">
        <v>0</v>
      </c>
      <c r="AK320" s="3">
        <v>0</v>
      </c>
      <c r="AL320" s="3">
        <v>1</v>
      </c>
      <c r="AM320" s="3">
        <v>3</v>
      </c>
      <c r="AN320" s="3">
        <v>0</v>
      </c>
      <c r="AO320" s="3">
        <v>0</v>
      </c>
      <c r="AP320" s="3">
        <v>0</v>
      </c>
      <c r="AQ320" s="3">
        <v>0</v>
      </c>
      <c r="AR320" s="2" t="s">
        <v>5</v>
      </c>
      <c r="AS320" s="2" t="s">
        <v>16</v>
      </c>
      <c r="AT320" s="5" t="str">
        <f>HYPERLINK("http://catalog.hathitrust.org/Record/002506801","HathiTrust Record")</f>
        <v>HathiTrust Record</v>
      </c>
      <c r="AU320" s="5" t="str">
        <f>HYPERLINK("https://creighton-primo.hosted.exlibrisgroup.com/primo-explore/search?tab=default_tab&amp;search_scope=EVERYTHING&amp;vid=01CRU&amp;lang=en_US&amp;offset=0&amp;query=any,contains,991000221749702656","Catalog Record")</f>
        <v>Catalog Record</v>
      </c>
      <c r="AV320" s="5" t="str">
        <f>HYPERLINK("http://www.worldcat.org/oclc/22815210","WorldCat Record")</f>
        <v>WorldCat Record</v>
      </c>
      <c r="AW320" s="2" t="s">
        <v>4017</v>
      </c>
      <c r="AX320" s="2" t="s">
        <v>4018</v>
      </c>
      <c r="AY320" s="2" t="s">
        <v>4019</v>
      </c>
      <c r="AZ320" s="2" t="s">
        <v>4019</v>
      </c>
      <c r="BA320" s="2" t="s">
        <v>4020</v>
      </c>
      <c r="BB320" s="2" t="s">
        <v>21</v>
      </c>
      <c r="BD320" s="2" t="s">
        <v>4021</v>
      </c>
      <c r="BE320" s="2" t="s">
        <v>4022</v>
      </c>
      <c r="BF320" s="2" t="s">
        <v>4023</v>
      </c>
    </row>
    <row r="321" spans="1:58" ht="41.25" customHeight="1" x14ac:dyDescent="0.25">
      <c r="A321" s="8" t="s">
        <v>5</v>
      </c>
      <c r="B321" s="1" t="s">
        <v>0</v>
      </c>
      <c r="C321" s="1" t="s">
        <v>1</v>
      </c>
      <c r="D321" s="1" t="s">
        <v>4024</v>
      </c>
      <c r="E321" s="1" t="s">
        <v>4025</v>
      </c>
      <c r="F321" s="1" t="s">
        <v>4026</v>
      </c>
      <c r="H321" s="2" t="s">
        <v>5</v>
      </c>
      <c r="I321" s="2" t="s">
        <v>6</v>
      </c>
      <c r="J321" s="2" t="s">
        <v>5</v>
      </c>
      <c r="K321" s="2" t="s">
        <v>5</v>
      </c>
      <c r="L321" s="2" t="s">
        <v>7</v>
      </c>
      <c r="M321" s="1" t="s">
        <v>4027</v>
      </c>
      <c r="N321" s="1" t="s">
        <v>4028</v>
      </c>
      <c r="O321" s="2" t="s">
        <v>1102</v>
      </c>
      <c r="P321" s="1" t="s">
        <v>1284</v>
      </c>
      <c r="Q321" s="2" t="s">
        <v>11</v>
      </c>
      <c r="R321" s="2" t="s">
        <v>12</v>
      </c>
      <c r="S321" s="1" t="s">
        <v>4029</v>
      </c>
      <c r="T321" s="2" t="s">
        <v>520</v>
      </c>
      <c r="U321" s="3">
        <v>1</v>
      </c>
      <c r="V321" s="3">
        <v>1</v>
      </c>
      <c r="W321" s="4" t="s">
        <v>4030</v>
      </c>
      <c r="X321" s="4" t="s">
        <v>4030</v>
      </c>
      <c r="Y321" s="4" t="s">
        <v>736</v>
      </c>
      <c r="Z321" s="4" t="s">
        <v>736</v>
      </c>
      <c r="AA321" s="3">
        <v>67</v>
      </c>
      <c r="AB321" s="3">
        <v>62</v>
      </c>
      <c r="AC321" s="3">
        <v>83</v>
      </c>
      <c r="AD321" s="3">
        <v>2</v>
      </c>
      <c r="AE321" s="3">
        <v>2</v>
      </c>
      <c r="AF321" s="3">
        <v>3</v>
      </c>
      <c r="AG321" s="3">
        <v>4</v>
      </c>
      <c r="AH321" s="3">
        <v>1</v>
      </c>
      <c r="AI321" s="3">
        <v>1</v>
      </c>
      <c r="AJ321" s="3">
        <v>0</v>
      </c>
      <c r="AK321" s="3">
        <v>1</v>
      </c>
      <c r="AL321" s="3">
        <v>3</v>
      </c>
      <c r="AM321" s="3">
        <v>3</v>
      </c>
      <c r="AN321" s="3">
        <v>0</v>
      </c>
      <c r="AO321" s="3">
        <v>0</v>
      </c>
      <c r="AP321" s="3">
        <v>0</v>
      </c>
      <c r="AQ321" s="3">
        <v>0</v>
      </c>
      <c r="AR321" s="2" t="s">
        <v>5</v>
      </c>
      <c r="AS321" s="2" t="s">
        <v>5</v>
      </c>
      <c r="AU321" s="5" t="str">
        <f>HYPERLINK("https://creighton-primo.hosted.exlibrisgroup.com/primo-explore/search?tab=default_tab&amp;search_scope=EVERYTHING&amp;vid=01CRU&amp;lang=en_US&amp;offset=0&amp;query=any,contains,991001389569702656","Catalog Record")</f>
        <v>Catalog Record</v>
      </c>
      <c r="AV321" s="5" t="str">
        <f>HYPERLINK("http://www.worldcat.org/oclc/14268024","WorldCat Record")</f>
        <v>WorldCat Record</v>
      </c>
      <c r="AW321" s="2" t="s">
        <v>4031</v>
      </c>
      <c r="AX321" s="2" t="s">
        <v>4032</v>
      </c>
      <c r="AY321" s="2" t="s">
        <v>4033</v>
      </c>
      <c r="AZ321" s="2" t="s">
        <v>4033</v>
      </c>
      <c r="BA321" s="2" t="s">
        <v>4034</v>
      </c>
      <c r="BB321" s="2" t="s">
        <v>21</v>
      </c>
      <c r="BD321" s="2" t="s">
        <v>4035</v>
      </c>
      <c r="BE321" s="2" t="s">
        <v>4036</v>
      </c>
      <c r="BF321" s="2" t="s">
        <v>4037</v>
      </c>
    </row>
    <row r="322" spans="1:58" ht="41.25" customHeight="1" x14ac:dyDescent="0.25">
      <c r="A322" s="8" t="s">
        <v>5</v>
      </c>
      <c r="B322" s="1" t="s">
        <v>0</v>
      </c>
      <c r="C322" s="1" t="s">
        <v>1</v>
      </c>
      <c r="D322" s="1" t="s">
        <v>4038</v>
      </c>
      <c r="E322" s="1" t="s">
        <v>4039</v>
      </c>
      <c r="F322" s="1" t="s">
        <v>4040</v>
      </c>
      <c r="H322" s="2" t="s">
        <v>5</v>
      </c>
      <c r="I322" s="2" t="s">
        <v>6</v>
      </c>
      <c r="J322" s="2" t="s">
        <v>5</v>
      </c>
      <c r="K322" s="2" t="s">
        <v>5</v>
      </c>
      <c r="L322" s="2" t="s">
        <v>7</v>
      </c>
      <c r="M322" s="1" t="s">
        <v>4041</v>
      </c>
      <c r="N322" s="1" t="s">
        <v>4042</v>
      </c>
      <c r="O322" s="2" t="s">
        <v>939</v>
      </c>
      <c r="Q322" s="2" t="s">
        <v>11</v>
      </c>
      <c r="R322" s="2" t="s">
        <v>12</v>
      </c>
      <c r="S322" s="1" t="s">
        <v>4043</v>
      </c>
      <c r="T322" s="2" t="s">
        <v>520</v>
      </c>
      <c r="U322" s="3">
        <v>6</v>
      </c>
      <c r="V322" s="3">
        <v>6</v>
      </c>
      <c r="W322" s="4" t="s">
        <v>4044</v>
      </c>
      <c r="X322" s="4" t="s">
        <v>4044</v>
      </c>
      <c r="Y322" s="4" t="s">
        <v>4045</v>
      </c>
      <c r="Z322" s="4" t="s">
        <v>4045</v>
      </c>
      <c r="AA322" s="3">
        <v>281</v>
      </c>
      <c r="AB322" s="3">
        <v>238</v>
      </c>
      <c r="AC322" s="3">
        <v>245</v>
      </c>
      <c r="AD322" s="3">
        <v>4</v>
      </c>
      <c r="AE322" s="3">
        <v>4</v>
      </c>
      <c r="AF322" s="3">
        <v>19</v>
      </c>
      <c r="AG322" s="3">
        <v>19</v>
      </c>
      <c r="AH322" s="3">
        <v>7</v>
      </c>
      <c r="AI322" s="3">
        <v>7</v>
      </c>
      <c r="AJ322" s="3">
        <v>4</v>
      </c>
      <c r="AK322" s="3">
        <v>4</v>
      </c>
      <c r="AL322" s="3">
        <v>11</v>
      </c>
      <c r="AM322" s="3">
        <v>11</v>
      </c>
      <c r="AN322" s="3">
        <v>2</v>
      </c>
      <c r="AO322" s="3">
        <v>2</v>
      </c>
      <c r="AP322" s="3">
        <v>0</v>
      </c>
      <c r="AQ322" s="3">
        <v>0</v>
      </c>
      <c r="AR322" s="2" t="s">
        <v>5</v>
      </c>
      <c r="AS322" s="2" t="s">
        <v>16</v>
      </c>
      <c r="AT322" s="5" t="str">
        <f>HYPERLINK("http://catalog.hathitrust.org/Record/002506751","HathiTrust Record")</f>
        <v>HathiTrust Record</v>
      </c>
      <c r="AU322" s="5" t="str">
        <f>HYPERLINK("https://creighton-primo.hosted.exlibrisgroup.com/primo-explore/search?tab=default_tab&amp;search_scope=EVERYTHING&amp;vid=01CRU&amp;lang=en_US&amp;offset=0&amp;query=any,contains,991001426339702656","Catalog Record")</f>
        <v>Catalog Record</v>
      </c>
      <c r="AV322" s="5" t="str">
        <f>HYPERLINK("http://www.worldcat.org/oclc/19982298","WorldCat Record")</f>
        <v>WorldCat Record</v>
      </c>
      <c r="AW322" s="2" t="s">
        <v>4046</v>
      </c>
      <c r="AX322" s="2" t="s">
        <v>4047</v>
      </c>
      <c r="AY322" s="2" t="s">
        <v>4048</v>
      </c>
      <c r="AZ322" s="2" t="s">
        <v>4048</v>
      </c>
      <c r="BA322" s="2" t="s">
        <v>4049</v>
      </c>
      <c r="BB322" s="2" t="s">
        <v>21</v>
      </c>
      <c r="BD322" s="2" t="s">
        <v>4050</v>
      </c>
      <c r="BE322" s="2" t="s">
        <v>4051</v>
      </c>
      <c r="BF322" s="2" t="s">
        <v>4052</v>
      </c>
    </row>
    <row r="323" spans="1:58" ht="41.25" customHeight="1" x14ac:dyDescent="0.25">
      <c r="A323" s="8" t="s">
        <v>5</v>
      </c>
      <c r="B323" s="1" t="s">
        <v>0</v>
      </c>
      <c r="C323" s="1" t="s">
        <v>1</v>
      </c>
      <c r="D323" s="1" t="s">
        <v>4053</v>
      </c>
      <c r="E323" s="1" t="s">
        <v>4054</v>
      </c>
      <c r="F323" s="1" t="s">
        <v>4055</v>
      </c>
      <c r="H323" s="2" t="s">
        <v>5</v>
      </c>
      <c r="I323" s="2" t="s">
        <v>6</v>
      </c>
      <c r="J323" s="2" t="s">
        <v>5</v>
      </c>
      <c r="K323" s="2" t="s">
        <v>5</v>
      </c>
      <c r="L323" s="2" t="s">
        <v>7</v>
      </c>
      <c r="M323" s="1" t="s">
        <v>4056</v>
      </c>
      <c r="N323" s="1" t="s">
        <v>2840</v>
      </c>
      <c r="O323" s="2" t="s">
        <v>872</v>
      </c>
      <c r="Q323" s="2" t="s">
        <v>11</v>
      </c>
      <c r="R323" s="2" t="s">
        <v>12</v>
      </c>
      <c r="S323" s="1" t="s">
        <v>4057</v>
      </c>
      <c r="T323" s="2" t="s">
        <v>520</v>
      </c>
      <c r="U323" s="3">
        <v>13</v>
      </c>
      <c r="V323" s="3">
        <v>13</v>
      </c>
      <c r="W323" s="4" t="s">
        <v>2762</v>
      </c>
      <c r="X323" s="4" t="s">
        <v>2762</v>
      </c>
      <c r="Y323" s="4" t="s">
        <v>2543</v>
      </c>
      <c r="Z323" s="4" t="s">
        <v>2543</v>
      </c>
      <c r="AA323" s="3">
        <v>327</v>
      </c>
      <c r="AB323" s="3">
        <v>277</v>
      </c>
      <c r="AC323" s="3">
        <v>284</v>
      </c>
      <c r="AD323" s="3">
        <v>4</v>
      </c>
      <c r="AE323" s="3">
        <v>4</v>
      </c>
      <c r="AF323" s="3">
        <v>18</v>
      </c>
      <c r="AG323" s="3">
        <v>18</v>
      </c>
      <c r="AH323" s="3">
        <v>7</v>
      </c>
      <c r="AI323" s="3">
        <v>7</v>
      </c>
      <c r="AJ323" s="3">
        <v>3</v>
      </c>
      <c r="AK323" s="3">
        <v>3</v>
      </c>
      <c r="AL323" s="3">
        <v>12</v>
      </c>
      <c r="AM323" s="3">
        <v>12</v>
      </c>
      <c r="AN323" s="3">
        <v>2</v>
      </c>
      <c r="AO323" s="3">
        <v>2</v>
      </c>
      <c r="AP323" s="3">
        <v>0</v>
      </c>
      <c r="AQ323" s="3">
        <v>0</v>
      </c>
      <c r="AR323" s="2" t="s">
        <v>5</v>
      </c>
      <c r="AS323" s="2" t="s">
        <v>16</v>
      </c>
      <c r="AT323" s="5" t="str">
        <f>HYPERLINK("http://catalog.hathitrust.org/Record/002508382","HathiTrust Record")</f>
        <v>HathiTrust Record</v>
      </c>
      <c r="AU323" s="5" t="str">
        <f>HYPERLINK("https://creighton-primo.hosted.exlibrisgroup.com/primo-explore/search?tab=default_tab&amp;search_scope=EVERYTHING&amp;vid=01CRU&amp;lang=en_US&amp;offset=0&amp;query=any,contains,991001311629702656","Catalog Record")</f>
        <v>Catalog Record</v>
      </c>
      <c r="AV323" s="5" t="str">
        <f>HYPERLINK("http://www.worldcat.org/oclc/20691602","WorldCat Record")</f>
        <v>WorldCat Record</v>
      </c>
      <c r="AW323" s="2" t="s">
        <v>4058</v>
      </c>
      <c r="AX323" s="2" t="s">
        <v>4059</v>
      </c>
      <c r="AY323" s="2" t="s">
        <v>4060</v>
      </c>
      <c r="AZ323" s="2" t="s">
        <v>4060</v>
      </c>
      <c r="BA323" s="2" t="s">
        <v>4061</v>
      </c>
      <c r="BB323" s="2" t="s">
        <v>21</v>
      </c>
      <c r="BD323" s="2" t="s">
        <v>4062</v>
      </c>
      <c r="BE323" s="2" t="s">
        <v>4063</v>
      </c>
      <c r="BF323" s="2" t="s">
        <v>4064</v>
      </c>
    </row>
    <row r="324" spans="1:58" ht="41.25" customHeight="1" x14ac:dyDescent="0.25">
      <c r="A324" s="8" t="s">
        <v>5</v>
      </c>
      <c r="B324" s="1" t="s">
        <v>0</v>
      </c>
      <c r="C324" s="1" t="s">
        <v>1</v>
      </c>
      <c r="D324" s="1" t="s">
        <v>4065</v>
      </c>
      <c r="E324" s="1" t="s">
        <v>4066</v>
      </c>
      <c r="F324" s="1" t="s">
        <v>4067</v>
      </c>
      <c r="H324" s="2" t="s">
        <v>5</v>
      </c>
      <c r="I324" s="2" t="s">
        <v>6</v>
      </c>
      <c r="J324" s="2" t="s">
        <v>5</v>
      </c>
      <c r="K324" s="2" t="s">
        <v>5</v>
      </c>
      <c r="L324" s="2" t="s">
        <v>7</v>
      </c>
      <c r="M324" s="1" t="s">
        <v>4068</v>
      </c>
      <c r="N324" s="1" t="s">
        <v>1220</v>
      </c>
      <c r="O324" s="2" t="s">
        <v>62</v>
      </c>
      <c r="P324" s="1" t="s">
        <v>1937</v>
      </c>
      <c r="Q324" s="2" t="s">
        <v>11</v>
      </c>
      <c r="R324" s="2" t="s">
        <v>12</v>
      </c>
      <c r="S324" s="1" t="s">
        <v>4069</v>
      </c>
      <c r="T324" s="2" t="s">
        <v>520</v>
      </c>
      <c r="U324" s="3">
        <v>1</v>
      </c>
      <c r="V324" s="3">
        <v>1</v>
      </c>
      <c r="W324" s="4" t="s">
        <v>1975</v>
      </c>
      <c r="X324" s="4" t="s">
        <v>1975</v>
      </c>
      <c r="Y324" s="4" t="s">
        <v>1718</v>
      </c>
      <c r="Z324" s="4" t="s">
        <v>1718</v>
      </c>
      <c r="AA324" s="3">
        <v>55</v>
      </c>
      <c r="AB324" s="3">
        <v>50</v>
      </c>
      <c r="AC324" s="3">
        <v>50</v>
      </c>
      <c r="AD324" s="3">
        <v>1</v>
      </c>
      <c r="AE324" s="3">
        <v>1</v>
      </c>
      <c r="AF324" s="3">
        <v>1</v>
      </c>
      <c r="AG324" s="3">
        <v>1</v>
      </c>
      <c r="AH324" s="3">
        <v>0</v>
      </c>
      <c r="AI324" s="3">
        <v>0</v>
      </c>
      <c r="AJ324" s="3">
        <v>0</v>
      </c>
      <c r="AK324" s="3">
        <v>0</v>
      </c>
      <c r="AL324" s="3">
        <v>1</v>
      </c>
      <c r="AM324" s="3">
        <v>1</v>
      </c>
      <c r="AN324" s="3">
        <v>0</v>
      </c>
      <c r="AO324" s="3">
        <v>0</v>
      </c>
      <c r="AP324" s="3">
        <v>0</v>
      </c>
      <c r="AQ324" s="3">
        <v>0</v>
      </c>
      <c r="AR324" s="2" t="s">
        <v>5</v>
      </c>
      <c r="AS324" s="2" t="s">
        <v>5</v>
      </c>
      <c r="AU324" s="5" t="str">
        <f>HYPERLINK("https://creighton-primo.hosted.exlibrisgroup.com/primo-explore/search?tab=default_tab&amp;search_scope=EVERYTHING&amp;vid=01CRU&amp;lang=en_US&amp;offset=0&amp;query=any,contains,991001381259702656","Catalog Record")</f>
        <v>Catalog Record</v>
      </c>
      <c r="AV324" s="5" t="str">
        <f>HYPERLINK("http://www.worldcat.org/oclc/5051578","WorldCat Record")</f>
        <v>WorldCat Record</v>
      </c>
      <c r="AW324" s="2" t="s">
        <v>4070</v>
      </c>
      <c r="AX324" s="2" t="s">
        <v>4071</v>
      </c>
      <c r="AY324" s="2" t="s">
        <v>4072</v>
      </c>
      <c r="AZ324" s="2" t="s">
        <v>4072</v>
      </c>
      <c r="BA324" s="2" t="s">
        <v>4073</v>
      </c>
      <c r="BB324" s="2" t="s">
        <v>21</v>
      </c>
      <c r="BE324" s="2" t="s">
        <v>4074</v>
      </c>
      <c r="BF324" s="2" t="s">
        <v>4075</v>
      </c>
    </row>
    <row r="325" spans="1:58" ht="41.25" customHeight="1" x14ac:dyDescent="0.25">
      <c r="A325" s="8" t="s">
        <v>5</v>
      </c>
      <c r="B325" s="1" t="s">
        <v>0</v>
      </c>
      <c r="C325" s="1" t="s">
        <v>1</v>
      </c>
      <c r="D325" s="1" t="s">
        <v>4076</v>
      </c>
      <c r="E325" s="1" t="s">
        <v>4077</v>
      </c>
      <c r="F325" s="1" t="s">
        <v>4078</v>
      </c>
      <c r="H325" s="2" t="s">
        <v>5</v>
      </c>
      <c r="I325" s="2" t="s">
        <v>6</v>
      </c>
      <c r="J325" s="2" t="s">
        <v>5</v>
      </c>
      <c r="K325" s="2" t="s">
        <v>5</v>
      </c>
      <c r="L325" s="2" t="s">
        <v>7</v>
      </c>
      <c r="M325" s="1" t="s">
        <v>4068</v>
      </c>
      <c r="N325" s="1" t="s">
        <v>4079</v>
      </c>
      <c r="O325" s="2" t="s">
        <v>354</v>
      </c>
      <c r="P325" s="1" t="s">
        <v>4080</v>
      </c>
      <c r="Q325" s="2" t="s">
        <v>11</v>
      </c>
      <c r="R325" s="2" t="s">
        <v>12</v>
      </c>
      <c r="S325" s="1" t="s">
        <v>4081</v>
      </c>
      <c r="T325" s="2" t="s">
        <v>520</v>
      </c>
      <c r="U325" s="3">
        <v>1</v>
      </c>
      <c r="V325" s="3">
        <v>1</v>
      </c>
      <c r="W325" s="4" t="s">
        <v>2775</v>
      </c>
      <c r="X325" s="4" t="s">
        <v>2775</v>
      </c>
      <c r="Y325" s="4" t="s">
        <v>1718</v>
      </c>
      <c r="Z325" s="4" t="s">
        <v>1718</v>
      </c>
      <c r="AA325" s="3">
        <v>28</v>
      </c>
      <c r="AB325" s="3">
        <v>27</v>
      </c>
      <c r="AC325" s="3">
        <v>27</v>
      </c>
      <c r="AD325" s="3">
        <v>1</v>
      </c>
      <c r="AE325" s="3">
        <v>1</v>
      </c>
      <c r="AF325" s="3">
        <v>0</v>
      </c>
      <c r="AG325" s="3">
        <v>0</v>
      </c>
      <c r="AH325" s="3">
        <v>0</v>
      </c>
      <c r="AI325" s="3">
        <v>0</v>
      </c>
      <c r="AJ325" s="3">
        <v>0</v>
      </c>
      <c r="AK325" s="3">
        <v>0</v>
      </c>
      <c r="AL325" s="3">
        <v>0</v>
      </c>
      <c r="AM325" s="3">
        <v>0</v>
      </c>
      <c r="AN325" s="3">
        <v>0</v>
      </c>
      <c r="AO325" s="3">
        <v>0</v>
      </c>
      <c r="AP325" s="3">
        <v>0</v>
      </c>
      <c r="AQ325" s="3">
        <v>0</v>
      </c>
      <c r="AR325" s="2" t="s">
        <v>5</v>
      </c>
      <c r="AS325" s="2" t="s">
        <v>5</v>
      </c>
      <c r="AU325" s="5" t="str">
        <f>HYPERLINK("https://creighton-primo.hosted.exlibrisgroup.com/primo-explore/search?tab=default_tab&amp;search_scope=EVERYTHING&amp;vid=01CRU&amp;lang=en_US&amp;offset=0&amp;query=any,contains,991001381749702656","Catalog Record")</f>
        <v>Catalog Record</v>
      </c>
      <c r="AV325" s="5" t="str">
        <f>HYPERLINK("http://www.worldcat.org/oclc/7112397","WorldCat Record")</f>
        <v>WorldCat Record</v>
      </c>
      <c r="AW325" s="2" t="s">
        <v>4082</v>
      </c>
      <c r="AX325" s="2" t="s">
        <v>4083</v>
      </c>
      <c r="AY325" s="2" t="s">
        <v>4084</v>
      </c>
      <c r="AZ325" s="2" t="s">
        <v>4084</v>
      </c>
      <c r="BA325" s="2" t="s">
        <v>4085</v>
      </c>
      <c r="BB325" s="2" t="s">
        <v>21</v>
      </c>
      <c r="BE325" s="2" t="s">
        <v>4086</v>
      </c>
      <c r="BF325" s="2" t="s">
        <v>4087</v>
      </c>
    </row>
    <row r="326" spans="1:58" ht="41.25" customHeight="1" x14ac:dyDescent="0.25">
      <c r="A326" s="8" t="s">
        <v>5</v>
      </c>
      <c r="B326" s="1" t="s">
        <v>0</v>
      </c>
      <c r="C326" s="1" t="s">
        <v>1</v>
      </c>
      <c r="D326" s="1" t="s">
        <v>4088</v>
      </c>
      <c r="E326" s="1" t="s">
        <v>4089</v>
      </c>
      <c r="F326" s="1" t="s">
        <v>4090</v>
      </c>
      <c r="H326" s="2" t="s">
        <v>5</v>
      </c>
      <c r="I326" s="2" t="s">
        <v>6</v>
      </c>
      <c r="J326" s="2" t="s">
        <v>5</v>
      </c>
      <c r="K326" s="2" t="s">
        <v>16</v>
      </c>
      <c r="L326" s="2" t="s">
        <v>7</v>
      </c>
      <c r="M326" s="1" t="s">
        <v>4091</v>
      </c>
      <c r="N326" s="1" t="s">
        <v>4092</v>
      </c>
      <c r="O326" s="2" t="s">
        <v>228</v>
      </c>
      <c r="Q326" s="2" t="s">
        <v>11</v>
      </c>
      <c r="R326" s="2" t="s">
        <v>3356</v>
      </c>
      <c r="T326" s="2" t="s">
        <v>520</v>
      </c>
      <c r="U326" s="3">
        <v>26</v>
      </c>
      <c r="V326" s="3">
        <v>26</v>
      </c>
      <c r="W326" s="4" t="s">
        <v>4093</v>
      </c>
      <c r="X326" s="4" t="s">
        <v>4093</v>
      </c>
      <c r="Y326" s="4" t="s">
        <v>329</v>
      </c>
      <c r="Z326" s="4" t="s">
        <v>329</v>
      </c>
      <c r="AA326" s="3">
        <v>269</v>
      </c>
      <c r="AB326" s="3">
        <v>219</v>
      </c>
      <c r="AC326" s="3">
        <v>681</v>
      </c>
      <c r="AD326" s="3">
        <v>1</v>
      </c>
      <c r="AE326" s="3">
        <v>5</v>
      </c>
      <c r="AF326" s="3">
        <v>8</v>
      </c>
      <c r="AG326" s="3">
        <v>31</v>
      </c>
      <c r="AH326" s="3">
        <v>2</v>
      </c>
      <c r="AI326" s="3">
        <v>13</v>
      </c>
      <c r="AJ326" s="3">
        <v>2</v>
      </c>
      <c r="AK326" s="3">
        <v>6</v>
      </c>
      <c r="AL326" s="3">
        <v>6</v>
      </c>
      <c r="AM326" s="3">
        <v>17</v>
      </c>
      <c r="AN326" s="3">
        <v>0</v>
      </c>
      <c r="AO326" s="3">
        <v>2</v>
      </c>
      <c r="AP326" s="3">
        <v>0</v>
      </c>
      <c r="AQ326" s="3">
        <v>0</v>
      </c>
      <c r="AR326" s="2" t="s">
        <v>5</v>
      </c>
      <c r="AS326" s="2" t="s">
        <v>16</v>
      </c>
      <c r="AT326" s="5" t="str">
        <f>HYPERLINK("http://catalog.hathitrust.org/Record/000163199","HathiTrust Record")</f>
        <v>HathiTrust Record</v>
      </c>
      <c r="AU326" s="5" t="str">
        <f>HYPERLINK("https://creighton-primo.hosted.exlibrisgroup.com/primo-explore/search?tab=default_tab&amp;search_scope=EVERYTHING&amp;vid=01CRU&amp;lang=en_US&amp;offset=0&amp;query=any,contains,991000740079702656","Catalog Record")</f>
        <v>Catalog Record</v>
      </c>
      <c r="AV326" s="5" t="str">
        <f>HYPERLINK("http://www.worldcat.org/oclc/8170097","WorldCat Record")</f>
        <v>WorldCat Record</v>
      </c>
      <c r="AW326" s="2" t="s">
        <v>4094</v>
      </c>
      <c r="AX326" s="2" t="s">
        <v>4095</v>
      </c>
      <c r="AY326" s="2" t="s">
        <v>4096</v>
      </c>
      <c r="AZ326" s="2" t="s">
        <v>4096</v>
      </c>
      <c r="BA326" s="2" t="s">
        <v>4097</v>
      </c>
      <c r="BB326" s="2" t="s">
        <v>21</v>
      </c>
      <c r="BD326" s="2" t="s">
        <v>4098</v>
      </c>
      <c r="BE326" s="2" t="s">
        <v>4099</v>
      </c>
      <c r="BF326" s="2" t="s">
        <v>4100</v>
      </c>
    </row>
    <row r="327" spans="1:58" ht="41.25" customHeight="1" x14ac:dyDescent="0.25">
      <c r="A327" s="8" t="s">
        <v>5</v>
      </c>
      <c r="B327" s="1" t="s">
        <v>0</v>
      </c>
      <c r="C327" s="1" t="s">
        <v>1</v>
      </c>
      <c r="D327" s="1" t="s">
        <v>4101</v>
      </c>
      <c r="E327" s="1" t="s">
        <v>4102</v>
      </c>
      <c r="F327" s="1" t="s">
        <v>4103</v>
      </c>
      <c r="H327" s="2" t="s">
        <v>5</v>
      </c>
      <c r="I327" s="2" t="s">
        <v>6</v>
      </c>
      <c r="J327" s="2" t="s">
        <v>5</v>
      </c>
      <c r="K327" s="2" t="s">
        <v>5</v>
      </c>
      <c r="L327" s="2" t="s">
        <v>7</v>
      </c>
      <c r="M327" s="1" t="s">
        <v>4104</v>
      </c>
      <c r="N327" s="1" t="s">
        <v>4105</v>
      </c>
      <c r="O327" s="2" t="s">
        <v>92</v>
      </c>
      <c r="Q327" s="2" t="s">
        <v>11</v>
      </c>
      <c r="R327" s="2" t="s">
        <v>93</v>
      </c>
      <c r="T327" s="2" t="s">
        <v>520</v>
      </c>
      <c r="U327" s="3">
        <v>2</v>
      </c>
      <c r="V327" s="3">
        <v>2</v>
      </c>
      <c r="W327" s="4" t="s">
        <v>4106</v>
      </c>
      <c r="X327" s="4" t="s">
        <v>4106</v>
      </c>
      <c r="Y327" s="4" t="s">
        <v>4106</v>
      </c>
      <c r="Z327" s="4" t="s">
        <v>4106</v>
      </c>
      <c r="AA327" s="3">
        <v>16</v>
      </c>
      <c r="AB327" s="3">
        <v>15</v>
      </c>
      <c r="AC327" s="3">
        <v>15</v>
      </c>
      <c r="AD327" s="3">
        <v>1</v>
      </c>
      <c r="AE327" s="3">
        <v>1</v>
      </c>
      <c r="AF327" s="3">
        <v>1</v>
      </c>
      <c r="AG327" s="3">
        <v>1</v>
      </c>
      <c r="AH327" s="3">
        <v>0</v>
      </c>
      <c r="AI327" s="3">
        <v>0</v>
      </c>
      <c r="AJ327" s="3">
        <v>0</v>
      </c>
      <c r="AK327" s="3">
        <v>0</v>
      </c>
      <c r="AL327" s="3">
        <v>1</v>
      </c>
      <c r="AM327" s="3">
        <v>1</v>
      </c>
      <c r="AN327" s="3">
        <v>0</v>
      </c>
      <c r="AO327" s="3">
        <v>0</v>
      </c>
      <c r="AP327" s="3">
        <v>0</v>
      </c>
      <c r="AQ327" s="3">
        <v>0</v>
      </c>
      <c r="AR327" s="2" t="s">
        <v>5</v>
      </c>
      <c r="AS327" s="2" t="s">
        <v>5</v>
      </c>
      <c r="AU327" s="5" t="str">
        <f>HYPERLINK("https://creighton-primo.hosted.exlibrisgroup.com/primo-explore/search?tab=default_tab&amp;search_scope=EVERYTHING&amp;vid=01CRU&amp;lang=en_US&amp;offset=0&amp;query=any,contains,991000817069702656","Catalog Record")</f>
        <v>Catalog Record</v>
      </c>
      <c r="AV327" s="5" t="str">
        <f>HYPERLINK("http://www.worldcat.org/oclc/3857451","WorldCat Record")</f>
        <v>WorldCat Record</v>
      </c>
      <c r="AW327" s="2" t="s">
        <v>4107</v>
      </c>
      <c r="AX327" s="2" t="s">
        <v>4108</v>
      </c>
      <c r="AY327" s="2" t="s">
        <v>4109</v>
      </c>
      <c r="AZ327" s="2" t="s">
        <v>4109</v>
      </c>
      <c r="BA327" s="2" t="s">
        <v>4110</v>
      </c>
      <c r="BB327" s="2" t="s">
        <v>21</v>
      </c>
      <c r="BE327" s="2" t="s">
        <v>4111</v>
      </c>
      <c r="BF327" s="2" t="s">
        <v>4112</v>
      </c>
    </row>
    <row r="328" spans="1:58" ht="41.25" customHeight="1" x14ac:dyDescent="0.25">
      <c r="A328" s="8" t="s">
        <v>5</v>
      </c>
      <c r="B328" s="1" t="s">
        <v>0</v>
      </c>
      <c r="C328" s="1" t="s">
        <v>1</v>
      </c>
      <c r="D328" s="1" t="s">
        <v>4113</v>
      </c>
      <c r="E328" s="1" t="s">
        <v>4114</v>
      </c>
      <c r="F328" s="1" t="s">
        <v>4115</v>
      </c>
      <c r="H328" s="2" t="s">
        <v>5</v>
      </c>
      <c r="I328" s="2" t="s">
        <v>6</v>
      </c>
      <c r="J328" s="2" t="s">
        <v>5</v>
      </c>
      <c r="K328" s="2" t="s">
        <v>5</v>
      </c>
      <c r="L328" s="2" t="s">
        <v>7</v>
      </c>
      <c r="M328" s="1" t="s">
        <v>2642</v>
      </c>
      <c r="N328" s="1" t="s">
        <v>3263</v>
      </c>
      <c r="O328" s="2" t="s">
        <v>10</v>
      </c>
      <c r="Q328" s="2" t="s">
        <v>11</v>
      </c>
      <c r="R328" s="2" t="s">
        <v>12</v>
      </c>
      <c r="S328" s="1" t="s">
        <v>3264</v>
      </c>
      <c r="T328" s="2" t="s">
        <v>520</v>
      </c>
      <c r="U328" s="3">
        <v>1</v>
      </c>
      <c r="V328" s="3">
        <v>1</v>
      </c>
      <c r="W328" s="4" t="s">
        <v>3265</v>
      </c>
      <c r="X328" s="4" t="s">
        <v>3265</v>
      </c>
      <c r="Y328" s="4" t="s">
        <v>168</v>
      </c>
      <c r="Z328" s="4" t="s">
        <v>168</v>
      </c>
      <c r="AA328" s="3">
        <v>192</v>
      </c>
      <c r="AB328" s="3">
        <v>142</v>
      </c>
      <c r="AC328" s="3">
        <v>143</v>
      </c>
      <c r="AD328" s="3">
        <v>2</v>
      </c>
      <c r="AE328" s="3">
        <v>2</v>
      </c>
      <c r="AF328" s="3">
        <v>4</v>
      </c>
      <c r="AG328" s="3">
        <v>4</v>
      </c>
      <c r="AH328" s="3">
        <v>1</v>
      </c>
      <c r="AI328" s="3">
        <v>1</v>
      </c>
      <c r="AJ328" s="3">
        <v>1</v>
      </c>
      <c r="AK328" s="3">
        <v>1</v>
      </c>
      <c r="AL328" s="3">
        <v>2</v>
      </c>
      <c r="AM328" s="3">
        <v>2</v>
      </c>
      <c r="AN328" s="3">
        <v>1</v>
      </c>
      <c r="AO328" s="3">
        <v>1</v>
      </c>
      <c r="AP328" s="3">
        <v>0</v>
      </c>
      <c r="AQ328" s="3">
        <v>0</v>
      </c>
      <c r="AR328" s="2" t="s">
        <v>5</v>
      </c>
      <c r="AS328" s="2" t="s">
        <v>16</v>
      </c>
      <c r="AT328" s="5" t="str">
        <f>HYPERLINK("http://catalog.hathitrust.org/Record/004445806","HathiTrust Record")</f>
        <v>HathiTrust Record</v>
      </c>
      <c r="AU328" s="5" t="str">
        <f>HYPERLINK("https://creighton-primo.hosted.exlibrisgroup.com/primo-explore/search?tab=default_tab&amp;search_scope=EVERYTHING&amp;vid=01CRU&amp;lang=en_US&amp;offset=0&amp;query=any,contains,991001040289702656","Catalog Record")</f>
        <v>Catalog Record</v>
      </c>
      <c r="AV328" s="5" t="str">
        <f>HYPERLINK("http://www.worldcat.org/oclc/2837276","WorldCat Record")</f>
        <v>WorldCat Record</v>
      </c>
      <c r="AW328" s="2" t="s">
        <v>4116</v>
      </c>
      <c r="AX328" s="2" t="s">
        <v>4117</v>
      </c>
      <c r="AY328" s="2" t="s">
        <v>4118</v>
      </c>
      <c r="AZ328" s="2" t="s">
        <v>4118</v>
      </c>
      <c r="BA328" s="2" t="s">
        <v>4119</v>
      </c>
      <c r="BB328" s="2" t="s">
        <v>21</v>
      </c>
      <c r="BD328" s="2" t="s">
        <v>4120</v>
      </c>
      <c r="BE328" s="2" t="s">
        <v>4121</v>
      </c>
      <c r="BF328" s="2" t="s">
        <v>4122</v>
      </c>
    </row>
    <row r="329" spans="1:58" ht="41.25" customHeight="1" x14ac:dyDescent="0.25">
      <c r="A329" s="8" t="s">
        <v>5</v>
      </c>
      <c r="B329" s="1" t="s">
        <v>0</v>
      </c>
      <c r="C329" s="1" t="s">
        <v>1</v>
      </c>
      <c r="D329" s="1" t="s">
        <v>4123</v>
      </c>
      <c r="E329" s="1" t="s">
        <v>4124</v>
      </c>
      <c r="F329" s="1" t="s">
        <v>4125</v>
      </c>
      <c r="H329" s="2" t="s">
        <v>5</v>
      </c>
      <c r="I329" s="2" t="s">
        <v>6</v>
      </c>
      <c r="J329" s="2" t="s">
        <v>5</v>
      </c>
      <c r="K329" s="2" t="s">
        <v>5</v>
      </c>
      <c r="L329" s="2" t="s">
        <v>7</v>
      </c>
      <c r="M329" s="1" t="s">
        <v>4126</v>
      </c>
      <c r="N329" s="1" t="s">
        <v>1220</v>
      </c>
      <c r="O329" s="2" t="s">
        <v>62</v>
      </c>
      <c r="Q329" s="2" t="s">
        <v>11</v>
      </c>
      <c r="R329" s="2" t="s">
        <v>12</v>
      </c>
      <c r="S329" s="1" t="s">
        <v>4127</v>
      </c>
      <c r="T329" s="2" t="s">
        <v>520</v>
      </c>
      <c r="U329" s="3">
        <v>1</v>
      </c>
      <c r="V329" s="3">
        <v>1</v>
      </c>
      <c r="W329" s="4" t="s">
        <v>3195</v>
      </c>
      <c r="X329" s="4" t="s">
        <v>3195</v>
      </c>
      <c r="Y329" s="4" t="s">
        <v>1718</v>
      </c>
      <c r="Z329" s="4" t="s">
        <v>1718</v>
      </c>
      <c r="AA329" s="3">
        <v>93</v>
      </c>
      <c r="AB329" s="3">
        <v>80</v>
      </c>
      <c r="AC329" s="3">
        <v>80</v>
      </c>
      <c r="AD329" s="3">
        <v>1</v>
      </c>
      <c r="AE329" s="3">
        <v>1</v>
      </c>
      <c r="AF329" s="3">
        <v>4</v>
      </c>
      <c r="AG329" s="3">
        <v>4</v>
      </c>
      <c r="AH329" s="3">
        <v>0</v>
      </c>
      <c r="AI329" s="3">
        <v>0</v>
      </c>
      <c r="AJ329" s="3">
        <v>0</v>
      </c>
      <c r="AK329" s="3">
        <v>0</v>
      </c>
      <c r="AL329" s="3">
        <v>4</v>
      </c>
      <c r="AM329" s="3">
        <v>4</v>
      </c>
      <c r="AN329" s="3">
        <v>0</v>
      </c>
      <c r="AO329" s="3">
        <v>0</v>
      </c>
      <c r="AP329" s="3">
        <v>0</v>
      </c>
      <c r="AQ329" s="3">
        <v>0</v>
      </c>
      <c r="AR329" s="2" t="s">
        <v>5</v>
      </c>
      <c r="AS329" s="2" t="s">
        <v>5</v>
      </c>
      <c r="AU329" s="5" t="str">
        <f>HYPERLINK("https://creighton-primo.hosted.exlibrisgroup.com/primo-explore/search?tab=default_tab&amp;search_scope=EVERYTHING&amp;vid=01CRU&amp;lang=en_US&amp;offset=0&amp;query=any,contains,991001381169702656","Catalog Record")</f>
        <v>Catalog Record</v>
      </c>
      <c r="AV329" s="5" t="str">
        <f>HYPERLINK("http://www.worldcat.org/oclc/3632726","WorldCat Record")</f>
        <v>WorldCat Record</v>
      </c>
      <c r="AW329" s="2" t="s">
        <v>4128</v>
      </c>
      <c r="AX329" s="2" t="s">
        <v>4129</v>
      </c>
      <c r="AY329" s="2" t="s">
        <v>4130</v>
      </c>
      <c r="AZ329" s="2" t="s">
        <v>4130</v>
      </c>
      <c r="BA329" s="2" t="s">
        <v>4131</v>
      </c>
      <c r="BB329" s="2" t="s">
        <v>21</v>
      </c>
      <c r="BE329" s="2" t="s">
        <v>4132</v>
      </c>
      <c r="BF329" s="2" t="s">
        <v>4133</v>
      </c>
    </row>
    <row r="330" spans="1:58" ht="41.25" customHeight="1" x14ac:dyDescent="0.25">
      <c r="A330" s="8" t="s">
        <v>5</v>
      </c>
      <c r="B330" s="1" t="s">
        <v>0</v>
      </c>
      <c r="C330" s="1" t="s">
        <v>1</v>
      </c>
      <c r="D330" s="1" t="s">
        <v>4134</v>
      </c>
      <c r="E330" s="1" t="s">
        <v>4135</v>
      </c>
      <c r="F330" s="1" t="s">
        <v>4136</v>
      </c>
      <c r="H330" s="2" t="s">
        <v>5</v>
      </c>
      <c r="I330" s="2" t="s">
        <v>6</v>
      </c>
      <c r="J330" s="2" t="s">
        <v>5</v>
      </c>
      <c r="K330" s="2" t="s">
        <v>5</v>
      </c>
      <c r="L330" s="2" t="s">
        <v>7</v>
      </c>
      <c r="M330" s="1" t="s">
        <v>4137</v>
      </c>
      <c r="N330" s="1" t="s">
        <v>3402</v>
      </c>
      <c r="O330" s="2" t="s">
        <v>151</v>
      </c>
      <c r="Q330" s="2" t="s">
        <v>11</v>
      </c>
      <c r="R330" s="2" t="s">
        <v>93</v>
      </c>
      <c r="S330" s="1" t="s">
        <v>4138</v>
      </c>
      <c r="T330" s="2" t="s">
        <v>520</v>
      </c>
      <c r="U330" s="3">
        <v>1</v>
      </c>
      <c r="V330" s="3">
        <v>1</v>
      </c>
      <c r="W330" s="4" t="s">
        <v>1840</v>
      </c>
      <c r="X330" s="4" t="s">
        <v>1840</v>
      </c>
      <c r="Y330" s="4" t="s">
        <v>124</v>
      </c>
      <c r="Z330" s="4" t="s">
        <v>124</v>
      </c>
      <c r="AA330" s="3">
        <v>62</v>
      </c>
      <c r="AB330" s="3">
        <v>53</v>
      </c>
      <c r="AC330" s="3">
        <v>54</v>
      </c>
      <c r="AD330" s="3">
        <v>2</v>
      </c>
      <c r="AE330" s="3">
        <v>2</v>
      </c>
      <c r="AF330" s="3">
        <v>3</v>
      </c>
      <c r="AG330" s="3">
        <v>3</v>
      </c>
      <c r="AH330" s="3">
        <v>0</v>
      </c>
      <c r="AI330" s="3">
        <v>0</v>
      </c>
      <c r="AJ330" s="3">
        <v>0</v>
      </c>
      <c r="AK330" s="3">
        <v>0</v>
      </c>
      <c r="AL330" s="3">
        <v>2</v>
      </c>
      <c r="AM330" s="3">
        <v>2</v>
      </c>
      <c r="AN330" s="3">
        <v>1</v>
      </c>
      <c r="AO330" s="3">
        <v>1</v>
      </c>
      <c r="AP330" s="3">
        <v>0</v>
      </c>
      <c r="AQ330" s="3">
        <v>0</v>
      </c>
      <c r="AR330" s="2" t="s">
        <v>5</v>
      </c>
      <c r="AS330" s="2" t="s">
        <v>5</v>
      </c>
      <c r="AU330" s="5" t="str">
        <f>HYPERLINK("https://creighton-primo.hosted.exlibrisgroup.com/primo-explore/search?tab=default_tab&amp;search_scope=EVERYTHING&amp;vid=01CRU&amp;lang=en_US&amp;offset=0&amp;query=any,contains,991001368939702656","Catalog Record")</f>
        <v>Catalog Record</v>
      </c>
      <c r="AV330" s="5" t="str">
        <f>HYPERLINK("http://www.worldcat.org/oclc/1315779","WorldCat Record")</f>
        <v>WorldCat Record</v>
      </c>
      <c r="AW330" s="2" t="s">
        <v>4139</v>
      </c>
      <c r="AX330" s="2" t="s">
        <v>4140</v>
      </c>
      <c r="AY330" s="2" t="s">
        <v>4141</v>
      </c>
      <c r="AZ330" s="2" t="s">
        <v>4141</v>
      </c>
      <c r="BA330" s="2" t="s">
        <v>4142</v>
      </c>
      <c r="BB330" s="2" t="s">
        <v>21</v>
      </c>
      <c r="BE330" s="2" t="s">
        <v>4143</v>
      </c>
      <c r="BF330" s="2" t="s">
        <v>4144</v>
      </c>
    </row>
    <row r="331" spans="1:58" ht="41.25" customHeight="1" x14ac:dyDescent="0.25">
      <c r="A331" s="8" t="s">
        <v>5</v>
      </c>
      <c r="B331" s="1" t="s">
        <v>0</v>
      </c>
      <c r="C331" s="1" t="s">
        <v>1</v>
      </c>
      <c r="D331" s="1" t="s">
        <v>4145</v>
      </c>
      <c r="E331" s="1" t="s">
        <v>4146</v>
      </c>
      <c r="F331" s="1" t="s">
        <v>4147</v>
      </c>
      <c r="G331" s="2" t="s">
        <v>832</v>
      </c>
      <c r="H331" s="2" t="s">
        <v>5</v>
      </c>
      <c r="I331" s="2" t="s">
        <v>6</v>
      </c>
      <c r="J331" s="2" t="s">
        <v>5</v>
      </c>
      <c r="K331" s="2" t="s">
        <v>5</v>
      </c>
      <c r="L331" s="2" t="s">
        <v>7</v>
      </c>
      <c r="N331" s="1" t="s">
        <v>4148</v>
      </c>
      <c r="O331" s="2" t="s">
        <v>794</v>
      </c>
      <c r="Q331" s="2" t="s">
        <v>11</v>
      </c>
      <c r="R331" s="2" t="s">
        <v>12</v>
      </c>
      <c r="S331" s="1" t="s">
        <v>4149</v>
      </c>
      <c r="T331" s="2" t="s">
        <v>520</v>
      </c>
      <c r="U331" s="3">
        <v>0</v>
      </c>
      <c r="V331" s="3">
        <v>0</v>
      </c>
      <c r="W331" s="4" t="s">
        <v>903</v>
      </c>
      <c r="X331" s="4" t="s">
        <v>903</v>
      </c>
      <c r="Y331" s="4" t="s">
        <v>604</v>
      </c>
      <c r="Z331" s="4" t="s">
        <v>604</v>
      </c>
      <c r="AA331" s="3">
        <v>16</v>
      </c>
      <c r="AB331" s="3">
        <v>15</v>
      </c>
      <c r="AC331" s="3">
        <v>15</v>
      </c>
      <c r="AD331" s="3">
        <v>2</v>
      </c>
      <c r="AE331" s="3">
        <v>2</v>
      </c>
      <c r="AF331" s="3">
        <v>2</v>
      </c>
      <c r="AG331" s="3">
        <v>2</v>
      </c>
      <c r="AH331" s="3">
        <v>1</v>
      </c>
      <c r="AI331" s="3">
        <v>1</v>
      </c>
      <c r="AJ331" s="3">
        <v>1</v>
      </c>
      <c r="AK331" s="3">
        <v>1</v>
      </c>
      <c r="AL331" s="3">
        <v>0</v>
      </c>
      <c r="AM331" s="3">
        <v>0</v>
      </c>
      <c r="AN331" s="3">
        <v>0</v>
      </c>
      <c r="AO331" s="3">
        <v>0</v>
      </c>
      <c r="AP331" s="3">
        <v>0</v>
      </c>
      <c r="AQ331" s="3">
        <v>0</v>
      </c>
      <c r="AR331" s="2" t="s">
        <v>5</v>
      </c>
      <c r="AS331" s="2" t="s">
        <v>5</v>
      </c>
      <c r="AU331" s="5" t="str">
        <f>HYPERLINK("https://creighton-primo.hosted.exlibrisgroup.com/primo-explore/search?tab=default_tab&amp;search_scope=EVERYTHING&amp;vid=01CRU&amp;lang=en_US&amp;offset=0&amp;query=any,contains,991000265979702656","Catalog Record")</f>
        <v>Catalog Record</v>
      </c>
      <c r="AV331" s="5" t="str">
        <f>HYPERLINK("http://www.worldcat.org/oclc/36827489","WorldCat Record")</f>
        <v>WorldCat Record</v>
      </c>
      <c r="AW331" s="2" t="s">
        <v>4150</v>
      </c>
      <c r="AX331" s="2" t="s">
        <v>4151</v>
      </c>
      <c r="AY331" s="2" t="s">
        <v>4152</v>
      </c>
      <c r="AZ331" s="2" t="s">
        <v>4152</v>
      </c>
      <c r="BA331" s="2" t="s">
        <v>4153</v>
      </c>
      <c r="BB331" s="2" t="s">
        <v>21</v>
      </c>
      <c r="BD331" s="2" t="s">
        <v>4154</v>
      </c>
      <c r="BE331" s="2" t="s">
        <v>4155</v>
      </c>
      <c r="BF331" s="2" t="s">
        <v>4156</v>
      </c>
    </row>
    <row r="332" spans="1:58" ht="41.25" customHeight="1" x14ac:dyDescent="0.25">
      <c r="A332" s="8" t="s">
        <v>5</v>
      </c>
      <c r="B332" s="1" t="s">
        <v>0</v>
      </c>
      <c r="C332" s="1" t="s">
        <v>1</v>
      </c>
      <c r="D332" s="1" t="s">
        <v>4157</v>
      </c>
      <c r="E332" s="1" t="s">
        <v>4158</v>
      </c>
      <c r="F332" s="1" t="s">
        <v>4159</v>
      </c>
      <c r="H332" s="2" t="s">
        <v>5</v>
      </c>
      <c r="I332" s="2" t="s">
        <v>6</v>
      </c>
      <c r="J332" s="2" t="s">
        <v>5</v>
      </c>
      <c r="K332" s="2" t="s">
        <v>5</v>
      </c>
      <c r="L332" s="2" t="s">
        <v>7</v>
      </c>
      <c r="N332" s="1" t="s">
        <v>4160</v>
      </c>
      <c r="O332" s="2" t="s">
        <v>1283</v>
      </c>
      <c r="Q332" s="2" t="s">
        <v>11</v>
      </c>
      <c r="R332" s="2" t="s">
        <v>12</v>
      </c>
      <c r="S332" s="1" t="s">
        <v>4161</v>
      </c>
      <c r="T332" s="2" t="s">
        <v>520</v>
      </c>
      <c r="U332" s="3">
        <v>6</v>
      </c>
      <c r="V332" s="3">
        <v>6</v>
      </c>
      <c r="W332" s="4" t="s">
        <v>4162</v>
      </c>
      <c r="X332" s="4" t="s">
        <v>4162</v>
      </c>
      <c r="Y332" s="4" t="s">
        <v>4162</v>
      </c>
      <c r="Z332" s="4" t="s">
        <v>4162</v>
      </c>
      <c r="AA332" s="3">
        <v>31</v>
      </c>
      <c r="AB332" s="3">
        <v>21</v>
      </c>
      <c r="AC332" s="3">
        <v>21</v>
      </c>
      <c r="AD332" s="3">
        <v>1</v>
      </c>
      <c r="AE332" s="3">
        <v>1</v>
      </c>
      <c r="AF332" s="3">
        <v>3</v>
      </c>
      <c r="AG332" s="3">
        <v>3</v>
      </c>
      <c r="AH332" s="3">
        <v>2</v>
      </c>
      <c r="AI332" s="3">
        <v>2</v>
      </c>
      <c r="AJ332" s="3">
        <v>0</v>
      </c>
      <c r="AK332" s="3">
        <v>0</v>
      </c>
      <c r="AL332" s="3">
        <v>1</v>
      </c>
      <c r="AM332" s="3">
        <v>1</v>
      </c>
      <c r="AN332" s="3">
        <v>0</v>
      </c>
      <c r="AO332" s="3">
        <v>0</v>
      </c>
      <c r="AP332" s="3">
        <v>0</v>
      </c>
      <c r="AQ332" s="3">
        <v>0</v>
      </c>
      <c r="AR332" s="2" t="s">
        <v>5</v>
      </c>
      <c r="AS332" s="2" t="s">
        <v>5</v>
      </c>
      <c r="AU332" s="5" t="str">
        <f>HYPERLINK("https://creighton-primo.hosted.exlibrisgroup.com/primo-explore/search?tab=default_tab&amp;search_scope=EVERYTHING&amp;vid=01CRU&amp;lang=en_US&amp;offset=0&amp;query=any,contains,991000267589702656","Catalog Record")</f>
        <v>Catalog Record</v>
      </c>
      <c r="AV332" s="5" t="str">
        <f>HYPERLINK("http://www.worldcat.org/oclc/37823259","WorldCat Record")</f>
        <v>WorldCat Record</v>
      </c>
      <c r="AW332" s="2" t="s">
        <v>4163</v>
      </c>
      <c r="AX332" s="2" t="s">
        <v>4164</v>
      </c>
      <c r="AY332" s="2" t="s">
        <v>4165</v>
      </c>
      <c r="AZ332" s="2" t="s">
        <v>4165</v>
      </c>
      <c r="BA332" s="2" t="s">
        <v>4166</v>
      </c>
      <c r="BB332" s="2" t="s">
        <v>21</v>
      </c>
      <c r="BD332" s="2" t="s">
        <v>4167</v>
      </c>
      <c r="BE332" s="2" t="s">
        <v>4168</v>
      </c>
      <c r="BF332" s="2" t="s">
        <v>4169</v>
      </c>
    </row>
    <row r="333" spans="1:58" ht="41.25" customHeight="1" x14ac:dyDescent="0.25">
      <c r="A333" s="8" t="s">
        <v>5</v>
      </c>
      <c r="B333" s="1" t="s">
        <v>0</v>
      </c>
      <c r="C333" s="1" t="s">
        <v>1</v>
      </c>
      <c r="D333" s="1" t="s">
        <v>4170</v>
      </c>
      <c r="E333" s="1" t="s">
        <v>4171</v>
      </c>
      <c r="F333" s="1" t="s">
        <v>4172</v>
      </c>
      <c r="G333" s="2" t="s">
        <v>4173</v>
      </c>
      <c r="H333" s="2" t="s">
        <v>5</v>
      </c>
      <c r="I333" s="2" t="s">
        <v>6</v>
      </c>
      <c r="J333" s="2" t="s">
        <v>5</v>
      </c>
      <c r="K333" s="2" t="s">
        <v>5</v>
      </c>
      <c r="L333" s="2" t="s">
        <v>7</v>
      </c>
      <c r="N333" s="1" t="s">
        <v>4174</v>
      </c>
      <c r="O333" s="2" t="s">
        <v>794</v>
      </c>
      <c r="Q333" s="2" t="s">
        <v>11</v>
      </c>
      <c r="R333" s="2" t="s">
        <v>12</v>
      </c>
      <c r="S333" s="1" t="s">
        <v>4175</v>
      </c>
      <c r="T333" s="2" t="s">
        <v>520</v>
      </c>
      <c r="U333" s="3">
        <v>0</v>
      </c>
      <c r="V333" s="3">
        <v>0</v>
      </c>
      <c r="W333" s="4" t="s">
        <v>903</v>
      </c>
      <c r="X333" s="4" t="s">
        <v>903</v>
      </c>
      <c r="Y333" s="4" t="s">
        <v>604</v>
      </c>
      <c r="Z333" s="4" t="s">
        <v>604</v>
      </c>
      <c r="AA333" s="3">
        <v>27</v>
      </c>
      <c r="AB333" s="3">
        <v>26</v>
      </c>
      <c r="AC333" s="3">
        <v>26</v>
      </c>
      <c r="AD333" s="3">
        <v>2</v>
      </c>
      <c r="AE333" s="3">
        <v>2</v>
      </c>
      <c r="AF333" s="3">
        <v>2</v>
      </c>
      <c r="AG333" s="3">
        <v>2</v>
      </c>
      <c r="AH333" s="3">
        <v>1</v>
      </c>
      <c r="AI333" s="3">
        <v>1</v>
      </c>
      <c r="AJ333" s="3">
        <v>0</v>
      </c>
      <c r="AK333" s="3">
        <v>0</v>
      </c>
      <c r="AL333" s="3">
        <v>1</v>
      </c>
      <c r="AM333" s="3">
        <v>1</v>
      </c>
      <c r="AN333" s="3">
        <v>0</v>
      </c>
      <c r="AO333" s="3">
        <v>0</v>
      </c>
      <c r="AP333" s="3">
        <v>0</v>
      </c>
      <c r="AQ333" s="3">
        <v>0</v>
      </c>
      <c r="AR333" s="2" t="s">
        <v>5</v>
      </c>
      <c r="AS333" s="2" t="s">
        <v>5</v>
      </c>
      <c r="AU333" s="5" t="str">
        <f>HYPERLINK("https://creighton-primo.hosted.exlibrisgroup.com/primo-explore/search?tab=default_tab&amp;search_scope=EVERYTHING&amp;vid=01CRU&amp;lang=en_US&amp;offset=0&amp;query=any,contains,991000263899702656","Catalog Record")</f>
        <v>Catalog Record</v>
      </c>
      <c r="AV333" s="5" t="str">
        <f>HYPERLINK("http://www.worldcat.org/oclc/35845439","WorldCat Record")</f>
        <v>WorldCat Record</v>
      </c>
      <c r="AW333" s="2" t="s">
        <v>4176</v>
      </c>
      <c r="AX333" s="2" t="s">
        <v>4177</v>
      </c>
      <c r="AY333" s="2" t="s">
        <v>4178</v>
      </c>
      <c r="AZ333" s="2" t="s">
        <v>4178</v>
      </c>
      <c r="BA333" s="2" t="s">
        <v>4179</v>
      </c>
      <c r="BB333" s="2" t="s">
        <v>21</v>
      </c>
      <c r="BD333" s="2" t="s">
        <v>4180</v>
      </c>
      <c r="BE333" s="2" t="s">
        <v>4181</v>
      </c>
      <c r="BF333" s="2" t="s">
        <v>4182</v>
      </c>
    </row>
    <row r="334" spans="1:58" ht="41.25" customHeight="1" x14ac:dyDescent="0.25">
      <c r="A334" s="8" t="s">
        <v>5</v>
      </c>
      <c r="B334" s="1" t="s">
        <v>0</v>
      </c>
      <c r="C334" s="1" t="s">
        <v>1</v>
      </c>
      <c r="D334" s="1" t="s">
        <v>4183</v>
      </c>
      <c r="E334" s="1" t="s">
        <v>4184</v>
      </c>
      <c r="F334" s="1" t="s">
        <v>4185</v>
      </c>
      <c r="H334" s="2" t="s">
        <v>5</v>
      </c>
      <c r="I334" s="2" t="s">
        <v>6</v>
      </c>
      <c r="J334" s="2" t="s">
        <v>5</v>
      </c>
      <c r="K334" s="2" t="s">
        <v>5</v>
      </c>
      <c r="L334" s="2" t="s">
        <v>7</v>
      </c>
      <c r="N334" s="1" t="s">
        <v>4186</v>
      </c>
      <c r="O334" s="2" t="s">
        <v>872</v>
      </c>
      <c r="Q334" s="2" t="s">
        <v>11</v>
      </c>
      <c r="R334" s="2" t="s">
        <v>12</v>
      </c>
      <c r="S334" s="1" t="s">
        <v>4187</v>
      </c>
      <c r="T334" s="2" t="s">
        <v>520</v>
      </c>
      <c r="U334" s="3">
        <v>3</v>
      </c>
      <c r="V334" s="3">
        <v>3</v>
      </c>
      <c r="W334" s="4" t="s">
        <v>4188</v>
      </c>
      <c r="X334" s="4" t="s">
        <v>4188</v>
      </c>
      <c r="Y334" s="4" t="s">
        <v>4189</v>
      </c>
      <c r="Z334" s="4" t="s">
        <v>4189</v>
      </c>
      <c r="AA334" s="3">
        <v>21</v>
      </c>
      <c r="AB334" s="3">
        <v>18</v>
      </c>
      <c r="AC334" s="3">
        <v>18</v>
      </c>
      <c r="AD334" s="3">
        <v>1</v>
      </c>
      <c r="AE334" s="3">
        <v>1</v>
      </c>
      <c r="AF334" s="3">
        <v>0</v>
      </c>
      <c r="AG334" s="3">
        <v>0</v>
      </c>
      <c r="AH334" s="3">
        <v>0</v>
      </c>
      <c r="AI334" s="3">
        <v>0</v>
      </c>
      <c r="AJ334" s="3">
        <v>0</v>
      </c>
      <c r="AK334" s="3">
        <v>0</v>
      </c>
      <c r="AL334" s="3">
        <v>0</v>
      </c>
      <c r="AM334" s="3">
        <v>0</v>
      </c>
      <c r="AN334" s="3">
        <v>0</v>
      </c>
      <c r="AO334" s="3">
        <v>0</v>
      </c>
      <c r="AP334" s="3">
        <v>0</v>
      </c>
      <c r="AQ334" s="3">
        <v>0</v>
      </c>
      <c r="AR334" s="2" t="s">
        <v>5</v>
      </c>
      <c r="AS334" s="2" t="s">
        <v>5</v>
      </c>
      <c r="AU334" s="5" t="str">
        <f>HYPERLINK("https://creighton-primo.hosted.exlibrisgroup.com/primo-explore/search?tab=default_tab&amp;search_scope=EVERYTHING&amp;vid=01CRU&amp;lang=en_US&amp;offset=0&amp;query=any,contains,991001248869702656","Catalog Record")</f>
        <v>Catalog Record</v>
      </c>
      <c r="AV334" s="5" t="str">
        <f>HYPERLINK("http://www.worldcat.org/oclc/19715395","WorldCat Record")</f>
        <v>WorldCat Record</v>
      </c>
      <c r="AW334" s="2" t="s">
        <v>4190</v>
      </c>
      <c r="AX334" s="2" t="s">
        <v>4191</v>
      </c>
      <c r="AY334" s="2" t="s">
        <v>4192</v>
      </c>
      <c r="AZ334" s="2" t="s">
        <v>4192</v>
      </c>
      <c r="BA334" s="2" t="s">
        <v>4193</v>
      </c>
      <c r="BB334" s="2" t="s">
        <v>21</v>
      </c>
      <c r="BD334" s="2" t="s">
        <v>4194</v>
      </c>
      <c r="BE334" s="2" t="s">
        <v>4195</v>
      </c>
      <c r="BF334" s="2" t="s">
        <v>4196</v>
      </c>
    </row>
    <row r="335" spans="1:58" ht="41.25" customHeight="1" x14ac:dyDescent="0.25">
      <c r="A335" s="8" t="s">
        <v>5</v>
      </c>
      <c r="B335" s="1" t="s">
        <v>0</v>
      </c>
      <c r="C335" s="1" t="s">
        <v>1</v>
      </c>
      <c r="D335" s="1" t="s">
        <v>4197</v>
      </c>
      <c r="E335" s="1" t="s">
        <v>4198</v>
      </c>
      <c r="F335" s="1" t="s">
        <v>4199</v>
      </c>
      <c r="G335" s="2" t="s">
        <v>820</v>
      </c>
      <c r="H335" s="2" t="s">
        <v>5</v>
      </c>
      <c r="I335" s="2" t="s">
        <v>6</v>
      </c>
      <c r="J335" s="2" t="s">
        <v>5</v>
      </c>
      <c r="K335" s="2" t="s">
        <v>5</v>
      </c>
      <c r="L335" s="2" t="s">
        <v>7</v>
      </c>
      <c r="N335" s="1" t="s">
        <v>1259</v>
      </c>
      <c r="O335" s="2" t="s">
        <v>136</v>
      </c>
      <c r="Q335" s="2" t="s">
        <v>11</v>
      </c>
      <c r="R335" s="2" t="s">
        <v>12</v>
      </c>
      <c r="S335" s="1" t="s">
        <v>4200</v>
      </c>
      <c r="T335" s="2" t="s">
        <v>520</v>
      </c>
      <c r="U335" s="3">
        <v>0</v>
      </c>
      <c r="V335" s="3">
        <v>0</v>
      </c>
      <c r="W335" s="4" t="s">
        <v>4201</v>
      </c>
      <c r="X335" s="4" t="s">
        <v>4201</v>
      </c>
      <c r="Y335" s="4" t="s">
        <v>604</v>
      </c>
      <c r="Z335" s="4" t="s">
        <v>604</v>
      </c>
      <c r="AA335" s="3">
        <v>13</v>
      </c>
      <c r="AB335" s="3">
        <v>12</v>
      </c>
      <c r="AC335" s="3">
        <v>12</v>
      </c>
      <c r="AD335" s="3">
        <v>1</v>
      </c>
      <c r="AE335" s="3">
        <v>1</v>
      </c>
      <c r="AF335" s="3">
        <v>0</v>
      </c>
      <c r="AG335" s="3">
        <v>0</v>
      </c>
      <c r="AH335" s="3">
        <v>0</v>
      </c>
      <c r="AI335" s="3">
        <v>0</v>
      </c>
      <c r="AJ335" s="3">
        <v>0</v>
      </c>
      <c r="AK335" s="3">
        <v>0</v>
      </c>
      <c r="AL335" s="3">
        <v>0</v>
      </c>
      <c r="AM335" s="3">
        <v>0</v>
      </c>
      <c r="AN335" s="3">
        <v>0</v>
      </c>
      <c r="AO335" s="3">
        <v>0</v>
      </c>
      <c r="AP335" s="3">
        <v>0</v>
      </c>
      <c r="AQ335" s="3">
        <v>0</v>
      </c>
      <c r="AR335" s="2" t="s">
        <v>5</v>
      </c>
      <c r="AS335" s="2" t="s">
        <v>5</v>
      </c>
      <c r="AU335" s="5" t="str">
        <f>HYPERLINK("https://creighton-primo.hosted.exlibrisgroup.com/primo-explore/search?tab=default_tab&amp;search_scope=EVERYTHING&amp;vid=01CRU&amp;lang=en_US&amp;offset=0&amp;query=any,contains,991000230829702656","Catalog Record")</f>
        <v>Catalog Record</v>
      </c>
      <c r="AV335" s="5" t="str">
        <f>HYPERLINK("http://www.worldcat.org/oclc/24570784","WorldCat Record")</f>
        <v>WorldCat Record</v>
      </c>
      <c r="AW335" s="2" t="s">
        <v>4202</v>
      </c>
      <c r="AX335" s="2" t="s">
        <v>4203</v>
      </c>
      <c r="AY335" s="2" t="s">
        <v>4204</v>
      </c>
      <c r="AZ335" s="2" t="s">
        <v>4204</v>
      </c>
      <c r="BA335" s="2" t="s">
        <v>4205</v>
      </c>
      <c r="BB335" s="2" t="s">
        <v>21</v>
      </c>
      <c r="BD335" s="2" t="s">
        <v>4206</v>
      </c>
      <c r="BE335" s="2" t="s">
        <v>4207</v>
      </c>
      <c r="BF335" s="2" t="s">
        <v>4208</v>
      </c>
    </row>
    <row r="336" spans="1:58" ht="41.25" customHeight="1" x14ac:dyDescent="0.25">
      <c r="A336" s="8" t="s">
        <v>5</v>
      </c>
      <c r="B336" s="1" t="s">
        <v>0</v>
      </c>
      <c r="C336" s="1" t="s">
        <v>1</v>
      </c>
      <c r="D336" s="1" t="s">
        <v>4209</v>
      </c>
      <c r="E336" s="1" t="s">
        <v>4210</v>
      </c>
      <c r="F336" s="1" t="s">
        <v>4211</v>
      </c>
      <c r="G336" s="2" t="s">
        <v>4173</v>
      </c>
      <c r="H336" s="2" t="s">
        <v>5</v>
      </c>
      <c r="I336" s="2" t="s">
        <v>6</v>
      </c>
      <c r="J336" s="2" t="s">
        <v>5</v>
      </c>
      <c r="K336" s="2" t="s">
        <v>5</v>
      </c>
      <c r="L336" s="2" t="s">
        <v>7</v>
      </c>
      <c r="N336" s="1" t="s">
        <v>4212</v>
      </c>
      <c r="O336" s="2" t="s">
        <v>210</v>
      </c>
      <c r="Q336" s="2" t="s">
        <v>11</v>
      </c>
      <c r="R336" s="2" t="s">
        <v>12</v>
      </c>
      <c r="S336" s="1" t="s">
        <v>4213</v>
      </c>
      <c r="T336" s="2" t="s">
        <v>520</v>
      </c>
      <c r="U336" s="3">
        <v>3</v>
      </c>
      <c r="V336" s="3">
        <v>3</v>
      </c>
      <c r="W336" s="4" t="s">
        <v>4214</v>
      </c>
      <c r="X336" s="4" t="s">
        <v>4214</v>
      </c>
      <c r="Y336" s="4" t="s">
        <v>4214</v>
      </c>
      <c r="Z336" s="4" t="s">
        <v>4214</v>
      </c>
      <c r="AA336" s="3">
        <v>39</v>
      </c>
      <c r="AB336" s="3">
        <v>35</v>
      </c>
      <c r="AC336" s="3">
        <v>35</v>
      </c>
      <c r="AD336" s="3">
        <v>2</v>
      </c>
      <c r="AE336" s="3">
        <v>2</v>
      </c>
      <c r="AF336" s="3">
        <v>0</v>
      </c>
      <c r="AG336" s="3">
        <v>0</v>
      </c>
      <c r="AH336" s="3">
        <v>0</v>
      </c>
      <c r="AI336" s="3">
        <v>0</v>
      </c>
      <c r="AJ336" s="3">
        <v>0</v>
      </c>
      <c r="AK336" s="3">
        <v>0</v>
      </c>
      <c r="AL336" s="3">
        <v>0</v>
      </c>
      <c r="AM336" s="3">
        <v>0</v>
      </c>
      <c r="AN336" s="3">
        <v>0</v>
      </c>
      <c r="AO336" s="3">
        <v>0</v>
      </c>
      <c r="AP336" s="3">
        <v>0</v>
      </c>
      <c r="AQ336" s="3">
        <v>0</v>
      </c>
      <c r="AR336" s="2" t="s">
        <v>5</v>
      </c>
      <c r="AS336" s="2" t="s">
        <v>5</v>
      </c>
      <c r="AU336" s="5" t="str">
        <f>HYPERLINK("https://creighton-primo.hosted.exlibrisgroup.com/primo-explore/search?tab=default_tab&amp;search_scope=EVERYTHING&amp;vid=01CRU&amp;lang=en_US&amp;offset=0&amp;query=any,contains,991001406169702656","Catalog Record")</f>
        <v>Catalog Record</v>
      </c>
      <c r="AV336" s="5" t="str">
        <f>HYPERLINK("http://www.worldcat.org/oclc/27448396","WorldCat Record")</f>
        <v>WorldCat Record</v>
      </c>
      <c r="AW336" s="2" t="s">
        <v>4215</v>
      </c>
      <c r="AX336" s="2" t="s">
        <v>4216</v>
      </c>
      <c r="AY336" s="2" t="s">
        <v>4217</v>
      </c>
      <c r="AZ336" s="2" t="s">
        <v>4217</v>
      </c>
      <c r="BA336" s="2" t="s">
        <v>4218</v>
      </c>
      <c r="BB336" s="2" t="s">
        <v>21</v>
      </c>
      <c r="BD336" s="2" t="s">
        <v>4219</v>
      </c>
      <c r="BE336" s="2" t="s">
        <v>4220</v>
      </c>
      <c r="BF336" s="2" t="s">
        <v>4221</v>
      </c>
    </row>
    <row r="337" spans="1:58" ht="41.25" customHeight="1" x14ac:dyDescent="0.25">
      <c r="A337" s="8" t="s">
        <v>5</v>
      </c>
      <c r="B337" s="1" t="s">
        <v>0</v>
      </c>
      <c r="C337" s="1" t="s">
        <v>1</v>
      </c>
      <c r="D337" s="1" t="s">
        <v>4222</v>
      </c>
      <c r="E337" s="1" t="s">
        <v>4223</v>
      </c>
      <c r="F337" s="1" t="s">
        <v>4224</v>
      </c>
      <c r="H337" s="2" t="s">
        <v>5</v>
      </c>
      <c r="I337" s="2" t="s">
        <v>6</v>
      </c>
      <c r="J337" s="2" t="s">
        <v>5</v>
      </c>
      <c r="K337" s="2" t="s">
        <v>5</v>
      </c>
      <c r="L337" s="2" t="s">
        <v>7</v>
      </c>
      <c r="N337" s="1" t="s">
        <v>4225</v>
      </c>
      <c r="O337" s="2" t="s">
        <v>3501</v>
      </c>
      <c r="Q337" s="2" t="s">
        <v>11</v>
      </c>
      <c r="R337" s="2" t="s">
        <v>12</v>
      </c>
      <c r="S337" s="1" t="s">
        <v>4226</v>
      </c>
      <c r="T337" s="2" t="s">
        <v>520</v>
      </c>
      <c r="U337" s="3">
        <v>1</v>
      </c>
      <c r="V337" s="3">
        <v>1</v>
      </c>
      <c r="W337" s="4" t="s">
        <v>1717</v>
      </c>
      <c r="X337" s="4" t="s">
        <v>1717</v>
      </c>
      <c r="Y337" s="4" t="s">
        <v>1591</v>
      </c>
      <c r="Z337" s="4" t="s">
        <v>1591</v>
      </c>
      <c r="AA337" s="3">
        <v>23</v>
      </c>
      <c r="AB337" s="3">
        <v>22</v>
      </c>
      <c r="AC337" s="3">
        <v>22</v>
      </c>
      <c r="AD337" s="3">
        <v>1</v>
      </c>
      <c r="AE337" s="3">
        <v>1</v>
      </c>
      <c r="AF337" s="3">
        <v>2</v>
      </c>
      <c r="AG337" s="3">
        <v>2</v>
      </c>
      <c r="AH337" s="3">
        <v>0</v>
      </c>
      <c r="AI337" s="3">
        <v>0</v>
      </c>
      <c r="AJ337" s="3">
        <v>0</v>
      </c>
      <c r="AK337" s="3">
        <v>0</v>
      </c>
      <c r="AL337" s="3">
        <v>2</v>
      </c>
      <c r="AM337" s="3">
        <v>2</v>
      </c>
      <c r="AN337" s="3">
        <v>0</v>
      </c>
      <c r="AO337" s="3">
        <v>0</v>
      </c>
      <c r="AP337" s="3">
        <v>0</v>
      </c>
      <c r="AQ337" s="3">
        <v>0</v>
      </c>
      <c r="AR337" s="2" t="s">
        <v>5</v>
      </c>
      <c r="AS337" s="2" t="s">
        <v>5</v>
      </c>
      <c r="AU337" s="5" t="str">
        <f>HYPERLINK("https://creighton-primo.hosted.exlibrisgroup.com/primo-explore/search?tab=default_tab&amp;search_scope=EVERYTHING&amp;vid=01CRU&amp;lang=en_US&amp;offset=0&amp;query=any,contains,991001375629702656","Catalog Record")</f>
        <v>Catalog Record</v>
      </c>
      <c r="AV337" s="5" t="str">
        <f>HYPERLINK("http://www.worldcat.org/oclc/1002385","WorldCat Record")</f>
        <v>WorldCat Record</v>
      </c>
      <c r="AW337" s="2" t="s">
        <v>4227</v>
      </c>
      <c r="AX337" s="2" t="s">
        <v>4228</v>
      </c>
      <c r="AY337" s="2" t="s">
        <v>4229</v>
      </c>
      <c r="AZ337" s="2" t="s">
        <v>4229</v>
      </c>
      <c r="BA337" s="2" t="s">
        <v>4230</v>
      </c>
      <c r="BB337" s="2" t="s">
        <v>21</v>
      </c>
      <c r="BE337" s="2" t="s">
        <v>4231</v>
      </c>
      <c r="BF337" s="2" t="s">
        <v>4232</v>
      </c>
    </row>
    <row r="338" spans="1:58" ht="41.25" customHeight="1" x14ac:dyDescent="0.25">
      <c r="A338" s="8" t="s">
        <v>5</v>
      </c>
      <c r="B338" s="1" t="s">
        <v>0</v>
      </c>
      <c r="C338" s="1" t="s">
        <v>1</v>
      </c>
      <c r="D338" s="1" t="s">
        <v>4233</v>
      </c>
      <c r="E338" s="1" t="s">
        <v>4234</v>
      </c>
      <c r="F338" s="1" t="s">
        <v>4235</v>
      </c>
      <c r="H338" s="2" t="s">
        <v>5</v>
      </c>
      <c r="I338" s="2" t="s">
        <v>6</v>
      </c>
      <c r="J338" s="2" t="s">
        <v>5</v>
      </c>
      <c r="K338" s="2" t="s">
        <v>5</v>
      </c>
      <c r="L338" s="2" t="s">
        <v>7</v>
      </c>
      <c r="N338" s="1" t="s">
        <v>4236</v>
      </c>
      <c r="O338" s="2" t="s">
        <v>561</v>
      </c>
      <c r="Q338" s="2" t="s">
        <v>11</v>
      </c>
      <c r="R338" s="2" t="s">
        <v>12</v>
      </c>
      <c r="S338" s="1" t="s">
        <v>4237</v>
      </c>
      <c r="T338" s="2" t="s">
        <v>520</v>
      </c>
      <c r="U338" s="3">
        <v>3</v>
      </c>
      <c r="V338" s="3">
        <v>3</v>
      </c>
      <c r="W338" s="4" t="s">
        <v>2072</v>
      </c>
      <c r="X338" s="4" t="s">
        <v>2072</v>
      </c>
      <c r="Y338" s="4" t="s">
        <v>1827</v>
      </c>
      <c r="Z338" s="4" t="s">
        <v>1827</v>
      </c>
      <c r="AA338" s="3">
        <v>47</v>
      </c>
      <c r="AB338" s="3">
        <v>41</v>
      </c>
      <c r="AC338" s="3">
        <v>43</v>
      </c>
      <c r="AD338" s="3">
        <v>1</v>
      </c>
      <c r="AE338" s="3">
        <v>1</v>
      </c>
      <c r="AF338" s="3">
        <v>2</v>
      </c>
      <c r="AG338" s="3">
        <v>2</v>
      </c>
      <c r="AH338" s="3">
        <v>1</v>
      </c>
      <c r="AI338" s="3">
        <v>1</v>
      </c>
      <c r="AJ338" s="3">
        <v>0</v>
      </c>
      <c r="AK338" s="3">
        <v>0</v>
      </c>
      <c r="AL338" s="3">
        <v>1</v>
      </c>
      <c r="AM338" s="3">
        <v>1</v>
      </c>
      <c r="AN338" s="3">
        <v>0</v>
      </c>
      <c r="AO338" s="3">
        <v>0</v>
      </c>
      <c r="AP338" s="3">
        <v>0</v>
      </c>
      <c r="AQ338" s="3">
        <v>0</v>
      </c>
      <c r="AR338" s="2" t="s">
        <v>5</v>
      </c>
      <c r="AS338" s="2" t="s">
        <v>16</v>
      </c>
      <c r="AT338" s="5" t="str">
        <f>HYPERLINK("http://catalog.hathitrust.org/Record/002072327","HathiTrust Record")</f>
        <v>HathiTrust Record</v>
      </c>
      <c r="AU338" s="5" t="str">
        <f>HYPERLINK("https://creighton-primo.hosted.exlibrisgroup.com/primo-explore/search?tab=default_tab&amp;search_scope=EVERYTHING&amp;vid=01CRU&amp;lang=en_US&amp;offset=0&amp;query=any,contains,991001365099702656","Catalog Record")</f>
        <v>Catalog Record</v>
      </c>
      <c r="AV338" s="5" t="str">
        <f>HYPERLINK("http://www.worldcat.org/oclc/3160731","WorldCat Record")</f>
        <v>WorldCat Record</v>
      </c>
      <c r="AW338" s="2" t="s">
        <v>4238</v>
      </c>
      <c r="AX338" s="2" t="s">
        <v>4239</v>
      </c>
      <c r="AY338" s="2" t="s">
        <v>4240</v>
      </c>
      <c r="AZ338" s="2" t="s">
        <v>4240</v>
      </c>
      <c r="BA338" s="2" t="s">
        <v>4241</v>
      </c>
      <c r="BB338" s="2" t="s">
        <v>21</v>
      </c>
      <c r="BE338" s="2" t="s">
        <v>4242</v>
      </c>
      <c r="BF338" s="2" t="s">
        <v>4243</v>
      </c>
    </row>
    <row r="339" spans="1:58" ht="41.25" customHeight="1" x14ac:dyDescent="0.25">
      <c r="A339" s="8" t="s">
        <v>5</v>
      </c>
      <c r="B339" s="1" t="s">
        <v>0</v>
      </c>
      <c r="C339" s="1" t="s">
        <v>1</v>
      </c>
      <c r="D339" s="1" t="s">
        <v>4244</v>
      </c>
      <c r="E339" s="1" t="s">
        <v>4245</v>
      </c>
      <c r="F339" s="1" t="s">
        <v>4246</v>
      </c>
      <c r="H339" s="2" t="s">
        <v>5</v>
      </c>
      <c r="I339" s="2" t="s">
        <v>6</v>
      </c>
      <c r="J339" s="2" t="s">
        <v>5</v>
      </c>
      <c r="K339" s="2" t="s">
        <v>5</v>
      </c>
      <c r="L339" s="2" t="s">
        <v>7</v>
      </c>
      <c r="N339" s="1" t="s">
        <v>4247</v>
      </c>
      <c r="O339" s="2" t="s">
        <v>3620</v>
      </c>
      <c r="Q339" s="2" t="s">
        <v>11</v>
      </c>
      <c r="R339" s="2" t="s">
        <v>12</v>
      </c>
      <c r="T339" s="2" t="s">
        <v>520</v>
      </c>
      <c r="U339" s="3">
        <v>1</v>
      </c>
      <c r="V339" s="3">
        <v>1</v>
      </c>
      <c r="W339" s="4" t="s">
        <v>2225</v>
      </c>
      <c r="X339" s="4" t="s">
        <v>2225</v>
      </c>
      <c r="Y339" s="4" t="s">
        <v>2226</v>
      </c>
      <c r="Z339" s="4" t="s">
        <v>2226</v>
      </c>
      <c r="AA339" s="3">
        <v>37</v>
      </c>
      <c r="AB339" s="3">
        <v>33</v>
      </c>
      <c r="AC339" s="3">
        <v>33</v>
      </c>
      <c r="AD339" s="3">
        <v>1</v>
      </c>
      <c r="AE339" s="3">
        <v>1</v>
      </c>
      <c r="AF339" s="3">
        <v>1</v>
      </c>
      <c r="AG339" s="3">
        <v>1</v>
      </c>
      <c r="AH339" s="3">
        <v>0</v>
      </c>
      <c r="AI339" s="3">
        <v>0</v>
      </c>
      <c r="AJ339" s="3">
        <v>0</v>
      </c>
      <c r="AK339" s="3">
        <v>0</v>
      </c>
      <c r="AL339" s="3">
        <v>1</v>
      </c>
      <c r="AM339" s="3">
        <v>1</v>
      </c>
      <c r="AN339" s="3">
        <v>0</v>
      </c>
      <c r="AO339" s="3">
        <v>0</v>
      </c>
      <c r="AP339" s="3">
        <v>0</v>
      </c>
      <c r="AQ339" s="3">
        <v>0</v>
      </c>
      <c r="AR339" s="2" t="s">
        <v>5</v>
      </c>
      <c r="AS339" s="2" t="s">
        <v>5</v>
      </c>
      <c r="AU339" s="5" t="str">
        <f>HYPERLINK("https://creighton-primo.hosted.exlibrisgroup.com/primo-explore/search?tab=default_tab&amp;search_scope=EVERYTHING&amp;vid=01CRU&amp;lang=en_US&amp;offset=0&amp;query=any,contains,991001518209702656","Catalog Record")</f>
        <v>Catalog Record</v>
      </c>
      <c r="AV339" s="5" t="str">
        <f>HYPERLINK("http://www.worldcat.org/oclc/6878983","WorldCat Record")</f>
        <v>WorldCat Record</v>
      </c>
      <c r="AW339" s="2" t="s">
        <v>4248</v>
      </c>
      <c r="AX339" s="2" t="s">
        <v>4249</v>
      </c>
      <c r="AY339" s="2" t="s">
        <v>4250</v>
      </c>
      <c r="AZ339" s="2" t="s">
        <v>4250</v>
      </c>
      <c r="BA339" s="2" t="s">
        <v>4251</v>
      </c>
      <c r="BB339" s="2" t="s">
        <v>21</v>
      </c>
      <c r="BE339" s="2" t="s">
        <v>4252</v>
      </c>
      <c r="BF339" s="2" t="s">
        <v>4253</v>
      </c>
    </row>
    <row r="340" spans="1:58" ht="41.25" customHeight="1" x14ac:dyDescent="0.25">
      <c r="A340" s="8" t="s">
        <v>5</v>
      </c>
      <c r="B340" s="1" t="s">
        <v>0</v>
      </c>
      <c r="C340" s="1" t="s">
        <v>1</v>
      </c>
      <c r="D340" s="1" t="s">
        <v>4254</v>
      </c>
      <c r="E340" s="1" t="s">
        <v>4255</v>
      </c>
      <c r="F340" s="1" t="s">
        <v>4256</v>
      </c>
      <c r="H340" s="2" t="s">
        <v>5</v>
      </c>
      <c r="I340" s="2" t="s">
        <v>6</v>
      </c>
      <c r="J340" s="2" t="s">
        <v>5</v>
      </c>
      <c r="K340" s="2" t="s">
        <v>5</v>
      </c>
      <c r="L340" s="2" t="s">
        <v>974</v>
      </c>
      <c r="M340" s="1" t="s">
        <v>4257</v>
      </c>
      <c r="N340" s="1" t="s">
        <v>4258</v>
      </c>
      <c r="O340" s="2" t="s">
        <v>1378</v>
      </c>
      <c r="Q340" s="2" t="s">
        <v>11</v>
      </c>
      <c r="R340" s="2" t="s">
        <v>12</v>
      </c>
      <c r="S340" s="1" t="s">
        <v>3466</v>
      </c>
      <c r="T340" s="2" t="s">
        <v>520</v>
      </c>
      <c r="U340" s="3">
        <v>1</v>
      </c>
      <c r="V340" s="3">
        <v>1</v>
      </c>
      <c r="W340" s="4" t="s">
        <v>4259</v>
      </c>
      <c r="X340" s="4" t="s">
        <v>4259</v>
      </c>
      <c r="Y340" s="4" t="s">
        <v>4259</v>
      </c>
      <c r="Z340" s="4" t="s">
        <v>4259</v>
      </c>
      <c r="AA340" s="3">
        <v>261</v>
      </c>
      <c r="AB340" s="3">
        <v>222</v>
      </c>
      <c r="AC340" s="3">
        <v>1484</v>
      </c>
      <c r="AD340" s="3">
        <v>4</v>
      </c>
      <c r="AE340" s="3">
        <v>20</v>
      </c>
      <c r="AF340" s="3">
        <v>14</v>
      </c>
      <c r="AG340" s="3">
        <v>61</v>
      </c>
      <c r="AH340" s="3">
        <v>5</v>
      </c>
      <c r="AI340" s="3">
        <v>21</v>
      </c>
      <c r="AJ340" s="3">
        <v>2</v>
      </c>
      <c r="AK340" s="3">
        <v>11</v>
      </c>
      <c r="AL340" s="3">
        <v>7</v>
      </c>
      <c r="AM340" s="3">
        <v>22</v>
      </c>
      <c r="AN340" s="3">
        <v>3</v>
      </c>
      <c r="AO340" s="3">
        <v>16</v>
      </c>
      <c r="AP340" s="3">
        <v>0</v>
      </c>
      <c r="AQ340" s="3">
        <v>2</v>
      </c>
      <c r="AR340" s="2" t="s">
        <v>5</v>
      </c>
      <c r="AS340" s="2" t="s">
        <v>16</v>
      </c>
      <c r="AT340" s="5" t="str">
        <f>HYPERLINK("http://catalog.hathitrust.org/Record/003252722","HathiTrust Record")</f>
        <v>HathiTrust Record</v>
      </c>
      <c r="AU340" s="5" t="str">
        <f>HYPERLINK("https://creighton-primo.hosted.exlibrisgroup.com/primo-explore/search?tab=default_tab&amp;search_scope=EVERYTHING&amp;vid=01CRU&amp;lang=en_US&amp;offset=0&amp;query=any,contains,991001574269702656","Catalog Record")</f>
        <v>Catalog Record</v>
      </c>
      <c r="AV340" s="5" t="str">
        <f>HYPERLINK("http://www.worldcat.org/oclc/37844450","WorldCat Record")</f>
        <v>WorldCat Record</v>
      </c>
      <c r="AW340" s="2" t="s">
        <v>4260</v>
      </c>
      <c r="AX340" s="2" t="s">
        <v>4261</v>
      </c>
      <c r="AY340" s="2" t="s">
        <v>4262</v>
      </c>
      <c r="AZ340" s="2" t="s">
        <v>4262</v>
      </c>
      <c r="BA340" s="2" t="s">
        <v>4263</v>
      </c>
      <c r="BB340" s="2" t="s">
        <v>21</v>
      </c>
      <c r="BD340" s="2" t="s">
        <v>4264</v>
      </c>
      <c r="BE340" s="2" t="s">
        <v>4265</v>
      </c>
      <c r="BF340" s="2" t="s">
        <v>4266</v>
      </c>
    </row>
    <row r="341" spans="1:58" ht="41.25" customHeight="1" x14ac:dyDescent="0.25">
      <c r="A341" s="8" t="s">
        <v>5</v>
      </c>
      <c r="B341" s="1" t="s">
        <v>0</v>
      </c>
      <c r="C341" s="1" t="s">
        <v>1</v>
      </c>
      <c r="D341" s="1" t="s">
        <v>4267</v>
      </c>
      <c r="E341" s="1" t="s">
        <v>4268</v>
      </c>
      <c r="F341" s="1" t="s">
        <v>4269</v>
      </c>
      <c r="H341" s="2" t="s">
        <v>5</v>
      </c>
      <c r="I341" s="2" t="s">
        <v>6</v>
      </c>
      <c r="J341" s="2" t="s">
        <v>5</v>
      </c>
      <c r="K341" s="2" t="s">
        <v>16</v>
      </c>
      <c r="L341" s="2" t="s">
        <v>7</v>
      </c>
      <c r="M341" s="1" t="s">
        <v>4270</v>
      </c>
      <c r="N341" s="1" t="s">
        <v>4271</v>
      </c>
      <c r="O341" s="2" t="s">
        <v>1246</v>
      </c>
      <c r="Q341" s="2" t="s">
        <v>11</v>
      </c>
      <c r="R341" s="2" t="s">
        <v>12</v>
      </c>
      <c r="S341" s="1" t="s">
        <v>4272</v>
      </c>
      <c r="T341" s="2" t="s">
        <v>520</v>
      </c>
      <c r="U341" s="3">
        <v>1</v>
      </c>
      <c r="V341" s="3">
        <v>1</v>
      </c>
      <c r="W341" s="4" t="s">
        <v>3195</v>
      </c>
      <c r="X341" s="4" t="s">
        <v>3195</v>
      </c>
      <c r="Y341" s="4" t="s">
        <v>1718</v>
      </c>
      <c r="Z341" s="4" t="s">
        <v>1718</v>
      </c>
      <c r="AA341" s="3">
        <v>81</v>
      </c>
      <c r="AB341" s="3">
        <v>76</v>
      </c>
      <c r="AC341" s="3">
        <v>120</v>
      </c>
      <c r="AD341" s="3">
        <v>1</v>
      </c>
      <c r="AE341" s="3">
        <v>2</v>
      </c>
      <c r="AF341" s="3">
        <v>1</v>
      </c>
      <c r="AG341" s="3">
        <v>2</v>
      </c>
      <c r="AH341" s="3">
        <v>0</v>
      </c>
      <c r="AI341" s="3">
        <v>0</v>
      </c>
      <c r="AJ341" s="3">
        <v>0</v>
      </c>
      <c r="AK341" s="3">
        <v>0</v>
      </c>
      <c r="AL341" s="3">
        <v>1</v>
      </c>
      <c r="AM341" s="3">
        <v>1</v>
      </c>
      <c r="AN341" s="3">
        <v>0</v>
      </c>
      <c r="AO341" s="3">
        <v>1</v>
      </c>
      <c r="AP341" s="3">
        <v>0</v>
      </c>
      <c r="AQ341" s="3">
        <v>0</v>
      </c>
      <c r="AR341" s="2" t="s">
        <v>5</v>
      </c>
      <c r="AS341" s="2" t="s">
        <v>5</v>
      </c>
      <c r="AU341" s="5" t="str">
        <f>HYPERLINK("https://creighton-primo.hosted.exlibrisgroup.com/primo-explore/search?tab=default_tab&amp;search_scope=EVERYTHING&amp;vid=01CRU&amp;lang=en_US&amp;offset=0&amp;query=any,contains,991001380629702656","Catalog Record")</f>
        <v>Catalog Record</v>
      </c>
      <c r="AV341" s="5" t="str">
        <f>HYPERLINK("http://www.worldcat.org/oclc/1144206","WorldCat Record")</f>
        <v>WorldCat Record</v>
      </c>
      <c r="AW341" s="2" t="s">
        <v>4273</v>
      </c>
      <c r="AX341" s="2" t="s">
        <v>4274</v>
      </c>
      <c r="AY341" s="2" t="s">
        <v>4275</v>
      </c>
      <c r="AZ341" s="2" t="s">
        <v>4275</v>
      </c>
      <c r="BA341" s="2" t="s">
        <v>4276</v>
      </c>
      <c r="BB341" s="2" t="s">
        <v>21</v>
      </c>
      <c r="BE341" s="2" t="s">
        <v>4277</v>
      </c>
      <c r="BF341" s="2" t="s">
        <v>4278</v>
      </c>
    </row>
    <row r="342" spans="1:58" ht="41.25" customHeight="1" x14ac:dyDescent="0.25">
      <c r="A342" s="8" t="s">
        <v>5</v>
      </c>
      <c r="B342" s="1" t="s">
        <v>0</v>
      </c>
      <c r="C342" s="1" t="s">
        <v>1</v>
      </c>
      <c r="D342" s="1" t="s">
        <v>4279</v>
      </c>
      <c r="E342" s="1" t="s">
        <v>4280</v>
      </c>
      <c r="F342" s="1" t="s">
        <v>4281</v>
      </c>
      <c r="H342" s="2" t="s">
        <v>5</v>
      </c>
      <c r="I342" s="2" t="s">
        <v>6</v>
      </c>
      <c r="J342" s="2" t="s">
        <v>5</v>
      </c>
      <c r="K342" s="2" t="s">
        <v>5</v>
      </c>
      <c r="L342" s="2" t="s">
        <v>7</v>
      </c>
      <c r="M342" s="1" t="s">
        <v>4282</v>
      </c>
      <c r="N342" s="1" t="s">
        <v>4283</v>
      </c>
      <c r="O342" s="2" t="s">
        <v>1441</v>
      </c>
      <c r="Q342" s="2" t="s">
        <v>11</v>
      </c>
      <c r="R342" s="2" t="s">
        <v>12</v>
      </c>
      <c r="S342" s="1" t="s">
        <v>4284</v>
      </c>
      <c r="T342" s="2" t="s">
        <v>520</v>
      </c>
      <c r="U342" s="3">
        <v>2</v>
      </c>
      <c r="V342" s="3">
        <v>2</v>
      </c>
      <c r="W342" s="4" t="s">
        <v>3195</v>
      </c>
      <c r="X342" s="4" t="s">
        <v>3195</v>
      </c>
      <c r="Y342" s="4" t="s">
        <v>1718</v>
      </c>
      <c r="Z342" s="4" t="s">
        <v>1718</v>
      </c>
      <c r="AA342" s="3">
        <v>11</v>
      </c>
      <c r="AB342" s="3">
        <v>10</v>
      </c>
      <c r="AC342" s="3">
        <v>11</v>
      </c>
      <c r="AD342" s="3">
        <v>1</v>
      </c>
      <c r="AE342" s="3">
        <v>1</v>
      </c>
      <c r="AF342" s="3">
        <v>1</v>
      </c>
      <c r="AG342" s="3">
        <v>1</v>
      </c>
      <c r="AH342" s="3">
        <v>0</v>
      </c>
      <c r="AI342" s="3">
        <v>0</v>
      </c>
      <c r="AJ342" s="3">
        <v>0</v>
      </c>
      <c r="AK342" s="3">
        <v>0</v>
      </c>
      <c r="AL342" s="3">
        <v>1</v>
      </c>
      <c r="AM342" s="3">
        <v>1</v>
      </c>
      <c r="AN342" s="3">
        <v>0</v>
      </c>
      <c r="AO342" s="3">
        <v>0</v>
      </c>
      <c r="AP342" s="3">
        <v>0</v>
      </c>
      <c r="AQ342" s="3">
        <v>0</v>
      </c>
      <c r="AR342" s="2" t="s">
        <v>5</v>
      </c>
      <c r="AS342" s="2" t="s">
        <v>5</v>
      </c>
      <c r="AU342" s="5" t="str">
        <f>HYPERLINK("https://creighton-primo.hosted.exlibrisgroup.com/primo-explore/search?tab=default_tab&amp;search_scope=EVERYTHING&amp;vid=01CRU&amp;lang=en_US&amp;offset=0&amp;query=any,contains,991001380789702656","Catalog Record")</f>
        <v>Catalog Record</v>
      </c>
      <c r="AV342" s="5" t="str">
        <f>HYPERLINK("http://www.worldcat.org/oclc/30662467","WorldCat Record")</f>
        <v>WorldCat Record</v>
      </c>
      <c r="AW342" s="2" t="s">
        <v>4285</v>
      </c>
      <c r="AX342" s="2" t="s">
        <v>4286</v>
      </c>
      <c r="AY342" s="2" t="s">
        <v>4287</v>
      </c>
      <c r="AZ342" s="2" t="s">
        <v>4287</v>
      </c>
      <c r="BA342" s="2" t="s">
        <v>4288</v>
      </c>
      <c r="BB342" s="2" t="s">
        <v>21</v>
      </c>
      <c r="BE342" s="2" t="s">
        <v>4289</v>
      </c>
      <c r="BF342" s="2" t="s">
        <v>4290</v>
      </c>
    </row>
    <row r="343" spans="1:58" ht="41.25" customHeight="1" x14ac:dyDescent="0.25">
      <c r="A343" s="8" t="s">
        <v>5</v>
      </c>
      <c r="B343" s="1" t="s">
        <v>0</v>
      </c>
      <c r="C343" s="1" t="s">
        <v>1</v>
      </c>
      <c r="D343" s="1" t="s">
        <v>4291</v>
      </c>
      <c r="E343" s="1" t="s">
        <v>4292</v>
      </c>
      <c r="F343" s="1" t="s">
        <v>4293</v>
      </c>
      <c r="H343" s="2" t="s">
        <v>5</v>
      </c>
      <c r="I343" s="2" t="s">
        <v>6</v>
      </c>
      <c r="J343" s="2" t="s">
        <v>5</v>
      </c>
      <c r="K343" s="2" t="s">
        <v>5</v>
      </c>
      <c r="L343" s="2" t="s">
        <v>7</v>
      </c>
      <c r="M343" s="1" t="s">
        <v>4294</v>
      </c>
      <c r="N343" s="1" t="s">
        <v>4283</v>
      </c>
      <c r="O343" s="2" t="s">
        <v>1441</v>
      </c>
      <c r="Q343" s="2" t="s">
        <v>11</v>
      </c>
      <c r="R343" s="2" t="s">
        <v>12</v>
      </c>
      <c r="S343" s="1" t="s">
        <v>4295</v>
      </c>
      <c r="T343" s="2" t="s">
        <v>520</v>
      </c>
      <c r="U343" s="3">
        <v>1</v>
      </c>
      <c r="V343" s="3">
        <v>1</v>
      </c>
      <c r="W343" s="4" t="s">
        <v>3195</v>
      </c>
      <c r="X343" s="4" t="s">
        <v>3195</v>
      </c>
      <c r="Y343" s="4" t="s">
        <v>1718</v>
      </c>
      <c r="Z343" s="4" t="s">
        <v>1718</v>
      </c>
      <c r="AA343" s="3">
        <v>64</v>
      </c>
      <c r="AB343" s="3">
        <v>59</v>
      </c>
      <c r="AC343" s="3">
        <v>60</v>
      </c>
      <c r="AD343" s="3">
        <v>2</v>
      </c>
      <c r="AE343" s="3">
        <v>2</v>
      </c>
      <c r="AF343" s="3">
        <v>4</v>
      </c>
      <c r="AG343" s="3">
        <v>4</v>
      </c>
      <c r="AH343" s="3">
        <v>0</v>
      </c>
      <c r="AI343" s="3">
        <v>0</v>
      </c>
      <c r="AJ343" s="3">
        <v>1</v>
      </c>
      <c r="AK343" s="3">
        <v>1</v>
      </c>
      <c r="AL343" s="3">
        <v>2</v>
      </c>
      <c r="AM343" s="3">
        <v>2</v>
      </c>
      <c r="AN343" s="3">
        <v>1</v>
      </c>
      <c r="AO343" s="3">
        <v>1</v>
      </c>
      <c r="AP343" s="3">
        <v>0</v>
      </c>
      <c r="AQ343" s="3">
        <v>0</v>
      </c>
      <c r="AR343" s="2" t="s">
        <v>5</v>
      </c>
      <c r="AS343" s="2" t="s">
        <v>5</v>
      </c>
      <c r="AU343" s="5" t="str">
        <f>HYPERLINK("https://creighton-primo.hosted.exlibrisgroup.com/primo-explore/search?tab=default_tab&amp;search_scope=EVERYTHING&amp;vid=01CRU&amp;lang=en_US&amp;offset=0&amp;query=any,contains,991001380889702656","Catalog Record")</f>
        <v>Catalog Record</v>
      </c>
      <c r="AV343" s="5" t="str">
        <f>HYPERLINK("http://www.worldcat.org/oclc/14419437","WorldCat Record")</f>
        <v>WorldCat Record</v>
      </c>
      <c r="AW343" s="2" t="s">
        <v>4296</v>
      </c>
      <c r="AX343" s="2" t="s">
        <v>4297</v>
      </c>
      <c r="AY343" s="2" t="s">
        <v>4298</v>
      </c>
      <c r="AZ343" s="2" t="s">
        <v>4298</v>
      </c>
      <c r="BA343" s="2" t="s">
        <v>4299</v>
      </c>
      <c r="BB343" s="2" t="s">
        <v>21</v>
      </c>
      <c r="BE343" s="2" t="s">
        <v>4300</v>
      </c>
      <c r="BF343" s="2" t="s">
        <v>4301</v>
      </c>
    </row>
    <row r="344" spans="1:58" ht="41.25" customHeight="1" x14ac:dyDescent="0.25">
      <c r="A344" s="8" t="s">
        <v>5</v>
      </c>
      <c r="B344" s="1" t="s">
        <v>0</v>
      </c>
      <c r="C344" s="1" t="s">
        <v>1</v>
      </c>
      <c r="D344" s="1" t="s">
        <v>4302</v>
      </c>
      <c r="E344" s="1" t="s">
        <v>4303</v>
      </c>
      <c r="F344" s="1" t="s">
        <v>4304</v>
      </c>
      <c r="H344" s="2" t="s">
        <v>5</v>
      </c>
      <c r="I344" s="2" t="s">
        <v>6</v>
      </c>
      <c r="J344" s="2" t="s">
        <v>5</v>
      </c>
      <c r="K344" s="2" t="s">
        <v>16</v>
      </c>
      <c r="L344" s="2" t="s">
        <v>7</v>
      </c>
      <c r="M344" s="1" t="s">
        <v>4305</v>
      </c>
      <c r="N344" s="1" t="s">
        <v>4306</v>
      </c>
      <c r="O344" s="2" t="s">
        <v>151</v>
      </c>
      <c r="Q344" s="2" t="s">
        <v>11</v>
      </c>
      <c r="R344" s="2" t="s">
        <v>12</v>
      </c>
      <c r="S344" s="1" t="s">
        <v>4307</v>
      </c>
      <c r="T344" s="2" t="s">
        <v>520</v>
      </c>
      <c r="U344" s="3">
        <v>2</v>
      </c>
      <c r="V344" s="3">
        <v>2</v>
      </c>
      <c r="W344" s="4" t="s">
        <v>3195</v>
      </c>
      <c r="X344" s="4" t="s">
        <v>3195</v>
      </c>
      <c r="Y344" s="4" t="s">
        <v>1718</v>
      </c>
      <c r="Z344" s="4" t="s">
        <v>1718</v>
      </c>
      <c r="AA344" s="3">
        <v>83</v>
      </c>
      <c r="AB344" s="3">
        <v>78</v>
      </c>
      <c r="AC344" s="3">
        <v>120</v>
      </c>
      <c r="AD344" s="3">
        <v>2</v>
      </c>
      <c r="AE344" s="3">
        <v>2</v>
      </c>
      <c r="AF344" s="3">
        <v>2</v>
      </c>
      <c r="AG344" s="3">
        <v>2</v>
      </c>
      <c r="AH344" s="3">
        <v>0</v>
      </c>
      <c r="AI344" s="3">
        <v>0</v>
      </c>
      <c r="AJ344" s="3">
        <v>0</v>
      </c>
      <c r="AK344" s="3">
        <v>0</v>
      </c>
      <c r="AL344" s="3">
        <v>1</v>
      </c>
      <c r="AM344" s="3">
        <v>1</v>
      </c>
      <c r="AN344" s="3">
        <v>1</v>
      </c>
      <c r="AO344" s="3">
        <v>1</v>
      </c>
      <c r="AP344" s="3">
        <v>0</v>
      </c>
      <c r="AQ344" s="3">
        <v>0</v>
      </c>
      <c r="AR344" s="2" t="s">
        <v>5</v>
      </c>
      <c r="AS344" s="2" t="s">
        <v>5</v>
      </c>
      <c r="AU344" s="5" t="str">
        <f>HYPERLINK("https://creighton-primo.hosted.exlibrisgroup.com/primo-explore/search?tab=default_tab&amp;search_scope=EVERYTHING&amp;vid=01CRU&amp;lang=en_US&amp;offset=0&amp;query=any,contains,991001380959702656","Catalog Record")</f>
        <v>Catalog Record</v>
      </c>
      <c r="AV344" s="5" t="str">
        <f>HYPERLINK("http://www.worldcat.org/oclc/2481084","WorldCat Record")</f>
        <v>WorldCat Record</v>
      </c>
      <c r="AW344" s="2" t="s">
        <v>4273</v>
      </c>
      <c r="AX344" s="2" t="s">
        <v>4308</v>
      </c>
      <c r="AY344" s="2" t="s">
        <v>4309</v>
      </c>
      <c r="AZ344" s="2" t="s">
        <v>4309</v>
      </c>
      <c r="BA344" s="2" t="s">
        <v>4310</v>
      </c>
      <c r="BB344" s="2" t="s">
        <v>21</v>
      </c>
      <c r="BE344" s="2" t="s">
        <v>4311</v>
      </c>
      <c r="BF344" s="2" t="s">
        <v>4312</v>
      </c>
    </row>
    <row r="345" spans="1:58" ht="41.25" customHeight="1" x14ac:dyDescent="0.25">
      <c r="A345" s="8" t="s">
        <v>5</v>
      </c>
      <c r="B345" s="1" t="s">
        <v>0</v>
      </c>
      <c r="C345" s="1" t="s">
        <v>1</v>
      </c>
      <c r="D345" s="1" t="s">
        <v>4313</v>
      </c>
      <c r="E345" s="1" t="s">
        <v>4314</v>
      </c>
      <c r="F345" s="1" t="s">
        <v>4315</v>
      </c>
      <c r="H345" s="2" t="s">
        <v>5</v>
      </c>
      <c r="I345" s="2" t="s">
        <v>6</v>
      </c>
      <c r="J345" s="2" t="s">
        <v>5</v>
      </c>
      <c r="K345" s="2" t="s">
        <v>5</v>
      </c>
      <c r="L345" s="2" t="s">
        <v>7</v>
      </c>
      <c r="M345" s="1" t="s">
        <v>4316</v>
      </c>
      <c r="N345" s="1" t="s">
        <v>4317</v>
      </c>
      <c r="O345" s="2" t="s">
        <v>1441</v>
      </c>
      <c r="Q345" s="2" t="s">
        <v>11</v>
      </c>
      <c r="R345" s="2" t="s">
        <v>12</v>
      </c>
      <c r="S345" s="1" t="s">
        <v>4318</v>
      </c>
      <c r="T345" s="2" t="s">
        <v>520</v>
      </c>
      <c r="U345" s="3">
        <v>2</v>
      </c>
      <c r="V345" s="3">
        <v>2</v>
      </c>
      <c r="W345" s="4" t="s">
        <v>1840</v>
      </c>
      <c r="X345" s="4" t="s">
        <v>1840</v>
      </c>
      <c r="Y345" s="4" t="s">
        <v>124</v>
      </c>
      <c r="Z345" s="4" t="s">
        <v>124</v>
      </c>
      <c r="AA345" s="3">
        <v>91</v>
      </c>
      <c r="AB345" s="3">
        <v>77</v>
      </c>
      <c r="AC345" s="3">
        <v>79</v>
      </c>
      <c r="AD345" s="3">
        <v>1</v>
      </c>
      <c r="AE345" s="3">
        <v>1</v>
      </c>
      <c r="AF345" s="3">
        <v>4</v>
      </c>
      <c r="AG345" s="3">
        <v>4</v>
      </c>
      <c r="AH345" s="3">
        <v>0</v>
      </c>
      <c r="AI345" s="3">
        <v>0</v>
      </c>
      <c r="AJ345" s="3">
        <v>1</v>
      </c>
      <c r="AK345" s="3">
        <v>1</v>
      </c>
      <c r="AL345" s="3">
        <v>3</v>
      </c>
      <c r="AM345" s="3">
        <v>3</v>
      </c>
      <c r="AN345" s="3">
        <v>0</v>
      </c>
      <c r="AO345" s="3">
        <v>0</v>
      </c>
      <c r="AP345" s="3">
        <v>0</v>
      </c>
      <c r="AQ345" s="3">
        <v>0</v>
      </c>
      <c r="AR345" s="2" t="s">
        <v>5</v>
      </c>
      <c r="AS345" s="2" t="s">
        <v>16</v>
      </c>
      <c r="AT345" s="5" t="str">
        <f>HYPERLINK("http://catalog.hathitrust.org/Record/001574553","HathiTrust Record")</f>
        <v>HathiTrust Record</v>
      </c>
      <c r="AU345" s="5" t="str">
        <f>HYPERLINK("https://creighton-primo.hosted.exlibrisgroup.com/primo-explore/search?tab=default_tab&amp;search_scope=EVERYTHING&amp;vid=01CRU&amp;lang=en_US&amp;offset=0&amp;query=any,contains,991000799219702656","Catalog Record")</f>
        <v>Catalog Record</v>
      </c>
      <c r="AV345" s="5" t="str">
        <f>HYPERLINK("http://www.worldcat.org/oclc/1031880","WorldCat Record")</f>
        <v>WorldCat Record</v>
      </c>
      <c r="AW345" s="2" t="s">
        <v>4319</v>
      </c>
      <c r="AX345" s="2" t="s">
        <v>4320</v>
      </c>
      <c r="AY345" s="2" t="s">
        <v>4321</v>
      </c>
      <c r="AZ345" s="2" t="s">
        <v>4321</v>
      </c>
      <c r="BA345" s="2" t="s">
        <v>4322</v>
      </c>
      <c r="BB345" s="2" t="s">
        <v>21</v>
      </c>
      <c r="BE345" s="2" t="s">
        <v>4323</v>
      </c>
      <c r="BF345" s="2" t="s">
        <v>4324</v>
      </c>
    </row>
    <row r="346" spans="1:58" ht="41.25" customHeight="1" x14ac:dyDescent="0.25">
      <c r="A346" s="8" t="s">
        <v>5</v>
      </c>
      <c r="B346" s="1" t="s">
        <v>0</v>
      </c>
      <c r="C346" s="1" t="s">
        <v>1</v>
      </c>
      <c r="D346" s="1" t="s">
        <v>4325</v>
      </c>
      <c r="E346" s="1" t="s">
        <v>4326</v>
      </c>
      <c r="F346" s="1" t="s">
        <v>4327</v>
      </c>
      <c r="H346" s="2" t="s">
        <v>5</v>
      </c>
      <c r="I346" s="2" t="s">
        <v>6</v>
      </c>
      <c r="J346" s="2" t="s">
        <v>5</v>
      </c>
      <c r="K346" s="2" t="s">
        <v>5</v>
      </c>
      <c r="L346" s="2" t="s">
        <v>7</v>
      </c>
      <c r="M346" s="1" t="s">
        <v>4316</v>
      </c>
      <c r="N346" s="1" t="s">
        <v>4317</v>
      </c>
      <c r="O346" s="2" t="s">
        <v>1441</v>
      </c>
      <c r="Q346" s="2" t="s">
        <v>11</v>
      </c>
      <c r="R346" s="2" t="s">
        <v>12</v>
      </c>
      <c r="S346" s="1" t="s">
        <v>4328</v>
      </c>
      <c r="T346" s="2" t="s">
        <v>520</v>
      </c>
      <c r="U346" s="3">
        <v>1</v>
      </c>
      <c r="V346" s="3">
        <v>1</v>
      </c>
      <c r="W346" s="4" t="s">
        <v>1840</v>
      </c>
      <c r="X346" s="4" t="s">
        <v>1840</v>
      </c>
      <c r="Y346" s="4" t="s">
        <v>124</v>
      </c>
      <c r="Z346" s="4" t="s">
        <v>124</v>
      </c>
      <c r="AA346" s="3">
        <v>71</v>
      </c>
      <c r="AB346" s="3">
        <v>64</v>
      </c>
      <c r="AC346" s="3">
        <v>64</v>
      </c>
      <c r="AD346" s="3">
        <v>1</v>
      </c>
      <c r="AE346" s="3">
        <v>1</v>
      </c>
      <c r="AF346" s="3">
        <v>2</v>
      </c>
      <c r="AG346" s="3">
        <v>2</v>
      </c>
      <c r="AH346" s="3">
        <v>0</v>
      </c>
      <c r="AI346" s="3">
        <v>0</v>
      </c>
      <c r="AJ346" s="3">
        <v>0</v>
      </c>
      <c r="AK346" s="3">
        <v>0</v>
      </c>
      <c r="AL346" s="3">
        <v>2</v>
      </c>
      <c r="AM346" s="3">
        <v>2</v>
      </c>
      <c r="AN346" s="3">
        <v>0</v>
      </c>
      <c r="AO346" s="3">
        <v>0</v>
      </c>
      <c r="AP346" s="3">
        <v>0</v>
      </c>
      <c r="AQ346" s="3">
        <v>0</v>
      </c>
      <c r="AR346" s="2" t="s">
        <v>5</v>
      </c>
      <c r="AS346" s="2" t="s">
        <v>5</v>
      </c>
      <c r="AU346" s="5" t="str">
        <f>HYPERLINK("https://creighton-primo.hosted.exlibrisgroup.com/primo-explore/search?tab=default_tab&amp;search_scope=EVERYTHING&amp;vid=01CRU&amp;lang=en_US&amp;offset=0&amp;query=any,contains,991001368399702656","Catalog Record")</f>
        <v>Catalog Record</v>
      </c>
      <c r="AV346" s="5" t="str">
        <f>HYPERLINK("http://www.worldcat.org/oclc/1031879","WorldCat Record")</f>
        <v>WorldCat Record</v>
      </c>
      <c r="AW346" s="2" t="s">
        <v>4329</v>
      </c>
      <c r="AX346" s="2" t="s">
        <v>4330</v>
      </c>
      <c r="AY346" s="2" t="s">
        <v>4331</v>
      </c>
      <c r="AZ346" s="2" t="s">
        <v>4331</v>
      </c>
      <c r="BA346" s="2" t="s">
        <v>4332</v>
      </c>
      <c r="BB346" s="2" t="s">
        <v>21</v>
      </c>
      <c r="BE346" s="2" t="s">
        <v>4333</v>
      </c>
      <c r="BF346" s="2" t="s">
        <v>4334</v>
      </c>
    </row>
    <row r="347" spans="1:58" ht="41.25" customHeight="1" x14ac:dyDescent="0.25">
      <c r="A347" s="8" t="s">
        <v>5</v>
      </c>
      <c r="B347" s="1" t="s">
        <v>0</v>
      </c>
      <c r="C347" s="1" t="s">
        <v>1</v>
      </c>
      <c r="D347" s="1" t="s">
        <v>4335</v>
      </c>
      <c r="E347" s="1" t="s">
        <v>4336</v>
      </c>
      <c r="F347" s="1" t="s">
        <v>4337</v>
      </c>
      <c r="H347" s="2" t="s">
        <v>5</v>
      </c>
      <c r="I347" s="2" t="s">
        <v>6</v>
      </c>
      <c r="J347" s="2" t="s">
        <v>5</v>
      </c>
      <c r="K347" s="2" t="s">
        <v>5</v>
      </c>
      <c r="L347" s="2" t="s">
        <v>7</v>
      </c>
      <c r="M347" s="1" t="s">
        <v>4316</v>
      </c>
      <c r="N347" s="1" t="s">
        <v>2887</v>
      </c>
      <c r="O347" s="2" t="s">
        <v>10</v>
      </c>
      <c r="Q347" s="2" t="s">
        <v>11</v>
      </c>
      <c r="R347" s="2" t="s">
        <v>12</v>
      </c>
      <c r="S347" s="1" t="s">
        <v>4338</v>
      </c>
      <c r="T347" s="2" t="s">
        <v>520</v>
      </c>
      <c r="U347" s="3">
        <v>2</v>
      </c>
      <c r="V347" s="3">
        <v>2</v>
      </c>
      <c r="W347" s="4" t="s">
        <v>1826</v>
      </c>
      <c r="X347" s="4" t="s">
        <v>1826</v>
      </c>
      <c r="Y347" s="4" t="s">
        <v>2425</v>
      </c>
      <c r="Z347" s="4" t="s">
        <v>2425</v>
      </c>
      <c r="AA347" s="3">
        <v>87</v>
      </c>
      <c r="AB347" s="3">
        <v>74</v>
      </c>
      <c r="AC347" s="3">
        <v>74</v>
      </c>
      <c r="AD347" s="3">
        <v>3</v>
      </c>
      <c r="AE347" s="3">
        <v>3</v>
      </c>
      <c r="AF347" s="3">
        <v>4</v>
      </c>
      <c r="AG347" s="3">
        <v>4</v>
      </c>
      <c r="AH347" s="3">
        <v>0</v>
      </c>
      <c r="AI347" s="3">
        <v>0</v>
      </c>
      <c r="AJ347" s="3">
        <v>0</v>
      </c>
      <c r="AK347" s="3">
        <v>0</v>
      </c>
      <c r="AL347" s="3">
        <v>3</v>
      </c>
      <c r="AM347" s="3">
        <v>3</v>
      </c>
      <c r="AN347" s="3">
        <v>1</v>
      </c>
      <c r="AO347" s="3">
        <v>1</v>
      </c>
      <c r="AP347" s="3">
        <v>0</v>
      </c>
      <c r="AQ347" s="3">
        <v>0</v>
      </c>
      <c r="AR347" s="2" t="s">
        <v>5</v>
      </c>
      <c r="AS347" s="2" t="s">
        <v>5</v>
      </c>
      <c r="AU347" s="5" t="str">
        <f>HYPERLINK("https://creighton-primo.hosted.exlibrisgroup.com/primo-explore/search?tab=default_tab&amp;search_scope=EVERYTHING&amp;vid=01CRU&amp;lang=en_US&amp;offset=0&amp;query=any,contains,991001370469702656","Catalog Record")</f>
        <v>Catalog Record</v>
      </c>
      <c r="AV347" s="5" t="str">
        <f>HYPERLINK("http://www.worldcat.org/oclc/2772401","WorldCat Record")</f>
        <v>WorldCat Record</v>
      </c>
      <c r="AW347" s="2" t="s">
        <v>4339</v>
      </c>
      <c r="AX347" s="2" t="s">
        <v>4340</v>
      </c>
      <c r="AY347" s="2" t="s">
        <v>4341</v>
      </c>
      <c r="AZ347" s="2" t="s">
        <v>4341</v>
      </c>
      <c r="BA347" s="2" t="s">
        <v>4342</v>
      </c>
      <c r="BB347" s="2" t="s">
        <v>21</v>
      </c>
      <c r="BE347" s="2" t="s">
        <v>4343</v>
      </c>
      <c r="BF347" s="2" t="s">
        <v>4344</v>
      </c>
    </row>
    <row r="348" spans="1:58" ht="41.25" customHeight="1" x14ac:dyDescent="0.25">
      <c r="A348" s="8" t="s">
        <v>5</v>
      </c>
      <c r="B348" s="1" t="s">
        <v>0</v>
      </c>
      <c r="C348" s="1" t="s">
        <v>1</v>
      </c>
      <c r="D348" s="1" t="s">
        <v>4345</v>
      </c>
      <c r="E348" s="1" t="s">
        <v>4346</v>
      </c>
      <c r="F348" s="1" t="s">
        <v>4347</v>
      </c>
      <c r="H348" s="2" t="s">
        <v>5</v>
      </c>
      <c r="I348" s="2" t="s">
        <v>6</v>
      </c>
      <c r="J348" s="2" t="s">
        <v>5</v>
      </c>
      <c r="K348" s="2" t="s">
        <v>5</v>
      </c>
      <c r="L348" s="2" t="s">
        <v>7</v>
      </c>
      <c r="M348" s="1" t="s">
        <v>4316</v>
      </c>
      <c r="N348" s="1" t="s">
        <v>3402</v>
      </c>
      <c r="O348" s="2" t="s">
        <v>151</v>
      </c>
      <c r="Q348" s="2" t="s">
        <v>11</v>
      </c>
      <c r="R348" s="2" t="s">
        <v>12</v>
      </c>
      <c r="S348" s="1" t="s">
        <v>4348</v>
      </c>
      <c r="T348" s="2" t="s">
        <v>520</v>
      </c>
      <c r="U348" s="3">
        <v>2</v>
      </c>
      <c r="V348" s="3">
        <v>2</v>
      </c>
      <c r="W348" s="4" t="s">
        <v>2072</v>
      </c>
      <c r="X348" s="4" t="s">
        <v>2072</v>
      </c>
      <c r="Y348" s="4" t="s">
        <v>124</v>
      </c>
      <c r="Z348" s="4" t="s">
        <v>124</v>
      </c>
      <c r="AA348" s="3">
        <v>97</v>
      </c>
      <c r="AB348" s="3">
        <v>72</v>
      </c>
      <c r="AC348" s="3">
        <v>74</v>
      </c>
      <c r="AD348" s="3">
        <v>2</v>
      </c>
      <c r="AE348" s="3">
        <v>2</v>
      </c>
      <c r="AF348" s="3">
        <v>4</v>
      </c>
      <c r="AG348" s="3">
        <v>4</v>
      </c>
      <c r="AH348" s="3">
        <v>0</v>
      </c>
      <c r="AI348" s="3">
        <v>0</v>
      </c>
      <c r="AJ348" s="3">
        <v>1</v>
      </c>
      <c r="AK348" s="3">
        <v>1</v>
      </c>
      <c r="AL348" s="3">
        <v>2</v>
      </c>
      <c r="AM348" s="3">
        <v>2</v>
      </c>
      <c r="AN348" s="3">
        <v>1</v>
      </c>
      <c r="AO348" s="3">
        <v>1</v>
      </c>
      <c r="AP348" s="3">
        <v>0</v>
      </c>
      <c r="AQ348" s="3">
        <v>0</v>
      </c>
      <c r="AR348" s="2" t="s">
        <v>5</v>
      </c>
      <c r="AS348" s="2" t="s">
        <v>16</v>
      </c>
      <c r="AT348" s="5" t="str">
        <f>HYPERLINK("http://catalog.hathitrust.org/Record/001574554","HathiTrust Record")</f>
        <v>HathiTrust Record</v>
      </c>
      <c r="AU348" s="5" t="str">
        <f>HYPERLINK("https://creighton-primo.hosted.exlibrisgroup.com/primo-explore/search?tab=default_tab&amp;search_scope=EVERYTHING&amp;vid=01CRU&amp;lang=en_US&amp;offset=0&amp;query=any,contains,991001369179702656","Catalog Record")</f>
        <v>Catalog Record</v>
      </c>
      <c r="AV348" s="5" t="str">
        <f>HYPERLINK("http://www.worldcat.org/oclc/1811304","WorldCat Record")</f>
        <v>WorldCat Record</v>
      </c>
      <c r="AW348" s="2" t="s">
        <v>4349</v>
      </c>
      <c r="AX348" s="2" t="s">
        <v>4350</v>
      </c>
      <c r="AY348" s="2" t="s">
        <v>4351</v>
      </c>
      <c r="AZ348" s="2" t="s">
        <v>4351</v>
      </c>
      <c r="BA348" s="2" t="s">
        <v>4352</v>
      </c>
      <c r="BB348" s="2" t="s">
        <v>21</v>
      </c>
      <c r="BE348" s="2" t="s">
        <v>4353</v>
      </c>
      <c r="BF348" s="2" t="s">
        <v>4354</v>
      </c>
    </row>
    <row r="349" spans="1:58" ht="41.25" customHeight="1" x14ac:dyDescent="0.25">
      <c r="A349" s="8" t="s">
        <v>5</v>
      </c>
      <c r="B349" s="1" t="s">
        <v>0</v>
      </c>
      <c r="C349" s="1" t="s">
        <v>1</v>
      </c>
      <c r="D349" s="1" t="s">
        <v>4355</v>
      </c>
      <c r="E349" s="1" t="s">
        <v>4356</v>
      </c>
      <c r="F349" s="1" t="s">
        <v>4357</v>
      </c>
      <c r="H349" s="2" t="s">
        <v>5</v>
      </c>
      <c r="I349" s="2" t="s">
        <v>6</v>
      </c>
      <c r="J349" s="2" t="s">
        <v>5</v>
      </c>
      <c r="K349" s="2" t="s">
        <v>5</v>
      </c>
      <c r="L349" s="2" t="s">
        <v>7</v>
      </c>
      <c r="M349" s="1" t="s">
        <v>4316</v>
      </c>
      <c r="N349" s="1" t="s">
        <v>2657</v>
      </c>
      <c r="O349" s="2" t="s">
        <v>1441</v>
      </c>
      <c r="Q349" s="2" t="s">
        <v>11</v>
      </c>
      <c r="R349" s="2" t="s">
        <v>12</v>
      </c>
      <c r="S349" s="1" t="s">
        <v>4358</v>
      </c>
      <c r="T349" s="2" t="s">
        <v>520</v>
      </c>
      <c r="U349" s="3">
        <v>1</v>
      </c>
      <c r="V349" s="3">
        <v>1</v>
      </c>
      <c r="W349" s="4" t="s">
        <v>1840</v>
      </c>
      <c r="X349" s="4" t="s">
        <v>1840</v>
      </c>
      <c r="Y349" s="4" t="s">
        <v>124</v>
      </c>
      <c r="Z349" s="4" t="s">
        <v>124</v>
      </c>
      <c r="AA349" s="3">
        <v>55</v>
      </c>
      <c r="AB349" s="3">
        <v>50</v>
      </c>
      <c r="AC349" s="3">
        <v>52</v>
      </c>
      <c r="AD349" s="3">
        <v>1</v>
      </c>
      <c r="AE349" s="3">
        <v>1</v>
      </c>
      <c r="AF349" s="3">
        <v>2</v>
      </c>
      <c r="AG349" s="3">
        <v>2</v>
      </c>
      <c r="AH349" s="3">
        <v>0</v>
      </c>
      <c r="AI349" s="3">
        <v>0</v>
      </c>
      <c r="AJ349" s="3">
        <v>0</v>
      </c>
      <c r="AK349" s="3">
        <v>0</v>
      </c>
      <c r="AL349" s="3">
        <v>2</v>
      </c>
      <c r="AM349" s="3">
        <v>2</v>
      </c>
      <c r="AN349" s="3">
        <v>0</v>
      </c>
      <c r="AO349" s="3">
        <v>0</v>
      </c>
      <c r="AP349" s="3">
        <v>0</v>
      </c>
      <c r="AQ349" s="3">
        <v>0</v>
      </c>
      <c r="AR349" s="2" t="s">
        <v>5</v>
      </c>
      <c r="AS349" s="2" t="s">
        <v>16</v>
      </c>
      <c r="AT349" s="5" t="str">
        <f>HYPERLINK("http://catalog.hathitrust.org/Record/001574603","HathiTrust Record")</f>
        <v>HathiTrust Record</v>
      </c>
      <c r="AU349" s="5" t="str">
        <f>HYPERLINK("https://creighton-primo.hosted.exlibrisgroup.com/primo-explore/search?tab=default_tab&amp;search_scope=EVERYTHING&amp;vid=01CRU&amp;lang=en_US&amp;offset=0&amp;query=any,contains,991001368699702656","Catalog Record")</f>
        <v>Catalog Record</v>
      </c>
      <c r="AV349" s="5" t="str">
        <f>HYPERLINK("http://www.worldcat.org/oclc/1196029","WorldCat Record")</f>
        <v>WorldCat Record</v>
      </c>
      <c r="AW349" s="2" t="s">
        <v>4359</v>
      </c>
      <c r="AX349" s="2" t="s">
        <v>4360</v>
      </c>
      <c r="AY349" s="2" t="s">
        <v>4361</v>
      </c>
      <c r="AZ349" s="2" t="s">
        <v>4361</v>
      </c>
      <c r="BA349" s="2" t="s">
        <v>4362</v>
      </c>
      <c r="BB349" s="2" t="s">
        <v>21</v>
      </c>
      <c r="BE349" s="2" t="s">
        <v>4363</v>
      </c>
      <c r="BF349" s="2" t="s">
        <v>4364</v>
      </c>
    </row>
    <row r="350" spans="1:58" ht="41.25" customHeight="1" x14ac:dyDescent="0.25">
      <c r="A350" s="8" t="s">
        <v>5</v>
      </c>
      <c r="B350" s="1" t="s">
        <v>0</v>
      </c>
      <c r="C350" s="1" t="s">
        <v>1</v>
      </c>
      <c r="D350" s="1" t="s">
        <v>4365</v>
      </c>
      <c r="E350" s="1" t="s">
        <v>4366</v>
      </c>
      <c r="F350" s="1" t="s">
        <v>4367</v>
      </c>
      <c r="H350" s="2" t="s">
        <v>5</v>
      </c>
      <c r="I350" s="2" t="s">
        <v>6</v>
      </c>
      <c r="J350" s="2" t="s">
        <v>5</v>
      </c>
      <c r="K350" s="2" t="s">
        <v>5</v>
      </c>
      <c r="L350" s="2" t="s">
        <v>7</v>
      </c>
      <c r="M350" s="1" t="s">
        <v>4316</v>
      </c>
      <c r="N350" s="1" t="s">
        <v>4368</v>
      </c>
      <c r="O350" s="2" t="s">
        <v>92</v>
      </c>
      <c r="Q350" s="2" t="s">
        <v>11</v>
      </c>
      <c r="R350" s="2" t="s">
        <v>426</v>
      </c>
      <c r="S350" s="1" t="s">
        <v>4369</v>
      </c>
      <c r="T350" s="2" t="s">
        <v>520</v>
      </c>
      <c r="U350" s="3">
        <v>4</v>
      </c>
      <c r="V350" s="3">
        <v>4</v>
      </c>
      <c r="W350" s="4" t="s">
        <v>4370</v>
      </c>
      <c r="X350" s="4" t="s">
        <v>4370</v>
      </c>
      <c r="Y350" s="4" t="s">
        <v>124</v>
      </c>
      <c r="Z350" s="4" t="s">
        <v>124</v>
      </c>
      <c r="AA350" s="3">
        <v>94</v>
      </c>
      <c r="AB350" s="3">
        <v>84</v>
      </c>
      <c r="AC350" s="3">
        <v>84</v>
      </c>
      <c r="AD350" s="3">
        <v>2</v>
      </c>
      <c r="AE350" s="3">
        <v>2</v>
      </c>
      <c r="AF350" s="3">
        <v>5</v>
      </c>
      <c r="AG350" s="3">
        <v>5</v>
      </c>
      <c r="AH350" s="3">
        <v>2</v>
      </c>
      <c r="AI350" s="3">
        <v>2</v>
      </c>
      <c r="AJ350" s="3">
        <v>0</v>
      </c>
      <c r="AK350" s="3">
        <v>0</v>
      </c>
      <c r="AL350" s="3">
        <v>2</v>
      </c>
      <c r="AM350" s="3">
        <v>2</v>
      </c>
      <c r="AN350" s="3">
        <v>1</v>
      </c>
      <c r="AO350" s="3">
        <v>1</v>
      </c>
      <c r="AP350" s="3">
        <v>0</v>
      </c>
      <c r="AQ350" s="3">
        <v>0</v>
      </c>
      <c r="AR350" s="2" t="s">
        <v>5</v>
      </c>
      <c r="AS350" s="2" t="s">
        <v>5</v>
      </c>
      <c r="AU350" s="5" t="str">
        <f>HYPERLINK("https://creighton-primo.hosted.exlibrisgroup.com/primo-explore/search?tab=default_tab&amp;search_scope=EVERYTHING&amp;vid=01CRU&amp;lang=en_US&amp;offset=0&amp;query=any,contains,991001369259702656","Catalog Record")</f>
        <v>Catalog Record</v>
      </c>
      <c r="AV350" s="5" t="str">
        <f>HYPERLINK("http://www.worldcat.org/oclc/2983758","WorldCat Record")</f>
        <v>WorldCat Record</v>
      </c>
      <c r="AW350" s="2" t="s">
        <v>4371</v>
      </c>
      <c r="AX350" s="2" t="s">
        <v>4372</v>
      </c>
      <c r="AY350" s="2" t="s">
        <v>4373</v>
      </c>
      <c r="AZ350" s="2" t="s">
        <v>4373</v>
      </c>
      <c r="BA350" s="2" t="s">
        <v>4374</v>
      </c>
      <c r="BB350" s="2" t="s">
        <v>21</v>
      </c>
      <c r="BE350" s="2" t="s">
        <v>4375</v>
      </c>
      <c r="BF350" s="2" t="s">
        <v>4376</v>
      </c>
    </row>
    <row r="351" spans="1:58" ht="41.25" customHeight="1" x14ac:dyDescent="0.25">
      <c r="A351" s="8" t="s">
        <v>5</v>
      </c>
      <c r="B351" s="1" t="s">
        <v>0</v>
      </c>
      <c r="C351" s="1" t="s">
        <v>1</v>
      </c>
      <c r="D351" s="1" t="s">
        <v>4377</v>
      </c>
      <c r="E351" s="1" t="s">
        <v>4378</v>
      </c>
      <c r="F351" s="1" t="s">
        <v>4379</v>
      </c>
      <c r="H351" s="2" t="s">
        <v>5</v>
      </c>
      <c r="I351" s="2" t="s">
        <v>6</v>
      </c>
      <c r="J351" s="2" t="s">
        <v>5</v>
      </c>
      <c r="K351" s="2" t="s">
        <v>5</v>
      </c>
      <c r="L351" s="2" t="s">
        <v>7</v>
      </c>
      <c r="M351" s="1" t="s">
        <v>4316</v>
      </c>
      <c r="N351" s="1" t="s">
        <v>2577</v>
      </c>
      <c r="O351" s="2" t="s">
        <v>10</v>
      </c>
      <c r="Q351" s="2" t="s">
        <v>11</v>
      </c>
      <c r="R351" s="2" t="s">
        <v>12</v>
      </c>
      <c r="S351" s="1" t="s">
        <v>4380</v>
      </c>
      <c r="T351" s="2" t="s">
        <v>520</v>
      </c>
      <c r="U351" s="3">
        <v>1</v>
      </c>
      <c r="V351" s="3">
        <v>1</v>
      </c>
      <c r="W351" s="4" t="s">
        <v>1840</v>
      </c>
      <c r="X351" s="4" t="s">
        <v>1840</v>
      </c>
      <c r="Y351" s="4" t="s">
        <v>2425</v>
      </c>
      <c r="Z351" s="4" t="s">
        <v>2425</v>
      </c>
      <c r="AA351" s="3">
        <v>80</v>
      </c>
      <c r="AB351" s="3">
        <v>66</v>
      </c>
      <c r="AC351" s="3">
        <v>66</v>
      </c>
      <c r="AD351" s="3">
        <v>2</v>
      </c>
      <c r="AE351" s="3">
        <v>2</v>
      </c>
      <c r="AF351" s="3">
        <v>5</v>
      </c>
      <c r="AG351" s="3">
        <v>5</v>
      </c>
      <c r="AH351" s="3">
        <v>1</v>
      </c>
      <c r="AI351" s="3">
        <v>1</v>
      </c>
      <c r="AJ351" s="3">
        <v>0</v>
      </c>
      <c r="AK351" s="3">
        <v>0</v>
      </c>
      <c r="AL351" s="3">
        <v>3</v>
      </c>
      <c r="AM351" s="3">
        <v>3</v>
      </c>
      <c r="AN351" s="3">
        <v>1</v>
      </c>
      <c r="AO351" s="3">
        <v>1</v>
      </c>
      <c r="AP351" s="3">
        <v>0</v>
      </c>
      <c r="AQ351" s="3">
        <v>0</v>
      </c>
      <c r="AR351" s="2" t="s">
        <v>5</v>
      </c>
      <c r="AS351" s="2" t="s">
        <v>5</v>
      </c>
      <c r="AU351" s="5" t="str">
        <f>HYPERLINK("https://creighton-primo.hosted.exlibrisgroup.com/primo-explore/search?tab=default_tab&amp;search_scope=EVERYTHING&amp;vid=01CRU&amp;lang=en_US&amp;offset=0&amp;query=any,contains,991001370589702656","Catalog Record")</f>
        <v>Catalog Record</v>
      </c>
      <c r="AV351" s="5" t="str">
        <f>HYPERLINK("http://www.worldcat.org/oclc/3309141","WorldCat Record")</f>
        <v>WorldCat Record</v>
      </c>
      <c r="AW351" s="2" t="s">
        <v>4381</v>
      </c>
      <c r="AX351" s="2" t="s">
        <v>4382</v>
      </c>
      <c r="AY351" s="2" t="s">
        <v>4383</v>
      </c>
      <c r="AZ351" s="2" t="s">
        <v>4383</v>
      </c>
      <c r="BA351" s="2" t="s">
        <v>4384</v>
      </c>
      <c r="BB351" s="2" t="s">
        <v>21</v>
      </c>
      <c r="BE351" s="2" t="s">
        <v>4385</v>
      </c>
      <c r="BF351" s="2" t="s">
        <v>4386</v>
      </c>
    </row>
    <row r="352" spans="1:58" ht="41.25" customHeight="1" x14ac:dyDescent="0.25">
      <c r="A352" s="8" t="s">
        <v>5</v>
      </c>
      <c r="B352" s="1" t="s">
        <v>0</v>
      </c>
      <c r="C352" s="1" t="s">
        <v>1</v>
      </c>
      <c r="D352" s="1" t="s">
        <v>4387</v>
      </c>
      <c r="E352" s="1" t="s">
        <v>4388</v>
      </c>
      <c r="F352" s="1" t="s">
        <v>4389</v>
      </c>
      <c r="H352" s="2" t="s">
        <v>5</v>
      </c>
      <c r="I352" s="2" t="s">
        <v>6</v>
      </c>
      <c r="J352" s="2" t="s">
        <v>5</v>
      </c>
      <c r="K352" s="2" t="s">
        <v>5</v>
      </c>
      <c r="L352" s="2" t="s">
        <v>7</v>
      </c>
      <c r="N352" s="1" t="s">
        <v>4390</v>
      </c>
      <c r="O352" s="2" t="s">
        <v>228</v>
      </c>
      <c r="Q352" s="2" t="s">
        <v>11</v>
      </c>
      <c r="R352" s="2" t="s">
        <v>426</v>
      </c>
      <c r="S352" s="1" t="s">
        <v>4391</v>
      </c>
      <c r="T352" s="2" t="s">
        <v>520</v>
      </c>
      <c r="U352" s="3">
        <v>1</v>
      </c>
      <c r="V352" s="3">
        <v>1</v>
      </c>
      <c r="W352" s="4" t="s">
        <v>1590</v>
      </c>
      <c r="X352" s="4" t="s">
        <v>1590</v>
      </c>
      <c r="Y352" s="4" t="s">
        <v>1223</v>
      </c>
      <c r="Z352" s="4" t="s">
        <v>1223</v>
      </c>
      <c r="AA352" s="3">
        <v>93</v>
      </c>
      <c r="AB352" s="3">
        <v>85</v>
      </c>
      <c r="AC352" s="3">
        <v>87</v>
      </c>
      <c r="AD352" s="3">
        <v>1</v>
      </c>
      <c r="AE352" s="3">
        <v>1</v>
      </c>
      <c r="AF352" s="3">
        <v>4</v>
      </c>
      <c r="AG352" s="3">
        <v>4</v>
      </c>
      <c r="AH352" s="3">
        <v>2</v>
      </c>
      <c r="AI352" s="3">
        <v>2</v>
      </c>
      <c r="AJ352" s="3">
        <v>0</v>
      </c>
      <c r="AK352" s="3">
        <v>0</v>
      </c>
      <c r="AL352" s="3">
        <v>2</v>
      </c>
      <c r="AM352" s="3">
        <v>2</v>
      </c>
      <c r="AN352" s="3">
        <v>0</v>
      </c>
      <c r="AO352" s="3">
        <v>0</v>
      </c>
      <c r="AP352" s="3">
        <v>0</v>
      </c>
      <c r="AQ352" s="3">
        <v>0</v>
      </c>
      <c r="AR352" s="2" t="s">
        <v>5</v>
      </c>
      <c r="AS352" s="2" t="s">
        <v>16</v>
      </c>
      <c r="AT352" s="5" t="str">
        <f>HYPERLINK("http://catalog.hathitrust.org/Record/002510417","HathiTrust Record")</f>
        <v>HathiTrust Record</v>
      </c>
      <c r="AU352" s="5" t="str">
        <f>HYPERLINK("https://creighton-primo.hosted.exlibrisgroup.com/primo-explore/search?tab=default_tab&amp;search_scope=EVERYTHING&amp;vid=01CRU&amp;lang=en_US&amp;offset=0&amp;query=any,contains,991001389149702656","Catalog Record")</f>
        <v>Catalog Record</v>
      </c>
      <c r="AV352" s="5" t="str">
        <f>HYPERLINK("http://www.worldcat.org/oclc/8764393","WorldCat Record")</f>
        <v>WorldCat Record</v>
      </c>
      <c r="AW352" s="2" t="s">
        <v>4392</v>
      </c>
      <c r="AX352" s="2" t="s">
        <v>4393</v>
      </c>
      <c r="AY352" s="2" t="s">
        <v>4394</v>
      </c>
      <c r="AZ352" s="2" t="s">
        <v>4394</v>
      </c>
      <c r="BA352" s="2" t="s">
        <v>4395</v>
      </c>
      <c r="BB352" s="2" t="s">
        <v>21</v>
      </c>
      <c r="BE352" s="2" t="s">
        <v>4396</v>
      </c>
      <c r="BF352" s="2" t="s">
        <v>4397</v>
      </c>
    </row>
    <row r="353" spans="1:58" ht="41.25" customHeight="1" x14ac:dyDescent="0.25">
      <c r="A353" s="8" t="s">
        <v>5</v>
      </c>
      <c r="B353" s="1" t="s">
        <v>0</v>
      </c>
      <c r="C353" s="1" t="s">
        <v>1</v>
      </c>
      <c r="D353" s="1" t="s">
        <v>4398</v>
      </c>
      <c r="E353" s="1" t="s">
        <v>4399</v>
      </c>
      <c r="F353" s="1" t="s">
        <v>4400</v>
      </c>
      <c r="H353" s="2" t="s">
        <v>5</v>
      </c>
      <c r="I353" s="2" t="s">
        <v>6</v>
      </c>
      <c r="J353" s="2" t="s">
        <v>5</v>
      </c>
      <c r="K353" s="2" t="s">
        <v>5</v>
      </c>
      <c r="L353" s="2" t="s">
        <v>7</v>
      </c>
      <c r="M353" s="1" t="s">
        <v>4401</v>
      </c>
      <c r="N353" s="1" t="s">
        <v>4402</v>
      </c>
      <c r="O353" s="2" t="s">
        <v>1102</v>
      </c>
      <c r="P353" s="1" t="s">
        <v>211</v>
      </c>
      <c r="Q353" s="2" t="s">
        <v>11</v>
      </c>
      <c r="R353" s="2" t="s">
        <v>426</v>
      </c>
      <c r="T353" s="2" t="s">
        <v>520</v>
      </c>
      <c r="U353" s="3">
        <v>10</v>
      </c>
      <c r="V353" s="3">
        <v>10</v>
      </c>
      <c r="W353" s="4" t="s">
        <v>4403</v>
      </c>
      <c r="X353" s="4" t="s">
        <v>4403</v>
      </c>
      <c r="Y353" s="4" t="s">
        <v>4404</v>
      </c>
      <c r="Z353" s="4" t="s">
        <v>4404</v>
      </c>
      <c r="AA353" s="3">
        <v>112</v>
      </c>
      <c r="AB353" s="3">
        <v>108</v>
      </c>
      <c r="AC353" s="3">
        <v>150</v>
      </c>
      <c r="AD353" s="3">
        <v>1</v>
      </c>
      <c r="AE353" s="3">
        <v>1</v>
      </c>
      <c r="AF353" s="3">
        <v>0</v>
      </c>
      <c r="AG353" s="3">
        <v>0</v>
      </c>
      <c r="AH353" s="3">
        <v>0</v>
      </c>
      <c r="AI353" s="3">
        <v>0</v>
      </c>
      <c r="AJ353" s="3">
        <v>0</v>
      </c>
      <c r="AK353" s="3">
        <v>0</v>
      </c>
      <c r="AL353" s="3">
        <v>0</v>
      </c>
      <c r="AM353" s="3">
        <v>0</v>
      </c>
      <c r="AN353" s="3">
        <v>0</v>
      </c>
      <c r="AO353" s="3">
        <v>0</v>
      </c>
      <c r="AP353" s="3">
        <v>0</v>
      </c>
      <c r="AQ353" s="3">
        <v>0</v>
      </c>
      <c r="AR353" s="2" t="s">
        <v>5</v>
      </c>
      <c r="AS353" s="2" t="s">
        <v>16</v>
      </c>
      <c r="AT353" s="5" t="str">
        <f>HYPERLINK("http://catalog.hathitrust.org/Record/000806024","HathiTrust Record")</f>
        <v>HathiTrust Record</v>
      </c>
      <c r="AU353" s="5" t="str">
        <f>HYPERLINK("https://creighton-primo.hosted.exlibrisgroup.com/primo-explore/search?tab=default_tab&amp;search_scope=EVERYTHING&amp;vid=01CRU&amp;lang=en_US&amp;offset=0&amp;query=any,contains,991001239179702656","Catalog Record")</f>
        <v>Catalog Record</v>
      </c>
      <c r="AV353" s="5" t="str">
        <f>HYPERLINK("http://www.worldcat.org/oclc/14282722","WorldCat Record")</f>
        <v>WorldCat Record</v>
      </c>
      <c r="AW353" s="2" t="s">
        <v>4405</v>
      </c>
      <c r="AX353" s="2" t="s">
        <v>4406</v>
      </c>
      <c r="AY353" s="2" t="s">
        <v>4407</v>
      </c>
      <c r="AZ353" s="2" t="s">
        <v>4407</v>
      </c>
      <c r="BA353" s="2" t="s">
        <v>4408</v>
      </c>
      <c r="BB353" s="2" t="s">
        <v>21</v>
      </c>
      <c r="BD353" s="2" t="s">
        <v>4409</v>
      </c>
      <c r="BE353" s="2" t="s">
        <v>4410</v>
      </c>
      <c r="BF353" s="2" t="s">
        <v>4411</v>
      </c>
    </row>
    <row r="354" spans="1:58" ht="41.25" customHeight="1" x14ac:dyDescent="0.25">
      <c r="A354" s="8" t="s">
        <v>5</v>
      </c>
      <c r="B354" s="1" t="s">
        <v>0</v>
      </c>
      <c r="C354" s="1" t="s">
        <v>1</v>
      </c>
      <c r="D354" s="1" t="s">
        <v>4412</v>
      </c>
      <c r="E354" s="1" t="s">
        <v>4413</v>
      </c>
      <c r="F354" s="1" t="s">
        <v>4414</v>
      </c>
      <c r="H354" s="2" t="s">
        <v>5</v>
      </c>
      <c r="I354" s="2" t="s">
        <v>6</v>
      </c>
      <c r="J354" s="2" t="s">
        <v>5</v>
      </c>
      <c r="K354" s="2" t="s">
        <v>5</v>
      </c>
      <c r="L354" s="2" t="s">
        <v>7</v>
      </c>
      <c r="M354" s="1" t="s">
        <v>4415</v>
      </c>
      <c r="N354" s="1" t="s">
        <v>4416</v>
      </c>
      <c r="O354" s="2" t="s">
        <v>1283</v>
      </c>
      <c r="Q354" s="2" t="s">
        <v>11</v>
      </c>
      <c r="R354" s="2" t="s">
        <v>12</v>
      </c>
      <c r="S354" s="1" t="s">
        <v>4417</v>
      </c>
      <c r="T354" s="2" t="s">
        <v>520</v>
      </c>
      <c r="U354" s="3">
        <v>6</v>
      </c>
      <c r="V354" s="3">
        <v>6</v>
      </c>
      <c r="W354" s="4" t="s">
        <v>4418</v>
      </c>
      <c r="X354" s="4" t="s">
        <v>4418</v>
      </c>
      <c r="Y354" s="4" t="s">
        <v>604</v>
      </c>
      <c r="Z354" s="4" t="s">
        <v>604</v>
      </c>
      <c r="AA354" s="3">
        <v>319</v>
      </c>
      <c r="AB354" s="3">
        <v>293</v>
      </c>
      <c r="AC354" s="3">
        <v>310</v>
      </c>
      <c r="AD354" s="3">
        <v>2</v>
      </c>
      <c r="AE354" s="3">
        <v>2</v>
      </c>
      <c r="AF354" s="3">
        <v>22</v>
      </c>
      <c r="AG354" s="3">
        <v>22</v>
      </c>
      <c r="AH354" s="3">
        <v>8</v>
      </c>
      <c r="AI354" s="3">
        <v>8</v>
      </c>
      <c r="AJ354" s="3">
        <v>6</v>
      </c>
      <c r="AK354" s="3">
        <v>6</v>
      </c>
      <c r="AL354" s="3">
        <v>11</v>
      </c>
      <c r="AM354" s="3">
        <v>11</v>
      </c>
      <c r="AN354" s="3">
        <v>1</v>
      </c>
      <c r="AO354" s="3">
        <v>1</v>
      </c>
      <c r="AP354" s="3">
        <v>0</v>
      </c>
      <c r="AQ354" s="3">
        <v>0</v>
      </c>
      <c r="AR354" s="2" t="s">
        <v>5</v>
      </c>
      <c r="AS354" s="2" t="s">
        <v>16</v>
      </c>
      <c r="AT354" s="5" t="str">
        <f>HYPERLINK("http://catalog.hathitrust.org/Record/003112599","HathiTrust Record")</f>
        <v>HathiTrust Record</v>
      </c>
      <c r="AU354" s="5" t="str">
        <f>HYPERLINK("https://creighton-primo.hosted.exlibrisgroup.com/primo-explore/search?tab=default_tab&amp;search_scope=EVERYTHING&amp;vid=01CRU&amp;lang=en_US&amp;offset=0&amp;query=any,contains,991000263779702656","Catalog Record")</f>
        <v>Catalog Record</v>
      </c>
      <c r="AV354" s="5" t="str">
        <f>HYPERLINK("http://www.worldcat.org/oclc/35829046","WorldCat Record")</f>
        <v>WorldCat Record</v>
      </c>
      <c r="AW354" s="2" t="s">
        <v>4419</v>
      </c>
      <c r="AX354" s="2" t="s">
        <v>4420</v>
      </c>
      <c r="AY354" s="2" t="s">
        <v>4421</v>
      </c>
      <c r="AZ354" s="2" t="s">
        <v>4421</v>
      </c>
      <c r="BA354" s="2" t="s">
        <v>4422</v>
      </c>
      <c r="BB354" s="2" t="s">
        <v>21</v>
      </c>
      <c r="BD354" s="2" t="s">
        <v>4423</v>
      </c>
      <c r="BE354" s="2" t="s">
        <v>4424</v>
      </c>
      <c r="BF354" s="2" t="s">
        <v>4425</v>
      </c>
    </row>
    <row r="355" spans="1:58" ht="41.25" customHeight="1" x14ac:dyDescent="0.25">
      <c r="A355" s="8" t="s">
        <v>5</v>
      </c>
      <c r="B355" s="1" t="s">
        <v>0</v>
      </c>
      <c r="C355" s="1" t="s">
        <v>1</v>
      </c>
      <c r="D355" s="1" t="s">
        <v>4426</v>
      </c>
      <c r="E355" s="1" t="s">
        <v>4427</v>
      </c>
      <c r="F355" s="1" t="s">
        <v>4428</v>
      </c>
      <c r="H355" s="2" t="s">
        <v>5</v>
      </c>
      <c r="I355" s="2" t="s">
        <v>6</v>
      </c>
      <c r="J355" s="2" t="s">
        <v>5</v>
      </c>
      <c r="K355" s="2" t="s">
        <v>5</v>
      </c>
      <c r="L355" s="2" t="s">
        <v>7</v>
      </c>
      <c r="N355" s="1" t="s">
        <v>4429</v>
      </c>
      <c r="O355" s="2" t="s">
        <v>1551</v>
      </c>
      <c r="Q355" s="2" t="s">
        <v>11</v>
      </c>
      <c r="R355" s="2" t="s">
        <v>12</v>
      </c>
      <c r="S355" s="1" t="s">
        <v>4430</v>
      </c>
      <c r="T355" s="2" t="s">
        <v>520</v>
      </c>
      <c r="U355" s="3">
        <v>1</v>
      </c>
      <c r="V355" s="3">
        <v>1</v>
      </c>
      <c r="W355" s="4" t="s">
        <v>1717</v>
      </c>
      <c r="X355" s="4" t="s">
        <v>1717</v>
      </c>
      <c r="Y355" s="4" t="s">
        <v>1591</v>
      </c>
      <c r="Z355" s="4" t="s">
        <v>1591</v>
      </c>
      <c r="AA355" s="3">
        <v>18</v>
      </c>
      <c r="AB355" s="3">
        <v>17</v>
      </c>
      <c r="AC355" s="3">
        <v>17</v>
      </c>
      <c r="AD355" s="3">
        <v>1</v>
      </c>
      <c r="AE355" s="3">
        <v>1</v>
      </c>
      <c r="AF355" s="3">
        <v>2</v>
      </c>
      <c r="AG355" s="3">
        <v>2</v>
      </c>
      <c r="AH355" s="3">
        <v>0</v>
      </c>
      <c r="AI355" s="3">
        <v>0</v>
      </c>
      <c r="AJ355" s="3">
        <v>0</v>
      </c>
      <c r="AK355" s="3">
        <v>0</v>
      </c>
      <c r="AL355" s="3">
        <v>2</v>
      </c>
      <c r="AM355" s="3">
        <v>2</v>
      </c>
      <c r="AN355" s="3">
        <v>0</v>
      </c>
      <c r="AO355" s="3">
        <v>0</v>
      </c>
      <c r="AP355" s="3">
        <v>0</v>
      </c>
      <c r="AQ355" s="3">
        <v>0</v>
      </c>
      <c r="AR355" s="2" t="s">
        <v>5</v>
      </c>
      <c r="AS355" s="2" t="s">
        <v>5</v>
      </c>
      <c r="AU355" s="5" t="str">
        <f>HYPERLINK("https://creighton-primo.hosted.exlibrisgroup.com/primo-explore/search?tab=default_tab&amp;search_scope=EVERYTHING&amp;vid=01CRU&amp;lang=en_US&amp;offset=0&amp;query=any,contains,991001374949702656","Catalog Record")</f>
        <v>Catalog Record</v>
      </c>
      <c r="AV355" s="5" t="str">
        <f>HYPERLINK("http://www.worldcat.org/oclc/1007704","WorldCat Record")</f>
        <v>WorldCat Record</v>
      </c>
      <c r="AW355" s="2" t="s">
        <v>4431</v>
      </c>
      <c r="AX355" s="2" t="s">
        <v>4432</v>
      </c>
      <c r="AY355" s="2" t="s">
        <v>4433</v>
      </c>
      <c r="AZ355" s="2" t="s">
        <v>4433</v>
      </c>
      <c r="BA355" s="2" t="s">
        <v>4434</v>
      </c>
      <c r="BB355" s="2" t="s">
        <v>21</v>
      </c>
      <c r="BE355" s="2" t="s">
        <v>4435</v>
      </c>
      <c r="BF355" s="2" t="s">
        <v>4436</v>
      </c>
    </row>
    <row r="356" spans="1:58" ht="41.25" customHeight="1" x14ac:dyDescent="0.25">
      <c r="A356" s="8" t="s">
        <v>5</v>
      </c>
      <c r="B356" s="1" t="s">
        <v>0</v>
      </c>
      <c r="C356" s="1" t="s">
        <v>1</v>
      </c>
      <c r="D356" s="1" t="s">
        <v>4437</v>
      </c>
      <c r="E356" s="1" t="s">
        <v>4438</v>
      </c>
      <c r="F356" s="1" t="s">
        <v>4439</v>
      </c>
      <c r="H356" s="2" t="s">
        <v>5</v>
      </c>
      <c r="I356" s="2" t="s">
        <v>6</v>
      </c>
      <c r="J356" s="2" t="s">
        <v>5</v>
      </c>
      <c r="K356" s="2" t="s">
        <v>5</v>
      </c>
      <c r="L356" s="2" t="s">
        <v>7</v>
      </c>
      <c r="N356" s="1" t="s">
        <v>2887</v>
      </c>
      <c r="O356" s="2" t="s">
        <v>92</v>
      </c>
      <c r="Q356" s="2" t="s">
        <v>11</v>
      </c>
      <c r="R356" s="2" t="s">
        <v>12</v>
      </c>
      <c r="S356" s="1" t="s">
        <v>4440</v>
      </c>
      <c r="T356" s="2" t="s">
        <v>520</v>
      </c>
      <c r="U356" s="3">
        <v>2</v>
      </c>
      <c r="V356" s="3">
        <v>2</v>
      </c>
      <c r="W356" s="4" t="s">
        <v>2189</v>
      </c>
      <c r="X356" s="4" t="s">
        <v>2189</v>
      </c>
      <c r="Y356" s="4" t="s">
        <v>2632</v>
      </c>
      <c r="Z356" s="4" t="s">
        <v>2632</v>
      </c>
      <c r="AA356" s="3">
        <v>89</v>
      </c>
      <c r="AB356" s="3">
        <v>76</v>
      </c>
      <c r="AC356" s="3">
        <v>78</v>
      </c>
      <c r="AD356" s="3">
        <v>3</v>
      </c>
      <c r="AE356" s="3">
        <v>3</v>
      </c>
      <c r="AF356" s="3">
        <v>4</v>
      </c>
      <c r="AG356" s="3">
        <v>4</v>
      </c>
      <c r="AH356" s="3">
        <v>0</v>
      </c>
      <c r="AI356" s="3">
        <v>0</v>
      </c>
      <c r="AJ356" s="3">
        <v>0</v>
      </c>
      <c r="AK356" s="3">
        <v>0</v>
      </c>
      <c r="AL356" s="3">
        <v>3</v>
      </c>
      <c r="AM356" s="3">
        <v>3</v>
      </c>
      <c r="AN356" s="3">
        <v>1</v>
      </c>
      <c r="AO356" s="3">
        <v>1</v>
      </c>
      <c r="AP356" s="3">
        <v>0</v>
      </c>
      <c r="AQ356" s="3">
        <v>0</v>
      </c>
      <c r="AR356" s="2" t="s">
        <v>5</v>
      </c>
      <c r="AS356" s="2" t="s">
        <v>16</v>
      </c>
      <c r="AT356" s="5" t="str">
        <f>HYPERLINK("http://catalog.hathitrust.org/Record/000017590","HathiTrust Record")</f>
        <v>HathiTrust Record</v>
      </c>
      <c r="AU356" s="5" t="str">
        <f>HYPERLINK("https://creighton-primo.hosted.exlibrisgroup.com/primo-explore/search?tab=default_tab&amp;search_scope=EVERYTHING&amp;vid=01CRU&amp;lang=en_US&amp;offset=0&amp;query=any,contains,991001387979702656","Catalog Record")</f>
        <v>Catalog Record</v>
      </c>
      <c r="AV356" s="5" t="str">
        <f>HYPERLINK("http://www.worldcat.org/oclc/3273187","WorldCat Record")</f>
        <v>WorldCat Record</v>
      </c>
      <c r="AW356" s="2" t="s">
        <v>4441</v>
      </c>
      <c r="AX356" s="2" t="s">
        <v>4442</v>
      </c>
      <c r="AY356" s="2" t="s">
        <v>4443</v>
      </c>
      <c r="AZ356" s="2" t="s">
        <v>4443</v>
      </c>
      <c r="BA356" s="2" t="s">
        <v>4444</v>
      </c>
      <c r="BB356" s="2" t="s">
        <v>21</v>
      </c>
      <c r="BE356" s="2" t="s">
        <v>4445</v>
      </c>
      <c r="BF356" s="2" t="s">
        <v>4446</v>
      </c>
    </row>
    <row r="357" spans="1:58" ht="41.25" customHeight="1" x14ac:dyDescent="0.25">
      <c r="A357" s="8" t="s">
        <v>5</v>
      </c>
      <c r="B357" s="1" t="s">
        <v>0</v>
      </c>
      <c r="C357" s="1" t="s">
        <v>1</v>
      </c>
      <c r="D357" s="1" t="s">
        <v>4447</v>
      </c>
      <c r="E357" s="1" t="s">
        <v>4448</v>
      </c>
      <c r="F357" s="1" t="s">
        <v>4449</v>
      </c>
      <c r="H357" s="2" t="s">
        <v>5</v>
      </c>
      <c r="I357" s="2" t="s">
        <v>6</v>
      </c>
      <c r="J357" s="2" t="s">
        <v>5</v>
      </c>
      <c r="K357" s="2" t="s">
        <v>5</v>
      </c>
      <c r="L357" s="2" t="s">
        <v>7</v>
      </c>
      <c r="N357" s="1" t="s">
        <v>2577</v>
      </c>
      <c r="O357" s="2" t="s">
        <v>10</v>
      </c>
      <c r="Q357" s="2" t="s">
        <v>11</v>
      </c>
      <c r="R357" s="2" t="s">
        <v>12</v>
      </c>
      <c r="S357" s="1" t="s">
        <v>4450</v>
      </c>
      <c r="T357" s="2" t="s">
        <v>520</v>
      </c>
      <c r="U357" s="3">
        <v>2</v>
      </c>
      <c r="V357" s="3">
        <v>2</v>
      </c>
      <c r="W357" s="4" t="s">
        <v>3968</v>
      </c>
      <c r="X357" s="4" t="s">
        <v>3968</v>
      </c>
      <c r="Y357" s="4" t="s">
        <v>2632</v>
      </c>
      <c r="Z357" s="4" t="s">
        <v>2632</v>
      </c>
      <c r="AA357" s="3">
        <v>65</v>
      </c>
      <c r="AB357" s="3">
        <v>58</v>
      </c>
      <c r="AC357" s="3">
        <v>60</v>
      </c>
      <c r="AD357" s="3">
        <v>1</v>
      </c>
      <c r="AE357" s="3">
        <v>1</v>
      </c>
      <c r="AF357" s="3">
        <v>2</v>
      </c>
      <c r="AG357" s="3">
        <v>2</v>
      </c>
      <c r="AH357" s="3">
        <v>0</v>
      </c>
      <c r="AI357" s="3">
        <v>0</v>
      </c>
      <c r="AJ357" s="3">
        <v>0</v>
      </c>
      <c r="AK357" s="3">
        <v>0</v>
      </c>
      <c r="AL357" s="3">
        <v>2</v>
      </c>
      <c r="AM357" s="3">
        <v>2</v>
      </c>
      <c r="AN357" s="3">
        <v>0</v>
      </c>
      <c r="AO357" s="3">
        <v>0</v>
      </c>
      <c r="AP357" s="3">
        <v>0</v>
      </c>
      <c r="AQ357" s="3">
        <v>0</v>
      </c>
      <c r="AR357" s="2" t="s">
        <v>5</v>
      </c>
      <c r="AS357" s="2" t="s">
        <v>16</v>
      </c>
      <c r="AT357" s="5" t="str">
        <f>HYPERLINK("http://catalog.hathitrust.org/Record/001545896","HathiTrust Record")</f>
        <v>HathiTrust Record</v>
      </c>
      <c r="AU357" s="5" t="str">
        <f>HYPERLINK("https://creighton-primo.hosted.exlibrisgroup.com/primo-explore/search?tab=default_tab&amp;search_scope=EVERYTHING&amp;vid=01CRU&amp;lang=en_US&amp;offset=0&amp;query=any,contains,991001388099702656","Catalog Record")</f>
        <v>Catalog Record</v>
      </c>
      <c r="AV357" s="5" t="str">
        <f>HYPERLINK("http://www.worldcat.org/oclc/3441956","WorldCat Record")</f>
        <v>WorldCat Record</v>
      </c>
      <c r="AW357" s="2" t="s">
        <v>4451</v>
      </c>
      <c r="AX357" s="2" t="s">
        <v>4452</v>
      </c>
      <c r="AY357" s="2" t="s">
        <v>4453</v>
      </c>
      <c r="AZ357" s="2" t="s">
        <v>4453</v>
      </c>
      <c r="BA357" s="2" t="s">
        <v>4454</v>
      </c>
      <c r="BB357" s="2" t="s">
        <v>21</v>
      </c>
      <c r="BE357" s="2" t="s">
        <v>4455</v>
      </c>
      <c r="BF357" s="2" t="s">
        <v>4456</v>
      </c>
    </row>
    <row r="358" spans="1:58" ht="41.25" customHeight="1" x14ac:dyDescent="0.25">
      <c r="A358" s="8" t="s">
        <v>5</v>
      </c>
      <c r="B358" s="1" t="s">
        <v>0</v>
      </c>
      <c r="C358" s="1" t="s">
        <v>1</v>
      </c>
      <c r="D358" s="1" t="s">
        <v>4457</v>
      </c>
      <c r="E358" s="1" t="s">
        <v>4458</v>
      </c>
      <c r="F358" s="1" t="s">
        <v>4459</v>
      </c>
      <c r="H358" s="2" t="s">
        <v>5</v>
      </c>
      <c r="I358" s="2" t="s">
        <v>6</v>
      </c>
      <c r="J358" s="2" t="s">
        <v>5</v>
      </c>
      <c r="K358" s="2" t="s">
        <v>5</v>
      </c>
      <c r="L358" s="2" t="s">
        <v>7</v>
      </c>
      <c r="N358" s="1" t="s">
        <v>4460</v>
      </c>
      <c r="O358" s="2" t="s">
        <v>4461</v>
      </c>
      <c r="Q358" s="2" t="s">
        <v>11</v>
      </c>
      <c r="R358" s="2" t="s">
        <v>12</v>
      </c>
      <c r="T358" s="2" t="s">
        <v>520</v>
      </c>
      <c r="U358" s="3">
        <v>2</v>
      </c>
      <c r="V358" s="3">
        <v>2</v>
      </c>
      <c r="W358" s="4" t="s">
        <v>2225</v>
      </c>
      <c r="X358" s="4" t="s">
        <v>2225</v>
      </c>
      <c r="Y358" s="4" t="s">
        <v>2226</v>
      </c>
      <c r="Z358" s="4" t="s">
        <v>2226</v>
      </c>
      <c r="AA358" s="3">
        <v>17</v>
      </c>
      <c r="AB358" s="3">
        <v>16</v>
      </c>
      <c r="AC358" s="3">
        <v>42</v>
      </c>
      <c r="AD358" s="3">
        <v>1</v>
      </c>
      <c r="AE358" s="3">
        <v>1</v>
      </c>
      <c r="AF358" s="3">
        <v>1</v>
      </c>
      <c r="AG358" s="3">
        <v>1</v>
      </c>
      <c r="AH358" s="3">
        <v>0</v>
      </c>
      <c r="AI358" s="3">
        <v>0</v>
      </c>
      <c r="AJ358" s="3">
        <v>0</v>
      </c>
      <c r="AK358" s="3">
        <v>0</v>
      </c>
      <c r="AL358" s="3">
        <v>1</v>
      </c>
      <c r="AM358" s="3">
        <v>1</v>
      </c>
      <c r="AN358" s="3">
        <v>0</v>
      </c>
      <c r="AO358" s="3">
        <v>0</v>
      </c>
      <c r="AP358" s="3">
        <v>0</v>
      </c>
      <c r="AQ358" s="3">
        <v>0</v>
      </c>
      <c r="AR358" s="2" t="s">
        <v>5</v>
      </c>
      <c r="AS358" s="2" t="s">
        <v>5</v>
      </c>
      <c r="AU358" s="5" t="str">
        <f>HYPERLINK("https://creighton-primo.hosted.exlibrisgroup.com/primo-explore/search?tab=default_tab&amp;search_scope=EVERYTHING&amp;vid=01CRU&amp;lang=en_US&amp;offset=0&amp;query=any,contains,991001518079702656","Catalog Record")</f>
        <v>Catalog Record</v>
      </c>
      <c r="AV358" s="5" t="str">
        <f>HYPERLINK("http://www.worldcat.org/oclc/4757104","WorldCat Record")</f>
        <v>WorldCat Record</v>
      </c>
      <c r="AW358" s="2" t="s">
        <v>4462</v>
      </c>
      <c r="AX358" s="2" t="s">
        <v>4463</v>
      </c>
      <c r="AY358" s="2" t="s">
        <v>4464</v>
      </c>
      <c r="AZ358" s="2" t="s">
        <v>4464</v>
      </c>
      <c r="BA358" s="2" t="s">
        <v>4465</v>
      </c>
      <c r="BB358" s="2" t="s">
        <v>21</v>
      </c>
      <c r="BE358" s="2" t="s">
        <v>4466</v>
      </c>
      <c r="BF358" s="2" t="s">
        <v>4467</v>
      </c>
    </row>
    <row r="359" spans="1:58" ht="41.25" customHeight="1" x14ac:dyDescent="0.25">
      <c r="A359" s="8" t="s">
        <v>5</v>
      </c>
      <c r="B359" s="1" t="s">
        <v>0</v>
      </c>
      <c r="C359" s="1" t="s">
        <v>1</v>
      </c>
      <c r="D359" s="1" t="s">
        <v>4468</v>
      </c>
      <c r="E359" s="1" t="s">
        <v>4469</v>
      </c>
      <c r="F359" s="1" t="s">
        <v>4470</v>
      </c>
      <c r="H359" s="2" t="s">
        <v>5</v>
      </c>
      <c r="I359" s="2" t="s">
        <v>6</v>
      </c>
      <c r="J359" s="2" t="s">
        <v>5</v>
      </c>
      <c r="K359" s="2" t="s">
        <v>5</v>
      </c>
      <c r="L359" s="2" t="s">
        <v>7</v>
      </c>
      <c r="N359" s="1" t="s">
        <v>4471</v>
      </c>
      <c r="O359" s="2" t="s">
        <v>3319</v>
      </c>
      <c r="Q359" s="2" t="s">
        <v>11</v>
      </c>
      <c r="R359" s="2" t="s">
        <v>12</v>
      </c>
      <c r="S359" s="1" t="s">
        <v>4472</v>
      </c>
      <c r="T359" s="2" t="s">
        <v>520</v>
      </c>
      <c r="U359" s="3">
        <v>2</v>
      </c>
      <c r="V359" s="3">
        <v>2</v>
      </c>
      <c r="W359" s="4" t="s">
        <v>1717</v>
      </c>
      <c r="X359" s="4" t="s">
        <v>1717</v>
      </c>
      <c r="Y359" s="4" t="s">
        <v>2226</v>
      </c>
      <c r="Z359" s="4" t="s">
        <v>2226</v>
      </c>
      <c r="AA359" s="3">
        <v>60</v>
      </c>
      <c r="AB359" s="3">
        <v>55</v>
      </c>
      <c r="AC359" s="3">
        <v>57</v>
      </c>
      <c r="AD359" s="3">
        <v>1</v>
      </c>
      <c r="AE359" s="3">
        <v>1</v>
      </c>
      <c r="AF359" s="3">
        <v>4</v>
      </c>
      <c r="AG359" s="3">
        <v>4</v>
      </c>
      <c r="AH359" s="3">
        <v>0</v>
      </c>
      <c r="AI359" s="3">
        <v>0</v>
      </c>
      <c r="AJ359" s="3">
        <v>1</v>
      </c>
      <c r="AK359" s="3">
        <v>1</v>
      </c>
      <c r="AL359" s="3">
        <v>4</v>
      </c>
      <c r="AM359" s="3">
        <v>4</v>
      </c>
      <c r="AN359" s="3">
        <v>0</v>
      </c>
      <c r="AO359" s="3">
        <v>0</v>
      </c>
      <c r="AP359" s="3">
        <v>0</v>
      </c>
      <c r="AQ359" s="3">
        <v>0</v>
      </c>
      <c r="AR359" s="2" t="s">
        <v>5</v>
      </c>
      <c r="AS359" s="2" t="s">
        <v>5</v>
      </c>
      <c r="AT359" s="5" t="str">
        <f>HYPERLINK("http://catalog.hathitrust.org/Record/002066305","HathiTrust Record")</f>
        <v>HathiTrust Record</v>
      </c>
      <c r="AU359" s="5" t="str">
        <f>HYPERLINK("https://creighton-primo.hosted.exlibrisgroup.com/primo-explore/search?tab=default_tab&amp;search_scope=EVERYTHING&amp;vid=01CRU&amp;lang=en_US&amp;offset=0&amp;query=any,contains,991001518299702656","Catalog Record")</f>
        <v>Catalog Record</v>
      </c>
      <c r="AV359" s="5" t="str">
        <f>HYPERLINK("http://www.worldcat.org/oclc/3248999","WorldCat Record")</f>
        <v>WorldCat Record</v>
      </c>
      <c r="AW359" s="2" t="s">
        <v>4473</v>
      </c>
      <c r="AX359" s="2" t="s">
        <v>4474</v>
      </c>
      <c r="AY359" s="2" t="s">
        <v>4475</v>
      </c>
      <c r="AZ359" s="2" t="s">
        <v>4475</v>
      </c>
      <c r="BA359" s="2" t="s">
        <v>4476</v>
      </c>
      <c r="BB359" s="2" t="s">
        <v>21</v>
      </c>
      <c r="BE359" s="2" t="s">
        <v>4477</v>
      </c>
      <c r="BF359" s="2" t="s">
        <v>4478</v>
      </c>
    </row>
    <row r="360" spans="1:58" ht="41.25" customHeight="1" x14ac:dyDescent="0.25">
      <c r="A360" s="8" t="s">
        <v>5</v>
      </c>
      <c r="B360" s="1" t="s">
        <v>0</v>
      </c>
      <c r="C360" s="1" t="s">
        <v>1</v>
      </c>
      <c r="D360" s="1" t="s">
        <v>4479</v>
      </c>
      <c r="E360" s="1" t="s">
        <v>4480</v>
      </c>
      <c r="F360" s="1" t="s">
        <v>4481</v>
      </c>
      <c r="H360" s="2" t="s">
        <v>5</v>
      </c>
      <c r="I360" s="2" t="s">
        <v>6</v>
      </c>
      <c r="J360" s="2" t="s">
        <v>5</v>
      </c>
      <c r="K360" s="2" t="s">
        <v>5</v>
      </c>
      <c r="L360" s="2" t="s">
        <v>7</v>
      </c>
      <c r="N360" s="1" t="s">
        <v>1823</v>
      </c>
      <c r="O360" s="2" t="s">
        <v>561</v>
      </c>
      <c r="Q360" s="2" t="s">
        <v>11</v>
      </c>
      <c r="R360" s="2" t="s">
        <v>12</v>
      </c>
      <c r="S360" s="1" t="s">
        <v>4482</v>
      </c>
      <c r="T360" s="2" t="s">
        <v>520</v>
      </c>
      <c r="U360" s="3">
        <v>1</v>
      </c>
      <c r="V360" s="3">
        <v>1</v>
      </c>
      <c r="W360" s="4" t="s">
        <v>3514</v>
      </c>
      <c r="X360" s="4" t="s">
        <v>3514</v>
      </c>
      <c r="Y360" s="4" t="s">
        <v>1444</v>
      </c>
      <c r="Z360" s="4" t="s">
        <v>1444</v>
      </c>
      <c r="AA360" s="3">
        <v>23</v>
      </c>
      <c r="AB360" s="3">
        <v>21</v>
      </c>
      <c r="AC360" s="3">
        <v>24</v>
      </c>
      <c r="AD360" s="3">
        <v>1</v>
      </c>
      <c r="AE360" s="3">
        <v>1</v>
      </c>
      <c r="AF360" s="3">
        <v>0</v>
      </c>
      <c r="AG360" s="3">
        <v>0</v>
      </c>
      <c r="AH360" s="3">
        <v>0</v>
      </c>
      <c r="AI360" s="3">
        <v>0</v>
      </c>
      <c r="AJ360" s="3">
        <v>0</v>
      </c>
      <c r="AK360" s="3">
        <v>0</v>
      </c>
      <c r="AL360" s="3">
        <v>0</v>
      </c>
      <c r="AM360" s="3">
        <v>0</v>
      </c>
      <c r="AN360" s="3">
        <v>0</v>
      </c>
      <c r="AO360" s="3">
        <v>0</v>
      </c>
      <c r="AP360" s="3">
        <v>0</v>
      </c>
      <c r="AQ360" s="3">
        <v>0</v>
      </c>
      <c r="AR360" s="2" t="s">
        <v>5</v>
      </c>
      <c r="AS360" s="2" t="s">
        <v>5</v>
      </c>
      <c r="AU360" s="5" t="str">
        <f>HYPERLINK("https://creighton-primo.hosted.exlibrisgroup.com/primo-explore/search?tab=default_tab&amp;search_scope=EVERYTHING&amp;vid=01CRU&amp;lang=en_US&amp;offset=0&amp;query=any,contains,991001390529702656","Catalog Record")</f>
        <v>Catalog Record</v>
      </c>
      <c r="AV360" s="5" t="str">
        <f>HYPERLINK("http://www.worldcat.org/oclc/4833476","WorldCat Record")</f>
        <v>WorldCat Record</v>
      </c>
      <c r="AW360" s="2" t="s">
        <v>4483</v>
      </c>
      <c r="AX360" s="2" t="s">
        <v>4484</v>
      </c>
      <c r="AY360" s="2" t="s">
        <v>4485</v>
      </c>
      <c r="AZ360" s="2" t="s">
        <v>4485</v>
      </c>
      <c r="BA360" s="2" t="s">
        <v>4486</v>
      </c>
      <c r="BB360" s="2" t="s">
        <v>21</v>
      </c>
      <c r="BE360" s="2" t="s">
        <v>4487</v>
      </c>
      <c r="BF360" s="2" t="s">
        <v>4488</v>
      </c>
    </row>
    <row r="361" spans="1:58" ht="41.25" customHeight="1" x14ac:dyDescent="0.25">
      <c r="A361" s="8" t="s">
        <v>5</v>
      </c>
      <c r="B361" s="1" t="s">
        <v>0</v>
      </c>
      <c r="C361" s="1" t="s">
        <v>1</v>
      </c>
      <c r="D361" s="1" t="s">
        <v>4489</v>
      </c>
      <c r="E361" s="1" t="s">
        <v>4490</v>
      </c>
      <c r="F361" s="1" t="s">
        <v>4491</v>
      </c>
      <c r="H361" s="2" t="s">
        <v>5</v>
      </c>
      <c r="I361" s="2" t="s">
        <v>6</v>
      </c>
      <c r="J361" s="2" t="s">
        <v>5</v>
      </c>
      <c r="K361" s="2" t="s">
        <v>5</v>
      </c>
      <c r="L361" s="2" t="s">
        <v>7</v>
      </c>
      <c r="N361" s="1" t="s">
        <v>3205</v>
      </c>
      <c r="O361" s="2" t="s">
        <v>1824</v>
      </c>
      <c r="Q361" s="2" t="s">
        <v>11</v>
      </c>
      <c r="R361" s="2" t="s">
        <v>12</v>
      </c>
      <c r="S361" s="1" t="s">
        <v>4492</v>
      </c>
      <c r="T361" s="2" t="s">
        <v>520</v>
      </c>
      <c r="U361" s="3">
        <v>1</v>
      </c>
      <c r="V361" s="3">
        <v>1</v>
      </c>
      <c r="W361" s="4" t="s">
        <v>3514</v>
      </c>
      <c r="X361" s="4" t="s">
        <v>3514</v>
      </c>
      <c r="Y361" s="4" t="s">
        <v>1444</v>
      </c>
      <c r="Z361" s="4" t="s">
        <v>1444</v>
      </c>
      <c r="AA361" s="3">
        <v>48</v>
      </c>
      <c r="AB361" s="3">
        <v>43</v>
      </c>
      <c r="AC361" s="3">
        <v>45</v>
      </c>
      <c r="AD361" s="3">
        <v>1</v>
      </c>
      <c r="AE361" s="3">
        <v>1</v>
      </c>
      <c r="AF361" s="3">
        <v>3</v>
      </c>
      <c r="AG361" s="3">
        <v>3</v>
      </c>
      <c r="AH361" s="3">
        <v>0</v>
      </c>
      <c r="AI361" s="3">
        <v>0</v>
      </c>
      <c r="AJ361" s="3">
        <v>0</v>
      </c>
      <c r="AK361" s="3">
        <v>0</v>
      </c>
      <c r="AL361" s="3">
        <v>3</v>
      </c>
      <c r="AM361" s="3">
        <v>3</v>
      </c>
      <c r="AN361" s="3">
        <v>0</v>
      </c>
      <c r="AO361" s="3">
        <v>0</v>
      </c>
      <c r="AP361" s="3">
        <v>0</v>
      </c>
      <c r="AQ361" s="3">
        <v>0</v>
      </c>
      <c r="AR361" s="2" t="s">
        <v>5</v>
      </c>
      <c r="AS361" s="2" t="s">
        <v>16</v>
      </c>
      <c r="AT361" s="5" t="str">
        <f>HYPERLINK("http://catalog.hathitrust.org/Record/001574557","HathiTrust Record")</f>
        <v>HathiTrust Record</v>
      </c>
      <c r="AU361" s="5" t="str">
        <f>HYPERLINK("https://creighton-primo.hosted.exlibrisgroup.com/primo-explore/search?tab=default_tab&amp;search_scope=EVERYTHING&amp;vid=01CRU&amp;lang=en_US&amp;offset=0&amp;query=any,contains,991001390589702656","Catalog Record")</f>
        <v>Catalog Record</v>
      </c>
      <c r="AV361" s="5" t="str">
        <f>HYPERLINK("http://www.worldcat.org/oclc/39998","WorldCat Record")</f>
        <v>WorldCat Record</v>
      </c>
      <c r="AW361" s="2" t="s">
        <v>4493</v>
      </c>
      <c r="AX361" s="2" t="s">
        <v>4494</v>
      </c>
      <c r="AY361" s="2" t="s">
        <v>4495</v>
      </c>
      <c r="AZ361" s="2" t="s">
        <v>4495</v>
      </c>
      <c r="BA361" s="2" t="s">
        <v>4496</v>
      </c>
      <c r="BB361" s="2" t="s">
        <v>21</v>
      </c>
      <c r="BE361" s="2" t="s">
        <v>4497</v>
      </c>
      <c r="BF361" s="2" t="s">
        <v>4498</v>
      </c>
    </row>
    <row r="362" spans="1:58" ht="41.25" customHeight="1" x14ac:dyDescent="0.25">
      <c r="A362" s="8" t="s">
        <v>5</v>
      </c>
      <c r="B362" s="1" t="s">
        <v>0</v>
      </c>
      <c r="C362" s="1" t="s">
        <v>1</v>
      </c>
      <c r="D362" s="1" t="s">
        <v>4499</v>
      </c>
      <c r="E362" s="1" t="s">
        <v>4500</v>
      </c>
      <c r="F362" s="1" t="s">
        <v>4501</v>
      </c>
      <c r="H362" s="2" t="s">
        <v>5</v>
      </c>
      <c r="I362" s="2" t="s">
        <v>6</v>
      </c>
      <c r="J362" s="2" t="s">
        <v>5</v>
      </c>
      <c r="K362" s="2" t="s">
        <v>5</v>
      </c>
      <c r="L362" s="2" t="s">
        <v>7</v>
      </c>
      <c r="N362" s="1" t="s">
        <v>4502</v>
      </c>
      <c r="O362" s="2" t="s">
        <v>1441</v>
      </c>
      <c r="Q362" s="2" t="s">
        <v>11</v>
      </c>
      <c r="R362" s="2" t="s">
        <v>93</v>
      </c>
      <c r="S362" s="1" t="s">
        <v>4503</v>
      </c>
      <c r="T362" s="2" t="s">
        <v>520</v>
      </c>
      <c r="U362" s="3">
        <v>1</v>
      </c>
      <c r="V362" s="3">
        <v>1</v>
      </c>
      <c r="W362" s="4" t="s">
        <v>2715</v>
      </c>
      <c r="X362" s="4" t="s">
        <v>2715</v>
      </c>
      <c r="Y362" s="4" t="s">
        <v>124</v>
      </c>
      <c r="Z362" s="4" t="s">
        <v>124</v>
      </c>
      <c r="AA362" s="3">
        <v>78</v>
      </c>
      <c r="AB362" s="3">
        <v>72</v>
      </c>
      <c r="AC362" s="3">
        <v>73</v>
      </c>
      <c r="AD362" s="3">
        <v>3</v>
      </c>
      <c r="AE362" s="3">
        <v>3</v>
      </c>
      <c r="AF362" s="3">
        <v>1</v>
      </c>
      <c r="AG362" s="3">
        <v>1</v>
      </c>
      <c r="AH362" s="3">
        <v>0</v>
      </c>
      <c r="AI362" s="3">
        <v>0</v>
      </c>
      <c r="AJ362" s="3">
        <v>0</v>
      </c>
      <c r="AK362" s="3">
        <v>0</v>
      </c>
      <c r="AL362" s="3">
        <v>0</v>
      </c>
      <c r="AM362" s="3">
        <v>0</v>
      </c>
      <c r="AN362" s="3">
        <v>1</v>
      </c>
      <c r="AO362" s="3">
        <v>1</v>
      </c>
      <c r="AP362" s="3">
        <v>0</v>
      </c>
      <c r="AQ362" s="3">
        <v>0</v>
      </c>
      <c r="AR362" s="2" t="s">
        <v>5</v>
      </c>
      <c r="AS362" s="2" t="s">
        <v>16</v>
      </c>
      <c r="AT362" s="5" t="str">
        <f>HYPERLINK("http://catalog.hathitrust.org/Record/000020963","HathiTrust Record")</f>
        <v>HathiTrust Record</v>
      </c>
      <c r="AU362" s="5" t="str">
        <f>HYPERLINK("https://creighton-primo.hosted.exlibrisgroup.com/primo-explore/search?tab=default_tab&amp;search_scope=EVERYTHING&amp;vid=01CRU&amp;lang=en_US&amp;offset=0&amp;query=any,contains,991001368489702656","Catalog Record")</f>
        <v>Catalog Record</v>
      </c>
      <c r="AV362" s="5" t="str">
        <f>HYPERLINK("http://www.worldcat.org/oclc/1218713","WorldCat Record")</f>
        <v>WorldCat Record</v>
      </c>
      <c r="AW362" s="2" t="s">
        <v>4504</v>
      </c>
      <c r="AX362" s="2" t="s">
        <v>4505</v>
      </c>
      <c r="AY362" s="2" t="s">
        <v>4506</v>
      </c>
      <c r="AZ362" s="2" t="s">
        <v>4506</v>
      </c>
      <c r="BA362" s="2" t="s">
        <v>4507</v>
      </c>
      <c r="BB362" s="2" t="s">
        <v>21</v>
      </c>
      <c r="BE362" s="2" t="s">
        <v>4508</v>
      </c>
      <c r="BF362" s="2" t="s">
        <v>4509</v>
      </c>
    </row>
    <row r="363" spans="1:58" ht="41.25" customHeight="1" x14ac:dyDescent="0.25">
      <c r="A363" s="8" t="s">
        <v>5</v>
      </c>
      <c r="B363" s="1" t="s">
        <v>0</v>
      </c>
      <c r="C363" s="1" t="s">
        <v>1</v>
      </c>
      <c r="D363" s="1" t="s">
        <v>4510</v>
      </c>
      <c r="E363" s="1" t="s">
        <v>4511</v>
      </c>
      <c r="F363" s="1" t="s">
        <v>4512</v>
      </c>
      <c r="H363" s="2" t="s">
        <v>5</v>
      </c>
      <c r="I363" s="2" t="s">
        <v>6</v>
      </c>
      <c r="J363" s="2" t="s">
        <v>5</v>
      </c>
      <c r="K363" s="2" t="s">
        <v>5</v>
      </c>
      <c r="L363" s="2" t="s">
        <v>7</v>
      </c>
      <c r="N363" s="1" t="s">
        <v>4513</v>
      </c>
      <c r="O363" s="2" t="s">
        <v>285</v>
      </c>
      <c r="Q363" s="2" t="s">
        <v>11</v>
      </c>
      <c r="R363" s="2" t="s">
        <v>93</v>
      </c>
      <c r="S363" s="1" t="s">
        <v>4514</v>
      </c>
      <c r="T363" s="2" t="s">
        <v>520</v>
      </c>
      <c r="U363" s="3">
        <v>2</v>
      </c>
      <c r="V363" s="3">
        <v>2</v>
      </c>
      <c r="W363" s="4" t="s">
        <v>2788</v>
      </c>
      <c r="X363" s="4" t="s">
        <v>2788</v>
      </c>
      <c r="Y363" s="4" t="s">
        <v>577</v>
      </c>
      <c r="Z363" s="4" t="s">
        <v>577</v>
      </c>
      <c r="AA363" s="3">
        <v>36</v>
      </c>
      <c r="AB363" s="3">
        <v>32</v>
      </c>
      <c r="AC363" s="3">
        <v>32</v>
      </c>
      <c r="AD363" s="3">
        <v>1</v>
      </c>
      <c r="AE363" s="3">
        <v>1</v>
      </c>
      <c r="AF363" s="3">
        <v>4</v>
      </c>
      <c r="AG363" s="3">
        <v>4</v>
      </c>
      <c r="AH363" s="3">
        <v>1</v>
      </c>
      <c r="AI363" s="3">
        <v>1</v>
      </c>
      <c r="AJ363" s="3">
        <v>0</v>
      </c>
      <c r="AK363" s="3">
        <v>0</v>
      </c>
      <c r="AL363" s="3">
        <v>3</v>
      </c>
      <c r="AM363" s="3">
        <v>3</v>
      </c>
      <c r="AN363" s="3">
        <v>0</v>
      </c>
      <c r="AO363" s="3">
        <v>0</v>
      </c>
      <c r="AP363" s="3">
        <v>0</v>
      </c>
      <c r="AQ363" s="3">
        <v>0</v>
      </c>
      <c r="AR363" s="2" t="s">
        <v>5</v>
      </c>
      <c r="AS363" s="2" t="s">
        <v>5</v>
      </c>
      <c r="AU363" s="5" t="str">
        <f>HYPERLINK("https://creighton-primo.hosted.exlibrisgroup.com/primo-explore/search?tab=default_tab&amp;search_scope=EVERYTHING&amp;vid=01CRU&amp;lang=en_US&amp;offset=0&amp;query=any,contains,991001361219702656","Catalog Record")</f>
        <v>Catalog Record</v>
      </c>
      <c r="AV363" s="5" t="str">
        <f>HYPERLINK("http://www.worldcat.org/oclc/5676053","WorldCat Record")</f>
        <v>WorldCat Record</v>
      </c>
      <c r="AW363" s="2" t="s">
        <v>4515</v>
      </c>
      <c r="AX363" s="2" t="s">
        <v>4516</v>
      </c>
      <c r="AY363" s="2" t="s">
        <v>4517</v>
      </c>
      <c r="AZ363" s="2" t="s">
        <v>4517</v>
      </c>
      <c r="BA363" s="2" t="s">
        <v>4518</v>
      </c>
      <c r="BB363" s="2" t="s">
        <v>21</v>
      </c>
      <c r="BE363" s="2" t="s">
        <v>4519</v>
      </c>
      <c r="BF363" s="2" t="s">
        <v>4520</v>
      </c>
    </row>
    <row r="364" spans="1:58" ht="41.25" customHeight="1" x14ac:dyDescent="0.25">
      <c r="A364" s="8" t="s">
        <v>5</v>
      </c>
      <c r="B364" s="1" t="s">
        <v>0</v>
      </c>
      <c r="C364" s="1" t="s">
        <v>1</v>
      </c>
      <c r="D364" s="1" t="s">
        <v>4521</v>
      </c>
      <c r="E364" s="1" t="s">
        <v>4522</v>
      </c>
      <c r="F364" s="1" t="s">
        <v>4523</v>
      </c>
      <c r="H364" s="2" t="s">
        <v>5</v>
      </c>
      <c r="I364" s="2" t="s">
        <v>6</v>
      </c>
      <c r="J364" s="2" t="s">
        <v>5</v>
      </c>
      <c r="K364" s="2" t="s">
        <v>5</v>
      </c>
      <c r="L364" s="2" t="s">
        <v>7</v>
      </c>
      <c r="N364" s="1" t="s">
        <v>518</v>
      </c>
      <c r="O364" s="2" t="s">
        <v>393</v>
      </c>
      <c r="Q364" s="2" t="s">
        <v>11</v>
      </c>
      <c r="R364" s="2" t="s">
        <v>12</v>
      </c>
      <c r="T364" s="2" t="s">
        <v>520</v>
      </c>
      <c r="U364" s="3">
        <v>3</v>
      </c>
      <c r="V364" s="3">
        <v>3</v>
      </c>
      <c r="W364" s="4" t="s">
        <v>2788</v>
      </c>
      <c r="X364" s="4" t="s">
        <v>2788</v>
      </c>
      <c r="Y364" s="4" t="s">
        <v>577</v>
      </c>
      <c r="Z364" s="4" t="s">
        <v>577</v>
      </c>
      <c r="AA364" s="3">
        <v>32</v>
      </c>
      <c r="AB364" s="3">
        <v>31</v>
      </c>
      <c r="AC364" s="3">
        <v>31</v>
      </c>
      <c r="AD364" s="3">
        <v>1</v>
      </c>
      <c r="AE364" s="3">
        <v>1</v>
      </c>
      <c r="AF364" s="3">
        <v>3</v>
      </c>
      <c r="AG364" s="3">
        <v>3</v>
      </c>
      <c r="AH364" s="3">
        <v>0</v>
      </c>
      <c r="AI364" s="3">
        <v>0</v>
      </c>
      <c r="AJ364" s="3">
        <v>0</v>
      </c>
      <c r="AK364" s="3">
        <v>0</v>
      </c>
      <c r="AL364" s="3">
        <v>3</v>
      </c>
      <c r="AM364" s="3">
        <v>3</v>
      </c>
      <c r="AN364" s="3">
        <v>0</v>
      </c>
      <c r="AO364" s="3">
        <v>0</v>
      </c>
      <c r="AP364" s="3">
        <v>0</v>
      </c>
      <c r="AQ364" s="3">
        <v>0</v>
      </c>
      <c r="AR364" s="2" t="s">
        <v>5</v>
      </c>
      <c r="AS364" s="2" t="s">
        <v>5</v>
      </c>
      <c r="AU364" s="5" t="str">
        <f>HYPERLINK("https://creighton-primo.hosted.exlibrisgroup.com/primo-explore/search?tab=default_tab&amp;search_scope=EVERYTHING&amp;vid=01CRU&amp;lang=en_US&amp;offset=0&amp;query=any,contains,991001361369702656","Catalog Record")</f>
        <v>Catalog Record</v>
      </c>
      <c r="AV364" s="5" t="str">
        <f>HYPERLINK("http://www.worldcat.org/oclc/7638118","WorldCat Record")</f>
        <v>WorldCat Record</v>
      </c>
      <c r="AW364" s="2" t="s">
        <v>4524</v>
      </c>
      <c r="AX364" s="2" t="s">
        <v>4525</v>
      </c>
      <c r="AY364" s="2" t="s">
        <v>4526</v>
      </c>
      <c r="AZ364" s="2" t="s">
        <v>4526</v>
      </c>
      <c r="BA364" s="2" t="s">
        <v>4527</v>
      </c>
      <c r="BB364" s="2" t="s">
        <v>21</v>
      </c>
      <c r="BE364" s="2" t="s">
        <v>4528</v>
      </c>
      <c r="BF364" s="2" t="s">
        <v>4529</v>
      </c>
    </row>
    <row r="365" spans="1:58" ht="41.25" customHeight="1" x14ac:dyDescent="0.25">
      <c r="A365" s="8" t="s">
        <v>5</v>
      </c>
      <c r="B365" s="1" t="s">
        <v>0</v>
      </c>
      <c r="C365" s="1" t="s">
        <v>1</v>
      </c>
      <c r="D365" s="1" t="s">
        <v>4530</v>
      </c>
      <c r="E365" s="1" t="s">
        <v>4531</v>
      </c>
      <c r="F365" s="1" t="s">
        <v>4532</v>
      </c>
      <c r="H365" s="2" t="s">
        <v>5</v>
      </c>
      <c r="I365" s="2" t="s">
        <v>6</v>
      </c>
      <c r="J365" s="2" t="s">
        <v>5</v>
      </c>
      <c r="K365" s="2" t="s">
        <v>5</v>
      </c>
      <c r="L365" s="2" t="s">
        <v>7</v>
      </c>
      <c r="N365" s="1" t="s">
        <v>4533</v>
      </c>
      <c r="O365" s="2" t="s">
        <v>734</v>
      </c>
      <c r="Q365" s="2" t="s">
        <v>11</v>
      </c>
      <c r="R365" s="2" t="s">
        <v>229</v>
      </c>
      <c r="T365" s="2" t="s">
        <v>520</v>
      </c>
      <c r="U365" s="3">
        <v>8</v>
      </c>
      <c r="V365" s="3">
        <v>8</v>
      </c>
      <c r="W365" s="4" t="s">
        <v>4534</v>
      </c>
      <c r="X365" s="4" t="s">
        <v>4534</v>
      </c>
      <c r="Y365" s="4" t="s">
        <v>168</v>
      </c>
      <c r="Z365" s="4" t="s">
        <v>168</v>
      </c>
      <c r="AA365" s="3">
        <v>153</v>
      </c>
      <c r="AB365" s="3">
        <v>130</v>
      </c>
      <c r="AC365" s="3">
        <v>196</v>
      </c>
      <c r="AD365" s="3">
        <v>1</v>
      </c>
      <c r="AE365" s="3">
        <v>2</v>
      </c>
      <c r="AF365" s="3">
        <v>5</v>
      </c>
      <c r="AG365" s="3">
        <v>9</v>
      </c>
      <c r="AH365" s="3">
        <v>1</v>
      </c>
      <c r="AI365" s="3">
        <v>4</v>
      </c>
      <c r="AJ365" s="3">
        <v>1</v>
      </c>
      <c r="AK365" s="3">
        <v>1</v>
      </c>
      <c r="AL365" s="3">
        <v>3</v>
      </c>
      <c r="AM365" s="3">
        <v>3</v>
      </c>
      <c r="AN365" s="3">
        <v>0</v>
      </c>
      <c r="AO365" s="3">
        <v>1</v>
      </c>
      <c r="AP365" s="3">
        <v>0</v>
      </c>
      <c r="AQ365" s="3">
        <v>0</v>
      </c>
      <c r="AR365" s="2" t="s">
        <v>5</v>
      </c>
      <c r="AS365" s="2" t="s">
        <v>16</v>
      </c>
      <c r="AT365" s="5" t="str">
        <f>HYPERLINK("http://catalog.hathitrust.org/Record/000568701","HathiTrust Record")</f>
        <v>HathiTrust Record</v>
      </c>
      <c r="AU365" s="5" t="str">
        <f>HYPERLINK("https://creighton-primo.hosted.exlibrisgroup.com/primo-explore/search?tab=default_tab&amp;search_scope=EVERYTHING&amp;vid=01CRU&amp;lang=en_US&amp;offset=0&amp;query=any,contains,991001040759702656","Catalog Record")</f>
        <v>Catalog Record</v>
      </c>
      <c r="AV365" s="5" t="str">
        <f>HYPERLINK("http://www.worldcat.org/oclc/9918296","WorldCat Record")</f>
        <v>WorldCat Record</v>
      </c>
      <c r="AW365" s="2" t="s">
        <v>4535</v>
      </c>
      <c r="AX365" s="2" t="s">
        <v>4536</v>
      </c>
      <c r="AY365" s="2" t="s">
        <v>4537</v>
      </c>
      <c r="AZ365" s="2" t="s">
        <v>4537</v>
      </c>
      <c r="BA365" s="2" t="s">
        <v>4538</v>
      </c>
      <c r="BB365" s="2" t="s">
        <v>21</v>
      </c>
      <c r="BD365" s="2" t="s">
        <v>4539</v>
      </c>
      <c r="BE365" s="2" t="s">
        <v>4540</v>
      </c>
      <c r="BF365" s="2" t="s">
        <v>4541</v>
      </c>
    </row>
    <row r="366" spans="1:58" ht="41.25" customHeight="1" x14ac:dyDescent="0.25">
      <c r="A366" s="8" t="s">
        <v>5</v>
      </c>
      <c r="B366" s="1" t="s">
        <v>0</v>
      </c>
      <c r="C366" s="1" t="s">
        <v>1</v>
      </c>
      <c r="D366" s="1" t="s">
        <v>4542</v>
      </c>
      <c r="E366" s="1" t="s">
        <v>4543</v>
      </c>
      <c r="F366" s="1" t="s">
        <v>4544</v>
      </c>
      <c r="G366" s="2" t="s">
        <v>4173</v>
      </c>
      <c r="H366" s="2" t="s">
        <v>5</v>
      </c>
      <c r="I366" s="2" t="s">
        <v>6</v>
      </c>
      <c r="J366" s="2" t="s">
        <v>5</v>
      </c>
      <c r="K366" s="2" t="s">
        <v>5</v>
      </c>
      <c r="L366" s="2" t="s">
        <v>7</v>
      </c>
      <c r="N366" s="1" t="s">
        <v>4545</v>
      </c>
      <c r="O366" s="2" t="s">
        <v>1102</v>
      </c>
      <c r="Q366" s="2" t="s">
        <v>11</v>
      </c>
      <c r="R366" s="2" t="s">
        <v>12</v>
      </c>
      <c r="S366" s="1" t="s">
        <v>4546</v>
      </c>
      <c r="T366" s="2" t="s">
        <v>520</v>
      </c>
      <c r="U366" s="3">
        <v>5</v>
      </c>
      <c r="V366" s="3">
        <v>5</v>
      </c>
      <c r="W366" s="4" t="s">
        <v>4547</v>
      </c>
      <c r="X366" s="4" t="s">
        <v>4547</v>
      </c>
      <c r="Y366" s="4" t="s">
        <v>1591</v>
      </c>
      <c r="Z366" s="4" t="s">
        <v>1591</v>
      </c>
      <c r="AA366" s="3">
        <v>29</v>
      </c>
      <c r="AB366" s="3">
        <v>23</v>
      </c>
      <c r="AC366" s="3">
        <v>23</v>
      </c>
      <c r="AD366" s="3">
        <v>1</v>
      </c>
      <c r="AE366" s="3">
        <v>1</v>
      </c>
      <c r="AF366" s="3">
        <v>0</v>
      </c>
      <c r="AG366" s="3">
        <v>0</v>
      </c>
      <c r="AH366" s="3">
        <v>0</v>
      </c>
      <c r="AI366" s="3">
        <v>0</v>
      </c>
      <c r="AJ366" s="3">
        <v>0</v>
      </c>
      <c r="AK366" s="3">
        <v>0</v>
      </c>
      <c r="AL366" s="3">
        <v>0</v>
      </c>
      <c r="AM366" s="3">
        <v>0</v>
      </c>
      <c r="AN366" s="3">
        <v>0</v>
      </c>
      <c r="AO366" s="3">
        <v>0</v>
      </c>
      <c r="AP366" s="3">
        <v>0</v>
      </c>
      <c r="AQ366" s="3">
        <v>0</v>
      </c>
      <c r="AR366" s="2" t="s">
        <v>5</v>
      </c>
      <c r="AS366" s="2" t="s">
        <v>5</v>
      </c>
      <c r="AU366" s="5" t="str">
        <f>HYPERLINK("https://creighton-primo.hosted.exlibrisgroup.com/primo-explore/search?tab=default_tab&amp;search_scope=EVERYTHING&amp;vid=01CRU&amp;lang=en_US&amp;offset=0&amp;query=any,contains,991001374919702656","Catalog Record")</f>
        <v>Catalog Record</v>
      </c>
      <c r="AV366" s="5" t="str">
        <f>HYPERLINK("http://www.worldcat.org/oclc/19676559","WorldCat Record")</f>
        <v>WorldCat Record</v>
      </c>
      <c r="AW366" s="2" t="s">
        <v>4548</v>
      </c>
      <c r="AX366" s="2" t="s">
        <v>4549</v>
      </c>
      <c r="AY366" s="2" t="s">
        <v>4550</v>
      </c>
      <c r="AZ366" s="2" t="s">
        <v>4550</v>
      </c>
      <c r="BA366" s="2" t="s">
        <v>4551</v>
      </c>
      <c r="BB366" s="2" t="s">
        <v>21</v>
      </c>
      <c r="BD366" s="2" t="s">
        <v>4552</v>
      </c>
      <c r="BE366" s="2" t="s">
        <v>4553</v>
      </c>
      <c r="BF366" s="2" t="s">
        <v>4554</v>
      </c>
    </row>
    <row r="367" spans="1:58" ht="41.25" customHeight="1" x14ac:dyDescent="0.25">
      <c r="A367" s="8" t="s">
        <v>5</v>
      </c>
      <c r="B367" s="1" t="s">
        <v>0</v>
      </c>
      <c r="C367" s="1" t="s">
        <v>1</v>
      </c>
      <c r="D367" s="1" t="s">
        <v>4555</v>
      </c>
      <c r="E367" s="1" t="s">
        <v>4556</v>
      </c>
      <c r="F367" s="1" t="s">
        <v>4557</v>
      </c>
      <c r="G367" s="2" t="s">
        <v>4558</v>
      </c>
      <c r="H367" s="2" t="s">
        <v>5</v>
      </c>
      <c r="I367" s="2" t="s">
        <v>6</v>
      </c>
      <c r="J367" s="2" t="s">
        <v>5</v>
      </c>
      <c r="K367" s="2" t="s">
        <v>5</v>
      </c>
      <c r="L367" s="2" t="s">
        <v>7</v>
      </c>
      <c r="N367" s="1" t="s">
        <v>4559</v>
      </c>
      <c r="O367" s="2" t="s">
        <v>872</v>
      </c>
      <c r="Q367" s="2" t="s">
        <v>11</v>
      </c>
      <c r="R367" s="2" t="s">
        <v>12</v>
      </c>
      <c r="S367" s="1" t="s">
        <v>4560</v>
      </c>
      <c r="T367" s="2" t="s">
        <v>520</v>
      </c>
      <c r="U367" s="3">
        <v>8</v>
      </c>
      <c r="V367" s="3">
        <v>8</v>
      </c>
      <c r="W367" s="4" t="s">
        <v>2788</v>
      </c>
      <c r="X367" s="4" t="s">
        <v>2788</v>
      </c>
      <c r="Y367" s="4" t="s">
        <v>4561</v>
      </c>
      <c r="Z367" s="4" t="s">
        <v>4561</v>
      </c>
      <c r="AA367" s="3">
        <v>59</v>
      </c>
      <c r="AB367" s="3">
        <v>45</v>
      </c>
      <c r="AC367" s="3">
        <v>45</v>
      </c>
      <c r="AD367" s="3">
        <v>2</v>
      </c>
      <c r="AE367" s="3">
        <v>2</v>
      </c>
      <c r="AF367" s="3">
        <v>0</v>
      </c>
      <c r="AG367" s="3">
        <v>0</v>
      </c>
      <c r="AH367" s="3">
        <v>0</v>
      </c>
      <c r="AI367" s="3">
        <v>0</v>
      </c>
      <c r="AJ367" s="3">
        <v>0</v>
      </c>
      <c r="AK367" s="3">
        <v>0</v>
      </c>
      <c r="AL367" s="3">
        <v>0</v>
      </c>
      <c r="AM367" s="3">
        <v>0</v>
      </c>
      <c r="AN367" s="3">
        <v>0</v>
      </c>
      <c r="AO367" s="3">
        <v>0</v>
      </c>
      <c r="AP367" s="3">
        <v>0</v>
      </c>
      <c r="AQ367" s="3">
        <v>0</v>
      </c>
      <c r="AR367" s="2" t="s">
        <v>5</v>
      </c>
      <c r="AS367" s="2" t="s">
        <v>5</v>
      </c>
      <c r="AU367" s="5" t="str">
        <f>HYPERLINK("https://creighton-primo.hosted.exlibrisgroup.com/primo-explore/search?tab=default_tab&amp;search_scope=EVERYTHING&amp;vid=01CRU&amp;lang=en_US&amp;offset=0&amp;query=any,contains,991001242089702656","Catalog Record")</f>
        <v>Catalog Record</v>
      </c>
      <c r="AV367" s="5" t="str">
        <f>HYPERLINK("http://www.worldcat.org/oclc/19676721","WorldCat Record")</f>
        <v>WorldCat Record</v>
      </c>
      <c r="AW367" s="2" t="s">
        <v>4562</v>
      </c>
      <c r="AX367" s="2" t="s">
        <v>4563</v>
      </c>
      <c r="AY367" s="2" t="s">
        <v>4564</v>
      </c>
      <c r="AZ367" s="2" t="s">
        <v>4564</v>
      </c>
      <c r="BA367" s="2" t="s">
        <v>4565</v>
      </c>
      <c r="BB367" s="2" t="s">
        <v>21</v>
      </c>
      <c r="BD367" s="2" t="s">
        <v>4566</v>
      </c>
      <c r="BE367" s="2" t="s">
        <v>4567</v>
      </c>
      <c r="BF367" s="2" t="s">
        <v>4568</v>
      </c>
    </row>
    <row r="368" spans="1:58" ht="41.25" customHeight="1" x14ac:dyDescent="0.25">
      <c r="A368" s="8" t="s">
        <v>5</v>
      </c>
      <c r="B368" s="1" t="s">
        <v>0</v>
      </c>
      <c r="C368" s="1" t="s">
        <v>1</v>
      </c>
      <c r="D368" s="1" t="s">
        <v>4569</v>
      </c>
      <c r="E368" s="1" t="s">
        <v>4570</v>
      </c>
      <c r="F368" s="1" t="s">
        <v>4571</v>
      </c>
      <c r="H368" s="2" t="s">
        <v>5</v>
      </c>
      <c r="I368" s="2" t="s">
        <v>6</v>
      </c>
      <c r="J368" s="2" t="s">
        <v>5</v>
      </c>
      <c r="K368" s="2" t="s">
        <v>5</v>
      </c>
      <c r="L368" s="2" t="s">
        <v>7</v>
      </c>
      <c r="N368" s="1" t="s">
        <v>4572</v>
      </c>
      <c r="O368" s="2" t="s">
        <v>989</v>
      </c>
      <c r="Q368" s="2" t="s">
        <v>11</v>
      </c>
      <c r="R368" s="2" t="s">
        <v>12</v>
      </c>
      <c r="S368" s="1" t="s">
        <v>4573</v>
      </c>
      <c r="T368" s="2" t="s">
        <v>520</v>
      </c>
      <c r="U368" s="3">
        <v>9</v>
      </c>
      <c r="V368" s="3">
        <v>9</v>
      </c>
      <c r="W368" s="4" t="s">
        <v>4574</v>
      </c>
      <c r="X368" s="4" t="s">
        <v>4574</v>
      </c>
      <c r="Y368" s="4" t="s">
        <v>4575</v>
      </c>
      <c r="Z368" s="4" t="s">
        <v>4575</v>
      </c>
      <c r="AA368" s="3">
        <v>63</v>
      </c>
      <c r="AB368" s="3">
        <v>55</v>
      </c>
      <c r="AC368" s="3">
        <v>55</v>
      </c>
      <c r="AD368" s="3">
        <v>2</v>
      </c>
      <c r="AE368" s="3">
        <v>2</v>
      </c>
      <c r="AF368" s="3">
        <v>0</v>
      </c>
      <c r="AG368" s="3">
        <v>0</v>
      </c>
      <c r="AH368" s="3">
        <v>0</v>
      </c>
      <c r="AI368" s="3">
        <v>0</v>
      </c>
      <c r="AJ368" s="3">
        <v>0</v>
      </c>
      <c r="AK368" s="3">
        <v>0</v>
      </c>
      <c r="AL368" s="3">
        <v>0</v>
      </c>
      <c r="AM368" s="3">
        <v>0</v>
      </c>
      <c r="AN368" s="3">
        <v>0</v>
      </c>
      <c r="AO368" s="3">
        <v>0</v>
      </c>
      <c r="AP368" s="3">
        <v>0</v>
      </c>
      <c r="AQ368" s="3">
        <v>0</v>
      </c>
      <c r="AR368" s="2" t="s">
        <v>5</v>
      </c>
      <c r="AS368" s="2" t="s">
        <v>5</v>
      </c>
      <c r="AU368" s="5" t="str">
        <f>HYPERLINK("https://creighton-primo.hosted.exlibrisgroup.com/primo-explore/search?tab=default_tab&amp;search_scope=EVERYTHING&amp;vid=01CRU&amp;lang=en_US&amp;offset=0&amp;query=any,contains,991001446419702656","Catalog Record")</f>
        <v>Catalog Record</v>
      </c>
      <c r="AV368" s="5" t="str">
        <f>HYPERLINK("http://www.worldcat.org/oclc/20987831","WorldCat Record")</f>
        <v>WorldCat Record</v>
      </c>
      <c r="AW368" s="2" t="s">
        <v>4576</v>
      </c>
      <c r="AX368" s="2" t="s">
        <v>4577</v>
      </c>
      <c r="AY368" s="2" t="s">
        <v>4578</v>
      </c>
      <c r="AZ368" s="2" t="s">
        <v>4578</v>
      </c>
      <c r="BA368" s="2" t="s">
        <v>4579</v>
      </c>
      <c r="BB368" s="2" t="s">
        <v>21</v>
      </c>
      <c r="BD368" s="2" t="s">
        <v>4580</v>
      </c>
      <c r="BE368" s="2" t="s">
        <v>4581</v>
      </c>
      <c r="BF368" s="2" t="s">
        <v>4582</v>
      </c>
    </row>
    <row r="369" spans="1:58" ht="41.25" customHeight="1" x14ac:dyDescent="0.25">
      <c r="A369" s="8" t="s">
        <v>5</v>
      </c>
      <c r="B369" s="1" t="s">
        <v>0</v>
      </c>
      <c r="C369" s="1" t="s">
        <v>1</v>
      </c>
      <c r="D369" s="1" t="s">
        <v>4583</v>
      </c>
      <c r="E369" s="1" t="s">
        <v>4584</v>
      </c>
      <c r="F369" s="1" t="s">
        <v>4585</v>
      </c>
      <c r="G369" s="2" t="s">
        <v>4586</v>
      </c>
      <c r="H369" s="2" t="s">
        <v>5</v>
      </c>
      <c r="I369" s="2" t="s">
        <v>6</v>
      </c>
      <c r="J369" s="2" t="s">
        <v>5</v>
      </c>
      <c r="K369" s="2" t="s">
        <v>5</v>
      </c>
      <c r="L369" s="2" t="s">
        <v>7</v>
      </c>
      <c r="N369" s="1" t="s">
        <v>4148</v>
      </c>
      <c r="O369" s="2" t="s">
        <v>794</v>
      </c>
      <c r="Q369" s="2" t="s">
        <v>11</v>
      </c>
      <c r="R369" s="2" t="s">
        <v>12</v>
      </c>
      <c r="S369" s="1" t="s">
        <v>4587</v>
      </c>
      <c r="T369" s="2" t="s">
        <v>520</v>
      </c>
      <c r="U369" s="3">
        <v>1</v>
      </c>
      <c r="V369" s="3">
        <v>1</v>
      </c>
      <c r="W369" s="4" t="s">
        <v>3599</v>
      </c>
      <c r="X369" s="4" t="s">
        <v>3599</v>
      </c>
      <c r="Y369" s="4" t="s">
        <v>604</v>
      </c>
      <c r="Z369" s="4" t="s">
        <v>604</v>
      </c>
      <c r="AA369" s="3">
        <v>52</v>
      </c>
      <c r="AB369" s="3">
        <v>43</v>
      </c>
      <c r="AC369" s="3">
        <v>43</v>
      </c>
      <c r="AD369" s="3">
        <v>1</v>
      </c>
      <c r="AE369" s="3">
        <v>1</v>
      </c>
      <c r="AF369" s="3">
        <v>0</v>
      </c>
      <c r="AG369" s="3">
        <v>0</v>
      </c>
      <c r="AH369" s="3">
        <v>0</v>
      </c>
      <c r="AI369" s="3">
        <v>0</v>
      </c>
      <c r="AJ369" s="3">
        <v>0</v>
      </c>
      <c r="AK369" s="3">
        <v>0</v>
      </c>
      <c r="AL369" s="3">
        <v>0</v>
      </c>
      <c r="AM369" s="3">
        <v>0</v>
      </c>
      <c r="AN369" s="3">
        <v>0</v>
      </c>
      <c r="AO369" s="3">
        <v>0</v>
      </c>
      <c r="AP369" s="3">
        <v>0</v>
      </c>
      <c r="AQ369" s="3">
        <v>0</v>
      </c>
      <c r="AR369" s="2" t="s">
        <v>5</v>
      </c>
      <c r="AS369" s="2" t="s">
        <v>5</v>
      </c>
      <c r="AU369" s="5" t="str">
        <f>HYPERLINK("https://creighton-primo.hosted.exlibrisgroup.com/primo-explore/search?tab=default_tab&amp;search_scope=EVERYTHING&amp;vid=01CRU&amp;lang=en_US&amp;offset=0&amp;query=any,contains,991000259529702656","Catalog Record")</f>
        <v>Catalog Record</v>
      </c>
      <c r="AV369" s="5" t="str">
        <f>HYPERLINK("http://www.worldcat.org/oclc/34056198","WorldCat Record")</f>
        <v>WorldCat Record</v>
      </c>
      <c r="AW369" s="2" t="s">
        <v>4588</v>
      </c>
      <c r="AX369" s="2" t="s">
        <v>4589</v>
      </c>
      <c r="AY369" s="2" t="s">
        <v>4590</v>
      </c>
      <c r="AZ369" s="2" t="s">
        <v>4590</v>
      </c>
      <c r="BA369" s="2" t="s">
        <v>4591</v>
      </c>
      <c r="BB369" s="2" t="s">
        <v>21</v>
      </c>
      <c r="BD369" s="2" t="s">
        <v>4592</v>
      </c>
      <c r="BE369" s="2" t="s">
        <v>4593</v>
      </c>
      <c r="BF369" s="2" t="s">
        <v>4594</v>
      </c>
    </row>
    <row r="370" spans="1:58" ht="41.25" customHeight="1" x14ac:dyDescent="0.25">
      <c r="A370" s="8" t="s">
        <v>5</v>
      </c>
      <c r="B370" s="1" t="s">
        <v>0</v>
      </c>
      <c r="C370" s="1" t="s">
        <v>1</v>
      </c>
      <c r="D370" s="1" t="s">
        <v>4595</v>
      </c>
      <c r="E370" s="1" t="s">
        <v>4596</v>
      </c>
      <c r="F370" s="1" t="s">
        <v>4597</v>
      </c>
      <c r="H370" s="2" t="s">
        <v>5</v>
      </c>
      <c r="I370" s="2" t="s">
        <v>6</v>
      </c>
      <c r="J370" s="2" t="s">
        <v>5</v>
      </c>
      <c r="K370" s="2" t="s">
        <v>5</v>
      </c>
      <c r="L370" s="2" t="s">
        <v>7</v>
      </c>
      <c r="M370" s="1" t="s">
        <v>544</v>
      </c>
      <c r="N370" s="1" t="s">
        <v>4598</v>
      </c>
      <c r="O370" s="2" t="s">
        <v>4599</v>
      </c>
      <c r="Q370" s="2" t="s">
        <v>11</v>
      </c>
      <c r="R370" s="2" t="s">
        <v>12</v>
      </c>
      <c r="T370" s="2" t="s">
        <v>520</v>
      </c>
      <c r="U370" s="3">
        <v>3</v>
      </c>
      <c r="V370" s="3">
        <v>3</v>
      </c>
      <c r="W370" s="4" t="s">
        <v>547</v>
      </c>
      <c r="X370" s="4" t="s">
        <v>547</v>
      </c>
      <c r="Y370" s="4" t="s">
        <v>695</v>
      </c>
      <c r="Z370" s="4" t="s">
        <v>695</v>
      </c>
      <c r="AA370" s="3">
        <v>244</v>
      </c>
      <c r="AB370" s="3">
        <v>215</v>
      </c>
      <c r="AC370" s="3">
        <v>221</v>
      </c>
      <c r="AD370" s="3">
        <v>4</v>
      </c>
      <c r="AE370" s="3">
        <v>4</v>
      </c>
      <c r="AF370" s="3">
        <v>17</v>
      </c>
      <c r="AG370" s="3">
        <v>17</v>
      </c>
      <c r="AH370" s="3">
        <v>5</v>
      </c>
      <c r="AI370" s="3">
        <v>5</v>
      </c>
      <c r="AJ370" s="3">
        <v>3</v>
      </c>
      <c r="AK370" s="3">
        <v>3</v>
      </c>
      <c r="AL370" s="3">
        <v>8</v>
      </c>
      <c r="AM370" s="3">
        <v>8</v>
      </c>
      <c r="AN370" s="3">
        <v>3</v>
      </c>
      <c r="AO370" s="3">
        <v>3</v>
      </c>
      <c r="AP370" s="3">
        <v>0</v>
      </c>
      <c r="AQ370" s="3">
        <v>0</v>
      </c>
      <c r="AR370" s="2" t="s">
        <v>5</v>
      </c>
      <c r="AS370" s="2" t="s">
        <v>16</v>
      </c>
      <c r="AT370" s="5" t="str">
        <f>HYPERLINK("http://catalog.hathitrust.org/Record/001574611","HathiTrust Record")</f>
        <v>HathiTrust Record</v>
      </c>
      <c r="AU370" s="5" t="str">
        <f>HYPERLINK("https://creighton-primo.hosted.exlibrisgroup.com/primo-explore/search?tab=default_tab&amp;search_scope=EVERYTHING&amp;vid=01CRU&amp;lang=en_US&amp;offset=0&amp;query=any,contains,991001040889702656","Catalog Record")</f>
        <v>Catalog Record</v>
      </c>
      <c r="AV370" s="5" t="str">
        <f>HYPERLINK("http://www.worldcat.org/oclc/3677255","WorldCat Record")</f>
        <v>WorldCat Record</v>
      </c>
      <c r="AW370" s="2" t="s">
        <v>4600</v>
      </c>
      <c r="AX370" s="2" t="s">
        <v>4601</v>
      </c>
      <c r="AY370" s="2" t="s">
        <v>4602</v>
      </c>
      <c r="AZ370" s="2" t="s">
        <v>4602</v>
      </c>
      <c r="BA370" s="2" t="s">
        <v>4603</v>
      </c>
      <c r="BB370" s="2" t="s">
        <v>21</v>
      </c>
      <c r="BE370" s="2" t="s">
        <v>4604</v>
      </c>
      <c r="BF370" s="2" t="s">
        <v>4605</v>
      </c>
    </row>
    <row r="371" spans="1:58" ht="41.25" customHeight="1" x14ac:dyDescent="0.25">
      <c r="A371" s="8" t="s">
        <v>5</v>
      </c>
      <c r="B371" s="1" t="s">
        <v>0</v>
      </c>
      <c r="C371" s="1" t="s">
        <v>1</v>
      </c>
      <c r="D371" s="1" t="s">
        <v>4606</v>
      </c>
      <c r="E371" s="1" t="s">
        <v>4607</v>
      </c>
      <c r="F371" s="1" t="s">
        <v>4608</v>
      </c>
      <c r="H371" s="2" t="s">
        <v>5</v>
      </c>
      <c r="I371" s="2" t="s">
        <v>6</v>
      </c>
      <c r="J371" s="2" t="s">
        <v>5</v>
      </c>
      <c r="K371" s="2" t="s">
        <v>5</v>
      </c>
      <c r="L371" s="2" t="s">
        <v>7</v>
      </c>
      <c r="N371" s="1" t="s">
        <v>4609</v>
      </c>
      <c r="O371" s="2" t="s">
        <v>3319</v>
      </c>
      <c r="Q371" s="2" t="s">
        <v>11</v>
      </c>
      <c r="R371" s="2" t="s">
        <v>12</v>
      </c>
      <c r="S371" s="1" t="s">
        <v>4610</v>
      </c>
      <c r="T371" s="2" t="s">
        <v>520</v>
      </c>
      <c r="U371" s="3">
        <v>2</v>
      </c>
      <c r="V371" s="3">
        <v>2</v>
      </c>
      <c r="W371" s="4" t="s">
        <v>1826</v>
      </c>
      <c r="X371" s="4" t="s">
        <v>1826</v>
      </c>
      <c r="Y371" s="4" t="s">
        <v>577</v>
      </c>
      <c r="Z371" s="4" t="s">
        <v>577</v>
      </c>
      <c r="AA371" s="3">
        <v>37</v>
      </c>
      <c r="AB371" s="3">
        <v>21</v>
      </c>
      <c r="AC371" s="3">
        <v>48</v>
      </c>
      <c r="AD371" s="3">
        <v>1</v>
      </c>
      <c r="AE371" s="3">
        <v>1</v>
      </c>
      <c r="AF371" s="3">
        <v>0</v>
      </c>
      <c r="AG371" s="3">
        <v>2</v>
      </c>
      <c r="AH371" s="3">
        <v>0</v>
      </c>
      <c r="AI371" s="3">
        <v>0</v>
      </c>
      <c r="AJ371" s="3">
        <v>0</v>
      </c>
      <c r="AK371" s="3">
        <v>0</v>
      </c>
      <c r="AL371" s="3">
        <v>0</v>
      </c>
      <c r="AM371" s="3">
        <v>2</v>
      </c>
      <c r="AN371" s="3">
        <v>0</v>
      </c>
      <c r="AO371" s="3">
        <v>0</v>
      </c>
      <c r="AP371" s="3">
        <v>0</v>
      </c>
      <c r="AQ371" s="3">
        <v>0</v>
      </c>
      <c r="AR371" s="2" t="s">
        <v>5</v>
      </c>
      <c r="AS371" s="2" t="s">
        <v>5</v>
      </c>
      <c r="AU371" s="5" t="str">
        <f>HYPERLINK("https://creighton-primo.hosted.exlibrisgroup.com/primo-explore/search?tab=default_tab&amp;search_scope=EVERYTHING&amp;vid=01CRU&amp;lang=en_US&amp;offset=0&amp;query=any,contains,991001361999702656","Catalog Record")</f>
        <v>Catalog Record</v>
      </c>
      <c r="AV371" s="5" t="str">
        <f>HYPERLINK("http://www.worldcat.org/oclc/1633856","WorldCat Record")</f>
        <v>WorldCat Record</v>
      </c>
      <c r="AW371" s="2" t="s">
        <v>4611</v>
      </c>
      <c r="AX371" s="2" t="s">
        <v>4612</v>
      </c>
      <c r="AY371" s="2" t="s">
        <v>4613</v>
      </c>
      <c r="AZ371" s="2" t="s">
        <v>4613</v>
      </c>
      <c r="BA371" s="2" t="s">
        <v>4614</v>
      </c>
      <c r="BB371" s="2" t="s">
        <v>21</v>
      </c>
      <c r="BE371" s="2" t="s">
        <v>4615</v>
      </c>
      <c r="BF371" s="2" t="s">
        <v>4616</v>
      </c>
    </row>
    <row r="372" spans="1:58" ht="41.25" customHeight="1" x14ac:dyDescent="0.25">
      <c r="A372" s="8" t="s">
        <v>5</v>
      </c>
      <c r="B372" s="1" t="s">
        <v>0</v>
      </c>
      <c r="C372" s="1" t="s">
        <v>1</v>
      </c>
      <c r="D372" s="1" t="s">
        <v>4617</v>
      </c>
      <c r="E372" s="1" t="s">
        <v>4618</v>
      </c>
      <c r="F372" s="1" t="s">
        <v>4619</v>
      </c>
      <c r="H372" s="2" t="s">
        <v>5</v>
      </c>
      <c r="I372" s="2" t="s">
        <v>6</v>
      </c>
      <c r="J372" s="2" t="s">
        <v>5</v>
      </c>
      <c r="K372" s="2" t="s">
        <v>5</v>
      </c>
      <c r="L372" s="2" t="s">
        <v>7</v>
      </c>
      <c r="M372" s="1" t="s">
        <v>4620</v>
      </c>
      <c r="N372" s="1" t="s">
        <v>4621</v>
      </c>
      <c r="O372" s="2" t="s">
        <v>939</v>
      </c>
      <c r="Q372" s="2" t="s">
        <v>11</v>
      </c>
      <c r="R372" s="2" t="s">
        <v>12</v>
      </c>
      <c r="S372" s="1" t="s">
        <v>4622</v>
      </c>
      <c r="T372" s="2" t="s">
        <v>520</v>
      </c>
      <c r="U372" s="3">
        <v>1</v>
      </c>
      <c r="V372" s="3">
        <v>1</v>
      </c>
      <c r="W372" s="4" t="s">
        <v>4623</v>
      </c>
      <c r="X372" s="4" t="s">
        <v>4623</v>
      </c>
      <c r="Y372" s="4" t="s">
        <v>4624</v>
      </c>
      <c r="Z372" s="4" t="s">
        <v>4624</v>
      </c>
      <c r="AA372" s="3">
        <v>41</v>
      </c>
      <c r="AB372" s="3">
        <v>39</v>
      </c>
      <c r="AC372" s="3">
        <v>40</v>
      </c>
      <c r="AD372" s="3">
        <v>2</v>
      </c>
      <c r="AE372" s="3">
        <v>2</v>
      </c>
      <c r="AF372" s="3">
        <v>1</v>
      </c>
      <c r="AG372" s="3">
        <v>1</v>
      </c>
      <c r="AH372" s="3">
        <v>1</v>
      </c>
      <c r="AI372" s="3">
        <v>1</v>
      </c>
      <c r="AJ372" s="3">
        <v>0</v>
      </c>
      <c r="AK372" s="3">
        <v>0</v>
      </c>
      <c r="AL372" s="3">
        <v>0</v>
      </c>
      <c r="AM372" s="3">
        <v>0</v>
      </c>
      <c r="AN372" s="3">
        <v>0</v>
      </c>
      <c r="AO372" s="3">
        <v>0</v>
      </c>
      <c r="AP372" s="3">
        <v>0</v>
      </c>
      <c r="AQ372" s="3">
        <v>0</v>
      </c>
      <c r="AR372" s="2" t="s">
        <v>5</v>
      </c>
      <c r="AS372" s="2" t="s">
        <v>5</v>
      </c>
      <c r="AU372" s="5" t="str">
        <f>HYPERLINK("https://creighton-primo.hosted.exlibrisgroup.com/primo-explore/search?tab=default_tab&amp;search_scope=EVERYTHING&amp;vid=01CRU&amp;lang=en_US&amp;offset=0&amp;query=any,contains,991001539379702656","Catalog Record")</f>
        <v>Catalog Record</v>
      </c>
      <c r="AV372" s="5" t="str">
        <f>HYPERLINK("http://www.worldcat.org/oclc/17406426","WorldCat Record")</f>
        <v>WorldCat Record</v>
      </c>
      <c r="AW372" s="2" t="s">
        <v>4625</v>
      </c>
      <c r="AX372" s="2" t="s">
        <v>4626</v>
      </c>
      <c r="AY372" s="2" t="s">
        <v>4627</v>
      </c>
      <c r="AZ372" s="2" t="s">
        <v>4627</v>
      </c>
      <c r="BA372" s="2" t="s">
        <v>4628</v>
      </c>
      <c r="BB372" s="2" t="s">
        <v>21</v>
      </c>
      <c r="BD372" s="2" t="s">
        <v>4629</v>
      </c>
      <c r="BE372" s="2" t="s">
        <v>4630</v>
      </c>
      <c r="BF372" s="2" t="s">
        <v>4631</v>
      </c>
    </row>
    <row r="373" spans="1:58" ht="41.25" customHeight="1" x14ac:dyDescent="0.25">
      <c r="A373" s="8" t="s">
        <v>5</v>
      </c>
      <c r="B373" s="1" t="s">
        <v>0</v>
      </c>
      <c r="C373" s="1" t="s">
        <v>1</v>
      </c>
      <c r="D373" s="1" t="s">
        <v>4617</v>
      </c>
      <c r="E373" s="1" t="s">
        <v>4618</v>
      </c>
      <c r="F373" s="1" t="s">
        <v>4632</v>
      </c>
      <c r="H373" s="2" t="s">
        <v>5</v>
      </c>
      <c r="I373" s="2" t="s">
        <v>6</v>
      </c>
      <c r="J373" s="2" t="s">
        <v>5</v>
      </c>
      <c r="K373" s="2" t="s">
        <v>5</v>
      </c>
      <c r="L373" s="2" t="s">
        <v>7</v>
      </c>
      <c r="M373" s="1" t="s">
        <v>4620</v>
      </c>
      <c r="N373" s="1" t="s">
        <v>4633</v>
      </c>
      <c r="O373" s="2" t="s">
        <v>1339</v>
      </c>
      <c r="Q373" s="2" t="s">
        <v>11</v>
      </c>
      <c r="R373" s="2" t="s">
        <v>12</v>
      </c>
      <c r="S373" s="1" t="s">
        <v>4634</v>
      </c>
      <c r="T373" s="2" t="s">
        <v>520</v>
      </c>
      <c r="U373" s="3">
        <v>0</v>
      </c>
      <c r="V373" s="3">
        <v>0</v>
      </c>
      <c r="W373" s="4" t="s">
        <v>903</v>
      </c>
      <c r="X373" s="4" t="s">
        <v>903</v>
      </c>
      <c r="Y373" s="4" t="s">
        <v>604</v>
      </c>
      <c r="Z373" s="4" t="s">
        <v>604</v>
      </c>
      <c r="AA373" s="3">
        <v>54</v>
      </c>
      <c r="AB373" s="3">
        <v>52</v>
      </c>
      <c r="AC373" s="3">
        <v>52</v>
      </c>
      <c r="AD373" s="3">
        <v>2</v>
      </c>
      <c r="AE373" s="3">
        <v>2</v>
      </c>
      <c r="AF373" s="3">
        <v>1</v>
      </c>
      <c r="AG373" s="3">
        <v>1</v>
      </c>
      <c r="AH373" s="3">
        <v>1</v>
      </c>
      <c r="AI373" s="3">
        <v>1</v>
      </c>
      <c r="AJ373" s="3">
        <v>0</v>
      </c>
      <c r="AK373" s="3">
        <v>0</v>
      </c>
      <c r="AL373" s="3">
        <v>1</v>
      </c>
      <c r="AM373" s="3">
        <v>1</v>
      </c>
      <c r="AN373" s="3">
        <v>0</v>
      </c>
      <c r="AO373" s="3">
        <v>0</v>
      </c>
      <c r="AP373" s="3">
        <v>0</v>
      </c>
      <c r="AQ373" s="3">
        <v>0</v>
      </c>
      <c r="AR373" s="2" t="s">
        <v>5</v>
      </c>
      <c r="AS373" s="2" t="s">
        <v>5</v>
      </c>
      <c r="AU373" s="5" t="str">
        <f>HYPERLINK("https://creighton-primo.hosted.exlibrisgroup.com/primo-explore/search?tab=default_tab&amp;search_scope=EVERYTHING&amp;vid=01CRU&amp;lang=en_US&amp;offset=0&amp;query=any,contains,991000205969702656","Catalog Record")</f>
        <v>Catalog Record</v>
      </c>
      <c r="AV373" s="5" t="str">
        <f>HYPERLINK("http://www.worldcat.org/oclc/15338739","WorldCat Record")</f>
        <v>WorldCat Record</v>
      </c>
      <c r="AW373" s="2" t="s">
        <v>4635</v>
      </c>
      <c r="AX373" s="2" t="s">
        <v>4636</v>
      </c>
      <c r="AY373" s="2" t="s">
        <v>4637</v>
      </c>
      <c r="AZ373" s="2" t="s">
        <v>4637</v>
      </c>
      <c r="BA373" s="2" t="s">
        <v>4638</v>
      </c>
      <c r="BB373" s="2" t="s">
        <v>21</v>
      </c>
      <c r="BD373" s="2" t="s">
        <v>4639</v>
      </c>
      <c r="BE373" s="2" t="s">
        <v>4640</v>
      </c>
      <c r="BF373" s="2" t="s">
        <v>4641</v>
      </c>
    </row>
    <row r="374" spans="1:58" ht="41.25" customHeight="1" x14ac:dyDescent="0.25">
      <c r="A374" s="8" t="s">
        <v>5</v>
      </c>
      <c r="B374" s="1" t="s">
        <v>0</v>
      </c>
      <c r="C374" s="1" t="s">
        <v>1</v>
      </c>
      <c r="D374" s="1" t="s">
        <v>4642</v>
      </c>
      <c r="E374" s="1" t="s">
        <v>4643</v>
      </c>
      <c r="F374" s="1" t="s">
        <v>4644</v>
      </c>
      <c r="H374" s="2" t="s">
        <v>5</v>
      </c>
      <c r="I374" s="2" t="s">
        <v>6</v>
      </c>
      <c r="J374" s="2" t="s">
        <v>5</v>
      </c>
      <c r="K374" s="2" t="s">
        <v>5</v>
      </c>
      <c r="L374" s="2" t="s">
        <v>7</v>
      </c>
      <c r="M374" s="1" t="s">
        <v>4645</v>
      </c>
      <c r="N374" s="1" t="s">
        <v>3741</v>
      </c>
      <c r="O374" s="2" t="s">
        <v>62</v>
      </c>
      <c r="Q374" s="2" t="s">
        <v>11</v>
      </c>
      <c r="R374" s="2" t="s">
        <v>12</v>
      </c>
      <c r="S374" s="1" t="s">
        <v>4646</v>
      </c>
      <c r="T374" s="2" t="s">
        <v>520</v>
      </c>
      <c r="U374" s="3">
        <v>2</v>
      </c>
      <c r="V374" s="3">
        <v>2</v>
      </c>
      <c r="W374" s="4" t="s">
        <v>1590</v>
      </c>
      <c r="X374" s="4" t="s">
        <v>1590</v>
      </c>
      <c r="Y374" s="4" t="s">
        <v>1249</v>
      </c>
      <c r="Z374" s="4" t="s">
        <v>1249</v>
      </c>
      <c r="AA374" s="3">
        <v>78</v>
      </c>
      <c r="AB374" s="3">
        <v>65</v>
      </c>
      <c r="AC374" s="3">
        <v>67</v>
      </c>
      <c r="AD374" s="3">
        <v>1</v>
      </c>
      <c r="AE374" s="3">
        <v>1</v>
      </c>
      <c r="AF374" s="3">
        <v>2</v>
      </c>
      <c r="AG374" s="3">
        <v>2</v>
      </c>
      <c r="AH374" s="3">
        <v>0</v>
      </c>
      <c r="AI374" s="3">
        <v>0</v>
      </c>
      <c r="AJ374" s="3">
        <v>0</v>
      </c>
      <c r="AK374" s="3">
        <v>0</v>
      </c>
      <c r="AL374" s="3">
        <v>2</v>
      </c>
      <c r="AM374" s="3">
        <v>2</v>
      </c>
      <c r="AN374" s="3">
        <v>0</v>
      </c>
      <c r="AO374" s="3">
        <v>0</v>
      </c>
      <c r="AP374" s="3">
        <v>0</v>
      </c>
      <c r="AQ374" s="3">
        <v>0</v>
      </c>
      <c r="AR374" s="2" t="s">
        <v>5</v>
      </c>
      <c r="AS374" s="2" t="s">
        <v>16</v>
      </c>
      <c r="AT374" s="5" t="str">
        <f>HYPERLINK("http://catalog.hathitrust.org/Record/009820110","HathiTrust Record")</f>
        <v>HathiTrust Record</v>
      </c>
      <c r="AU374" s="5" t="str">
        <f>HYPERLINK("https://creighton-primo.hosted.exlibrisgroup.com/primo-explore/search?tab=default_tab&amp;search_scope=EVERYTHING&amp;vid=01CRU&amp;lang=en_US&amp;offset=0&amp;query=any,contains,991001388729702656","Catalog Record")</f>
        <v>Catalog Record</v>
      </c>
      <c r="AV374" s="5" t="str">
        <f>HYPERLINK("http://www.worldcat.org/oclc/5434799","WorldCat Record")</f>
        <v>WorldCat Record</v>
      </c>
      <c r="AW374" s="2" t="s">
        <v>4647</v>
      </c>
      <c r="AX374" s="2" t="s">
        <v>4648</v>
      </c>
      <c r="AY374" s="2" t="s">
        <v>4649</v>
      </c>
      <c r="AZ374" s="2" t="s">
        <v>4649</v>
      </c>
      <c r="BA374" s="2" t="s">
        <v>4650</v>
      </c>
      <c r="BB374" s="2" t="s">
        <v>21</v>
      </c>
      <c r="BE374" s="2" t="s">
        <v>4651</v>
      </c>
      <c r="BF374" s="2" t="s">
        <v>4652</v>
      </c>
    </row>
    <row r="375" spans="1:58" ht="41.25" customHeight="1" x14ac:dyDescent="0.25">
      <c r="A375" s="8" t="s">
        <v>5</v>
      </c>
      <c r="B375" s="1" t="s">
        <v>0</v>
      </c>
      <c r="C375" s="1" t="s">
        <v>1</v>
      </c>
      <c r="D375" s="1" t="s">
        <v>4653</v>
      </c>
      <c r="E375" s="1" t="s">
        <v>4654</v>
      </c>
      <c r="F375" s="1" t="s">
        <v>4655</v>
      </c>
      <c r="H375" s="2" t="s">
        <v>5</v>
      </c>
      <c r="I375" s="2" t="s">
        <v>6</v>
      </c>
      <c r="J375" s="2" t="s">
        <v>5</v>
      </c>
      <c r="K375" s="2" t="s">
        <v>5</v>
      </c>
      <c r="L375" s="2" t="s">
        <v>7</v>
      </c>
      <c r="N375" s="1" t="s">
        <v>4656</v>
      </c>
      <c r="O375" s="2" t="s">
        <v>285</v>
      </c>
      <c r="Q375" s="2" t="s">
        <v>11</v>
      </c>
      <c r="R375" s="2" t="s">
        <v>4657</v>
      </c>
      <c r="T375" s="2" t="s">
        <v>520</v>
      </c>
      <c r="U375" s="3">
        <v>1</v>
      </c>
      <c r="V375" s="3">
        <v>1</v>
      </c>
      <c r="W375" s="4" t="s">
        <v>4658</v>
      </c>
      <c r="X375" s="4" t="s">
        <v>4658</v>
      </c>
      <c r="Y375" s="4" t="s">
        <v>329</v>
      </c>
      <c r="Z375" s="4" t="s">
        <v>329</v>
      </c>
      <c r="AA375" s="3">
        <v>1</v>
      </c>
      <c r="AB375" s="3">
        <v>1</v>
      </c>
      <c r="AC375" s="3">
        <v>1</v>
      </c>
      <c r="AD375" s="3">
        <v>1</v>
      </c>
      <c r="AE375" s="3">
        <v>1</v>
      </c>
      <c r="AF375" s="3">
        <v>0</v>
      </c>
      <c r="AG375" s="3">
        <v>0</v>
      </c>
      <c r="AH375" s="3">
        <v>0</v>
      </c>
      <c r="AI375" s="3">
        <v>0</v>
      </c>
      <c r="AJ375" s="3">
        <v>0</v>
      </c>
      <c r="AK375" s="3">
        <v>0</v>
      </c>
      <c r="AL375" s="3">
        <v>0</v>
      </c>
      <c r="AM375" s="3">
        <v>0</v>
      </c>
      <c r="AN375" s="3">
        <v>0</v>
      </c>
      <c r="AO375" s="3">
        <v>0</v>
      </c>
      <c r="AP375" s="3">
        <v>0</v>
      </c>
      <c r="AQ375" s="3">
        <v>0</v>
      </c>
      <c r="AR375" s="2" t="s">
        <v>5</v>
      </c>
      <c r="AS375" s="2" t="s">
        <v>5</v>
      </c>
      <c r="AU375" s="5" t="str">
        <f>HYPERLINK("https://creighton-primo.hosted.exlibrisgroup.com/primo-explore/search?tab=default_tab&amp;search_scope=EVERYTHING&amp;vid=01CRU&amp;lang=en_US&amp;offset=0&amp;query=any,contains,991000740019702656","Catalog Record")</f>
        <v>Catalog Record</v>
      </c>
      <c r="AV375" s="5" t="str">
        <f>HYPERLINK("http://www.worldcat.org/oclc/6050934","WorldCat Record")</f>
        <v>WorldCat Record</v>
      </c>
      <c r="AW375" s="2" t="s">
        <v>4659</v>
      </c>
      <c r="AX375" s="2" t="s">
        <v>4660</v>
      </c>
      <c r="AY375" s="2" t="s">
        <v>4661</v>
      </c>
      <c r="AZ375" s="2" t="s">
        <v>4661</v>
      </c>
      <c r="BA375" s="2" t="s">
        <v>4662</v>
      </c>
      <c r="BB375" s="2" t="s">
        <v>21</v>
      </c>
      <c r="BE375" s="2" t="s">
        <v>4663</v>
      </c>
      <c r="BF375" s="2" t="s">
        <v>4664</v>
      </c>
    </row>
    <row r="376" spans="1:58" ht="41.25" customHeight="1" x14ac:dyDescent="0.25">
      <c r="A376" s="8" t="s">
        <v>5</v>
      </c>
      <c r="B376" s="1" t="s">
        <v>0</v>
      </c>
      <c r="C376" s="1" t="s">
        <v>1</v>
      </c>
      <c r="D376" s="1" t="s">
        <v>4665</v>
      </c>
      <c r="E376" s="1" t="s">
        <v>4666</v>
      </c>
      <c r="F376" s="1" t="s">
        <v>4667</v>
      </c>
      <c r="H376" s="2" t="s">
        <v>5</v>
      </c>
      <c r="I376" s="2" t="s">
        <v>6</v>
      </c>
      <c r="J376" s="2" t="s">
        <v>5</v>
      </c>
      <c r="K376" s="2" t="s">
        <v>5</v>
      </c>
      <c r="L376" s="2" t="s">
        <v>7</v>
      </c>
      <c r="M376" s="1" t="s">
        <v>4668</v>
      </c>
      <c r="N376" s="1" t="s">
        <v>2272</v>
      </c>
      <c r="O376" s="2" t="s">
        <v>354</v>
      </c>
      <c r="Q376" s="2" t="s">
        <v>11</v>
      </c>
      <c r="R376" s="2" t="s">
        <v>426</v>
      </c>
      <c r="S376" s="1" t="s">
        <v>4669</v>
      </c>
      <c r="T376" s="2" t="s">
        <v>520</v>
      </c>
      <c r="U376" s="3">
        <v>3</v>
      </c>
      <c r="V376" s="3">
        <v>3</v>
      </c>
      <c r="W376" s="4" t="s">
        <v>4670</v>
      </c>
      <c r="X376" s="4" t="s">
        <v>4670</v>
      </c>
      <c r="Y376" s="4" t="s">
        <v>1591</v>
      </c>
      <c r="Z376" s="4" t="s">
        <v>1591</v>
      </c>
      <c r="AA376" s="3">
        <v>117</v>
      </c>
      <c r="AB376" s="3">
        <v>98</v>
      </c>
      <c r="AC376" s="3">
        <v>98</v>
      </c>
      <c r="AD376" s="3">
        <v>1</v>
      </c>
      <c r="AE376" s="3">
        <v>1</v>
      </c>
      <c r="AF376" s="3">
        <v>3</v>
      </c>
      <c r="AG376" s="3">
        <v>3</v>
      </c>
      <c r="AH376" s="3">
        <v>1</v>
      </c>
      <c r="AI376" s="3">
        <v>1</v>
      </c>
      <c r="AJ376" s="3">
        <v>0</v>
      </c>
      <c r="AK376" s="3">
        <v>0</v>
      </c>
      <c r="AL376" s="3">
        <v>2</v>
      </c>
      <c r="AM376" s="3">
        <v>2</v>
      </c>
      <c r="AN376" s="3">
        <v>0</v>
      </c>
      <c r="AO376" s="3">
        <v>0</v>
      </c>
      <c r="AP376" s="3">
        <v>0</v>
      </c>
      <c r="AQ376" s="3">
        <v>0</v>
      </c>
      <c r="AR376" s="2" t="s">
        <v>5</v>
      </c>
      <c r="AS376" s="2" t="s">
        <v>5</v>
      </c>
      <c r="AU376" s="5" t="str">
        <f>HYPERLINK("https://creighton-primo.hosted.exlibrisgroup.com/primo-explore/search?tab=default_tab&amp;search_scope=EVERYTHING&amp;vid=01CRU&amp;lang=en_US&amp;offset=0&amp;query=any,contains,991001371479702656","Catalog Record")</f>
        <v>Catalog Record</v>
      </c>
      <c r="AV376" s="5" t="str">
        <f>HYPERLINK("http://www.worldcat.org/oclc/7738854","WorldCat Record")</f>
        <v>WorldCat Record</v>
      </c>
      <c r="AW376" s="2" t="s">
        <v>4671</v>
      </c>
      <c r="AX376" s="2" t="s">
        <v>4672</v>
      </c>
      <c r="AY376" s="2" t="s">
        <v>4673</v>
      </c>
      <c r="AZ376" s="2" t="s">
        <v>4673</v>
      </c>
      <c r="BA376" s="2" t="s">
        <v>4674</v>
      </c>
      <c r="BB376" s="2" t="s">
        <v>21</v>
      </c>
      <c r="BE376" s="2" t="s">
        <v>4675</v>
      </c>
      <c r="BF376" s="2" t="s">
        <v>4676</v>
      </c>
    </row>
    <row r="377" spans="1:58" ht="41.25" customHeight="1" x14ac:dyDescent="0.25">
      <c r="A377" s="8" t="s">
        <v>5</v>
      </c>
      <c r="B377" s="1" t="s">
        <v>0</v>
      </c>
      <c r="C377" s="1" t="s">
        <v>1</v>
      </c>
      <c r="D377" s="1" t="s">
        <v>4677</v>
      </c>
      <c r="E377" s="1" t="s">
        <v>4678</v>
      </c>
      <c r="F377" s="1" t="s">
        <v>4679</v>
      </c>
      <c r="H377" s="2" t="s">
        <v>5</v>
      </c>
      <c r="I377" s="2" t="s">
        <v>6</v>
      </c>
      <c r="J377" s="2" t="s">
        <v>5</v>
      </c>
      <c r="K377" s="2" t="s">
        <v>5</v>
      </c>
      <c r="L377" s="2" t="s">
        <v>7</v>
      </c>
      <c r="M377" s="1" t="s">
        <v>4680</v>
      </c>
      <c r="N377" s="1" t="s">
        <v>4681</v>
      </c>
      <c r="O377" s="2" t="s">
        <v>382</v>
      </c>
      <c r="Q377" s="2" t="s">
        <v>11</v>
      </c>
      <c r="R377" s="2" t="s">
        <v>2116</v>
      </c>
      <c r="T377" s="2" t="s">
        <v>520</v>
      </c>
      <c r="U377" s="3">
        <v>7</v>
      </c>
      <c r="V377" s="3">
        <v>7</v>
      </c>
      <c r="W377" s="4" t="s">
        <v>2762</v>
      </c>
      <c r="X377" s="4" t="s">
        <v>2762</v>
      </c>
      <c r="Y377" s="4" t="s">
        <v>4682</v>
      </c>
      <c r="Z377" s="4" t="s">
        <v>4682</v>
      </c>
      <c r="AA377" s="3">
        <v>186</v>
      </c>
      <c r="AB377" s="3">
        <v>140</v>
      </c>
      <c r="AC377" s="3">
        <v>143</v>
      </c>
      <c r="AD377" s="3">
        <v>1</v>
      </c>
      <c r="AE377" s="3">
        <v>1</v>
      </c>
      <c r="AF377" s="3">
        <v>5</v>
      </c>
      <c r="AG377" s="3">
        <v>5</v>
      </c>
      <c r="AH377" s="3">
        <v>1</v>
      </c>
      <c r="AI377" s="3">
        <v>1</v>
      </c>
      <c r="AJ377" s="3">
        <v>2</v>
      </c>
      <c r="AK377" s="3">
        <v>2</v>
      </c>
      <c r="AL377" s="3">
        <v>2</v>
      </c>
      <c r="AM377" s="3">
        <v>2</v>
      </c>
      <c r="AN377" s="3">
        <v>0</v>
      </c>
      <c r="AO377" s="3">
        <v>0</v>
      </c>
      <c r="AP377" s="3">
        <v>0</v>
      </c>
      <c r="AQ377" s="3">
        <v>0</v>
      </c>
      <c r="AR377" s="2" t="s">
        <v>5</v>
      </c>
      <c r="AS377" s="2" t="s">
        <v>16</v>
      </c>
      <c r="AT377" s="5" t="str">
        <f>HYPERLINK("http://catalog.hathitrust.org/Record/000290109","HathiTrust Record")</f>
        <v>HathiTrust Record</v>
      </c>
      <c r="AU377" s="5" t="str">
        <f>HYPERLINK("https://creighton-primo.hosted.exlibrisgroup.com/primo-explore/search?tab=default_tab&amp;search_scope=EVERYTHING&amp;vid=01CRU&amp;lang=en_US&amp;offset=0&amp;query=any,contains,991001002759702656","Catalog Record")</f>
        <v>Catalog Record</v>
      </c>
      <c r="AV377" s="5" t="str">
        <f>HYPERLINK("http://www.worldcat.org/oclc/10914175","WorldCat Record")</f>
        <v>WorldCat Record</v>
      </c>
      <c r="AW377" s="2" t="s">
        <v>4683</v>
      </c>
      <c r="AX377" s="2" t="s">
        <v>4684</v>
      </c>
      <c r="AY377" s="2" t="s">
        <v>4685</v>
      </c>
      <c r="AZ377" s="2" t="s">
        <v>4685</v>
      </c>
      <c r="BA377" s="2" t="s">
        <v>4686</v>
      </c>
      <c r="BB377" s="2" t="s">
        <v>21</v>
      </c>
      <c r="BD377" s="2" t="s">
        <v>4687</v>
      </c>
      <c r="BE377" s="2" t="s">
        <v>4688</v>
      </c>
      <c r="BF377" s="2" t="s">
        <v>4689</v>
      </c>
    </row>
    <row r="378" spans="1:58" ht="41.25" customHeight="1" x14ac:dyDescent="0.25">
      <c r="A378" s="8" t="s">
        <v>5</v>
      </c>
      <c r="B378" s="1" t="s">
        <v>0</v>
      </c>
      <c r="C378" s="1" t="s">
        <v>1</v>
      </c>
      <c r="D378" s="1" t="s">
        <v>4690</v>
      </c>
      <c r="E378" s="1" t="s">
        <v>4691</v>
      </c>
      <c r="F378" s="1" t="s">
        <v>4692</v>
      </c>
      <c r="H378" s="2" t="s">
        <v>5</v>
      </c>
      <c r="I378" s="2" t="s">
        <v>6</v>
      </c>
      <c r="J378" s="2" t="s">
        <v>5</v>
      </c>
      <c r="K378" s="2" t="s">
        <v>16</v>
      </c>
      <c r="L378" s="2" t="s">
        <v>7</v>
      </c>
      <c r="M378" s="1" t="s">
        <v>4693</v>
      </c>
      <c r="N378" s="1" t="s">
        <v>4694</v>
      </c>
      <c r="O378" s="2" t="s">
        <v>989</v>
      </c>
      <c r="P378" s="1" t="s">
        <v>211</v>
      </c>
      <c r="Q378" s="2" t="s">
        <v>11</v>
      </c>
      <c r="R378" s="2" t="s">
        <v>426</v>
      </c>
      <c r="T378" s="2" t="s">
        <v>520</v>
      </c>
      <c r="U378" s="3">
        <v>2</v>
      </c>
      <c r="V378" s="3">
        <v>2</v>
      </c>
      <c r="W378" s="4" t="s">
        <v>4695</v>
      </c>
      <c r="X378" s="4" t="s">
        <v>4695</v>
      </c>
      <c r="Y378" s="4" t="s">
        <v>4696</v>
      </c>
      <c r="Z378" s="4" t="s">
        <v>4696</v>
      </c>
      <c r="AA378" s="3">
        <v>149</v>
      </c>
      <c r="AB378" s="3">
        <v>119</v>
      </c>
      <c r="AC378" s="3">
        <v>269</v>
      </c>
      <c r="AD378" s="3">
        <v>1</v>
      </c>
      <c r="AE378" s="3">
        <v>3</v>
      </c>
      <c r="AF378" s="3">
        <v>5</v>
      </c>
      <c r="AG378" s="3">
        <v>8</v>
      </c>
      <c r="AH378" s="3">
        <v>2</v>
      </c>
      <c r="AI378" s="3">
        <v>3</v>
      </c>
      <c r="AJ378" s="3">
        <v>1</v>
      </c>
      <c r="AK378" s="3">
        <v>1</v>
      </c>
      <c r="AL378" s="3">
        <v>5</v>
      </c>
      <c r="AM378" s="3">
        <v>6</v>
      </c>
      <c r="AN378" s="3">
        <v>0</v>
      </c>
      <c r="AO378" s="3">
        <v>1</v>
      </c>
      <c r="AP378" s="3">
        <v>0</v>
      </c>
      <c r="AQ378" s="3">
        <v>0</v>
      </c>
      <c r="AR378" s="2" t="s">
        <v>5</v>
      </c>
      <c r="AS378" s="2" t="s">
        <v>5</v>
      </c>
      <c r="AU378" s="5" t="str">
        <f>HYPERLINK("https://creighton-primo.hosted.exlibrisgroup.com/primo-explore/search?tab=default_tab&amp;search_scope=EVERYTHING&amp;vid=01CRU&amp;lang=en_US&amp;offset=0&amp;query=any,contains,991000771759702656","Catalog Record")</f>
        <v>Catalog Record</v>
      </c>
      <c r="AV378" s="5" t="str">
        <f>HYPERLINK("http://www.worldcat.org/oclc/20823663","WorldCat Record")</f>
        <v>WorldCat Record</v>
      </c>
      <c r="AW378" s="2" t="s">
        <v>4697</v>
      </c>
      <c r="AX378" s="2" t="s">
        <v>4698</v>
      </c>
      <c r="AY378" s="2" t="s">
        <v>4699</v>
      </c>
      <c r="AZ378" s="2" t="s">
        <v>4699</v>
      </c>
      <c r="BA378" s="2" t="s">
        <v>4700</v>
      </c>
      <c r="BB378" s="2" t="s">
        <v>21</v>
      </c>
      <c r="BD378" s="2" t="s">
        <v>4701</v>
      </c>
      <c r="BE378" s="2" t="s">
        <v>4702</v>
      </c>
      <c r="BF378" s="2" t="s">
        <v>4703</v>
      </c>
    </row>
    <row r="379" spans="1:58" ht="41.25" customHeight="1" x14ac:dyDescent="0.25">
      <c r="A379" s="8" t="s">
        <v>5</v>
      </c>
      <c r="B379" s="1" t="s">
        <v>0</v>
      </c>
      <c r="C379" s="1" t="s">
        <v>1</v>
      </c>
      <c r="D379" s="1" t="s">
        <v>4704</v>
      </c>
      <c r="E379" s="1" t="s">
        <v>4705</v>
      </c>
      <c r="F379" s="1" t="s">
        <v>4706</v>
      </c>
      <c r="H379" s="2" t="s">
        <v>5</v>
      </c>
      <c r="I379" s="2" t="s">
        <v>6</v>
      </c>
      <c r="J379" s="2" t="s">
        <v>5</v>
      </c>
      <c r="K379" s="2" t="s">
        <v>5</v>
      </c>
      <c r="L379" s="2" t="s">
        <v>7</v>
      </c>
      <c r="M379" s="1" t="s">
        <v>4707</v>
      </c>
      <c r="N379" s="1" t="s">
        <v>4708</v>
      </c>
      <c r="O379" s="2" t="s">
        <v>92</v>
      </c>
      <c r="P379" s="1" t="s">
        <v>901</v>
      </c>
      <c r="Q379" s="2" t="s">
        <v>11</v>
      </c>
      <c r="R379" s="2" t="s">
        <v>31</v>
      </c>
      <c r="T379" s="2" t="s">
        <v>520</v>
      </c>
      <c r="U379" s="3">
        <v>4</v>
      </c>
      <c r="V379" s="3">
        <v>4</v>
      </c>
      <c r="W379" s="4" t="s">
        <v>4709</v>
      </c>
      <c r="X379" s="4" t="s">
        <v>4709</v>
      </c>
      <c r="Y379" s="4" t="s">
        <v>3755</v>
      </c>
      <c r="Z379" s="4" t="s">
        <v>3755</v>
      </c>
      <c r="AA379" s="3">
        <v>236</v>
      </c>
      <c r="AB379" s="3">
        <v>172</v>
      </c>
      <c r="AC379" s="3">
        <v>269</v>
      </c>
      <c r="AD379" s="3">
        <v>3</v>
      </c>
      <c r="AE379" s="3">
        <v>4</v>
      </c>
      <c r="AF379" s="3">
        <v>8</v>
      </c>
      <c r="AG379" s="3">
        <v>9</v>
      </c>
      <c r="AH379" s="3">
        <v>2</v>
      </c>
      <c r="AI379" s="3">
        <v>2</v>
      </c>
      <c r="AJ379" s="3">
        <v>1</v>
      </c>
      <c r="AK379" s="3">
        <v>2</v>
      </c>
      <c r="AL379" s="3">
        <v>3</v>
      </c>
      <c r="AM379" s="3">
        <v>3</v>
      </c>
      <c r="AN379" s="3">
        <v>2</v>
      </c>
      <c r="AO379" s="3">
        <v>2</v>
      </c>
      <c r="AP379" s="3">
        <v>0</v>
      </c>
      <c r="AQ379" s="3">
        <v>0</v>
      </c>
      <c r="AR379" s="2" t="s">
        <v>5</v>
      </c>
      <c r="AS379" s="2" t="s">
        <v>16</v>
      </c>
      <c r="AT379" s="5" t="str">
        <f>HYPERLINK("http://catalog.hathitrust.org/Record/000038744","HathiTrust Record")</f>
        <v>HathiTrust Record</v>
      </c>
      <c r="AU379" s="5" t="str">
        <f>HYPERLINK("https://creighton-primo.hosted.exlibrisgroup.com/primo-explore/search?tab=default_tab&amp;search_scope=EVERYTHING&amp;vid=01CRU&amp;lang=en_US&amp;offset=0&amp;query=any,contains,991001042799702656","Catalog Record")</f>
        <v>Catalog Record</v>
      </c>
      <c r="AV379" s="5" t="str">
        <f>HYPERLINK("http://www.worldcat.org/oclc/1733520","WorldCat Record")</f>
        <v>WorldCat Record</v>
      </c>
      <c r="AW379" s="2" t="s">
        <v>4710</v>
      </c>
      <c r="AX379" s="2" t="s">
        <v>4711</v>
      </c>
      <c r="AY379" s="2" t="s">
        <v>4712</v>
      </c>
      <c r="AZ379" s="2" t="s">
        <v>4712</v>
      </c>
      <c r="BA379" s="2" t="s">
        <v>4713</v>
      </c>
      <c r="BB379" s="2" t="s">
        <v>21</v>
      </c>
      <c r="BD379" s="2" t="s">
        <v>4714</v>
      </c>
      <c r="BE379" s="2" t="s">
        <v>4715</v>
      </c>
      <c r="BF379" s="2" t="s">
        <v>4716</v>
      </c>
    </row>
    <row r="380" spans="1:58" ht="41.25" customHeight="1" x14ac:dyDescent="0.25">
      <c r="A380" s="8" t="s">
        <v>5</v>
      </c>
      <c r="B380" s="1" t="s">
        <v>0</v>
      </c>
      <c r="C380" s="1" t="s">
        <v>1</v>
      </c>
      <c r="D380" s="1" t="s">
        <v>4717</v>
      </c>
      <c r="E380" s="1" t="s">
        <v>4718</v>
      </c>
      <c r="F380" s="1" t="s">
        <v>4719</v>
      </c>
      <c r="H380" s="2" t="s">
        <v>5</v>
      </c>
      <c r="I380" s="2" t="s">
        <v>6</v>
      </c>
      <c r="J380" s="2" t="s">
        <v>5</v>
      </c>
      <c r="K380" s="2" t="s">
        <v>16</v>
      </c>
      <c r="L380" s="2" t="s">
        <v>7</v>
      </c>
      <c r="M380" s="1" t="s">
        <v>4720</v>
      </c>
      <c r="N380" s="1" t="s">
        <v>4721</v>
      </c>
      <c r="O380" s="2" t="s">
        <v>393</v>
      </c>
      <c r="P380" s="1" t="s">
        <v>211</v>
      </c>
      <c r="Q380" s="2" t="s">
        <v>11</v>
      </c>
      <c r="R380" s="2" t="s">
        <v>12</v>
      </c>
      <c r="T380" s="2" t="s">
        <v>520</v>
      </c>
      <c r="U380" s="3">
        <v>6</v>
      </c>
      <c r="V380" s="3">
        <v>6</v>
      </c>
      <c r="W380" s="4" t="s">
        <v>4722</v>
      </c>
      <c r="X380" s="4" t="s">
        <v>4722</v>
      </c>
      <c r="Y380" s="4" t="s">
        <v>168</v>
      </c>
      <c r="Z380" s="4" t="s">
        <v>168</v>
      </c>
      <c r="AA380" s="3">
        <v>60</v>
      </c>
      <c r="AB380" s="3">
        <v>49</v>
      </c>
      <c r="AC380" s="3">
        <v>120</v>
      </c>
      <c r="AD380" s="3">
        <v>1</v>
      </c>
      <c r="AE380" s="3">
        <v>2</v>
      </c>
      <c r="AF380" s="3">
        <v>3</v>
      </c>
      <c r="AG380" s="3">
        <v>10</v>
      </c>
      <c r="AH380" s="3">
        <v>1</v>
      </c>
      <c r="AI380" s="3">
        <v>2</v>
      </c>
      <c r="AJ380" s="3">
        <v>1</v>
      </c>
      <c r="AK380" s="3">
        <v>3</v>
      </c>
      <c r="AL380" s="3">
        <v>1</v>
      </c>
      <c r="AM380" s="3">
        <v>5</v>
      </c>
      <c r="AN380" s="3">
        <v>0</v>
      </c>
      <c r="AO380" s="3">
        <v>1</v>
      </c>
      <c r="AP380" s="3">
        <v>0</v>
      </c>
      <c r="AQ380" s="3">
        <v>0</v>
      </c>
      <c r="AR380" s="2" t="s">
        <v>5</v>
      </c>
      <c r="AS380" s="2" t="s">
        <v>5</v>
      </c>
      <c r="AU380" s="5" t="str">
        <f>HYPERLINK("https://creighton-primo.hosted.exlibrisgroup.com/primo-explore/search?tab=default_tab&amp;search_scope=EVERYTHING&amp;vid=01CRU&amp;lang=en_US&amp;offset=0&amp;query=any,contains,991001041079702656","Catalog Record")</f>
        <v>Catalog Record</v>
      </c>
      <c r="AV380" s="5" t="str">
        <f>HYPERLINK("http://www.worldcat.org/oclc/7206432","WorldCat Record")</f>
        <v>WorldCat Record</v>
      </c>
      <c r="AW380" s="2" t="s">
        <v>4723</v>
      </c>
      <c r="AX380" s="2" t="s">
        <v>4724</v>
      </c>
      <c r="AY380" s="2" t="s">
        <v>4725</v>
      </c>
      <c r="AZ380" s="2" t="s">
        <v>4725</v>
      </c>
      <c r="BA380" s="2" t="s">
        <v>4726</v>
      </c>
      <c r="BB380" s="2" t="s">
        <v>21</v>
      </c>
      <c r="BD380" s="2" t="s">
        <v>4727</v>
      </c>
      <c r="BE380" s="2" t="s">
        <v>4728</v>
      </c>
      <c r="BF380" s="2" t="s">
        <v>4729</v>
      </c>
    </row>
    <row r="381" spans="1:58" ht="41.25" customHeight="1" x14ac:dyDescent="0.25">
      <c r="A381" s="8" t="s">
        <v>5</v>
      </c>
      <c r="B381" s="1" t="s">
        <v>0</v>
      </c>
      <c r="C381" s="1" t="s">
        <v>1</v>
      </c>
      <c r="D381" s="1" t="s">
        <v>4730</v>
      </c>
      <c r="E381" s="1" t="s">
        <v>4731</v>
      </c>
      <c r="F381" s="1" t="s">
        <v>4732</v>
      </c>
      <c r="H381" s="2" t="s">
        <v>5</v>
      </c>
      <c r="I381" s="2" t="s">
        <v>6</v>
      </c>
      <c r="J381" s="2" t="s">
        <v>5</v>
      </c>
      <c r="K381" s="2" t="s">
        <v>5</v>
      </c>
      <c r="L381" s="2" t="s">
        <v>7</v>
      </c>
      <c r="N381" s="1" t="s">
        <v>4733</v>
      </c>
      <c r="O381" s="2" t="s">
        <v>1824</v>
      </c>
      <c r="Q381" s="2" t="s">
        <v>11</v>
      </c>
      <c r="R381" s="2" t="s">
        <v>93</v>
      </c>
      <c r="S381" s="1" t="s">
        <v>4734</v>
      </c>
      <c r="T381" s="2" t="s">
        <v>520</v>
      </c>
      <c r="U381" s="3">
        <v>2</v>
      </c>
      <c r="V381" s="3">
        <v>2</v>
      </c>
      <c r="W381" s="4" t="s">
        <v>2788</v>
      </c>
      <c r="X381" s="4" t="s">
        <v>2788</v>
      </c>
      <c r="Y381" s="4" t="s">
        <v>577</v>
      </c>
      <c r="Z381" s="4" t="s">
        <v>577</v>
      </c>
      <c r="AA381" s="3">
        <v>13</v>
      </c>
      <c r="AB381" s="3">
        <v>12</v>
      </c>
      <c r="AC381" s="3">
        <v>12</v>
      </c>
      <c r="AD381" s="3">
        <v>1</v>
      </c>
      <c r="AE381" s="3">
        <v>1</v>
      </c>
      <c r="AF381" s="3">
        <v>0</v>
      </c>
      <c r="AG381" s="3">
        <v>0</v>
      </c>
      <c r="AH381" s="3">
        <v>0</v>
      </c>
      <c r="AI381" s="3">
        <v>0</v>
      </c>
      <c r="AJ381" s="3">
        <v>0</v>
      </c>
      <c r="AK381" s="3">
        <v>0</v>
      </c>
      <c r="AL381" s="3">
        <v>0</v>
      </c>
      <c r="AM381" s="3">
        <v>0</v>
      </c>
      <c r="AN381" s="3">
        <v>0</v>
      </c>
      <c r="AO381" s="3">
        <v>0</v>
      </c>
      <c r="AP381" s="3">
        <v>0</v>
      </c>
      <c r="AQ381" s="3">
        <v>0</v>
      </c>
      <c r="AR381" s="2" t="s">
        <v>5</v>
      </c>
      <c r="AS381" s="2" t="s">
        <v>5</v>
      </c>
      <c r="AU381" s="5" t="str">
        <f>HYPERLINK("https://creighton-primo.hosted.exlibrisgroup.com/primo-explore/search?tab=default_tab&amp;search_scope=EVERYTHING&amp;vid=01CRU&amp;lang=en_US&amp;offset=0&amp;query=any,contains,991001360979702656","Catalog Record")</f>
        <v>Catalog Record</v>
      </c>
      <c r="AV381" s="5" t="str">
        <f>HYPERLINK("http://www.worldcat.org/oclc/14475399","WorldCat Record")</f>
        <v>WorldCat Record</v>
      </c>
      <c r="AW381" s="2" t="s">
        <v>4735</v>
      </c>
      <c r="AX381" s="2" t="s">
        <v>4736</v>
      </c>
      <c r="AY381" s="2" t="s">
        <v>4737</v>
      </c>
      <c r="AZ381" s="2" t="s">
        <v>4737</v>
      </c>
      <c r="BA381" s="2" t="s">
        <v>4738</v>
      </c>
      <c r="BB381" s="2" t="s">
        <v>21</v>
      </c>
      <c r="BE381" s="2" t="s">
        <v>4739</v>
      </c>
      <c r="BF381" s="2" t="s">
        <v>4740</v>
      </c>
    </row>
    <row r="382" spans="1:58" ht="41.25" customHeight="1" x14ac:dyDescent="0.25">
      <c r="A382" s="8" t="s">
        <v>5</v>
      </c>
      <c r="B382" s="1" t="s">
        <v>0</v>
      </c>
      <c r="C382" s="1" t="s">
        <v>1</v>
      </c>
      <c r="D382" s="1" t="s">
        <v>4741</v>
      </c>
      <c r="E382" s="1" t="s">
        <v>4742</v>
      </c>
      <c r="F382" s="1" t="s">
        <v>4743</v>
      </c>
      <c r="H382" s="2" t="s">
        <v>5</v>
      </c>
      <c r="I382" s="2" t="s">
        <v>6</v>
      </c>
      <c r="J382" s="2" t="s">
        <v>5</v>
      </c>
      <c r="K382" s="2" t="s">
        <v>5</v>
      </c>
      <c r="L382" s="2" t="s">
        <v>7</v>
      </c>
      <c r="N382" s="1" t="s">
        <v>4744</v>
      </c>
      <c r="O382" s="2" t="s">
        <v>1824</v>
      </c>
      <c r="Q382" s="2" t="s">
        <v>11</v>
      </c>
      <c r="R382" s="2" t="s">
        <v>12</v>
      </c>
      <c r="S382" s="1" t="s">
        <v>4745</v>
      </c>
      <c r="T382" s="2" t="s">
        <v>520</v>
      </c>
      <c r="U382" s="3">
        <v>2</v>
      </c>
      <c r="V382" s="3">
        <v>2</v>
      </c>
      <c r="W382" s="4" t="s">
        <v>2788</v>
      </c>
      <c r="X382" s="4" t="s">
        <v>2788</v>
      </c>
      <c r="Y382" s="4" t="s">
        <v>1827</v>
      </c>
      <c r="Z382" s="4" t="s">
        <v>1827</v>
      </c>
      <c r="AA382" s="3">
        <v>33</v>
      </c>
      <c r="AB382" s="3">
        <v>29</v>
      </c>
      <c r="AC382" s="3">
        <v>32</v>
      </c>
      <c r="AD382" s="3">
        <v>1</v>
      </c>
      <c r="AE382" s="3">
        <v>1</v>
      </c>
      <c r="AF382" s="3">
        <v>0</v>
      </c>
      <c r="AG382" s="3">
        <v>0</v>
      </c>
      <c r="AH382" s="3">
        <v>0</v>
      </c>
      <c r="AI382" s="3">
        <v>0</v>
      </c>
      <c r="AJ382" s="3">
        <v>0</v>
      </c>
      <c r="AK382" s="3">
        <v>0</v>
      </c>
      <c r="AL382" s="3">
        <v>0</v>
      </c>
      <c r="AM382" s="3">
        <v>0</v>
      </c>
      <c r="AN382" s="3">
        <v>0</v>
      </c>
      <c r="AO382" s="3">
        <v>0</v>
      </c>
      <c r="AP382" s="3">
        <v>0</v>
      </c>
      <c r="AQ382" s="3">
        <v>0</v>
      </c>
      <c r="AR382" s="2" t="s">
        <v>5</v>
      </c>
      <c r="AS382" s="2" t="s">
        <v>16</v>
      </c>
      <c r="AT382" s="5" t="str">
        <f>HYPERLINK("http://catalog.hathitrust.org/Record/001579467","HathiTrust Record")</f>
        <v>HathiTrust Record</v>
      </c>
      <c r="AU382" s="5" t="str">
        <f>HYPERLINK("https://creighton-primo.hosted.exlibrisgroup.com/primo-explore/search?tab=default_tab&amp;search_scope=EVERYTHING&amp;vid=01CRU&amp;lang=en_US&amp;offset=0&amp;query=any,contains,991001366849702656","Catalog Record")</f>
        <v>Catalog Record</v>
      </c>
      <c r="AV382" s="5" t="str">
        <f>HYPERLINK("http://www.worldcat.org/oclc/212866","WorldCat Record")</f>
        <v>WorldCat Record</v>
      </c>
      <c r="AW382" s="2" t="s">
        <v>4746</v>
      </c>
      <c r="AX382" s="2" t="s">
        <v>4747</v>
      </c>
      <c r="AY382" s="2" t="s">
        <v>4748</v>
      </c>
      <c r="AZ382" s="2" t="s">
        <v>4748</v>
      </c>
      <c r="BA382" s="2" t="s">
        <v>4749</v>
      </c>
      <c r="BB382" s="2" t="s">
        <v>21</v>
      </c>
      <c r="BE382" s="2" t="s">
        <v>4750</v>
      </c>
      <c r="BF382" s="2" t="s">
        <v>4751</v>
      </c>
    </row>
    <row r="383" spans="1:58" ht="41.25" customHeight="1" x14ac:dyDescent="0.25">
      <c r="A383" s="8" t="s">
        <v>5</v>
      </c>
      <c r="B383" s="1" t="s">
        <v>0</v>
      </c>
      <c r="C383" s="1" t="s">
        <v>1</v>
      </c>
      <c r="D383" s="1" t="s">
        <v>4752</v>
      </c>
      <c r="E383" s="1" t="s">
        <v>4753</v>
      </c>
      <c r="F383" s="1" t="s">
        <v>4754</v>
      </c>
      <c r="H383" s="2" t="s">
        <v>5</v>
      </c>
      <c r="I383" s="2" t="s">
        <v>6</v>
      </c>
      <c r="J383" s="2" t="s">
        <v>5</v>
      </c>
      <c r="K383" s="2" t="s">
        <v>16</v>
      </c>
      <c r="L383" s="2" t="s">
        <v>7</v>
      </c>
      <c r="M383" s="1" t="s">
        <v>4755</v>
      </c>
      <c r="N383" s="1" t="s">
        <v>4756</v>
      </c>
      <c r="O383" s="2" t="s">
        <v>939</v>
      </c>
      <c r="Q383" s="2" t="s">
        <v>11</v>
      </c>
      <c r="R383" s="2" t="s">
        <v>426</v>
      </c>
      <c r="T383" s="2" t="s">
        <v>520</v>
      </c>
      <c r="U383" s="3">
        <v>6</v>
      </c>
      <c r="V383" s="3">
        <v>6</v>
      </c>
      <c r="W383" s="4" t="s">
        <v>4757</v>
      </c>
      <c r="X383" s="4" t="s">
        <v>4757</v>
      </c>
      <c r="Y383" s="4" t="s">
        <v>4758</v>
      </c>
      <c r="Z383" s="4" t="s">
        <v>4758</v>
      </c>
      <c r="AA383" s="3">
        <v>71</v>
      </c>
      <c r="AB383" s="3">
        <v>67</v>
      </c>
      <c r="AC383" s="3">
        <v>458</v>
      </c>
      <c r="AD383" s="3">
        <v>1</v>
      </c>
      <c r="AE383" s="3">
        <v>3</v>
      </c>
      <c r="AF383" s="3">
        <v>4</v>
      </c>
      <c r="AG383" s="3">
        <v>15</v>
      </c>
      <c r="AH383" s="3">
        <v>1</v>
      </c>
      <c r="AI383" s="3">
        <v>5</v>
      </c>
      <c r="AJ383" s="3">
        <v>1</v>
      </c>
      <c r="AK383" s="3">
        <v>4</v>
      </c>
      <c r="AL383" s="3">
        <v>4</v>
      </c>
      <c r="AM383" s="3">
        <v>7</v>
      </c>
      <c r="AN383" s="3">
        <v>0</v>
      </c>
      <c r="AO383" s="3">
        <v>2</v>
      </c>
      <c r="AP383" s="3">
        <v>0</v>
      </c>
      <c r="AQ383" s="3">
        <v>0</v>
      </c>
      <c r="AR383" s="2" t="s">
        <v>5</v>
      </c>
      <c r="AS383" s="2" t="s">
        <v>16</v>
      </c>
      <c r="AT383" s="5" t="str">
        <f>HYPERLINK("http://catalog.hathitrust.org/Record/002453052","HathiTrust Record")</f>
        <v>HathiTrust Record</v>
      </c>
      <c r="AU383" s="5" t="str">
        <f>HYPERLINK("https://creighton-primo.hosted.exlibrisgroup.com/primo-explore/search?tab=default_tab&amp;search_scope=EVERYTHING&amp;vid=01CRU&amp;lang=en_US&amp;offset=0&amp;query=any,contains,991001187639702656","Catalog Record")</f>
        <v>Catalog Record</v>
      </c>
      <c r="AV383" s="5" t="str">
        <f>HYPERLINK("http://www.worldcat.org/oclc/16464959","WorldCat Record")</f>
        <v>WorldCat Record</v>
      </c>
      <c r="AW383" s="2" t="s">
        <v>4759</v>
      </c>
      <c r="AX383" s="2" t="s">
        <v>4760</v>
      </c>
      <c r="AY383" s="2" t="s">
        <v>4761</v>
      </c>
      <c r="AZ383" s="2" t="s">
        <v>4761</v>
      </c>
      <c r="BA383" s="2" t="s">
        <v>4762</v>
      </c>
      <c r="BB383" s="2" t="s">
        <v>21</v>
      </c>
      <c r="BD383" s="2" t="s">
        <v>4763</v>
      </c>
      <c r="BE383" s="2" t="s">
        <v>4764</v>
      </c>
      <c r="BF383" s="2" t="s">
        <v>4765</v>
      </c>
    </row>
    <row r="384" spans="1:58" ht="41.25" customHeight="1" x14ac:dyDescent="0.25">
      <c r="A384" s="8" t="s">
        <v>5</v>
      </c>
      <c r="B384" s="1" t="s">
        <v>0</v>
      </c>
      <c r="C384" s="1" t="s">
        <v>1</v>
      </c>
      <c r="D384" s="1" t="s">
        <v>4766</v>
      </c>
      <c r="E384" s="1" t="s">
        <v>4767</v>
      </c>
      <c r="F384" s="1" t="s">
        <v>4768</v>
      </c>
      <c r="H384" s="2" t="s">
        <v>5</v>
      </c>
      <c r="I384" s="2" t="s">
        <v>6</v>
      </c>
      <c r="J384" s="2" t="s">
        <v>5</v>
      </c>
      <c r="K384" s="2" t="s">
        <v>5</v>
      </c>
      <c r="L384" s="2" t="s">
        <v>7</v>
      </c>
      <c r="M384" s="1" t="s">
        <v>4769</v>
      </c>
      <c r="N384" s="1" t="s">
        <v>4770</v>
      </c>
      <c r="O384" s="2" t="s">
        <v>62</v>
      </c>
      <c r="Q384" s="2" t="s">
        <v>11</v>
      </c>
      <c r="R384" s="2" t="s">
        <v>426</v>
      </c>
      <c r="T384" s="2" t="s">
        <v>520</v>
      </c>
      <c r="U384" s="3">
        <v>4</v>
      </c>
      <c r="V384" s="3">
        <v>4</v>
      </c>
      <c r="W384" s="4" t="s">
        <v>4771</v>
      </c>
      <c r="X384" s="4" t="s">
        <v>4771</v>
      </c>
      <c r="Y384" s="4" t="s">
        <v>168</v>
      </c>
      <c r="Z384" s="4" t="s">
        <v>168</v>
      </c>
      <c r="AA384" s="3">
        <v>212</v>
      </c>
      <c r="AB384" s="3">
        <v>168</v>
      </c>
      <c r="AC384" s="3">
        <v>170</v>
      </c>
      <c r="AD384" s="3">
        <v>4</v>
      </c>
      <c r="AE384" s="3">
        <v>4</v>
      </c>
      <c r="AF384" s="3">
        <v>11</v>
      </c>
      <c r="AG384" s="3">
        <v>11</v>
      </c>
      <c r="AH384" s="3">
        <v>3</v>
      </c>
      <c r="AI384" s="3">
        <v>3</v>
      </c>
      <c r="AJ384" s="3">
        <v>2</v>
      </c>
      <c r="AK384" s="3">
        <v>2</v>
      </c>
      <c r="AL384" s="3">
        <v>6</v>
      </c>
      <c r="AM384" s="3">
        <v>6</v>
      </c>
      <c r="AN384" s="3">
        <v>2</v>
      </c>
      <c r="AO384" s="3">
        <v>2</v>
      </c>
      <c r="AP384" s="3">
        <v>0</v>
      </c>
      <c r="AQ384" s="3">
        <v>0</v>
      </c>
      <c r="AR384" s="2" t="s">
        <v>5</v>
      </c>
      <c r="AS384" s="2" t="s">
        <v>16</v>
      </c>
      <c r="AT384" s="5" t="str">
        <f>HYPERLINK("http://catalog.hathitrust.org/Record/000217617","HathiTrust Record")</f>
        <v>HathiTrust Record</v>
      </c>
      <c r="AU384" s="5" t="str">
        <f>HYPERLINK("https://creighton-primo.hosted.exlibrisgroup.com/primo-explore/search?tab=default_tab&amp;search_scope=EVERYTHING&amp;vid=01CRU&amp;lang=en_US&amp;offset=0&amp;query=any,contains,991000923139702656","Catalog Record")</f>
        <v>Catalog Record</v>
      </c>
      <c r="AV384" s="5" t="str">
        <f>HYPERLINK("http://www.worldcat.org/oclc/4269531","WorldCat Record")</f>
        <v>WorldCat Record</v>
      </c>
      <c r="AW384" s="2" t="s">
        <v>4772</v>
      </c>
      <c r="AX384" s="2" t="s">
        <v>4773</v>
      </c>
      <c r="AY384" s="2" t="s">
        <v>4774</v>
      </c>
      <c r="AZ384" s="2" t="s">
        <v>4774</v>
      </c>
      <c r="BA384" s="2" t="s">
        <v>4775</v>
      </c>
      <c r="BB384" s="2" t="s">
        <v>21</v>
      </c>
      <c r="BD384" s="2" t="s">
        <v>4776</v>
      </c>
      <c r="BE384" s="2" t="s">
        <v>4777</v>
      </c>
      <c r="BF384" s="2" t="s">
        <v>4778</v>
      </c>
    </row>
    <row r="385" spans="1:58" ht="41.25" customHeight="1" x14ac:dyDescent="0.25">
      <c r="A385" s="8" t="s">
        <v>5</v>
      </c>
      <c r="B385" s="1" t="s">
        <v>0</v>
      </c>
      <c r="C385" s="1" t="s">
        <v>1</v>
      </c>
      <c r="D385" s="1" t="s">
        <v>4779</v>
      </c>
      <c r="E385" s="1" t="s">
        <v>4780</v>
      </c>
      <c r="F385" s="1" t="s">
        <v>4781</v>
      </c>
      <c r="H385" s="2" t="s">
        <v>5</v>
      </c>
      <c r="I385" s="2" t="s">
        <v>6</v>
      </c>
      <c r="J385" s="2" t="s">
        <v>5</v>
      </c>
      <c r="K385" s="2" t="s">
        <v>5</v>
      </c>
      <c r="L385" s="2" t="s">
        <v>7</v>
      </c>
      <c r="N385" s="1" t="s">
        <v>4782</v>
      </c>
      <c r="O385" s="2" t="s">
        <v>1283</v>
      </c>
      <c r="Q385" s="2" t="s">
        <v>11</v>
      </c>
      <c r="R385" s="2" t="s">
        <v>1325</v>
      </c>
      <c r="S385" s="1" t="s">
        <v>4783</v>
      </c>
      <c r="T385" s="2" t="s">
        <v>520</v>
      </c>
      <c r="U385" s="3">
        <v>2</v>
      </c>
      <c r="V385" s="3">
        <v>2</v>
      </c>
      <c r="W385" s="4" t="s">
        <v>4784</v>
      </c>
      <c r="X385" s="4" t="s">
        <v>4784</v>
      </c>
      <c r="Y385" s="4" t="s">
        <v>4784</v>
      </c>
      <c r="Z385" s="4" t="s">
        <v>4784</v>
      </c>
      <c r="AA385" s="3">
        <v>141</v>
      </c>
      <c r="AB385" s="3">
        <v>138</v>
      </c>
      <c r="AC385" s="3">
        <v>140</v>
      </c>
      <c r="AD385" s="3">
        <v>2</v>
      </c>
      <c r="AE385" s="3">
        <v>2</v>
      </c>
      <c r="AF385" s="3">
        <v>9</v>
      </c>
      <c r="AG385" s="3">
        <v>9</v>
      </c>
      <c r="AH385" s="3">
        <v>3</v>
      </c>
      <c r="AI385" s="3">
        <v>3</v>
      </c>
      <c r="AJ385" s="3">
        <v>2</v>
      </c>
      <c r="AK385" s="3">
        <v>2</v>
      </c>
      <c r="AL385" s="3">
        <v>4</v>
      </c>
      <c r="AM385" s="3">
        <v>4</v>
      </c>
      <c r="AN385" s="3">
        <v>0</v>
      </c>
      <c r="AO385" s="3">
        <v>0</v>
      </c>
      <c r="AP385" s="3">
        <v>0</v>
      </c>
      <c r="AQ385" s="3">
        <v>0</v>
      </c>
      <c r="AR385" s="2" t="s">
        <v>5</v>
      </c>
      <c r="AS385" s="2" t="s">
        <v>16</v>
      </c>
      <c r="AT385" s="5" t="str">
        <f>HYPERLINK("http://catalog.hathitrust.org/Record/003245104","HathiTrust Record")</f>
        <v>HathiTrust Record</v>
      </c>
      <c r="AU385" s="5" t="str">
        <f>HYPERLINK("https://creighton-primo.hosted.exlibrisgroup.com/primo-explore/search?tab=default_tab&amp;search_scope=EVERYTHING&amp;vid=01CRU&amp;lang=en_US&amp;offset=0&amp;query=any,contains,991001562279702656","Catalog Record")</f>
        <v>Catalog Record</v>
      </c>
      <c r="AV385" s="5" t="str">
        <f>HYPERLINK("http://www.worldcat.org/oclc/38005355","WorldCat Record")</f>
        <v>WorldCat Record</v>
      </c>
      <c r="AW385" s="2" t="s">
        <v>4785</v>
      </c>
      <c r="AX385" s="2" t="s">
        <v>4786</v>
      </c>
      <c r="AY385" s="2" t="s">
        <v>4787</v>
      </c>
      <c r="AZ385" s="2" t="s">
        <v>4787</v>
      </c>
      <c r="BA385" s="2" t="s">
        <v>4788</v>
      </c>
      <c r="BB385" s="2" t="s">
        <v>21</v>
      </c>
      <c r="BD385" s="2" t="s">
        <v>4789</v>
      </c>
      <c r="BE385" s="2" t="s">
        <v>4790</v>
      </c>
      <c r="BF385" s="2" t="s">
        <v>4791</v>
      </c>
    </row>
    <row r="386" spans="1:58" ht="41.25" customHeight="1" x14ac:dyDescent="0.25">
      <c r="A386" s="8" t="s">
        <v>5</v>
      </c>
      <c r="B386" s="1" t="s">
        <v>0</v>
      </c>
      <c r="C386" s="1" t="s">
        <v>1</v>
      </c>
      <c r="D386" s="1" t="s">
        <v>4792</v>
      </c>
      <c r="E386" s="1" t="s">
        <v>4793</v>
      </c>
      <c r="F386" s="1" t="s">
        <v>4794</v>
      </c>
      <c r="H386" s="2" t="s">
        <v>5</v>
      </c>
      <c r="I386" s="2" t="s">
        <v>6</v>
      </c>
      <c r="J386" s="2" t="s">
        <v>5</v>
      </c>
      <c r="K386" s="2" t="s">
        <v>5</v>
      </c>
      <c r="L386" s="2" t="s">
        <v>7</v>
      </c>
      <c r="N386" s="1" t="s">
        <v>3780</v>
      </c>
      <c r="O386" s="2" t="s">
        <v>382</v>
      </c>
      <c r="Q386" s="2" t="s">
        <v>11</v>
      </c>
      <c r="R386" s="2" t="s">
        <v>12</v>
      </c>
      <c r="S386" s="1" t="s">
        <v>4795</v>
      </c>
      <c r="T386" s="2" t="s">
        <v>520</v>
      </c>
      <c r="U386" s="3">
        <v>3</v>
      </c>
      <c r="V386" s="3">
        <v>3</v>
      </c>
      <c r="W386" s="4" t="s">
        <v>3072</v>
      </c>
      <c r="X386" s="4" t="s">
        <v>3072</v>
      </c>
      <c r="Y386" s="4" t="s">
        <v>1249</v>
      </c>
      <c r="Z386" s="4" t="s">
        <v>1249</v>
      </c>
      <c r="AA386" s="3">
        <v>116</v>
      </c>
      <c r="AB386" s="3">
        <v>101</v>
      </c>
      <c r="AC386" s="3">
        <v>103</v>
      </c>
      <c r="AD386" s="3">
        <v>1</v>
      </c>
      <c r="AE386" s="3">
        <v>1</v>
      </c>
      <c r="AF386" s="3">
        <v>6</v>
      </c>
      <c r="AG386" s="3">
        <v>6</v>
      </c>
      <c r="AH386" s="3">
        <v>1</v>
      </c>
      <c r="AI386" s="3">
        <v>1</v>
      </c>
      <c r="AJ386" s="3">
        <v>2</v>
      </c>
      <c r="AK386" s="3">
        <v>2</v>
      </c>
      <c r="AL386" s="3">
        <v>4</v>
      </c>
      <c r="AM386" s="3">
        <v>4</v>
      </c>
      <c r="AN386" s="3">
        <v>0</v>
      </c>
      <c r="AO386" s="3">
        <v>0</v>
      </c>
      <c r="AP386" s="3">
        <v>0</v>
      </c>
      <c r="AQ386" s="3">
        <v>0</v>
      </c>
      <c r="AR386" s="2" t="s">
        <v>5</v>
      </c>
      <c r="AS386" s="2" t="s">
        <v>16</v>
      </c>
      <c r="AT386" s="5" t="str">
        <f>HYPERLINK("http://catalog.hathitrust.org/Record/002508242","HathiTrust Record")</f>
        <v>HathiTrust Record</v>
      </c>
      <c r="AU386" s="5" t="str">
        <f>HYPERLINK("https://creighton-primo.hosted.exlibrisgroup.com/primo-explore/search?tab=default_tab&amp;search_scope=EVERYTHING&amp;vid=01CRU&amp;lang=en_US&amp;offset=0&amp;query=any,contains,991001383009702656","Catalog Record")</f>
        <v>Catalog Record</v>
      </c>
      <c r="AV386" s="5" t="str">
        <f>HYPERLINK("http://www.worldcat.org/oclc/12548666","WorldCat Record")</f>
        <v>WorldCat Record</v>
      </c>
      <c r="AW386" s="2" t="s">
        <v>4796</v>
      </c>
      <c r="AX386" s="2" t="s">
        <v>4797</v>
      </c>
      <c r="AY386" s="2" t="s">
        <v>4798</v>
      </c>
      <c r="AZ386" s="2" t="s">
        <v>4798</v>
      </c>
      <c r="BA386" s="2" t="s">
        <v>4799</v>
      </c>
      <c r="BB386" s="2" t="s">
        <v>21</v>
      </c>
      <c r="BD386" s="2" t="s">
        <v>4800</v>
      </c>
      <c r="BE386" s="2" t="s">
        <v>4801</v>
      </c>
      <c r="BF386" s="2" t="s">
        <v>4802</v>
      </c>
    </row>
    <row r="387" spans="1:58" ht="41.25" customHeight="1" x14ac:dyDescent="0.25">
      <c r="A387" s="8" t="s">
        <v>5</v>
      </c>
      <c r="B387" s="1" t="s">
        <v>0</v>
      </c>
      <c r="C387" s="1" t="s">
        <v>1</v>
      </c>
      <c r="D387" s="1" t="s">
        <v>4803</v>
      </c>
      <c r="E387" s="1" t="s">
        <v>4804</v>
      </c>
      <c r="F387" s="1" t="s">
        <v>4805</v>
      </c>
      <c r="H387" s="2" t="s">
        <v>5</v>
      </c>
      <c r="I387" s="2" t="s">
        <v>6</v>
      </c>
      <c r="J387" s="2" t="s">
        <v>5</v>
      </c>
      <c r="K387" s="2" t="s">
        <v>5</v>
      </c>
      <c r="L387" s="2" t="s">
        <v>7</v>
      </c>
      <c r="N387" s="1" t="s">
        <v>1985</v>
      </c>
      <c r="O387" s="2" t="s">
        <v>92</v>
      </c>
      <c r="Q387" s="2" t="s">
        <v>11</v>
      </c>
      <c r="R387" s="2" t="s">
        <v>12</v>
      </c>
      <c r="S387" s="1" t="s">
        <v>4806</v>
      </c>
      <c r="T387" s="2" t="s">
        <v>520</v>
      </c>
      <c r="U387" s="3">
        <v>3</v>
      </c>
      <c r="V387" s="3">
        <v>3</v>
      </c>
      <c r="W387" s="4" t="s">
        <v>1104</v>
      </c>
      <c r="X387" s="4" t="s">
        <v>1104</v>
      </c>
      <c r="Y387" s="4" t="s">
        <v>124</v>
      </c>
      <c r="Z387" s="4" t="s">
        <v>124</v>
      </c>
      <c r="AA387" s="3">
        <v>100</v>
      </c>
      <c r="AB387" s="3">
        <v>85</v>
      </c>
      <c r="AC387" s="3">
        <v>87</v>
      </c>
      <c r="AD387" s="3">
        <v>2</v>
      </c>
      <c r="AE387" s="3">
        <v>2</v>
      </c>
      <c r="AF387" s="3">
        <v>3</v>
      </c>
      <c r="AG387" s="3">
        <v>3</v>
      </c>
      <c r="AH387" s="3">
        <v>1</v>
      </c>
      <c r="AI387" s="3">
        <v>1</v>
      </c>
      <c r="AJ387" s="3">
        <v>0</v>
      </c>
      <c r="AK387" s="3">
        <v>0</v>
      </c>
      <c r="AL387" s="3">
        <v>1</v>
      </c>
      <c r="AM387" s="3">
        <v>1</v>
      </c>
      <c r="AN387" s="3">
        <v>1</v>
      </c>
      <c r="AO387" s="3">
        <v>1</v>
      </c>
      <c r="AP387" s="3">
        <v>0</v>
      </c>
      <c r="AQ387" s="3">
        <v>0</v>
      </c>
      <c r="AR387" s="2" t="s">
        <v>5</v>
      </c>
      <c r="AS387" s="2" t="s">
        <v>16</v>
      </c>
      <c r="AT387" s="5" t="str">
        <f>HYPERLINK("http://catalog.hathitrust.org/Record/000721399","HathiTrust Record")</f>
        <v>HathiTrust Record</v>
      </c>
      <c r="AU387" s="5" t="str">
        <f>HYPERLINK("https://creighton-primo.hosted.exlibrisgroup.com/primo-explore/search?tab=default_tab&amp;search_scope=EVERYTHING&amp;vid=01CRU&amp;lang=en_US&amp;offset=0&amp;query=any,contains,991001370009702656","Catalog Record")</f>
        <v>Catalog Record</v>
      </c>
      <c r="AV387" s="5" t="str">
        <f>HYPERLINK("http://www.worldcat.org/oclc/2371292","WorldCat Record")</f>
        <v>WorldCat Record</v>
      </c>
      <c r="AW387" s="2" t="s">
        <v>4807</v>
      </c>
      <c r="AX387" s="2" t="s">
        <v>4808</v>
      </c>
      <c r="AY387" s="2" t="s">
        <v>4809</v>
      </c>
      <c r="AZ387" s="2" t="s">
        <v>4809</v>
      </c>
      <c r="BA387" s="2" t="s">
        <v>4810</v>
      </c>
      <c r="BB387" s="2" t="s">
        <v>21</v>
      </c>
      <c r="BE387" s="2" t="s">
        <v>4811</v>
      </c>
      <c r="BF387" s="2" t="s">
        <v>4812</v>
      </c>
    </row>
    <row r="388" spans="1:58" ht="41.25" customHeight="1" x14ac:dyDescent="0.25">
      <c r="A388" s="8" t="s">
        <v>5</v>
      </c>
      <c r="B388" s="1" t="s">
        <v>0</v>
      </c>
      <c r="C388" s="1" t="s">
        <v>1</v>
      </c>
      <c r="D388" s="1" t="s">
        <v>4813</v>
      </c>
      <c r="E388" s="1" t="s">
        <v>4814</v>
      </c>
      <c r="F388" s="1" t="s">
        <v>4815</v>
      </c>
      <c r="H388" s="2" t="s">
        <v>5</v>
      </c>
      <c r="I388" s="2" t="s">
        <v>6</v>
      </c>
      <c r="J388" s="2" t="s">
        <v>5</v>
      </c>
      <c r="K388" s="2" t="s">
        <v>5</v>
      </c>
      <c r="L388" s="2" t="s">
        <v>6</v>
      </c>
      <c r="N388" s="1" t="s">
        <v>4816</v>
      </c>
      <c r="O388" s="2" t="s">
        <v>107</v>
      </c>
      <c r="Q388" s="2" t="s">
        <v>11</v>
      </c>
      <c r="R388" s="2" t="s">
        <v>12</v>
      </c>
      <c r="T388" s="2" t="s">
        <v>520</v>
      </c>
      <c r="U388" s="3">
        <v>4</v>
      </c>
      <c r="V388" s="3">
        <v>4</v>
      </c>
      <c r="W388" s="4" t="s">
        <v>4817</v>
      </c>
      <c r="X388" s="4" t="s">
        <v>4817</v>
      </c>
      <c r="Y388" s="4" t="s">
        <v>1353</v>
      </c>
      <c r="Z388" s="4" t="s">
        <v>1353</v>
      </c>
      <c r="AA388" s="3">
        <v>480</v>
      </c>
      <c r="AB388" s="3">
        <v>395</v>
      </c>
      <c r="AC388" s="3">
        <v>1282</v>
      </c>
      <c r="AD388" s="3">
        <v>8</v>
      </c>
      <c r="AE388" s="3">
        <v>16</v>
      </c>
      <c r="AF388" s="3">
        <v>28</v>
      </c>
      <c r="AG388" s="3">
        <v>59</v>
      </c>
      <c r="AH388" s="3">
        <v>9</v>
      </c>
      <c r="AI388" s="3">
        <v>20</v>
      </c>
      <c r="AJ388" s="3">
        <v>6</v>
      </c>
      <c r="AK388" s="3">
        <v>13</v>
      </c>
      <c r="AL388" s="3">
        <v>11</v>
      </c>
      <c r="AM388" s="3">
        <v>21</v>
      </c>
      <c r="AN388" s="3">
        <v>7</v>
      </c>
      <c r="AO388" s="3">
        <v>14</v>
      </c>
      <c r="AP388" s="3">
        <v>0</v>
      </c>
      <c r="AQ388" s="3">
        <v>2</v>
      </c>
      <c r="AR388" s="2" t="s">
        <v>5</v>
      </c>
      <c r="AS388" s="2" t="s">
        <v>5</v>
      </c>
      <c r="AU388" s="5" t="str">
        <f>HYPERLINK("https://creighton-primo.hosted.exlibrisgroup.com/primo-explore/search?tab=default_tab&amp;search_scope=EVERYTHING&amp;vid=01CRU&amp;lang=en_US&amp;offset=0&amp;query=any,contains,991000575359702656","Catalog Record")</f>
        <v>Catalog Record</v>
      </c>
      <c r="AV388" s="5" t="str">
        <f>HYPERLINK("http://www.worldcat.org/oclc/61240558","WorldCat Record")</f>
        <v>WorldCat Record</v>
      </c>
      <c r="AW388" s="2" t="s">
        <v>4818</v>
      </c>
      <c r="AX388" s="2" t="s">
        <v>4819</v>
      </c>
      <c r="AY388" s="2" t="s">
        <v>4820</v>
      </c>
      <c r="AZ388" s="2" t="s">
        <v>4820</v>
      </c>
      <c r="BA388" s="2" t="s">
        <v>4821</v>
      </c>
      <c r="BB388" s="2" t="s">
        <v>21</v>
      </c>
      <c r="BD388" s="2" t="s">
        <v>4822</v>
      </c>
      <c r="BE388" s="2" t="s">
        <v>4823</v>
      </c>
      <c r="BF388" s="2" t="s">
        <v>4824</v>
      </c>
    </row>
    <row r="389" spans="1:58" ht="41.25" customHeight="1" x14ac:dyDescent="0.25">
      <c r="A389" s="8" t="s">
        <v>5</v>
      </c>
      <c r="B389" s="1" t="s">
        <v>0</v>
      </c>
      <c r="C389" s="1" t="s">
        <v>1</v>
      </c>
      <c r="D389" s="1" t="s">
        <v>4825</v>
      </c>
      <c r="E389" s="1" t="s">
        <v>4826</v>
      </c>
      <c r="F389" s="1" t="s">
        <v>4827</v>
      </c>
      <c r="H389" s="2" t="s">
        <v>5</v>
      </c>
      <c r="I389" s="2" t="s">
        <v>6</v>
      </c>
      <c r="J389" s="2" t="s">
        <v>5</v>
      </c>
      <c r="K389" s="2" t="s">
        <v>5</v>
      </c>
      <c r="L389" s="2" t="s">
        <v>7</v>
      </c>
      <c r="N389" s="1" t="s">
        <v>4828</v>
      </c>
      <c r="O389" s="2" t="s">
        <v>1283</v>
      </c>
      <c r="Q389" s="2" t="s">
        <v>11</v>
      </c>
      <c r="R389" s="2" t="s">
        <v>12</v>
      </c>
      <c r="S389" s="1" t="s">
        <v>4829</v>
      </c>
      <c r="T389" s="2" t="s">
        <v>520</v>
      </c>
      <c r="U389" s="3">
        <v>1</v>
      </c>
      <c r="V389" s="3">
        <v>1</v>
      </c>
      <c r="W389" s="4" t="s">
        <v>4830</v>
      </c>
      <c r="X389" s="4" t="s">
        <v>4830</v>
      </c>
      <c r="Y389" s="4" t="s">
        <v>4830</v>
      </c>
      <c r="Z389" s="4" t="s">
        <v>4830</v>
      </c>
      <c r="AA389" s="3">
        <v>249</v>
      </c>
      <c r="AB389" s="3">
        <v>230</v>
      </c>
      <c r="AC389" s="3">
        <v>281</v>
      </c>
      <c r="AD389" s="3">
        <v>2</v>
      </c>
      <c r="AE389" s="3">
        <v>2</v>
      </c>
      <c r="AF389" s="3">
        <v>10</v>
      </c>
      <c r="AG389" s="3">
        <v>12</v>
      </c>
      <c r="AH389" s="3">
        <v>2</v>
      </c>
      <c r="AI389" s="3">
        <v>4</v>
      </c>
      <c r="AJ389" s="3">
        <v>4</v>
      </c>
      <c r="AK389" s="3">
        <v>4</v>
      </c>
      <c r="AL389" s="3">
        <v>6</v>
      </c>
      <c r="AM389" s="3">
        <v>7</v>
      </c>
      <c r="AN389" s="3">
        <v>0</v>
      </c>
      <c r="AO389" s="3">
        <v>0</v>
      </c>
      <c r="AP389" s="3">
        <v>0</v>
      </c>
      <c r="AQ389" s="3">
        <v>0</v>
      </c>
      <c r="AR389" s="2" t="s">
        <v>5</v>
      </c>
      <c r="AS389" s="2" t="s">
        <v>16</v>
      </c>
      <c r="AT389" s="5" t="str">
        <f>HYPERLINK("http://catalog.hathitrust.org/Record/003165729","HathiTrust Record")</f>
        <v>HathiTrust Record</v>
      </c>
      <c r="AU389" s="5" t="str">
        <f>HYPERLINK("https://creighton-primo.hosted.exlibrisgroup.com/primo-explore/search?tab=default_tab&amp;search_scope=EVERYTHING&amp;vid=01CRU&amp;lang=en_US&amp;offset=0&amp;query=any,contains,991001066669702656","Catalog Record")</f>
        <v>Catalog Record</v>
      </c>
      <c r="AV389" s="5" t="str">
        <f>HYPERLINK("http://www.worldcat.org/oclc/36501409","WorldCat Record")</f>
        <v>WorldCat Record</v>
      </c>
      <c r="AW389" s="2" t="s">
        <v>4831</v>
      </c>
      <c r="AX389" s="2" t="s">
        <v>4832</v>
      </c>
      <c r="AY389" s="2" t="s">
        <v>4833</v>
      </c>
      <c r="AZ389" s="2" t="s">
        <v>4833</v>
      </c>
      <c r="BA389" s="2" t="s">
        <v>4834</v>
      </c>
      <c r="BB389" s="2" t="s">
        <v>21</v>
      </c>
      <c r="BD389" s="2" t="s">
        <v>4835</v>
      </c>
      <c r="BE389" s="2" t="s">
        <v>4836</v>
      </c>
      <c r="BF389" s="2" t="s">
        <v>4837</v>
      </c>
    </row>
    <row r="390" spans="1:58" ht="41.25" customHeight="1" x14ac:dyDescent="0.25">
      <c r="A390" s="8" t="s">
        <v>5</v>
      </c>
      <c r="B390" s="1" t="s">
        <v>0</v>
      </c>
      <c r="C390" s="1" t="s">
        <v>1</v>
      </c>
      <c r="D390" s="1" t="s">
        <v>4838</v>
      </c>
      <c r="E390" s="1" t="s">
        <v>4839</v>
      </c>
      <c r="F390" s="1" t="s">
        <v>4840</v>
      </c>
      <c r="H390" s="2" t="s">
        <v>5</v>
      </c>
      <c r="I390" s="2" t="s">
        <v>6</v>
      </c>
      <c r="J390" s="2" t="s">
        <v>5</v>
      </c>
      <c r="K390" s="2" t="s">
        <v>5</v>
      </c>
      <c r="L390" s="2" t="s">
        <v>7</v>
      </c>
      <c r="N390" s="1" t="s">
        <v>3402</v>
      </c>
      <c r="O390" s="2" t="s">
        <v>151</v>
      </c>
      <c r="Q390" s="2" t="s">
        <v>11</v>
      </c>
      <c r="R390" s="2" t="s">
        <v>12</v>
      </c>
      <c r="S390" s="1" t="s">
        <v>4841</v>
      </c>
      <c r="T390" s="2" t="s">
        <v>520</v>
      </c>
      <c r="U390" s="3">
        <v>2</v>
      </c>
      <c r="V390" s="3">
        <v>2</v>
      </c>
      <c r="W390" s="4" t="s">
        <v>4842</v>
      </c>
      <c r="X390" s="4" t="s">
        <v>4842</v>
      </c>
      <c r="Y390" s="4" t="s">
        <v>2632</v>
      </c>
      <c r="Z390" s="4" t="s">
        <v>2632</v>
      </c>
      <c r="AA390" s="3">
        <v>80</v>
      </c>
      <c r="AB390" s="3">
        <v>71</v>
      </c>
      <c r="AC390" s="3">
        <v>73</v>
      </c>
      <c r="AD390" s="3">
        <v>4</v>
      </c>
      <c r="AE390" s="3">
        <v>4</v>
      </c>
      <c r="AF390" s="3">
        <v>3</v>
      </c>
      <c r="AG390" s="3">
        <v>3</v>
      </c>
      <c r="AH390" s="3">
        <v>0</v>
      </c>
      <c r="AI390" s="3">
        <v>0</v>
      </c>
      <c r="AJ390" s="3">
        <v>0</v>
      </c>
      <c r="AK390" s="3">
        <v>0</v>
      </c>
      <c r="AL390" s="3">
        <v>2</v>
      </c>
      <c r="AM390" s="3">
        <v>2</v>
      </c>
      <c r="AN390" s="3">
        <v>1</v>
      </c>
      <c r="AO390" s="3">
        <v>1</v>
      </c>
      <c r="AP390" s="3">
        <v>0</v>
      </c>
      <c r="AQ390" s="3">
        <v>0</v>
      </c>
      <c r="AR390" s="2" t="s">
        <v>5</v>
      </c>
      <c r="AS390" s="2" t="s">
        <v>16</v>
      </c>
      <c r="AT390" s="5" t="str">
        <f>HYPERLINK("http://catalog.hathitrust.org/Record/000703373","HathiTrust Record")</f>
        <v>HathiTrust Record</v>
      </c>
      <c r="AU390" s="5" t="str">
        <f>HYPERLINK("https://creighton-primo.hosted.exlibrisgroup.com/primo-explore/search?tab=default_tab&amp;search_scope=EVERYTHING&amp;vid=01CRU&amp;lang=en_US&amp;offset=0&amp;query=any,contains,991001387819702656","Catalog Record")</f>
        <v>Catalog Record</v>
      </c>
      <c r="AV390" s="5" t="str">
        <f>HYPERLINK("http://www.worldcat.org/oclc/1882086","WorldCat Record")</f>
        <v>WorldCat Record</v>
      </c>
      <c r="AW390" s="2" t="s">
        <v>4843</v>
      </c>
      <c r="AX390" s="2" t="s">
        <v>4844</v>
      </c>
      <c r="AY390" s="2" t="s">
        <v>4845</v>
      </c>
      <c r="AZ390" s="2" t="s">
        <v>4845</v>
      </c>
      <c r="BA390" s="2" t="s">
        <v>4846</v>
      </c>
      <c r="BB390" s="2" t="s">
        <v>21</v>
      </c>
      <c r="BE390" s="2" t="s">
        <v>4847</v>
      </c>
      <c r="BF390" s="2" t="s">
        <v>4848</v>
      </c>
    </row>
    <row r="391" spans="1:58" ht="41.25" customHeight="1" x14ac:dyDescent="0.25">
      <c r="A391" s="8" t="s">
        <v>5</v>
      </c>
      <c r="B391" s="1" t="s">
        <v>0</v>
      </c>
      <c r="C391" s="1" t="s">
        <v>1</v>
      </c>
      <c r="D391" s="1" t="s">
        <v>4849</v>
      </c>
      <c r="E391" s="1" t="s">
        <v>4850</v>
      </c>
      <c r="F391" s="1" t="s">
        <v>4851</v>
      </c>
      <c r="H391" s="2" t="s">
        <v>5</v>
      </c>
      <c r="I391" s="2" t="s">
        <v>6</v>
      </c>
      <c r="J391" s="2" t="s">
        <v>5</v>
      </c>
      <c r="K391" s="2" t="s">
        <v>5</v>
      </c>
      <c r="L391" s="2" t="s">
        <v>7</v>
      </c>
      <c r="N391" s="1" t="s">
        <v>4852</v>
      </c>
      <c r="O391" s="2" t="s">
        <v>4853</v>
      </c>
      <c r="Q391" s="2" t="s">
        <v>11</v>
      </c>
      <c r="R391" s="2" t="s">
        <v>12</v>
      </c>
      <c r="S391" s="1" t="s">
        <v>4854</v>
      </c>
      <c r="T391" s="2" t="s">
        <v>520</v>
      </c>
      <c r="U391" s="3">
        <v>1</v>
      </c>
      <c r="V391" s="3">
        <v>1</v>
      </c>
      <c r="W391" s="4" t="s">
        <v>1443</v>
      </c>
      <c r="X391" s="4" t="s">
        <v>1443</v>
      </c>
      <c r="Y391" s="4" t="s">
        <v>1591</v>
      </c>
      <c r="Z391" s="4" t="s">
        <v>1591</v>
      </c>
      <c r="AA391" s="3">
        <v>11</v>
      </c>
      <c r="AB391" s="3">
        <v>8</v>
      </c>
      <c r="AC391" s="3">
        <v>8</v>
      </c>
      <c r="AD391" s="3">
        <v>1</v>
      </c>
      <c r="AE391" s="3">
        <v>1</v>
      </c>
      <c r="AF391" s="3">
        <v>0</v>
      </c>
      <c r="AG391" s="3">
        <v>0</v>
      </c>
      <c r="AH391" s="3">
        <v>0</v>
      </c>
      <c r="AI391" s="3">
        <v>0</v>
      </c>
      <c r="AJ391" s="3">
        <v>0</v>
      </c>
      <c r="AK391" s="3">
        <v>0</v>
      </c>
      <c r="AL391" s="3">
        <v>0</v>
      </c>
      <c r="AM391" s="3">
        <v>0</v>
      </c>
      <c r="AN391" s="3">
        <v>0</v>
      </c>
      <c r="AO391" s="3">
        <v>0</v>
      </c>
      <c r="AP391" s="3">
        <v>0</v>
      </c>
      <c r="AQ391" s="3">
        <v>0</v>
      </c>
      <c r="AR391" s="2" t="s">
        <v>5</v>
      </c>
      <c r="AS391" s="2" t="s">
        <v>5</v>
      </c>
      <c r="AU391" s="5" t="str">
        <f>HYPERLINK("https://creighton-primo.hosted.exlibrisgroup.com/primo-explore/search?tab=default_tab&amp;search_scope=EVERYTHING&amp;vid=01CRU&amp;lang=en_US&amp;offset=0&amp;query=any,contains,991001375699702656","Catalog Record")</f>
        <v>Catalog Record</v>
      </c>
      <c r="AV391" s="5" t="str">
        <f>HYPERLINK("http://www.worldcat.org/oclc/14882805","WorldCat Record")</f>
        <v>WorldCat Record</v>
      </c>
      <c r="AW391" s="2" t="s">
        <v>4855</v>
      </c>
      <c r="AX391" s="2" t="s">
        <v>4856</v>
      </c>
      <c r="AY391" s="2" t="s">
        <v>4857</v>
      </c>
      <c r="AZ391" s="2" t="s">
        <v>4857</v>
      </c>
      <c r="BA391" s="2" t="s">
        <v>4858</v>
      </c>
      <c r="BB391" s="2" t="s">
        <v>21</v>
      </c>
      <c r="BE391" s="2" t="s">
        <v>4859</v>
      </c>
      <c r="BF391" s="2" t="s">
        <v>4860</v>
      </c>
    </row>
    <row r="392" spans="1:58" ht="41.25" customHeight="1" x14ac:dyDescent="0.25">
      <c r="A392" s="8" t="s">
        <v>5</v>
      </c>
      <c r="B392" s="1" t="s">
        <v>0</v>
      </c>
      <c r="C392" s="1" t="s">
        <v>1</v>
      </c>
      <c r="D392" s="1" t="s">
        <v>4861</v>
      </c>
      <c r="E392" s="1" t="s">
        <v>4862</v>
      </c>
      <c r="F392" s="1" t="s">
        <v>4863</v>
      </c>
      <c r="H392" s="2" t="s">
        <v>5</v>
      </c>
      <c r="I392" s="2" t="s">
        <v>6</v>
      </c>
      <c r="J392" s="2" t="s">
        <v>5</v>
      </c>
      <c r="K392" s="2" t="s">
        <v>5</v>
      </c>
      <c r="L392" s="2" t="s">
        <v>7</v>
      </c>
      <c r="M392" s="1" t="s">
        <v>4864</v>
      </c>
      <c r="N392" s="1" t="s">
        <v>4502</v>
      </c>
      <c r="O392" s="2" t="s">
        <v>1441</v>
      </c>
      <c r="Q392" s="2" t="s">
        <v>11</v>
      </c>
      <c r="R392" s="2" t="s">
        <v>426</v>
      </c>
      <c r="S392" s="1" t="s">
        <v>4865</v>
      </c>
      <c r="T392" s="2" t="s">
        <v>520</v>
      </c>
      <c r="U392" s="3">
        <v>2</v>
      </c>
      <c r="V392" s="3">
        <v>2</v>
      </c>
      <c r="W392" s="4" t="s">
        <v>1826</v>
      </c>
      <c r="X392" s="4" t="s">
        <v>1826</v>
      </c>
      <c r="Y392" s="4" t="s">
        <v>124</v>
      </c>
      <c r="Z392" s="4" t="s">
        <v>124</v>
      </c>
      <c r="AA392" s="3">
        <v>62</v>
      </c>
      <c r="AB392" s="3">
        <v>52</v>
      </c>
      <c r="AC392" s="3">
        <v>52</v>
      </c>
      <c r="AD392" s="3">
        <v>1</v>
      </c>
      <c r="AE392" s="3">
        <v>1</v>
      </c>
      <c r="AF392" s="3">
        <v>2</v>
      </c>
      <c r="AG392" s="3">
        <v>2</v>
      </c>
      <c r="AH392" s="3">
        <v>0</v>
      </c>
      <c r="AI392" s="3">
        <v>0</v>
      </c>
      <c r="AJ392" s="3">
        <v>0</v>
      </c>
      <c r="AK392" s="3">
        <v>0</v>
      </c>
      <c r="AL392" s="3">
        <v>2</v>
      </c>
      <c r="AM392" s="3">
        <v>2</v>
      </c>
      <c r="AN392" s="3">
        <v>0</v>
      </c>
      <c r="AO392" s="3">
        <v>0</v>
      </c>
      <c r="AP392" s="3">
        <v>0</v>
      </c>
      <c r="AQ392" s="3">
        <v>0</v>
      </c>
      <c r="AR392" s="2" t="s">
        <v>5</v>
      </c>
      <c r="AS392" s="2" t="s">
        <v>5</v>
      </c>
      <c r="AU392" s="5" t="str">
        <f>HYPERLINK("https://creighton-primo.hosted.exlibrisgroup.com/primo-explore/search?tab=default_tab&amp;search_scope=EVERYTHING&amp;vid=01CRU&amp;lang=en_US&amp;offset=0&amp;query=any,contains,991001368559702656","Catalog Record")</f>
        <v>Catalog Record</v>
      </c>
      <c r="AV392" s="5" t="str">
        <f>HYPERLINK("http://www.worldcat.org/oclc/1080329","WorldCat Record")</f>
        <v>WorldCat Record</v>
      </c>
      <c r="AW392" s="2" t="s">
        <v>4866</v>
      </c>
      <c r="AX392" s="2" t="s">
        <v>4867</v>
      </c>
      <c r="AY392" s="2" t="s">
        <v>4868</v>
      </c>
      <c r="AZ392" s="2" t="s">
        <v>4868</v>
      </c>
      <c r="BA392" s="2" t="s">
        <v>4869</v>
      </c>
      <c r="BB392" s="2" t="s">
        <v>21</v>
      </c>
      <c r="BE392" s="2" t="s">
        <v>4870</v>
      </c>
      <c r="BF392" s="2" t="s">
        <v>4871</v>
      </c>
    </row>
    <row r="393" spans="1:58" ht="41.25" customHeight="1" x14ac:dyDescent="0.25">
      <c r="A393" s="8" t="s">
        <v>5</v>
      </c>
      <c r="B393" s="1" t="s">
        <v>0</v>
      </c>
      <c r="C393" s="1" t="s">
        <v>1</v>
      </c>
      <c r="D393" s="1" t="s">
        <v>4872</v>
      </c>
      <c r="E393" s="1" t="s">
        <v>4873</v>
      </c>
      <c r="F393" s="1" t="s">
        <v>4874</v>
      </c>
      <c r="H393" s="2" t="s">
        <v>5</v>
      </c>
      <c r="I393" s="2" t="s">
        <v>6</v>
      </c>
      <c r="J393" s="2" t="s">
        <v>5</v>
      </c>
      <c r="K393" s="2" t="s">
        <v>5</v>
      </c>
      <c r="L393" s="2" t="s">
        <v>7</v>
      </c>
      <c r="N393" s="1" t="s">
        <v>3892</v>
      </c>
      <c r="O393" s="2" t="s">
        <v>1195</v>
      </c>
      <c r="Q393" s="2" t="s">
        <v>11</v>
      </c>
      <c r="R393" s="2" t="s">
        <v>271</v>
      </c>
      <c r="T393" s="2" t="s">
        <v>520</v>
      </c>
      <c r="U393" s="3">
        <v>2</v>
      </c>
      <c r="V393" s="3">
        <v>2</v>
      </c>
      <c r="W393" s="4" t="s">
        <v>4875</v>
      </c>
      <c r="X393" s="4" t="s">
        <v>4875</v>
      </c>
      <c r="Y393" s="4" t="s">
        <v>4876</v>
      </c>
      <c r="Z393" s="4" t="s">
        <v>4876</v>
      </c>
      <c r="AA393" s="3">
        <v>650</v>
      </c>
      <c r="AB393" s="3">
        <v>591</v>
      </c>
      <c r="AC393" s="3">
        <v>594</v>
      </c>
      <c r="AD393" s="3">
        <v>4</v>
      </c>
      <c r="AE393" s="3">
        <v>4</v>
      </c>
      <c r="AF393" s="3">
        <v>26</v>
      </c>
      <c r="AG393" s="3">
        <v>26</v>
      </c>
      <c r="AH393" s="3">
        <v>11</v>
      </c>
      <c r="AI393" s="3">
        <v>11</v>
      </c>
      <c r="AJ393" s="3">
        <v>7</v>
      </c>
      <c r="AK393" s="3">
        <v>7</v>
      </c>
      <c r="AL393" s="3">
        <v>9</v>
      </c>
      <c r="AM393" s="3">
        <v>9</v>
      </c>
      <c r="AN393" s="3">
        <v>3</v>
      </c>
      <c r="AO393" s="3">
        <v>3</v>
      </c>
      <c r="AP393" s="3">
        <v>0</v>
      </c>
      <c r="AQ393" s="3">
        <v>0</v>
      </c>
      <c r="AR393" s="2" t="s">
        <v>5</v>
      </c>
      <c r="AS393" s="2" t="s">
        <v>16</v>
      </c>
      <c r="AT393" s="5" t="str">
        <f>HYPERLINK("http://catalog.hathitrust.org/Record/003344993","HathiTrust Record")</f>
        <v>HathiTrust Record</v>
      </c>
      <c r="AU393" s="5" t="str">
        <f>HYPERLINK("https://creighton-primo.hosted.exlibrisgroup.com/primo-explore/search?tab=default_tab&amp;search_scope=EVERYTHING&amp;vid=01CRU&amp;lang=en_US&amp;offset=0&amp;query=any,contains,991000372129702656","Catalog Record")</f>
        <v>Catalog Record</v>
      </c>
      <c r="AV393" s="5" t="str">
        <f>HYPERLINK("http://www.worldcat.org/oclc/41266196","WorldCat Record")</f>
        <v>WorldCat Record</v>
      </c>
      <c r="AW393" s="2" t="s">
        <v>4877</v>
      </c>
      <c r="AX393" s="2" t="s">
        <v>4878</v>
      </c>
      <c r="AY393" s="2" t="s">
        <v>4879</v>
      </c>
      <c r="AZ393" s="2" t="s">
        <v>4879</v>
      </c>
      <c r="BA393" s="2" t="s">
        <v>4880</v>
      </c>
      <c r="BB393" s="2" t="s">
        <v>21</v>
      </c>
      <c r="BD393" s="2" t="s">
        <v>4881</v>
      </c>
      <c r="BE393" s="2" t="s">
        <v>4882</v>
      </c>
      <c r="BF393" s="2" t="s">
        <v>4883</v>
      </c>
    </row>
    <row r="394" spans="1:58" ht="41.25" customHeight="1" x14ac:dyDescent="0.25">
      <c r="A394" s="8" t="s">
        <v>5</v>
      </c>
      <c r="B394" s="1" t="s">
        <v>0</v>
      </c>
      <c r="C394" s="1" t="s">
        <v>1</v>
      </c>
      <c r="D394" s="1" t="s">
        <v>4884</v>
      </c>
      <c r="E394" s="1" t="s">
        <v>4885</v>
      </c>
      <c r="F394" s="1" t="s">
        <v>4886</v>
      </c>
      <c r="H394" s="2" t="s">
        <v>5</v>
      </c>
      <c r="I394" s="2" t="s">
        <v>6</v>
      </c>
      <c r="J394" s="2" t="s">
        <v>5</v>
      </c>
      <c r="K394" s="2" t="s">
        <v>5</v>
      </c>
      <c r="L394" s="2" t="s">
        <v>7</v>
      </c>
      <c r="N394" s="1" t="s">
        <v>4502</v>
      </c>
      <c r="O394" s="2" t="s">
        <v>1441</v>
      </c>
      <c r="Q394" s="2" t="s">
        <v>11</v>
      </c>
      <c r="R394" s="2" t="s">
        <v>12</v>
      </c>
      <c r="S394" s="1" t="s">
        <v>4887</v>
      </c>
      <c r="T394" s="2" t="s">
        <v>520</v>
      </c>
      <c r="U394" s="3">
        <v>3</v>
      </c>
      <c r="V394" s="3">
        <v>3</v>
      </c>
      <c r="W394" s="4" t="s">
        <v>3072</v>
      </c>
      <c r="X394" s="4" t="s">
        <v>3072</v>
      </c>
      <c r="Y394" s="4" t="s">
        <v>124</v>
      </c>
      <c r="Z394" s="4" t="s">
        <v>124</v>
      </c>
      <c r="AA394" s="3">
        <v>52</v>
      </c>
      <c r="AB394" s="3">
        <v>46</v>
      </c>
      <c r="AC394" s="3">
        <v>46</v>
      </c>
      <c r="AD394" s="3">
        <v>1</v>
      </c>
      <c r="AE394" s="3">
        <v>1</v>
      </c>
      <c r="AF394" s="3">
        <v>2</v>
      </c>
      <c r="AG394" s="3">
        <v>2</v>
      </c>
      <c r="AH394" s="3">
        <v>0</v>
      </c>
      <c r="AI394" s="3">
        <v>0</v>
      </c>
      <c r="AJ394" s="3">
        <v>0</v>
      </c>
      <c r="AK394" s="3">
        <v>0</v>
      </c>
      <c r="AL394" s="3">
        <v>2</v>
      </c>
      <c r="AM394" s="3">
        <v>2</v>
      </c>
      <c r="AN394" s="3">
        <v>0</v>
      </c>
      <c r="AO394" s="3">
        <v>0</v>
      </c>
      <c r="AP394" s="3">
        <v>0</v>
      </c>
      <c r="AQ394" s="3">
        <v>0</v>
      </c>
      <c r="AR394" s="2" t="s">
        <v>5</v>
      </c>
      <c r="AS394" s="2" t="s">
        <v>5</v>
      </c>
      <c r="AU394" s="5" t="str">
        <f>HYPERLINK("https://creighton-primo.hosted.exlibrisgroup.com/primo-explore/search?tab=default_tab&amp;search_scope=EVERYTHING&amp;vid=01CRU&amp;lang=en_US&amp;offset=0&amp;query=any,contains,991001368439702656","Catalog Record")</f>
        <v>Catalog Record</v>
      </c>
      <c r="AV394" s="5" t="str">
        <f>HYPERLINK("http://www.worldcat.org/oclc/2006236","WorldCat Record")</f>
        <v>WorldCat Record</v>
      </c>
      <c r="AW394" s="2" t="s">
        <v>4888</v>
      </c>
      <c r="AX394" s="2" t="s">
        <v>4889</v>
      </c>
      <c r="AY394" s="2" t="s">
        <v>4890</v>
      </c>
      <c r="AZ394" s="2" t="s">
        <v>4890</v>
      </c>
      <c r="BA394" s="2" t="s">
        <v>4891</v>
      </c>
      <c r="BB394" s="2" t="s">
        <v>21</v>
      </c>
      <c r="BE394" s="2" t="s">
        <v>4892</v>
      </c>
      <c r="BF394" s="2" t="s">
        <v>4893</v>
      </c>
    </row>
    <row r="395" spans="1:58" ht="41.25" customHeight="1" x14ac:dyDescent="0.25">
      <c r="A395" s="8" t="s">
        <v>5</v>
      </c>
      <c r="B395" s="1" t="s">
        <v>0</v>
      </c>
      <c r="C395" s="1" t="s">
        <v>1</v>
      </c>
      <c r="D395" s="1" t="s">
        <v>4894</v>
      </c>
      <c r="E395" s="1" t="s">
        <v>4895</v>
      </c>
      <c r="F395" s="1" t="s">
        <v>4896</v>
      </c>
      <c r="H395" s="2" t="s">
        <v>5</v>
      </c>
      <c r="I395" s="2" t="s">
        <v>6</v>
      </c>
      <c r="J395" s="2" t="s">
        <v>5</v>
      </c>
      <c r="K395" s="2" t="s">
        <v>5</v>
      </c>
      <c r="L395" s="2" t="s">
        <v>7</v>
      </c>
      <c r="N395" s="1" t="s">
        <v>1220</v>
      </c>
      <c r="O395" s="2" t="s">
        <v>62</v>
      </c>
      <c r="Q395" s="2" t="s">
        <v>11</v>
      </c>
      <c r="R395" s="2" t="s">
        <v>12</v>
      </c>
      <c r="S395" s="1" t="s">
        <v>4897</v>
      </c>
      <c r="T395" s="2" t="s">
        <v>520</v>
      </c>
      <c r="U395" s="3">
        <v>1</v>
      </c>
      <c r="V395" s="3">
        <v>1</v>
      </c>
      <c r="W395" s="4" t="s">
        <v>2072</v>
      </c>
      <c r="X395" s="4" t="s">
        <v>2072</v>
      </c>
      <c r="Y395" s="4" t="s">
        <v>1591</v>
      </c>
      <c r="Z395" s="4" t="s">
        <v>1591</v>
      </c>
      <c r="AA395" s="3">
        <v>92</v>
      </c>
      <c r="AB395" s="3">
        <v>79</v>
      </c>
      <c r="AC395" s="3">
        <v>81</v>
      </c>
      <c r="AD395" s="3">
        <v>1</v>
      </c>
      <c r="AE395" s="3">
        <v>1</v>
      </c>
      <c r="AF395" s="3">
        <v>2</v>
      </c>
      <c r="AG395" s="3">
        <v>2</v>
      </c>
      <c r="AH395" s="3">
        <v>0</v>
      </c>
      <c r="AI395" s="3">
        <v>0</v>
      </c>
      <c r="AJ395" s="3">
        <v>0</v>
      </c>
      <c r="AK395" s="3">
        <v>0</v>
      </c>
      <c r="AL395" s="3">
        <v>2</v>
      </c>
      <c r="AM395" s="3">
        <v>2</v>
      </c>
      <c r="AN395" s="3">
        <v>0</v>
      </c>
      <c r="AO395" s="3">
        <v>0</v>
      </c>
      <c r="AP395" s="3">
        <v>0</v>
      </c>
      <c r="AQ395" s="3">
        <v>0</v>
      </c>
      <c r="AR395" s="2" t="s">
        <v>5</v>
      </c>
      <c r="AS395" s="2" t="s">
        <v>16</v>
      </c>
      <c r="AT395" s="5" t="str">
        <f>HYPERLINK("http://catalog.hathitrust.org/Record/005669415","HathiTrust Record")</f>
        <v>HathiTrust Record</v>
      </c>
      <c r="AU395" s="5" t="str">
        <f>HYPERLINK("https://creighton-primo.hosted.exlibrisgroup.com/primo-explore/search?tab=default_tab&amp;search_scope=EVERYTHING&amp;vid=01CRU&amp;lang=en_US&amp;offset=0&amp;query=any,contains,991001370829702656","Catalog Record")</f>
        <v>Catalog Record</v>
      </c>
      <c r="AV395" s="5" t="str">
        <f>HYPERLINK("http://www.worldcat.org/oclc/4570471","WorldCat Record")</f>
        <v>WorldCat Record</v>
      </c>
      <c r="AW395" s="2" t="s">
        <v>4898</v>
      </c>
      <c r="AX395" s="2" t="s">
        <v>4899</v>
      </c>
      <c r="AY395" s="2" t="s">
        <v>4900</v>
      </c>
      <c r="AZ395" s="2" t="s">
        <v>4900</v>
      </c>
      <c r="BA395" s="2" t="s">
        <v>4901</v>
      </c>
      <c r="BB395" s="2" t="s">
        <v>21</v>
      </c>
      <c r="BE395" s="2" t="s">
        <v>4902</v>
      </c>
      <c r="BF395" s="2" t="s">
        <v>4903</v>
      </c>
    </row>
    <row r="396" spans="1:58" ht="41.25" customHeight="1" x14ac:dyDescent="0.25">
      <c r="A396" s="8" t="s">
        <v>5</v>
      </c>
      <c r="B396" s="1" t="s">
        <v>0</v>
      </c>
      <c r="C396" s="1" t="s">
        <v>1</v>
      </c>
      <c r="D396" s="1" t="s">
        <v>4904</v>
      </c>
      <c r="E396" s="1" t="s">
        <v>4905</v>
      </c>
      <c r="F396" s="1" t="s">
        <v>4906</v>
      </c>
      <c r="H396" s="2" t="s">
        <v>5</v>
      </c>
      <c r="I396" s="2" t="s">
        <v>6</v>
      </c>
      <c r="J396" s="2" t="s">
        <v>5</v>
      </c>
      <c r="K396" s="2" t="s">
        <v>5</v>
      </c>
      <c r="L396" s="2" t="s">
        <v>7</v>
      </c>
      <c r="M396" s="1" t="s">
        <v>4907</v>
      </c>
      <c r="N396" s="1" t="s">
        <v>4908</v>
      </c>
      <c r="O396" s="2" t="s">
        <v>151</v>
      </c>
      <c r="Q396" s="2" t="s">
        <v>11</v>
      </c>
      <c r="R396" s="2" t="s">
        <v>78</v>
      </c>
      <c r="S396" s="1" t="s">
        <v>4909</v>
      </c>
      <c r="T396" s="2" t="s">
        <v>520</v>
      </c>
      <c r="U396" s="3">
        <v>12</v>
      </c>
      <c r="V396" s="3">
        <v>12</v>
      </c>
      <c r="W396" s="4" t="s">
        <v>4910</v>
      </c>
      <c r="X396" s="4" t="s">
        <v>4910</v>
      </c>
      <c r="Y396" s="4" t="s">
        <v>168</v>
      </c>
      <c r="Z396" s="4" t="s">
        <v>168</v>
      </c>
      <c r="AA396" s="3">
        <v>186</v>
      </c>
      <c r="AB396" s="3">
        <v>158</v>
      </c>
      <c r="AC396" s="3">
        <v>291</v>
      </c>
      <c r="AD396" s="3">
        <v>1</v>
      </c>
      <c r="AE396" s="3">
        <v>1</v>
      </c>
      <c r="AF396" s="3">
        <v>4</v>
      </c>
      <c r="AG396" s="3">
        <v>9</v>
      </c>
      <c r="AH396" s="3">
        <v>2</v>
      </c>
      <c r="AI396" s="3">
        <v>5</v>
      </c>
      <c r="AJ396" s="3">
        <v>0</v>
      </c>
      <c r="AK396" s="3">
        <v>1</v>
      </c>
      <c r="AL396" s="3">
        <v>4</v>
      </c>
      <c r="AM396" s="3">
        <v>6</v>
      </c>
      <c r="AN396" s="3">
        <v>0</v>
      </c>
      <c r="AO396" s="3">
        <v>0</v>
      </c>
      <c r="AP396" s="3">
        <v>0</v>
      </c>
      <c r="AQ396" s="3">
        <v>0</v>
      </c>
      <c r="AR396" s="2" t="s">
        <v>5</v>
      </c>
      <c r="AS396" s="2" t="s">
        <v>5</v>
      </c>
      <c r="AU396" s="5" t="str">
        <f>HYPERLINK("https://creighton-primo.hosted.exlibrisgroup.com/primo-explore/search?tab=default_tab&amp;search_scope=EVERYTHING&amp;vid=01CRU&amp;lang=en_US&amp;offset=0&amp;query=any,contains,991001043379702656","Catalog Record")</f>
        <v>Catalog Record</v>
      </c>
      <c r="AV396" s="5" t="str">
        <f>HYPERLINK("http://www.worldcat.org/oclc/3205387","WorldCat Record")</f>
        <v>WorldCat Record</v>
      </c>
      <c r="AW396" s="2" t="s">
        <v>4911</v>
      </c>
      <c r="AX396" s="2" t="s">
        <v>4912</v>
      </c>
      <c r="AY396" s="2" t="s">
        <v>4913</v>
      </c>
      <c r="AZ396" s="2" t="s">
        <v>4913</v>
      </c>
      <c r="BA396" s="2" t="s">
        <v>4914</v>
      </c>
      <c r="BB396" s="2" t="s">
        <v>21</v>
      </c>
      <c r="BD396" s="2" t="s">
        <v>4915</v>
      </c>
      <c r="BE396" s="2" t="s">
        <v>4916</v>
      </c>
      <c r="BF396" s="2" t="s">
        <v>4917</v>
      </c>
    </row>
    <row r="397" spans="1:58" ht="41.25" customHeight="1" x14ac:dyDescent="0.25">
      <c r="A397" s="8" t="s">
        <v>5</v>
      </c>
      <c r="B397" s="1" t="s">
        <v>0</v>
      </c>
      <c r="C397" s="1" t="s">
        <v>1</v>
      </c>
      <c r="D397" s="1" t="s">
        <v>4918</v>
      </c>
      <c r="E397" s="1" t="s">
        <v>4919</v>
      </c>
      <c r="F397" s="1" t="s">
        <v>4920</v>
      </c>
      <c r="H397" s="2" t="s">
        <v>5</v>
      </c>
      <c r="I397" s="2" t="s">
        <v>6</v>
      </c>
      <c r="J397" s="2" t="s">
        <v>5</v>
      </c>
      <c r="K397" s="2" t="s">
        <v>5</v>
      </c>
      <c r="L397" s="2" t="s">
        <v>7</v>
      </c>
      <c r="M397" s="1" t="s">
        <v>4921</v>
      </c>
      <c r="N397" s="1" t="s">
        <v>4922</v>
      </c>
      <c r="O397" s="2" t="s">
        <v>414</v>
      </c>
      <c r="Q397" s="2" t="s">
        <v>11</v>
      </c>
      <c r="R397" s="2" t="s">
        <v>12</v>
      </c>
      <c r="S397" s="1" t="s">
        <v>4923</v>
      </c>
      <c r="T397" s="2" t="s">
        <v>520</v>
      </c>
      <c r="U397" s="3">
        <v>1</v>
      </c>
      <c r="V397" s="3">
        <v>1</v>
      </c>
      <c r="W397" s="4" t="s">
        <v>3195</v>
      </c>
      <c r="X397" s="4" t="s">
        <v>3195</v>
      </c>
      <c r="Y397" s="4" t="s">
        <v>1718</v>
      </c>
      <c r="Z397" s="4" t="s">
        <v>1718</v>
      </c>
      <c r="AA397" s="3">
        <v>61</v>
      </c>
      <c r="AB397" s="3">
        <v>54</v>
      </c>
      <c r="AC397" s="3">
        <v>57</v>
      </c>
      <c r="AD397" s="3">
        <v>3</v>
      </c>
      <c r="AE397" s="3">
        <v>3</v>
      </c>
      <c r="AF397" s="3">
        <v>3</v>
      </c>
      <c r="AG397" s="3">
        <v>3</v>
      </c>
      <c r="AH397" s="3">
        <v>0</v>
      </c>
      <c r="AI397" s="3">
        <v>0</v>
      </c>
      <c r="AJ397" s="3">
        <v>0</v>
      </c>
      <c r="AK397" s="3">
        <v>0</v>
      </c>
      <c r="AL397" s="3">
        <v>2</v>
      </c>
      <c r="AM397" s="3">
        <v>2</v>
      </c>
      <c r="AN397" s="3">
        <v>1</v>
      </c>
      <c r="AO397" s="3">
        <v>1</v>
      </c>
      <c r="AP397" s="3">
        <v>0</v>
      </c>
      <c r="AQ397" s="3">
        <v>0</v>
      </c>
      <c r="AR397" s="2" t="s">
        <v>5</v>
      </c>
      <c r="AS397" s="2" t="s">
        <v>16</v>
      </c>
      <c r="AT397" s="5" t="str">
        <f>HYPERLINK("http://catalog.hathitrust.org/Record/001563727","HathiTrust Record")</f>
        <v>HathiTrust Record</v>
      </c>
      <c r="AU397" s="5" t="str">
        <f>HYPERLINK("https://creighton-primo.hosted.exlibrisgroup.com/primo-explore/search?tab=default_tab&amp;search_scope=EVERYTHING&amp;vid=01CRU&amp;lang=en_US&amp;offset=0&amp;query=any,contains,991001380579702656","Catalog Record")</f>
        <v>Catalog Record</v>
      </c>
      <c r="AV397" s="5" t="str">
        <f>HYPERLINK("http://www.worldcat.org/oclc/219719","WorldCat Record")</f>
        <v>WorldCat Record</v>
      </c>
      <c r="AW397" s="2" t="s">
        <v>4924</v>
      </c>
      <c r="AX397" s="2" t="s">
        <v>4925</v>
      </c>
      <c r="AY397" s="2" t="s">
        <v>4926</v>
      </c>
      <c r="AZ397" s="2" t="s">
        <v>4926</v>
      </c>
      <c r="BA397" s="2" t="s">
        <v>4927</v>
      </c>
      <c r="BB397" s="2" t="s">
        <v>21</v>
      </c>
      <c r="BE397" s="2" t="s">
        <v>4928</v>
      </c>
      <c r="BF397" s="2" t="s">
        <v>4929</v>
      </c>
    </row>
    <row r="398" spans="1:58" ht="41.25" customHeight="1" x14ac:dyDescent="0.25">
      <c r="A398" s="8" t="s">
        <v>5</v>
      </c>
      <c r="B398" s="1" t="s">
        <v>0</v>
      </c>
      <c r="C398" s="1" t="s">
        <v>1</v>
      </c>
      <c r="D398" s="1" t="s">
        <v>4930</v>
      </c>
      <c r="E398" s="1" t="s">
        <v>4931</v>
      </c>
      <c r="F398" s="1" t="s">
        <v>4932</v>
      </c>
      <c r="H398" s="2" t="s">
        <v>5</v>
      </c>
      <c r="I398" s="2" t="s">
        <v>6</v>
      </c>
      <c r="J398" s="2" t="s">
        <v>5</v>
      </c>
      <c r="K398" s="2" t="s">
        <v>5</v>
      </c>
      <c r="L398" s="2" t="s">
        <v>7</v>
      </c>
      <c r="M398" s="1" t="s">
        <v>4933</v>
      </c>
      <c r="N398" s="1" t="s">
        <v>4934</v>
      </c>
      <c r="O398" s="2" t="s">
        <v>151</v>
      </c>
      <c r="Q398" s="2" t="s">
        <v>11</v>
      </c>
      <c r="R398" s="2" t="s">
        <v>12</v>
      </c>
      <c r="S398" s="1" t="s">
        <v>4935</v>
      </c>
      <c r="T398" s="2" t="s">
        <v>520</v>
      </c>
      <c r="U398" s="3">
        <v>1</v>
      </c>
      <c r="V398" s="3">
        <v>1</v>
      </c>
      <c r="W398" s="4" t="s">
        <v>1840</v>
      </c>
      <c r="X398" s="4" t="s">
        <v>1840</v>
      </c>
      <c r="Y398" s="4" t="s">
        <v>2579</v>
      </c>
      <c r="Z398" s="4" t="s">
        <v>2579</v>
      </c>
      <c r="AA398" s="3">
        <v>63</v>
      </c>
      <c r="AB398" s="3">
        <v>52</v>
      </c>
      <c r="AC398" s="3">
        <v>52</v>
      </c>
      <c r="AD398" s="3">
        <v>2</v>
      </c>
      <c r="AE398" s="3">
        <v>2</v>
      </c>
      <c r="AF398" s="3">
        <v>3</v>
      </c>
      <c r="AG398" s="3">
        <v>3</v>
      </c>
      <c r="AH398" s="3">
        <v>0</v>
      </c>
      <c r="AI398" s="3">
        <v>0</v>
      </c>
      <c r="AJ398" s="3">
        <v>0</v>
      </c>
      <c r="AK398" s="3">
        <v>0</v>
      </c>
      <c r="AL398" s="3">
        <v>2</v>
      </c>
      <c r="AM398" s="3">
        <v>2</v>
      </c>
      <c r="AN398" s="3">
        <v>1</v>
      </c>
      <c r="AO398" s="3">
        <v>1</v>
      </c>
      <c r="AP398" s="3">
        <v>0</v>
      </c>
      <c r="AQ398" s="3">
        <v>0</v>
      </c>
      <c r="AR398" s="2" t="s">
        <v>5</v>
      </c>
      <c r="AS398" s="2" t="s">
        <v>5</v>
      </c>
      <c r="AU398" s="5" t="str">
        <f>HYPERLINK("https://creighton-primo.hosted.exlibrisgroup.com/primo-explore/search?tab=default_tab&amp;search_scope=EVERYTHING&amp;vid=01CRU&amp;lang=en_US&amp;offset=0&amp;query=any,contains,991001363389702656","Catalog Record")</f>
        <v>Catalog Record</v>
      </c>
      <c r="AV398" s="5" t="str">
        <f>HYPERLINK("http://www.worldcat.org/oclc/1926872","WorldCat Record")</f>
        <v>WorldCat Record</v>
      </c>
      <c r="AW398" s="2" t="s">
        <v>4936</v>
      </c>
      <c r="AX398" s="2" t="s">
        <v>4937</v>
      </c>
      <c r="AY398" s="2" t="s">
        <v>4938</v>
      </c>
      <c r="AZ398" s="2" t="s">
        <v>4938</v>
      </c>
      <c r="BA398" s="2" t="s">
        <v>4939</v>
      </c>
      <c r="BB398" s="2" t="s">
        <v>21</v>
      </c>
      <c r="BE398" s="2" t="s">
        <v>4940</v>
      </c>
      <c r="BF398" s="2" t="s">
        <v>4941</v>
      </c>
    </row>
    <row r="399" spans="1:58" ht="41.25" customHeight="1" x14ac:dyDescent="0.25">
      <c r="A399" s="8" t="s">
        <v>5</v>
      </c>
      <c r="B399" s="1" t="s">
        <v>0</v>
      </c>
      <c r="C399" s="1" t="s">
        <v>1</v>
      </c>
      <c r="D399" s="1" t="s">
        <v>4942</v>
      </c>
      <c r="E399" s="1" t="s">
        <v>4943</v>
      </c>
      <c r="F399" s="1" t="s">
        <v>4944</v>
      </c>
      <c r="H399" s="2" t="s">
        <v>5</v>
      </c>
      <c r="I399" s="2" t="s">
        <v>6</v>
      </c>
      <c r="J399" s="2" t="s">
        <v>5</v>
      </c>
      <c r="K399" s="2" t="s">
        <v>5</v>
      </c>
      <c r="L399" s="2" t="s">
        <v>7</v>
      </c>
      <c r="M399" s="1" t="s">
        <v>4945</v>
      </c>
      <c r="N399" s="1" t="s">
        <v>4946</v>
      </c>
      <c r="O399" s="2" t="s">
        <v>4599</v>
      </c>
      <c r="Q399" s="2" t="s">
        <v>11</v>
      </c>
      <c r="R399" s="2" t="s">
        <v>12</v>
      </c>
      <c r="S399" s="1" t="s">
        <v>4947</v>
      </c>
      <c r="T399" s="2" t="s">
        <v>520</v>
      </c>
      <c r="U399" s="3">
        <v>2</v>
      </c>
      <c r="V399" s="3">
        <v>2</v>
      </c>
      <c r="W399" s="4" t="s">
        <v>2788</v>
      </c>
      <c r="X399" s="4" t="s">
        <v>2788</v>
      </c>
      <c r="Y399" s="4" t="s">
        <v>577</v>
      </c>
      <c r="Z399" s="4" t="s">
        <v>577</v>
      </c>
      <c r="AA399" s="3">
        <v>29</v>
      </c>
      <c r="AB399" s="3">
        <v>27</v>
      </c>
      <c r="AC399" s="3">
        <v>29</v>
      </c>
      <c r="AD399" s="3">
        <v>1</v>
      </c>
      <c r="AE399" s="3">
        <v>1</v>
      </c>
      <c r="AF399" s="3">
        <v>2</v>
      </c>
      <c r="AG399" s="3">
        <v>2</v>
      </c>
      <c r="AH399" s="3">
        <v>0</v>
      </c>
      <c r="AI399" s="3">
        <v>0</v>
      </c>
      <c r="AJ399" s="3">
        <v>1</v>
      </c>
      <c r="AK399" s="3">
        <v>1</v>
      </c>
      <c r="AL399" s="3">
        <v>1</v>
      </c>
      <c r="AM399" s="3">
        <v>1</v>
      </c>
      <c r="AN399" s="3">
        <v>0</v>
      </c>
      <c r="AO399" s="3">
        <v>0</v>
      </c>
      <c r="AP399" s="3">
        <v>0</v>
      </c>
      <c r="AQ399" s="3">
        <v>0</v>
      </c>
      <c r="AR399" s="2" t="s">
        <v>5</v>
      </c>
      <c r="AS399" s="2" t="s">
        <v>5</v>
      </c>
      <c r="AT399" s="5" t="str">
        <f>HYPERLINK("http://catalog.hathitrust.org/Record/002091974","HathiTrust Record")</f>
        <v>HathiTrust Record</v>
      </c>
      <c r="AU399" s="5" t="str">
        <f>HYPERLINK("https://creighton-primo.hosted.exlibrisgroup.com/primo-explore/search?tab=default_tab&amp;search_scope=EVERYTHING&amp;vid=01CRU&amp;lang=en_US&amp;offset=0&amp;query=any,contains,991001362069702656","Catalog Record")</f>
        <v>Catalog Record</v>
      </c>
      <c r="AV399" s="5" t="str">
        <f>HYPERLINK("http://www.worldcat.org/oclc/1885453","WorldCat Record")</f>
        <v>WorldCat Record</v>
      </c>
      <c r="AW399" s="2" t="s">
        <v>4948</v>
      </c>
      <c r="AX399" s="2" t="s">
        <v>4949</v>
      </c>
      <c r="AY399" s="2" t="s">
        <v>4950</v>
      </c>
      <c r="AZ399" s="2" t="s">
        <v>4950</v>
      </c>
      <c r="BA399" s="2" t="s">
        <v>4951</v>
      </c>
      <c r="BB399" s="2" t="s">
        <v>21</v>
      </c>
      <c r="BE399" s="2" t="s">
        <v>4952</v>
      </c>
      <c r="BF399" s="2" t="s">
        <v>4953</v>
      </c>
    </row>
    <row r="400" spans="1:58" ht="41.25" customHeight="1" x14ac:dyDescent="0.25">
      <c r="A400" s="8" t="s">
        <v>5</v>
      </c>
      <c r="B400" s="1" t="s">
        <v>0</v>
      </c>
      <c r="C400" s="1" t="s">
        <v>1</v>
      </c>
      <c r="D400" s="1" t="s">
        <v>4954</v>
      </c>
      <c r="E400" s="1" t="s">
        <v>4955</v>
      </c>
      <c r="F400" s="1" t="s">
        <v>4956</v>
      </c>
      <c r="H400" s="2" t="s">
        <v>5</v>
      </c>
      <c r="I400" s="2" t="s">
        <v>6</v>
      </c>
      <c r="J400" s="2" t="s">
        <v>5</v>
      </c>
      <c r="K400" s="2" t="s">
        <v>5</v>
      </c>
      <c r="L400" s="2" t="s">
        <v>7</v>
      </c>
      <c r="M400" s="1" t="s">
        <v>4957</v>
      </c>
      <c r="N400" s="1" t="s">
        <v>1403</v>
      </c>
      <c r="O400" s="2" t="s">
        <v>62</v>
      </c>
      <c r="Q400" s="2" t="s">
        <v>11</v>
      </c>
      <c r="R400" s="2" t="s">
        <v>12</v>
      </c>
      <c r="S400" s="1" t="s">
        <v>4958</v>
      </c>
      <c r="T400" s="2" t="s">
        <v>520</v>
      </c>
      <c r="U400" s="3">
        <v>2</v>
      </c>
      <c r="V400" s="3">
        <v>2</v>
      </c>
      <c r="W400" s="4" t="s">
        <v>428</v>
      </c>
      <c r="X400" s="4" t="s">
        <v>428</v>
      </c>
      <c r="Y400" s="4" t="s">
        <v>1223</v>
      </c>
      <c r="Z400" s="4" t="s">
        <v>1223</v>
      </c>
      <c r="AA400" s="3">
        <v>121</v>
      </c>
      <c r="AB400" s="3">
        <v>104</v>
      </c>
      <c r="AC400" s="3">
        <v>106</v>
      </c>
      <c r="AD400" s="3">
        <v>1</v>
      </c>
      <c r="AE400" s="3">
        <v>1</v>
      </c>
      <c r="AF400" s="3">
        <v>4</v>
      </c>
      <c r="AG400" s="3">
        <v>4</v>
      </c>
      <c r="AH400" s="3">
        <v>1</v>
      </c>
      <c r="AI400" s="3">
        <v>1</v>
      </c>
      <c r="AJ400" s="3">
        <v>1</v>
      </c>
      <c r="AK400" s="3">
        <v>1</v>
      </c>
      <c r="AL400" s="3">
        <v>3</v>
      </c>
      <c r="AM400" s="3">
        <v>3</v>
      </c>
      <c r="AN400" s="3">
        <v>0</v>
      </c>
      <c r="AO400" s="3">
        <v>0</v>
      </c>
      <c r="AP400" s="3">
        <v>0</v>
      </c>
      <c r="AQ400" s="3">
        <v>0</v>
      </c>
      <c r="AR400" s="2" t="s">
        <v>5</v>
      </c>
      <c r="AS400" s="2" t="s">
        <v>16</v>
      </c>
      <c r="AT400" s="5" t="str">
        <f>HYPERLINK("http://catalog.hathitrust.org/Record/000260896","HathiTrust Record")</f>
        <v>HathiTrust Record</v>
      </c>
      <c r="AU400" s="5" t="str">
        <f>HYPERLINK("https://creighton-primo.hosted.exlibrisgroup.com/primo-explore/search?tab=default_tab&amp;search_scope=EVERYTHING&amp;vid=01CRU&amp;lang=en_US&amp;offset=0&amp;query=any,contains,991001388489702656","Catalog Record")</f>
        <v>Catalog Record</v>
      </c>
      <c r="AV400" s="5" t="str">
        <f>HYPERLINK("http://www.worldcat.org/oclc/5446016","WorldCat Record")</f>
        <v>WorldCat Record</v>
      </c>
      <c r="AW400" s="2" t="s">
        <v>4959</v>
      </c>
      <c r="AX400" s="2" t="s">
        <v>4960</v>
      </c>
      <c r="AY400" s="2" t="s">
        <v>4961</v>
      </c>
      <c r="AZ400" s="2" t="s">
        <v>4961</v>
      </c>
      <c r="BA400" s="2" t="s">
        <v>4962</v>
      </c>
      <c r="BB400" s="2" t="s">
        <v>21</v>
      </c>
      <c r="BE400" s="2" t="s">
        <v>4963</v>
      </c>
      <c r="BF400" s="2" t="s">
        <v>4964</v>
      </c>
    </row>
    <row r="401" spans="1:58" ht="41.25" customHeight="1" x14ac:dyDescent="0.25">
      <c r="A401" s="8" t="s">
        <v>5</v>
      </c>
      <c r="B401" s="1" t="s">
        <v>0</v>
      </c>
      <c r="C401" s="1" t="s">
        <v>1</v>
      </c>
      <c r="D401" s="1" t="s">
        <v>4965</v>
      </c>
      <c r="E401" s="1" t="s">
        <v>4966</v>
      </c>
      <c r="F401" s="1" t="s">
        <v>4967</v>
      </c>
      <c r="H401" s="2" t="s">
        <v>5</v>
      </c>
      <c r="I401" s="2" t="s">
        <v>6</v>
      </c>
      <c r="J401" s="2" t="s">
        <v>5</v>
      </c>
      <c r="K401" s="2" t="s">
        <v>5</v>
      </c>
      <c r="L401" s="2" t="s">
        <v>7</v>
      </c>
      <c r="M401" s="1" t="s">
        <v>4968</v>
      </c>
      <c r="N401" s="1" t="s">
        <v>2918</v>
      </c>
      <c r="O401" s="2" t="s">
        <v>151</v>
      </c>
      <c r="Q401" s="2" t="s">
        <v>11</v>
      </c>
      <c r="R401" s="2" t="s">
        <v>12</v>
      </c>
      <c r="T401" s="2" t="s">
        <v>520</v>
      </c>
      <c r="U401" s="3">
        <v>5</v>
      </c>
      <c r="V401" s="3">
        <v>5</v>
      </c>
      <c r="W401" s="4" t="s">
        <v>2788</v>
      </c>
      <c r="X401" s="4" t="s">
        <v>2788</v>
      </c>
      <c r="Y401" s="4" t="s">
        <v>124</v>
      </c>
      <c r="Z401" s="4" t="s">
        <v>124</v>
      </c>
      <c r="AA401" s="3">
        <v>73</v>
      </c>
      <c r="AB401" s="3">
        <v>66</v>
      </c>
      <c r="AC401" s="3">
        <v>66</v>
      </c>
      <c r="AD401" s="3">
        <v>1</v>
      </c>
      <c r="AE401" s="3">
        <v>1</v>
      </c>
      <c r="AF401" s="3">
        <v>3</v>
      </c>
      <c r="AG401" s="3">
        <v>3</v>
      </c>
      <c r="AH401" s="3">
        <v>0</v>
      </c>
      <c r="AI401" s="3">
        <v>0</v>
      </c>
      <c r="AJ401" s="3">
        <v>0</v>
      </c>
      <c r="AK401" s="3">
        <v>0</v>
      </c>
      <c r="AL401" s="3">
        <v>3</v>
      </c>
      <c r="AM401" s="3">
        <v>3</v>
      </c>
      <c r="AN401" s="3">
        <v>0</v>
      </c>
      <c r="AO401" s="3">
        <v>0</v>
      </c>
      <c r="AP401" s="3">
        <v>0</v>
      </c>
      <c r="AQ401" s="3">
        <v>0</v>
      </c>
      <c r="AR401" s="2" t="s">
        <v>5</v>
      </c>
      <c r="AS401" s="2" t="s">
        <v>5</v>
      </c>
      <c r="AU401" s="5" t="str">
        <f>HYPERLINK("https://creighton-primo.hosted.exlibrisgroup.com/primo-explore/search?tab=default_tab&amp;search_scope=EVERYTHING&amp;vid=01CRU&amp;lang=en_US&amp;offset=0&amp;query=any,contains,991001369139702656","Catalog Record")</f>
        <v>Catalog Record</v>
      </c>
      <c r="AV401" s="5" t="str">
        <f>HYPERLINK("http://www.worldcat.org/oclc/2729015","WorldCat Record")</f>
        <v>WorldCat Record</v>
      </c>
      <c r="AW401" s="2" t="s">
        <v>4969</v>
      </c>
      <c r="AX401" s="2" t="s">
        <v>4970</v>
      </c>
      <c r="AY401" s="2" t="s">
        <v>4971</v>
      </c>
      <c r="AZ401" s="2" t="s">
        <v>4971</v>
      </c>
      <c r="BA401" s="2" t="s">
        <v>4972</v>
      </c>
      <c r="BB401" s="2" t="s">
        <v>21</v>
      </c>
      <c r="BE401" s="2" t="s">
        <v>4973</v>
      </c>
      <c r="BF401" s="2" t="s">
        <v>4974</v>
      </c>
    </row>
    <row r="402" spans="1:58" ht="41.25" customHeight="1" x14ac:dyDescent="0.25">
      <c r="A402" s="8" t="s">
        <v>5</v>
      </c>
      <c r="B402" s="1" t="s">
        <v>0</v>
      </c>
      <c r="C402" s="1" t="s">
        <v>1</v>
      </c>
      <c r="D402" s="1" t="s">
        <v>4975</v>
      </c>
      <c r="E402" s="1" t="s">
        <v>4976</v>
      </c>
      <c r="F402" s="1" t="s">
        <v>4977</v>
      </c>
      <c r="H402" s="2" t="s">
        <v>5</v>
      </c>
      <c r="I402" s="2" t="s">
        <v>6</v>
      </c>
      <c r="J402" s="2" t="s">
        <v>5</v>
      </c>
      <c r="K402" s="2" t="s">
        <v>5</v>
      </c>
      <c r="L402" s="2" t="s">
        <v>7</v>
      </c>
      <c r="M402" s="1" t="s">
        <v>4978</v>
      </c>
      <c r="N402" s="1" t="s">
        <v>3318</v>
      </c>
      <c r="O402" s="2" t="s">
        <v>1551</v>
      </c>
      <c r="Q402" s="2" t="s">
        <v>11</v>
      </c>
      <c r="R402" s="2" t="s">
        <v>12</v>
      </c>
      <c r="S402" s="1" t="s">
        <v>4979</v>
      </c>
      <c r="T402" s="2" t="s">
        <v>520</v>
      </c>
      <c r="U402" s="3">
        <v>2</v>
      </c>
      <c r="V402" s="3">
        <v>2</v>
      </c>
      <c r="W402" s="4" t="s">
        <v>1405</v>
      </c>
      <c r="X402" s="4" t="s">
        <v>1405</v>
      </c>
      <c r="Y402" s="4" t="s">
        <v>1249</v>
      </c>
      <c r="Z402" s="4" t="s">
        <v>1249</v>
      </c>
      <c r="AA402" s="3">
        <v>20</v>
      </c>
      <c r="AB402" s="3">
        <v>18</v>
      </c>
      <c r="AC402" s="3">
        <v>26</v>
      </c>
      <c r="AD402" s="3">
        <v>1</v>
      </c>
      <c r="AE402" s="3">
        <v>1</v>
      </c>
      <c r="AF402" s="3">
        <v>2</v>
      </c>
      <c r="AG402" s="3">
        <v>2</v>
      </c>
      <c r="AH402" s="3">
        <v>0</v>
      </c>
      <c r="AI402" s="3">
        <v>0</v>
      </c>
      <c r="AJ402" s="3">
        <v>0</v>
      </c>
      <c r="AK402" s="3">
        <v>0</v>
      </c>
      <c r="AL402" s="3">
        <v>2</v>
      </c>
      <c r="AM402" s="3">
        <v>2</v>
      </c>
      <c r="AN402" s="3">
        <v>0</v>
      </c>
      <c r="AO402" s="3">
        <v>0</v>
      </c>
      <c r="AP402" s="3">
        <v>0</v>
      </c>
      <c r="AQ402" s="3">
        <v>0</v>
      </c>
      <c r="AR402" s="2" t="s">
        <v>16</v>
      </c>
      <c r="AS402" s="2" t="s">
        <v>5</v>
      </c>
      <c r="AT402" s="5" t="str">
        <f>HYPERLINK("http://catalog.hathitrust.org/Record/002071730","HathiTrust Record")</f>
        <v>HathiTrust Record</v>
      </c>
      <c r="AU402" s="5" t="str">
        <f>HYPERLINK("https://creighton-primo.hosted.exlibrisgroup.com/primo-explore/search?tab=default_tab&amp;search_scope=EVERYTHING&amp;vid=01CRU&amp;lang=en_US&amp;offset=0&amp;query=any,contains,991001383619702656","Catalog Record")</f>
        <v>Catalog Record</v>
      </c>
      <c r="AV402" s="5" t="str">
        <f>HYPERLINK("http://www.worldcat.org/oclc/1202034","WorldCat Record")</f>
        <v>WorldCat Record</v>
      </c>
      <c r="AW402" s="2" t="s">
        <v>4980</v>
      </c>
      <c r="AX402" s="2" t="s">
        <v>4981</v>
      </c>
      <c r="AY402" s="2" t="s">
        <v>4982</v>
      </c>
      <c r="AZ402" s="2" t="s">
        <v>4982</v>
      </c>
      <c r="BA402" s="2" t="s">
        <v>4983</v>
      </c>
      <c r="BB402" s="2" t="s">
        <v>21</v>
      </c>
      <c r="BE402" s="2" t="s">
        <v>4984</v>
      </c>
      <c r="BF402" s="2" t="s">
        <v>4985</v>
      </c>
    </row>
    <row r="403" spans="1:58" ht="41.25" customHeight="1" x14ac:dyDescent="0.25">
      <c r="A403" s="8" t="s">
        <v>5</v>
      </c>
      <c r="B403" s="1" t="s">
        <v>0</v>
      </c>
      <c r="C403" s="1" t="s">
        <v>1</v>
      </c>
      <c r="D403" s="1" t="s">
        <v>4986</v>
      </c>
      <c r="E403" s="1" t="s">
        <v>4987</v>
      </c>
      <c r="F403" s="1" t="s">
        <v>4988</v>
      </c>
      <c r="H403" s="2" t="s">
        <v>5</v>
      </c>
      <c r="I403" s="2" t="s">
        <v>6</v>
      </c>
      <c r="J403" s="2" t="s">
        <v>5</v>
      </c>
      <c r="K403" s="2" t="s">
        <v>5</v>
      </c>
      <c r="L403" s="2" t="s">
        <v>7</v>
      </c>
      <c r="M403" s="1" t="s">
        <v>2616</v>
      </c>
      <c r="N403" s="1" t="s">
        <v>4989</v>
      </c>
      <c r="O403" s="2" t="s">
        <v>4990</v>
      </c>
      <c r="P403" s="1" t="s">
        <v>4991</v>
      </c>
      <c r="Q403" s="2" t="s">
        <v>11</v>
      </c>
      <c r="R403" s="2" t="s">
        <v>78</v>
      </c>
      <c r="T403" s="2" t="s">
        <v>520</v>
      </c>
      <c r="U403" s="3">
        <v>30</v>
      </c>
      <c r="V403" s="3">
        <v>30</v>
      </c>
      <c r="W403" s="4" t="s">
        <v>4992</v>
      </c>
      <c r="X403" s="4" t="s">
        <v>4992</v>
      </c>
      <c r="Y403" s="4" t="s">
        <v>4993</v>
      </c>
      <c r="Z403" s="4" t="s">
        <v>4993</v>
      </c>
      <c r="AA403" s="3">
        <v>209</v>
      </c>
      <c r="AB403" s="3">
        <v>174</v>
      </c>
      <c r="AC403" s="3">
        <v>174</v>
      </c>
      <c r="AD403" s="3">
        <v>1</v>
      </c>
      <c r="AE403" s="3">
        <v>1</v>
      </c>
      <c r="AF403" s="3">
        <v>3</v>
      </c>
      <c r="AG403" s="3">
        <v>3</v>
      </c>
      <c r="AH403" s="3">
        <v>0</v>
      </c>
      <c r="AI403" s="3">
        <v>0</v>
      </c>
      <c r="AJ403" s="3">
        <v>2</v>
      </c>
      <c r="AK403" s="3">
        <v>2</v>
      </c>
      <c r="AL403" s="3">
        <v>2</v>
      </c>
      <c r="AM403" s="3">
        <v>2</v>
      </c>
      <c r="AN403" s="3">
        <v>0</v>
      </c>
      <c r="AO403" s="3">
        <v>0</v>
      </c>
      <c r="AP403" s="3">
        <v>0</v>
      </c>
      <c r="AQ403" s="3">
        <v>0</v>
      </c>
      <c r="AR403" s="2" t="s">
        <v>5</v>
      </c>
      <c r="AS403" s="2" t="s">
        <v>5</v>
      </c>
      <c r="AU403" s="5" t="str">
        <f>HYPERLINK("https://creighton-primo.hosted.exlibrisgroup.com/primo-explore/search?tab=default_tab&amp;search_scope=EVERYTHING&amp;vid=01CRU&amp;lang=en_US&amp;offset=0&amp;query=any,contains,991000307899702656","Catalog Record")</f>
        <v>Catalog Record</v>
      </c>
      <c r="AV403" s="5" t="str">
        <f>HYPERLINK("http://www.worldcat.org/oclc/46970619","WorldCat Record")</f>
        <v>WorldCat Record</v>
      </c>
      <c r="AW403" s="2" t="s">
        <v>4994</v>
      </c>
      <c r="AX403" s="2" t="s">
        <v>4995</v>
      </c>
      <c r="AY403" s="2" t="s">
        <v>4996</v>
      </c>
      <c r="AZ403" s="2" t="s">
        <v>4996</v>
      </c>
      <c r="BA403" s="2" t="s">
        <v>4997</v>
      </c>
      <c r="BB403" s="2" t="s">
        <v>21</v>
      </c>
      <c r="BD403" s="2" t="s">
        <v>4998</v>
      </c>
      <c r="BE403" s="2" t="s">
        <v>4999</v>
      </c>
      <c r="BF403" s="2" t="s">
        <v>5000</v>
      </c>
    </row>
    <row r="404" spans="1:58" ht="41.25" customHeight="1" x14ac:dyDescent="0.25">
      <c r="A404" s="8" t="s">
        <v>5</v>
      </c>
      <c r="B404" s="1" t="s">
        <v>0</v>
      </c>
      <c r="C404" s="1" t="s">
        <v>1</v>
      </c>
      <c r="D404" s="1" t="s">
        <v>5001</v>
      </c>
      <c r="E404" s="1" t="s">
        <v>5002</v>
      </c>
      <c r="F404" s="1" t="s">
        <v>5003</v>
      </c>
      <c r="H404" s="2" t="s">
        <v>5</v>
      </c>
      <c r="I404" s="2" t="s">
        <v>974</v>
      </c>
      <c r="J404" s="2" t="s">
        <v>5</v>
      </c>
      <c r="K404" s="2" t="s">
        <v>16</v>
      </c>
      <c r="L404" s="2" t="s">
        <v>7</v>
      </c>
      <c r="N404" s="1" t="s">
        <v>5004</v>
      </c>
      <c r="O404" s="2" t="s">
        <v>1391</v>
      </c>
      <c r="P404" s="1" t="s">
        <v>901</v>
      </c>
      <c r="Q404" s="2" t="s">
        <v>11</v>
      </c>
      <c r="R404" s="2" t="s">
        <v>31</v>
      </c>
      <c r="T404" s="2" t="s">
        <v>520</v>
      </c>
      <c r="U404" s="3">
        <v>0</v>
      </c>
      <c r="V404" s="3">
        <v>0</v>
      </c>
      <c r="W404" s="4" t="s">
        <v>5005</v>
      </c>
      <c r="X404" s="4" t="s">
        <v>5005</v>
      </c>
      <c r="Y404" s="4" t="s">
        <v>5006</v>
      </c>
      <c r="Z404" s="4" t="s">
        <v>5006</v>
      </c>
      <c r="AA404" s="3">
        <v>237</v>
      </c>
      <c r="AB404" s="3">
        <v>186</v>
      </c>
      <c r="AC404" s="3">
        <v>600</v>
      </c>
      <c r="AD404" s="3">
        <v>1</v>
      </c>
      <c r="AE404" s="3">
        <v>4</v>
      </c>
      <c r="AF404" s="3">
        <v>10</v>
      </c>
      <c r="AG404" s="3">
        <v>25</v>
      </c>
      <c r="AH404" s="3">
        <v>3</v>
      </c>
      <c r="AI404" s="3">
        <v>11</v>
      </c>
      <c r="AJ404" s="3">
        <v>2</v>
      </c>
      <c r="AK404" s="3">
        <v>4</v>
      </c>
      <c r="AL404" s="3">
        <v>8</v>
      </c>
      <c r="AM404" s="3">
        <v>14</v>
      </c>
      <c r="AN404" s="3">
        <v>0</v>
      </c>
      <c r="AO404" s="3">
        <v>2</v>
      </c>
      <c r="AP404" s="3">
        <v>0</v>
      </c>
      <c r="AQ404" s="3">
        <v>0</v>
      </c>
      <c r="AR404" s="2" t="s">
        <v>5</v>
      </c>
      <c r="AS404" s="2" t="s">
        <v>16</v>
      </c>
      <c r="AT404" s="5" t="str">
        <f>HYPERLINK("http://catalog.hathitrust.org/Record/004738889","HathiTrust Record")</f>
        <v>HathiTrust Record</v>
      </c>
      <c r="AU404" s="5" t="str">
        <f>HYPERLINK("https://creighton-primo.hosted.exlibrisgroup.com/primo-explore/search?tab=default_tab&amp;search_scope=EVERYTHING&amp;vid=01CRU&amp;lang=en_US&amp;offset=0&amp;query=any,contains,991000388799702656","Catalog Record")</f>
        <v>Catalog Record</v>
      </c>
      <c r="AV404" s="5" t="str">
        <f>HYPERLINK("http://www.worldcat.org/oclc/54853036","WorldCat Record")</f>
        <v>WorldCat Record</v>
      </c>
      <c r="AW404" s="2" t="s">
        <v>5007</v>
      </c>
      <c r="AX404" s="2" t="s">
        <v>5008</v>
      </c>
      <c r="AY404" s="2" t="s">
        <v>5009</v>
      </c>
      <c r="AZ404" s="2" t="s">
        <v>5009</v>
      </c>
      <c r="BA404" s="2" t="s">
        <v>5010</v>
      </c>
      <c r="BB404" s="2" t="s">
        <v>21</v>
      </c>
      <c r="BD404" s="2" t="s">
        <v>5011</v>
      </c>
      <c r="BE404" s="2" t="s">
        <v>5012</v>
      </c>
      <c r="BF404" s="2" t="s">
        <v>5013</v>
      </c>
    </row>
    <row r="405" spans="1:58" ht="41.25" customHeight="1" x14ac:dyDescent="0.25">
      <c r="A405" s="8" t="s">
        <v>5</v>
      </c>
      <c r="B405" s="1" t="s">
        <v>0</v>
      </c>
      <c r="C405" s="1" t="s">
        <v>1</v>
      </c>
      <c r="D405" s="1" t="s">
        <v>5014</v>
      </c>
      <c r="E405" s="1" t="s">
        <v>5015</v>
      </c>
      <c r="F405" s="1" t="s">
        <v>5016</v>
      </c>
      <c r="H405" s="2" t="s">
        <v>5</v>
      </c>
      <c r="I405" s="2" t="s">
        <v>6</v>
      </c>
      <c r="J405" s="2" t="s">
        <v>16</v>
      </c>
      <c r="K405" s="2" t="s">
        <v>5</v>
      </c>
      <c r="L405" s="2" t="s">
        <v>7</v>
      </c>
      <c r="N405" s="1" t="s">
        <v>5017</v>
      </c>
      <c r="O405" s="2" t="s">
        <v>1004</v>
      </c>
      <c r="P405" s="1" t="s">
        <v>211</v>
      </c>
      <c r="Q405" s="2" t="s">
        <v>11</v>
      </c>
      <c r="R405" s="2" t="s">
        <v>78</v>
      </c>
      <c r="T405" s="2" t="s">
        <v>520</v>
      </c>
      <c r="U405" s="3">
        <v>2</v>
      </c>
      <c r="V405" s="3">
        <v>2</v>
      </c>
      <c r="W405" s="4" t="s">
        <v>5018</v>
      </c>
      <c r="X405" s="4" t="s">
        <v>5018</v>
      </c>
      <c r="Y405" s="4" t="s">
        <v>5019</v>
      </c>
      <c r="Z405" s="4" t="s">
        <v>2140</v>
      </c>
      <c r="AA405" s="3">
        <v>170</v>
      </c>
      <c r="AB405" s="3">
        <v>128</v>
      </c>
      <c r="AC405" s="3">
        <v>232</v>
      </c>
      <c r="AD405" s="3">
        <v>1</v>
      </c>
      <c r="AE405" s="3">
        <v>1</v>
      </c>
      <c r="AF405" s="3">
        <v>5</v>
      </c>
      <c r="AG405" s="3">
        <v>8</v>
      </c>
      <c r="AH405" s="3">
        <v>1</v>
      </c>
      <c r="AI405" s="3">
        <v>3</v>
      </c>
      <c r="AJ405" s="3">
        <v>1</v>
      </c>
      <c r="AK405" s="3">
        <v>1</v>
      </c>
      <c r="AL405" s="3">
        <v>3</v>
      </c>
      <c r="AM405" s="3">
        <v>5</v>
      </c>
      <c r="AN405" s="3">
        <v>0</v>
      </c>
      <c r="AO405" s="3">
        <v>0</v>
      </c>
      <c r="AP405" s="3">
        <v>0</v>
      </c>
      <c r="AQ405" s="3">
        <v>0</v>
      </c>
      <c r="AR405" s="2" t="s">
        <v>5</v>
      </c>
      <c r="AS405" s="2" t="s">
        <v>16</v>
      </c>
      <c r="AT405" s="5" t="str">
        <f>HYPERLINK("http://catalog.hathitrust.org/Record/004579223","HathiTrust Record")</f>
        <v>HathiTrust Record</v>
      </c>
      <c r="AU405" s="5" t="str">
        <f>HYPERLINK("https://creighton-primo.hosted.exlibrisgroup.com/primo-explore/search?tab=default_tab&amp;search_scope=EVERYTHING&amp;vid=01CRU&amp;lang=en_US&amp;offset=0&amp;query=any,contains,991000283859702656","Catalog Record")</f>
        <v>Catalog Record</v>
      </c>
      <c r="AV405" s="5" t="str">
        <f>HYPERLINK("http://www.worldcat.org/oclc/41076378","WorldCat Record")</f>
        <v>WorldCat Record</v>
      </c>
      <c r="AW405" s="2" t="s">
        <v>5020</v>
      </c>
      <c r="AX405" s="2" t="s">
        <v>5021</v>
      </c>
      <c r="AY405" s="2" t="s">
        <v>5022</v>
      </c>
      <c r="AZ405" s="2" t="s">
        <v>5022</v>
      </c>
      <c r="BA405" s="2" t="s">
        <v>5023</v>
      </c>
      <c r="BB405" s="2" t="s">
        <v>21</v>
      </c>
      <c r="BD405" s="2" t="s">
        <v>5024</v>
      </c>
      <c r="BE405" s="2" t="s">
        <v>5025</v>
      </c>
      <c r="BF405" s="2" t="s">
        <v>5026</v>
      </c>
    </row>
    <row r="406" spans="1:58" ht="41.25" customHeight="1" x14ac:dyDescent="0.25">
      <c r="A406" s="8" t="s">
        <v>5</v>
      </c>
      <c r="B406" s="1" t="s">
        <v>0</v>
      </c>
      <c r="C406" s="1" t="s">
        <v>1</v>
      </c>
      <c r="D406" s="1" t="s">
        <v>5014</v>
      </c>
      <c r="E406" s="1" t="s">
        <v>5015</v>
      </c>
      <c r="F406" s="1" t="s">
        <v>5016</v>
      </c>
      <c r="H406" s="2" t="s">
        <v>5</v>
      </c>
      <c r="I406" s="2" t="s">
        <v>974</v>
      </c>
      <c r="J406" s="2" t="s">
        <v>16</v>
      </c>
      <c r="K406" s="2" t="s">
        <v>5</v>
      </c>
      <c r="L406" s="2" t="s">
        <v>7</v>
      </c>
      <c r="N406" s="1" t="s">
        <v>5017</v>
      </c>
      <c r="O406" s="2" t="s">
        <v>1004</v>
      </c>
      <c r="P406" s="1" t="s">
        <v>211</v>
      </c>
      <c r="Q406" s="2" t="s">
        <v>11</v>
      </c>
      <c r="R406" s="2" t="s">
        <v>78</v>
      </c>
      <c r="T406" s="2" t="s">
        <v>520</v>
      </c>
      <c r="U406" s="3">
        <v>0</v>
      </c>
      <c r="V406" s="3">
        <v>2</v>
      </c>
      <c r="X406" s="4" t="s">
        <v>5018</v>
      </c>
      <c r="Y406" s="4" t="s">
        <v>2140</v>
      </c>
      <c r="Z406" s="4" t="s">
        <v>2140</v>
      </c>
      <c r="AA406" s="3">
        <v>170</v>
      </c>
      <c r="AB406" s="3">
        <v>128</v>
      </c>
      <c r="AC406" s="3">
        <v>232</v>
      </c>
      <c r="AD406" s="3">
        <v>1</v>
      </c>
      <c r="AE406" s="3">
        <v>1</v>
      </c>
      <c r="AF406" s="3">
        <v>5</v>
      </c>
      <c r="AG406" s="3">
        <v>8</v>
      </c>
      <c r="AH406" s="3">
        <v>1</v>
      </c>
      <c r="AI406" s="3">
        <v>3</v>
      </c>
      <c r="AJ406" s="3">
        <v>1</v>
      </c>
      <c r="AK406" s="3">
        <v>1</v>
      </c>
      <c r="AL406" s="3">
        <v>3</v>
      </c>
      <c r="AM406" s="3">
        <v>5</v>
      </c>
      <c r="AN406" s="3">
        <v>0</v>
      </c>
      <c r="AO406" s="3">
        <v>0</v>
      </c>
      <c r="AP406" s="3">
        <v>0</v>
      </c>
      <c r="AQ406" s="3">
        <v>0</v>
      </c>
      <c r="AR406" s="2" t="s">
        <v>5</v>
      </c>
      <c r="AS406" s="2" t="s">
        <v>16</v>
      </c>
      <c r="AT406" s="5" t="str">
        <f>HYPERLINK("http://catalog.hathitrust.org/Record/004579223","HathiTrust Record")</f>
        <v>HathiTrust Record</v>
      </c>
      <c r="AU406" s="5" t="str">
        <f>HYPERLINK("https://creighton-primo.hosted.exlibrisgroup.com/primo-explore/search?tab=default_tab&amp;search_scope=EVERYTHING&amp;vid=01CRU&amp;lang=en_US&amp;offset=0&amp;query=any,contains,991000283859702656","Catalog Record")</f>
        <v>Catalog Record</v>
      </c>
      <c r="AV406" s="5" t="str">
        <f>HYPERLINK("http://www.worldcat.org/oclc/41076378","WorldCat Record")</f>
        <v>WorldCat Record</v>
      </c>
      <c r="AW406" s="2" t="s">
        <v>5020</v>
      </c>
      <c r="AX406" s="2" t="s">
        <v>5021</v>
      </c>
      <c r="AY406" s="2" t="s">
        <v>5022</v>
      </c>
      <c r="AZ406" s="2" t="s">
        <v>5022</v>
      </c>
      <c r="BA406" s="2" t="s">
        <v>5023</v>
      </c>
      <c r="BB406" s="2" t="s">
        <v>21</v>
      </c>
      <c r="BD406" s="2" t="s">
        <v>5024</v>
      </c>
      <c r="BE406" s="2" t="s">
        <v>5027</v>
      </c>
      <c r="BF406" s="2" t="s">
        <v>5028</v>
      </c>
    </row>
    <row r="407" spans="1:58" ht="41.25" customHeight="1" x14ac:dyDescent="0.25">
      <c r="A407" s="8" t="s">
        <v>5</v>
      </c>
      <c r="B407" s="1" t="s">
        <v>0</v>
      </c>
      <c r="C407" s="1" t="s">
        <v>1</v>
      </c>
      <c r="D407" s="1" t="s">
        <v>5029</v>
      </c>
      <c r="E407" s="1" t="s">
        <v>5030</v>
      </c>
      <c r="F407" s="1" t="s">
        <v>5031</v>
      </c>
      <c r="H407" s="2" t="s">
        <v>5</v>
      </c>
      <c r="I407" s="2" t="s">
        <v>6</v>
      </c>
      <c r="J407" s="2" t="s">
        <v>5</v>
      </c>
      <c r="K407" s="2" t="s">
        <v>16</v>
      </c>
      <c r="L407" s="2" t="s">
        <v>7</v>
      </c>
      <c r="N407" s="1" t="s">
        <v>2617</v>
      </c>
      <c r="O407" s="2" t="s">
        <v>1378</v>
      </c>
      <c r="P407" s="1" t="s">
        <v>1284</v>
      </c>
      <c r="Q407" s="2" t="s">
        <v>11</v>
      </c>
      <c r="R407" s="2" t="s">
        <v>78</v>
      </c>
      <c r="T407" s="2" t="s">
        <v>520</v>
      </c>
      <c r="U407" s="3">
        <v>2</v>
      </c>
      <c r="V407" s="3">
        <v>2</v>
      </c>
      <c r="W407" s="4" t="s">
        <v>5032</v>
      </c>
      <c r="X407" s="4" t="s">
        <v>5032</v>
      </c>
      <c r="Y407" s="4" t="s">
        <v>5032</v>
      </c>
      <c r="Z407" s="4" t="s">
        <v>5032</v>
      </c>
      <c r="AA407" s="3">
        <v>101</v>
      </c>
      <c r="AB407" s="3">
        <v>78</v>
      </c>
      <c r="AC407" s="3">
        <v>200</v>
      </c>
      <c r="AD407" s="3">
        <v>1</v>
      </c>
      <c r="AE407" s="3">
        <v>1</v>
      </c>
      <c r="AF407" s="3">
        <v>3</v>
      </c>
      <c r="AG407" s="3">
        <v>4</v>
      </c>
      <c r="AH407" s="3">
        <v>0</v>
      </c>
      <c r="AI407" s="3">
        <v>1</v>
      </c>
      <c r="AJ407" s="3">
        <v>0</v>
      </c>
      <c r="AK407" s="3">
        <v>0</v>
      </c>
      <c r="AL407" s="3">
        <v>3</v>
      </c>
      <c r="AM407" s="3">
        <v>3</v>
      </c>
      <c r="AN407" s="3">
        <v>0</v>
      </c>
      <c r="AO407" s="3">
        <v>0</v>
      </c>
      <c r="AP407" s="3">
        <v>0</v>
      </c>
      <c r="AQ407" s="3">
        <v>0</v>
      </c>
      <c r="AR407" s="2" t="s">
        <v>5</v>
      </c>
      <c r="AS407" s="2" t="s">
        <v>5</v>
      </c>
      <c r="AU407" s="5" t="str">
        <f>HYPERLINK("https://creighton-primo.hosted.exlibrisgroup.com/primo-explore/search?tab=default_tab&amp;search_scope=EVERYTHING&amp;vid=01CRU&amp;lang=en_US&amp;offset=0&amp;query=any,contains,991000598029702656","Catalog Record")</f>
        <v>Catalog Record</v>
      </c>
      <c r="AV407" s="5" t="str">
        <f>HYPERLINK("http://www.worldcat.org/oclc/38386695","WorldCat Record")</f>
        <v>WorldCat Record</v>
      </c>
      <c r="AW407" s="2" t="s">
        <v>5033</v>
      </c>
      <c r="AX407" s="2" t="s">
        <v>5034</v>
      </c>
      <c r="AY407" s="2" t="s">
        <v>5035</v>
      </c>
      <c r="AZ407" s="2" t="s">
        <v>5035</v>
      </c>
      <c r="BA407" s="2" t="s">
        <v>5036</v>
      </c>
      <c r="BB407" s="2" t="s">
        <v>21</v>
      </c>
      <c r="BD407" s="2" t="s">
        <v>5037</v>
      </c>
      <c r="BE407" s="2" t="s">
        <v>5038</v>
      </c>
      <c r="BF407" s="2" t="s">
        <v>5039</v>
      </c>
    </row>
    <row r="408" spans="1:58" ht="41.25" customHeight="1" x14ac:dyDescent="0.25">
      <c r="A408" s="8" t="s">
        <v>5</v>
      </c>
      <c r="B408" s="1" t="s">
        <v>0</v>
      </c>
      <c r="C408" s="1" t="s">
        <v>1</v>
      </c>
      <c r="D408" s="1" t="s">
        <v>5040</v>
      </c>
      <c r="E408" s="1" t="s">
        <v>5041</v>
      </c>
      <c r="F408" s="1" t="s">
        <v>5042</v>
      </c>
      <c r="H408" s="2" t="s">
        <v>5</v>
      </c>
      <c r="I408" s="2" t="s">
        <v>6</v>
      </c>
      <c r="J408" s="2" t="s">
        <v>5</v>
      </c>
      <c r="K408" s="2" t="s">
        <v>5</v>
      </c>
      <c r="L408" s="2" t="s">
        <v>7</v>
      </c>
      <c r="M408" s="1" t="s">
        <v>5043</v>
      </c>
      <c r="N408" s="1" t="s">
        <v>5044</v>
      </c>
      <c r="O408" s="2" t="s">
        <v>1283</v>
      </c>
      <c r="Q408" s="2" t="s">
        <v>11</v>
      </c>
      <c r="R408" s="2" t="s">
        <v>1325</v>
      </c>
      <c r="S408" s="1" t="s">
        <v>5045</v>
      </c>
      <c r="T408" s="2" t="s">
        <v>520</v>
      </c>
      <c r="U408" s="3">
        <v>1</v>
      </c>
      <c r="V408" s="3">
        <v>1</v>
      </c>
      <c r="W408" s="4" t="s">
        <v>5046</v>
      </c>
      <c r="X408" s="4" t="s">
        <v>5046</v>
      </c>
      <c r="Y408" s="4" t="s">
        <v>5046</v>
      </c>
      <c r="Z408" s="4" t="s">
        <v>5046</v>
      </c>
      <c r="AA408" s="3">
        <v>88</v>
      </c>
      <c r="AB408" s="3">
        <v>85</v>
      </c>
      <c r="AC408" s="3">
        <v>85</v>
      </c>
      <c r="AD408" s="3">
        <v>2</v>
      </c>
      <c r="AE408" s="3">
        <v>2</v>
      </c>
      <c r="AF408" s="3">
        <v>5</v>
      </c>
      <c r="AG408" s="3">
        <v>5</v>
      </c>
      <c r="AH408" s="3">
        <v>0</v>
      </c>
      <c r="AI408" s="3">
        <v>0</v>
      </c>
      <c r="AJ408" s="3">
        <v>1</v>
      </c>
      <c r="AK408" s="3">
        <v>1</v>
      </c>
      <c r="AL408" s="3">
        <v>4</v>
      </c>
      <c r="AM408" s="3">
        <v>4</v>
      </c>
      <c r="AN408" s="3">
        <v>0</v>
      </c>
      <c r="AO408" s="3">
        <v>0</v>
      </c>
      <c r="AP408" s="3">
        <v>0</v>
      </c>
      <c r="AQ408" s="3">
        <v>0</v>
      </c>
      <c r="AR408" s="2" t="s">
        <v>5</v>
      </c>
      <c r="AS408" s="2" t="s">
        <v>5</v>
      </c>
      <c r="AU408" s="5" t="str">
        <f>HYPERLINK("https://creighton-primo.hosted.exlibrisgroup.com/primo-explore/search?tab=default_tab&amp;search_scope=EVERYTHING&amp;vid=01CRU&amp;lang=en_US&amp;offset=0&amp;query=any,contains,991001132869702656","Catalog Record")</f>
        <v>Catalog Record</v>
      </c>
      <c r="AV408" s="5" t="str">
        <f>HYPERLINK("http://www.worldcat.org/oclc/37246929","WorldCat Record")</f>
        <v>WorldCat Record</v>
      </c>
      <c r="AW408" s="2" t="s">
        <v>5047</v>
      </c>
      <c r="AX408" s="2" t="s">
        <v>5048</v>
      </c>
      <c r="AY408" s="2" t="s">
        <v>5049</v>
      </c>
      <c r="AZ408" s="2" t="s">
        <v>5049</v>
      </c>
      <c r="BA408" s="2" t="s">
        <v>5050</v>
      </c>
      <c r="BB408" s="2" t="s">
        <v>21</v>
      </c>
      <c r="BE408" s="2" t="s">
        <v>5051</v>
      </c>
      <c r="BF408" s="2" t="s">
        <v>5052</v>
      </c>
    </row>
    <row r="409" spans="1:58" ht="41.25" customHeight="1" x14ac:dyDescent="0.25">
      <c r="A409" s="8" t="s">
        <v>5</v>
      </c>
      <c r="B409" s="1" t="s">
        <v>0</v>
      </c>
      <c r="C409" s="1" t="s">
        <v>1</v>
      </c>
      <c r="D409" s="1" t="s">
        <v>5053</v>
      </c>
      <c r="E409" s="1" t="s">
        <v>5054</v>
      </c>
      <c r="F409" s="1" t="s">
        <v>5055</v>
      </c>
      <c r="H409" s="2" t="s">
        <v>5</v>
      </c>
      <c r="I409" s="2" t="s">
        <v>6</v>
      </c>
      <c r="J409" s="2" t="s">
        <v>5</v>
      </c>
      <c r="K409" s="2" t="s">
        <v>16</v>
      </c>
      <c r="L409" s="2" t="s">
        <v>6</v>
      </c>
      <c r="M409" s="1" t="s">
        <v>3413</v>
      </c>
      <c r="N409" s="1" t="s">
        <v>5056</v>
      </c>
      <c r="O409" s="2" t="s">
        <v>1378</v>
      </c>
      <c r="P409" s="1" t="s">
        <v>1208</v>
      </c>
      <c r="Q409" s="2" t="s">
        <v>11</v>
      </c>
      <c r="R409" s="2" t="s">
        <v>3356</v>
      </c>
      <c r="T409" s="2" t="s">
        <v>520</v>
      </c>
      <c r="U409" s="3">
        <v>6</v>
      </c>
      <c r="V409" s="3">
        <v>6</v>
      </c>
      <c r="W409" s="4" t="s">
        <v>5057</v>
      </c>
      <c r="X409" s="4" t="s">
        <v>5057</v>
      </c>
      <c r="Y409" s="4" t="s">
        <v>5058</v>
      </c>
      <c r="Z409" s="4" t="s">
        <v>5058</v>
      </c>
      <c r="AA409" s="3">
        <v>398</v>
      </c>
      <c r="AB409" s="3">
        <v>299</v>
      </c>
      <c r="AC409" s="3">
        <v>721</v>
      </c>
      <c r="AD409" s="3">
        <v>2</v>
      </c>
      <c r="AE409" s="3">
        <v>3</v>
      </c>
      <c r="AF409" s="3">
        <v>6</v>
      </c>
      <c r="AG409" s="3">
        <v>25</v>
      </c>
      <c r="AH409" s="3">
        <v>4</v>
      </c>
      <c r="AI409" s="3">
        <v>13</v>
      </c>
      <c r="AJ409" s="3">
        <v>1</v>
      </c>
      <c r="AK409" s="3">
        <v>4</v>
      </c>
      <c r="AL409" s="3">
        <v>2</v>
      </c>
      <c r="AM409" s="3">
        <v>14</v>
      </c>
      <c r="AN409" s="3">
        <v>0</v>
      </c>
      <c r="AO409" s="3">
        <v>1</v>
      </c>
      <c r="AP409" s="3">
        <v>0</v>
      </c>
      <c r="AQ409" s="3">
        <v>0</v>
      </c>
      <c r="AR409" s="2" t="s">
        <v>5</v>
      </c>
      <c r="AS409" s="2" t="s">
        <v>16</v>
      </c>
      <c r="AT409" s="5" t="str">
        <f>HYPERLINK("http://catalog.hathitrust.org/Record/003193997","HathiTrust Record")</f>
        <v>HathiTrust Record</v>
      </c>
      <c r="AU409" s="5" t="str">
        <f>HYPERLINK("https://creighton-primo.hosted.exlibrisgroup.com/primo-explore/search?tab=default_tab&amp;search_scope=EVERYTHING&amp;vid=01CRU&amp;lang=en_US&amp;offset=0&amp;query=any,contains,991001277499702656","Catalog Record")</f>
        <v>Catalog Record</v>
      </c>
      <c r="AV409" s="5" t="str">
        <f>HYPERLINK("http://www.worldcat.org/oclc/36308123","WorldCat Record")</f>
        <v>WorldCat Record</v>
      </c>
      <c r="AW409" s="2" t="s">
        <v>3417</v>
      </c>
      <c r="AX409" s="2" t="s">
        <v>5059</v>
      </c>
      <c r="AY409" s="2" t="s">
        <v>5060</v>
      </c>
      <c r="AZ409" s="2" t="s">
        <v>5060</v>
      </c>
      <c r="BA409" s="2" t="s">
        <v>5061</v>
      </c>
      <c r="BB409" s="2" t="s">
        <v>21</v>
      </c>
      <c r="BD409" s="2" t="s">
        <v>5062</v>
      </c>
      <c r="BE409" s="2" t="s">
        <v>5063</v>
      </c>
      <c r="BF409" s="2" t="s">
        <v>5064</v>
      </c>
    </row>
    <row r="410" spans="1:58" ht="41.25" customHeight="1" x14ac:dyDescent="0.25">
      <c r="A410" s="8" t="s">
        <v>5</v>
      </c>
      <c r="B410" s="1" t="s">
        <v>0</v>
      </c>
      <c r="C410" s="1" t="s">
        <v>1</v>
      </c>
      <c r="D410" s="1" t="s">
        <v>5065</v>
      </c>
      <c r="E410" s="1" t="s">
        <v>5066</v>
      </c>
      <c r="F410" s="1" t="s">
        <v>5067</v>
      </c>
      <c r="H410" s="2" t="s">
        <v>5</v>
      </c>
      <c r="I410" s="2" t="s">
        <v>974</v>
      </c>
      <c r="J410" s="2" t="s">
        <v>5</v>
      </c>
      <c r="K410" s="2" t="s">
        <v>16</v>
      </c>
      <c r="L410" s="2" t="s">
        <v>6</v>
      </c>
      <c r="M410" s="1" t="s">
        <v>3413</v>
      </c>
      <c r="N410" s="1" t="s">
        <v>5068</v>
      </c>
      <c r="O410" s="2" t="s">
        <v>1046</v>
      </c>
      <c r="P410" s="1" t="s">
        <v>1284</v>
      </c>
      <c r="Q410" s="2" t="s">
        <v>11</v>
      </c>
      <c r="R410" s="2" t="s">
        <v>229</v>
      </c>
      <c r="T410" s="2" t="s">
        <v>520</v>
      </c>
      <c r="U410" s="3">
        <v>0</v>
      </c>
      <c r="V410" s="3">
        <v>0</v>
      </c>
      <c r="W410" s="4" t="s">
        <v>5069</v>
      </c>
      <c r="X410" s="4" t="s">
        <v>5069</v>
      </c>
      <c r="Y410" s="4" t="s">
        <v>5069</v>
      </c>
      <c r="Z410" s="4" t="s">
        <v>5069</v>
      </c>
      <c r="AA410" s="3">
        <v>541</v>
      </c>
      <c r="AB410" s="3">
        <v>407</v>
      </c>
      <c r="AC410" s="3">
        <v>721</v>
      </c>
      <c r="AD410" s="3">
        <v>1</v>
      </c>
      <c r="AE410" s="3">
        <v>3</v>
      </c>
      <c r="AF410" s="3">
        <v>21</v>
      </c>
      <c r="AG410" s="3">
        <v>25</v>
      </c>
      <c r="AH410" s="3">
        <v>11</v>
      </c>
      <c r="AI410" s="3">
        <v>13</v>
      </c>
      <c r="AJ410" s="3">
        <v>3</v>
      </c>
      <c r="AK410" s="3">
        <v>4</v>
      </c>
      <c r="AL410" s="3">
        <v>13</v>
      </c>
      <c r="AM410" s="3">
        <v>14</v>
      </c>
      <c r="AN410" s="3">
        <v>1</v>
      </c>
      <c r="AO410" s="3">
        <v>1</v>
      </c>
      <c r="AP410" s="3">
        <v>0</v>
      </c>
      <c r="AQ410" s="3">
        <v>0</v>
      </c>
      <c r="AR410" s="2" t="s">
        <v>5</v>
      </c>
      <c r="AS410" s="2" t="s">
        <v>16</v>
      </c>
      <c r="AT410" s="5" t="str">
        <f>HYPERLINK("http://catalog.hathitrust.org/Record/004277316","HathiTrust Record")</f>
        <v>HathiTrust Record</v>
      </c>
      <c r="AU410" s="5" t="str">
        <f>HYPERLINK("https://creighton-primo.hosted.exlibrisgroup.com/primo-explore/search?tab=default_tab&amp;search_scope=EVERYTHING&amp;vid=01CRU&amp;lang=en_US&amp;offset=0&amp;query=any,contains,991001721629702656","Catalog Record")</f>
        <v>Catalog Record</v>
      </c>
      <c r="AV410" s="5" t="str">
        <f>HYPERLINK("http://www.worldcat.org/oclc/49322510","WorldCat Record")</f>
        <v>WorldCat Record</v>
      </c>
      <c r="AW410" s="2" t="s">
        <v>3417</v>
      </c>
      <c r="AX410" s="2" t="s">
        <v>5070</v>
      </c>
      <c r="AY410" s="2" t="s">
        <v>5071</v>
      </c>
      <c r="AZ410" s="2" t="s">
        <v>5071</v>
      </c>
      <c r="BA410" s="2" t="s">
        <v>5072</v>
      </c>
      <c r="BB410" s="2" t="s">
        <v>21</v>
      </c>
      <c r="BD410" s="2" t="s">
        <v>5073</v>
      </c>
      <c r="BE410" s="2" t="s">
        <v>5074</v>
      </c>
      <c r="BF410" s="2" t="s">
        <v>5075</v>
      </c>
    </row>
    <row r="411" spans="1:58" ht="41.25" customHeight="1" x14ac:dyDescent="0.25">
      <c r="A411" s="8" t="s">
        <v>5</v>
      </c>
      <c r="B411" s="1" t="s">
        <v>0</v>
      </c>
      <c r="C411" s="1" t="s">
        <v>1</v>
      </c>
      <c r="D411" s="1" t="s">
        <v>5076</v>
      </c>
      <c r="E411" s="1" t="s">
        <v>5077</v>
      </c>
      <c r="F411" s="1" t="s">
        <v>5078</v>
      </c>
      <c r="H411" s="2" t="s">
        <v>5</v>
      </c>
      <c r="I411" s="2" t="s">
        <v>6</v>
      </c>
      <c r="J411" s="2" t="s">
        <v>5</v>
      </c>
      <c r="K411" s="2" t="s">
        <v>5</v>
      </c>
      <c r="L411" s="2" t="s">
        <v>7</v>
      </c>
      <c r="M411" s="1" t="s">
        <v>5079</v>
      </c>
      <c r="N411" s="1" t="s">
        <v>5080</v>
      </c>
      <c r="O411" s="2" t="s">
        <v>1863</v>
      </c>
      <c r="P411" s="1" t="s">
        <v>211</v>
      </c>
      <c r="Q411" s="2" t="s">
        <v>11</v>
      </c>
      <c r="R411" s="2" t="s">
        <v>31</v>
      </c>
      <c r="T411" s="2" t="s">
        <v>520</v>
      </c>
      <c r="U411" s="3">
        <v>2</v>
      </c>
      <c r="V411" s="3">
        <v>2</v>
      </c>
      <c r="W411" s="4" t="s">
        <v>5081</v>
      </c>
      <c r="X411" s="4" t="s">
        <v>5081</v>
      </c>
      <c r="Y411" s="4" t="s">
        <v>2140</v>
      </c>
      <c r="Z411" s="4" t="s">
        <v>2140</v>
      </c>
      <c r="AA411" s="3">
        <v>185</v>
      </c>
      <c r="AB411" s="3">
        <v>156</v>
      </c>
      <c r="AC411" s="3">
        <v>295</v>
      </c>
      <c r="AD411" s="3">
        <v>1</v>
      </c>
      <c r="AE411" s="3">
        <v>1</v>
      </c>
      <c r="AF411" s="3">
        <v>8</v>
      </c>
      <c r="AG411" s="3">
        <v>10</v>
      </c>
      <c r="AH411" s="3">
        <v>2</v>
      </c>
      <c r="AI411" s="3">
        <v>3</v>
      </c>
      <c r="AJ411" s="3">
        <v>1</v>
      </c>
      <c r="AK411" s="3">
        <v>2</v>
      </c>
      <c r="AL411" s="3">
        <v>7</v>
      </c>
      <c r="AM411" s="3">
        <v>7</v>
      </c>
      <c r="AN411" s="3">
        <v>0</v>
      </c>
      <c r="AO411" s="3">
        <v>0</v>
      </c>
      <c r="AP411" s="3">
        <v>0</v>
      </c>
      <c r="AQ411" s="3">
        <v>0</v>
      </c>
      <c r="AR411" s="2" t="s">
        <v>5</v>
      </c>
      <c r="AS411" s="2" t="s">
        <v>16</v>
      </c>
      <c r="AT411" s="5" t="str">
        <f>HYPERLINK("http://catalog.hathitrust.org/Record/004116025","HathiTrust Record")</f>
        <v>HathiTrust Record</v>
      </c>
      <c r="AU411" s="5" t="str">
        <f>HYPERLINK("https://creighton-primo.hosted.exlibrisgroup.com/primo-explore/search?tab=default_tab&amp;search_scope=EVERYTHING&amp;vid=01CRU&amp;lang=en_US&amp;offset=0&amp;query=any,contains,991000319739702656","Catalog Record")</f>
        <v>Catalog Record</v>
      </c>
      <c r="AV411" s="5" t="str">
        <f>HYPERLINK("http://www.worldcat.org/oclc/44779689","WorldCat Record")</f>
        <v>WorldCat Record</v>
      </c>
      <c r="AW411" s="2" t="s">
        <v>5082</v>
      </c>
      <c r="AX411" s="2" t="s">
        <v>5083</v>
      </c>
      <c r="AY411" s="2" t="s">
        <v>5084</v>
      </c>
      <c r="AZ411" s="2" t="s">
        <v>5084</v>
      </c>
      <c r="BA411" s="2" t="s">
        <v>5085</v>
      </c>
      <c r="BB411" s="2" t="s">
        <v>21</v>
      </c>
      <c r="BD411" s="2" t="s">
        <v>5086</v>
      </c>
      <c r="BE411" s="2" t="s">
        <v>5087</v>
      </c>
      <c r="BF411" s="2" t="s">
        <v>5088</v>
      </c>
    </row>
    <row r="412" spans="1:58" ht="41.25" customHeight="1" x14ac:dyDescent="0.25">
      <c r="A412" s="8" t="s">
        <v>5</v>
      </c>
      <c r="B412" s="1" t="s">
        <v>0</v>
      </c>
      <c r="C412" s="1" t="s">
        <v>1</v>
      </c>
      <c r="D412" s="1" t="s">
        <v>5089</v>
      </c>
      <c r="E412" s="1" t="s">
        <v>5090</v>
      </c>
      <c r="F412" s="1" t="s">
        <v>5091</v>
      </c>
      <c r="H412" s="2" t="s">
        <v>5</v>
      </c>
      <c r="I412" s="2" t="s">
        <v>6</v>
      </c>
      <c r="J412" s="2" t="s">
        <v>5</v>
      </c>
      <c r="K412" s="2" t="s">
        <v>16</v>
      </c>
      <c r="L412" s="2" t="s">
        <v>7</v>
      </c>
      <c r="N412" s="1" t="s">
        <v>5092</v>
      </c>
      <c r="O412" s="2" t="s">
        <v>1195</v>
      </c>
      <c r="P412" s="1" t="s">
        <v>771</v>
      </c>
      <c r="Q412" s="2" t="s">
        <v>11</v>
      </c>
      <c r="R412" s="2" t="s">
        <v>78</v>
      </c>
      <c r="T412" s="2" t="s">
        <v>520</v>
      </c>
      <c r="U412" s="3">
        <v>9</v>
      </c>
      <c r="V412" s="3">
        <v>9</v>
      </c>
      <c r="W412" s="4" t="s">
        <v>5093</v>
      </c>
      <c r="X412" s="4" t="s">
        <v>5093</v>
      </c>
      <c r="Y412" s="4" t="s">
        <v>5094</v>
      </c>
      <c r="Z412" s="4" t="s">
        <v>5094</v>
      </c>
      <c r="AA412" s="3">
        <v>303</v>
      </c>
      <c r="AB412" s="3">
        <v>233</v>
      </c>
      <c r="AC412" s="3">
        <v>1521</v>
      </c>
      <c r="AD412" s="3">
        <v>2</v>
      </c>
      <c r="AE412" s="3">
        <v>12</v>
      </c>
      <c r="AF412" s="3">
        <v>4</v>
      </c>
      <c r="AG412" s="3">
        <v>44</v>
      </c>
      <c r="AH412" s="3">
        <v>2</v>
      </c>
      <c r="AI412" s="3">
        <v>18</v>
      </c>
      <c r="AJ412" s="3">
        <v>1</v>
      </c>
      <c r="AK412" s="3">
        <v>8</v>
      </c>
      <c r="AL412" s="3">
        <v>2</v>
      </c>
      <c r="AM412" s="3">
        <v>17</v>
      </c>
      <c r="AN412" s="3">
        <v>0</v>
      </c>
      <c r="AO412" s="3">
        <v>9</v>
      </c>
      <c r="AP412" s="3">
        <v>0</v>
      </c>
      <c r="AQ412" s="3">
        <v>0</v>
      </c>
      <c r="AR412" s="2" t="s">
        <v>5</v>
      </c>
      <c r="AS412" s="2" t="s">
        <v>16</v>
      </c>
      <c r="AT412" s="5" t="str">
        <f>HYPERLINK("http://catalog.hathitrust.org/Record/004068952","HathiTrust Record")</f>
        <v>HathiTrust Record</v>
      </c>
      <c r="AU412" s="5" t="str">
        <f>HYPERLINK("https://creighton-primo.hosted.exlibrisgroup.com/primo-explore/search?tab=default_tab&amp;search_scope=EVERYTHING&amp;vid=01CRU&amp;lang=en_US&amp;offset=0&amp;query=any,contains,991001443149702656","Catalog Record")</f>
        <v>Catalog Record</v>
      </c>
      <c r="AV412" s="5" t="str">
        <f>HYPERLINK("http://www.worldcat.org/oclc/41606498","WorldCat Record")</f>
        <v>WorldCat Record</v>
      </c>
      <c r="AW412" s="2" t="s">
        <v>5095</v>
      </c>
      <c r="AX412" s="2" t="s">
        <v>5096</v>
      </c>
      <c r="AY412" s="2" t="s">
        <v>5097</v>
      </c>
      <c r="AZ412" s="2" t="s">
        <v>5097</v>
      </c>
      <c r="BA412" s="2" t="s">
        <v>5098</v>
      </c>
      <c r="BB412" s="2" t="s">
        <v>21</v>
      </c>
      <c r="BD412" s="2" t="s">
        <v>5099</v>
      </c>
      <c r="BE412" s="2" t="s">
        <v>5100</v>
      </c>
      <c r="BF412" s="2" t="s">
        <v>5101</v>
      </c>
    </row>
    <row r="413" spans="1:58" ht="41.25" customHeight="1" x14ac:dyDescent="0.25">
      <c r="A413" s="8" t="s">
        <v>5</v>
      </c>
      <c r="B413" s="1" t="s">
        <v>0</v>
      </c>
      <c r="C413" s="1" t="s">
        <v>1</v>
      </c>
      <c r="D413" s="1" t="s">
        <v>5102</v>
      </c>
      <c r="E413" s="1" t="s">
        <v>5103</v>
      </c>
      <c r="F413" s="1" t="s">
        <v>5091</v>
      </c>
      <c r="H413" s="2" t="s">
        <v>5</v>
      </c>
      <c r="I413" s="2" t="s">
        <v>6</v>
      </c>
      <c r="J413" s="2" t="s">
        <v>5</v>
      </c>
      <c r="K413" s="2" t="s">
        <v>16</v>
      </c>
      <c r="L413" s="2" t="s">
        <v>7</v>
      </c>
      <c r="N413" s="1" t="s">
        <v>4989</v>
      </c>
      <c r="O413" s="2" t="s">
        <v>4990</v>
      </c>
      <c r="P413" s="1" t="s">
        <v>1652</v>
      </c>
      <c r="Q413" s="2" t="s">
        <v>11</v>
      </c>
      <c r="R413" s="2" t="s">
        <v>78</v>
      </c>
      <c r="T413" s="2" t="s">
        <v>520</v>
      </c>
      <c r="U413" s="3">
        <v>10</v>
      </c>
      <c r="V413" s="3">
        <v>10</v>
      </c>
      <c r="W413" s="4" t="s">
        <v>5104</v>
      </c>
      <c r="X413" s="4" t="s">
        <v>5104</v>
      </c>
      <c r="Y413" s="4" t="s">
        <v>5105</v>
      </c>
      <c r="Z413" s="4" t="s">
        <v>5105</v>
      </c>
      <c r="AA413" s="3">
        <v>298</v>
      </c>
      <c r="AB413" s="3">
        <v>229</v>
      </c>
      <c r="AC413" s="3">
        <v>1521</v>
      </c>
      <c r="AD413" s="3">
        <v>2</v>
      </c>
      <c r="AE413" s="3">
        <v>12</v>
      </c>
      <c r="AF413" s="3">
        <v>8</v>
      </c>
      <c r="AG413" s="3">
        <v>44</v>
      </c>
      <c r="AH413" s="3">
        <v>4</v>
      </c>
      <c r="AI413" s="3">
        <v>18</v>
      </c>
      <c r="AJ413" s="3">
        <v>1</v>
      </c>
      <c r="AK413" s="3">
        <v>8</v>
      </c>
      <c r="AL413" s="3">
        <v>3</v>
      </c>
      <c r="AM413" s="3">
        <v>17</v>
      </c>
      <c r="AN413" s="3">
        <v>1</v>
      </c>
      <c r="AO413" s="3">
        <v>9</v>
      </c>
      <c r="AP413" s="3">
        <v>0</v>
      </c>
      <c r="AQ413" s="3">
        <v>0</v>
      </c>
      <c r="AR413" s="2" t="s">
        <v>5</v>
      </c>
      <c r="AS413" s="2" t="s">
        <v>16</v>
      </c>
      <c r="AT413" s="5" t="str">
        <f>HYPERLINK("http://catalog.hathitrust.org/Record/003573823","HathiTrust Record")</f>
        <v>HathiTrust Record</v>
      </c>
      <c r="AU413" s="5" t="str">
        <f>HYPERLINK("https://creighton-primo.hosted.exlibrisgroup.com/primo-explore/search?tab=default_tab&amp;search_scope=EVERYTHING&amp;vid=01CRU&amp;lang=en_US&amp;offset=0&amp;query=any,contains,991000302329702656","Catalog Record")</f>
        <v>Catalog Record</v>
      </c>
      <c r="AV413" s="5" t="str">
        <f>HYPERLINK("http://www.worldcat.org/oclc/46970637","WorldCat Record")</f>
        <v>WorldCat Record</v>
      </c>
      <c r="AW413" s="2" t="s">
        <v>5095</v>
      </c>
      <c r="AX413" s="2" t="s">
        <v>5106</v>
      </c>
      <c r="AY413" s="2" t="s">
        <v>5107</v>
      </c>
      <c r="AZ413" s="2" t="s">
        <v>5107</v>
      </c>
      <c r="BA413" s="2" t="s">
        <v>5108</v>
      </c>
      <c r="BB413" s="2" t="s">
        <v>21</v>
      </c>
      <c r="BD413" s="2" t="s">
        <v>5109</v>
      </c>
      <c r="BE413" s="2" t="s">
        <v>5110</v>
      </c>
      <c r="BF413" s="2" t="s">
        <v>5111</v>
      </c>
    </row>
    <row r="414" spans="1:58" ht="41.25" customHeight="1" x14ac:dyDescent="0.25">
      <c r="A414" s="8" t="s">
        <v>5</v>
      </c>
      <c r="B414" s="1" t="s">
        <v>0</v>
      </c>
      <c r="C414" s="1" t="s">
        <v>1</v>
      </c>
      <c r="D414" s="1" t="s">
        <v>5112</v>
      </c>
      <c r="E414" s="1" t="s">
        <v>5113</v>
      </c>
      <c r="F414" s="1" t="s">
        <v>5114</v>
      </c>
      <c r="H414" s="2" t="s">
        <v>5</v>
      </c>
      <c r="I414" s="2" t="s">
        <v>6</v>
      </c>
      <c r="J414" s="2" t="s">
        <v>5</v>
      </c>
      <c r="K414" s="2" t="s">
        <v>5</v>
      </c>
      <c r="L414" s="2" t="s">
        <v>7</v>
      </c>
      <c r="N414" s="1" t="s">
        <v>5092</v>
      </c>
      <c r="O414" s="2" t="s">
        <v>1195</v>
      </c>
      <c r="P414" s="1" t="s">
        <v>901</v>
      </c>
      <c r="Q414" s="2" t="s">
        <v>11</v>
      </c>
      <c r="R414" s="2" t="s">
        <v>78</v>
      </c>
      <c r="S414" s="1" t="s">
        <v>5115</v>
      </c>
      <c r="T414" s="2" t="s">
        <v>520</v>
      </c>
      <c r="U414" s="3">
        <v>5</v>
      </c>
      <c r="V414" s="3">
        <v>5</v>
      </c>
      <c r="W414" s="4" t="s">
        <v>5116</v>
      </c>
      <c r="X414" s="4" t="s">
        <v>5116</v>
      </c>
      <c r="Y414" s="4" t="s">
        <v>5117</v>
      </c>
      <c r="Z414" s="4" t="s">
        <v>5117</v>
      </c>
      <c r="AA414" s="3">
        <v>91</v>
      </c>
      <c r="AB414" s="3">
        <v>62</v>
      </c>
      <c r="AC414" s="3">
        <v>251</v>
      </c>
      <c r="AD414" s="3">
        <v>1</v>
      </c>
      <c r="AE414" s="3">
        <v>1</v>
      </c>
      <c r="AF414" s="3">
        <v>3</v>
      </c>
      <c r="AG414" s="3">
        <v>11</v>
      </c>
      <c r="AH414" s="3">
        <v>1</v>
      </c>
      <c r="AI414" s="3">
        <v>3</v>
      </c>
      <c r="AJ414" s="3">
        <v>0</v>
      </c>
      <c r="AK414" s="3">
        <v>3</v>
      </c>
      <c r="AL414" s="3">
        <v>2</v>
      </c>
      <c r="AM414" s="3">
        <v>7</v>
      </c>
      <c r="AN414" s="3">
        <v>0</v>
      </c>
      <c r="AO414" s="3">
        <v>0</v>
      </c>
      <c r="AP414" s="3">
        <v>0</v>
      </c>
      <c r="AQ414" s="3">
        <v>0</v>
      </c>
      <c r="AR414" s="2" t="s">
        <v>5</v>
      </c>
      <c r="AS414" s="2" t="s">
        <v>5</v>
      </c>
      <c r="AU414" s="5" t="str">
        <f>HYPERLINK("https://creighton-primo.hosted.exlibrisgroup.com/primo-explore/search?tab=default_tab&amp;search_scope=EVERYTHING&amp;vid=01CRU&amp;lang=en_US&amp;offset=0&amp;query=any,contains,991001705769702656","Catalog Record")</f>
        <v>Catalog Record</v>
      </c>
      <c r="AV414" s="5" t="str">
        <f>HYPERLINK("http://www.worldcat.org/oclc/43905924","WorldCat Record")</f>
        <v>WorldCat Record</v>
      </c>
      <c r="AW414" s="2" t="s">
        <v>5118</v>
      </c>
      <c r="AX414" s="2" t="s">
        <v>5119</v>
      </c>
      <c r="AY414" s="2" t="s">
        <v>5120</v>
      </c>
      <c r="AZ414" s="2" t="s">
        <v>5120</v>
      </c>
      <c r="BA414" s="2" t="s">
        <v>5121</v>
      </c>
      <c r="BB414" s="2" t="s">
        <v>21</v>
      </c>
      <c r="BD414" s="2" t="s">
        <v>5122</v>
      </c>
      <c r="BE414" s="2" t="s">
        <v>5123</v>
      </c>
      <c r="BF414" s="2" t="s">
        <v>5124</v>
      </c>
    </row>
    <row r="415" spans="1:58" ht="41.25" customHeight="1" x14ac:dyDescent="0.25">
      <c r="A415" s="8" t="s">
        <v>5</v>
      </c>
      <c r="B415" s="1" t="s">
        <v>0</v>
      </c>
      <c r="C415" s="1" t="s">
        <v>1</v>
      </c>
      <c r="D415" s="1" t="s">
        <v>5125</v>
      </c>
      <c r="E415" s="1" t="s">
        <v>5126</v>
      </c>
      <c r="F415" s="1" t="s">
        <v>5127</v>
      </c>
      <c r="H415" s="2" t="s">
        <v>5</v>
      </c>
      <c r="I415" s="2" t="s">
        <v>6</v>
      </c>
      <c r="J415" s="2" t="s">
        <v>5</v>
      </c>
      <c r="K415" s="2" t="s">
        <v>5</v>
      </c>
      <c r="L415" s="2" t="s">
        <v>7</v>
      </c>
      <c r="N415" s="1" t="s">
        <v>5128</v>
      </c>
      <c r="O415" s="2" t="s">
        <v>1060</v>
      </c>
      <c r="Q415" s="2" t="s">
        <v>11</v>
      </c>
      <c r="R415" s="2" t="s">
        <v>5129</v>
      </c>
      <c r="S415" s="1" t="s">
        <v>5130</v>
      </c>
      <c r="T415" s="2" t="s">
        <v>520</v>
      </c>
      <c r="U415" s="3">
        <v>1</v>
      </c>
      <c r="V415" s="3">
        <v>1</v>
      </c>
      <c r="W415" s="4" t="s">
        <v>5131</v>
      </c>
      <c r="X415" s="4" t="s">
        <v>5131</v>
      </c>
      <c r="Y415" s="4" t="s">
        <v>5132</v>
      </c>
      <c r="Z415" s="4" t="s">
        <v>5132</v>
      </c>
      <c r="AA415" s="3">
        <v>16</v>
      </c>
      <c r="AB415" s="3">
        <v>16</v>
      </c>
      <c r="AC415" s="3">
        <v>16</v>
      </c>
      <c r="AD415" s="3">
        <v>1</v>
      </c>
      <c r="AE415" s="3">
        <v>1</v>
      </c>
      <c r="AF415" s="3">
        <v>1</v>
      </c>
      <c r="AG415" s="3">
        <v>1</v>
      </c>
      <c r="AH415" s="3">
        <v>0</v>
      </c>
      <c r="AI415" s="3">
        <v>0</v>
      </c>
      <c r="AJ415" s="3">
        <v>0</v>
      </c>
      <c r="AK415" s="3">
        <v>0</v>
      </c>
      <c r="AL415" s="3">
        <v>1</v>
      </c>
      <c r="AM415" s="3">
        <v>1</v>
      </c>
      <c r="AN415" s="3">
        <v>0</v>
      </c>
      <c r="AO415" s="3">
        <v>0</v>
      </c>
      <c r="AP415" s="3">
        <v>0</v>
      </c>
      <c r="AQ415" s="3">
        <v>0</v>
      </c>
      <c r="AR415" s="2" t="s">
        <v>5</v>
      </c>
      <c r="AS415" s="2" t="s">
        <v>5</v>
      </c>
      <c r="AU415" s="5" t="str">
        <f>HYPERLINK("https://creighton-primo.hosted.exlibrisgroup.com/primo-explore/search?tab=default_tab&amp;search_scope=EVERYTHING&amp;vid=01CRU&amp;lang=en_US&amp;offset=0&amp;query=any,contains,991001470379702656","Catalog Record")</f>
        <v>Catalog Record</v>
      </c>
      <c r="AV415" s="5" t="str">
        <f>HYPERLINK("http://www.worldcat.org/oclc/74281919","WorldCat Record")</f>
        <v>WorldCat Record</v>
      </c>
      <c r="AW415" s="2" t="s">
        <v>5133</v>
      </c>
      <c r="AX415" s="2" t="s">
        <v>5134</v>
      </c>
      <c r="AY415" s="2" t="s">
        <v>5135</v>
      </c>
      <c r="AZ415" s="2" t="s">
        <v>5135</v>
      </c>
      <c r="BA415" s="2" t="s">
        <v>5136</v>
      </c>
      <c r="BB415" s="2" t="s">
        <v>21</v>
      </c>
      <c r="BD415" s="2" t="s">
        <v>5137</v>
      </c>
      <c r="BE415" s="2" t="s">
        <v>5138</v>
      </c>
      <c r="BF415" s="2" t="s">
        <v>5139</v>
      </c>
    </row>
    <row r="416" spans="1:58" ht="41.25" customHeight="1" x14ac:dyDescent="0.25">
      <c r="A416" s="8" t="s">
        <v>5</v>
      </c>
      <c r="B416" s="1" t="s">
        <v>0</v>
      </c>
      <c r="C416" s="1" t="s">
        <v>1</v>
      </c>
      <c r="D416" s="1" t="s">
        <v>5140</v>
      </c>
      <c r="E416" s="1" t="s">
        <v>5141</v>
      </c>
      <c r="F416" s="1" t="s">
        <v>5142</v>
      </c>
      <c r="H416" s="2" t="s">
        <v>5</v>
      </c>
      <c r="I416" s="2" t="s">
        <v>6</v>
      </c>
      <c r="J416" s="2" t="s">
        <v>5</v>
      </c>
      <c r="K416" s="2" t="s">
        <v>5</v>
      </c>
      <c r="L416" s="2" t="s">
        <v>7</v>
      </c>
      <c r="N416" s="1" t="s">
        <v>5143</v>
      </c>
      <c r="O416" s="2" t="s">
        <v>1195</v>
      </c>
      <c r="Q416" s="2" t="s">
        <v>11</v>
      </c>
      <c r="R416" s="2" t="s">
        <v>271</v>
      </c>
      <c r="S416" s="1" t="s">
        <v>5144</v>
      </c>
      <c r="T416" s="2" t="s">
        <v>520</v>
      </c>
      <c r="U416" s="3">
        <v>4</v>
      </c>
      <c r="V416" s="3">
        <v>4</v>
      </c>
      <c r="W416" s="4" t="s">
        <v>5145</v>
      </c>
      <c r="X416" s="4" t="s">
        <v>5145</v>
      </c>
      <c r="Y416" s="4" t="s">
        <v>5146</v>
      </c>
      <c r="Z416" s="4" t="s">
        <v>5146</v>
      </c>
      <c r="AA416" s="3">
        <v>195</v>
      </c>
      <c r="AB416" s="3">
        <v>187</v>
      </c>
      <c r="AC416" s="3">
        <v>189</v>
      </c>
      <c r="AD416" s="3">
        <v>1</v>
      </c>
      <c r="AE416" s="3">
        <v>1</v>
      </c>
      <c r="AF416" s="3">
        <v>3</v>
      </c>
      <c r="AG416" s="3">
        <v>3</v>
      </c>
      <c r="AH416" s="3">
        <v>1</v>
      </c>
      <c r="AI416" s="3">
        <v>1</v>
      </c>
      <c r="AJ416" s="3">
        <v>2</v>
      </c>
      <c r="AK416" s="3">
        <v>2</v>
      </c>
      <c r="AL416" s="3">
        <v>1</v>
      </c>
      <c r="AM416" s="3">
        <v>1</v>
      </c>
      <c r="AN416" s="3">
        <v>0</v>
      </c>
      <c r="AO416" s="3">
        <v>0</v>
      </c>
      <c r="AP416" s="3">
        <v>0</v>
      </c>
      <c r="AQ416" s="3">
        <v>0</v>
      </c>
      <c r="AR416" s="2" t="s">
        <v>5</v>
      </c>
      <c r="AS416" s="2" t="s">
        <v>5</v>
      </c>
      <c r="AU416" s="5" t="str">
        <f>HYPERLINK("https://creighton-primo.hosted.exlibrisgroup.com/primo-explore/search?tab=default_tab&amp;search_scope=EVERYTHING&amp;vid=01CRU&amp;lang=en_US&amp;offset=0&amp;query=any,contains,991000306499702656","Catalog Record")</f>
        <v>Catalog Record</v>
      </c>
      <c r="AV416" s="5" t="str">
        <f>HYPERLINK("http://www.worldcat.org/oclc/42365926","WorldCat Record")</f>
        <v>WorldCat Record</v>
      </c>
      <c r="AW416" s="2" t="s">
        <v>5147</v>
      </c>
      <c r="AX416" s="2" t="s">
        <v>5148</v>
      </c>
      <c r="AY416" s="2" t="s">
        <v>5149</v>
      </c>
      <c r="AZ416" s="2" t="s">
        <v>5149</v>
      </c>
      <c r="BA416" s="2" t="s">
        <v>5150</v>
      </c>
      <c r="BB416" s="2" t="s">
        <v>21</v>
      </c>
      <c r="BD416" s="2" t="s">
        <v>5151</v>
      </c>
      <c r="BE416" s="2" t="s">
        <v>5152</v>
      </c>
      <c r="BF416" s="2" t="s">
        <v>5153</v>
      </c>
    </row>
    <row r="417" spans="1:58" ht="41.25" customHeight="1" x14ac:dyDescent="0.25">
      <c r="A417" s="8" t="s">
        <v>5</v>
      </c>
      <c r="B417" s="1" t="s">
        <v>0</v>
      </c>
      <c r="C417" s="1" t="s">
        <v>1</v>
      </c>
      <c r="D417" s="1" t="s">
        <v>5154</v>
      </c>
      <c r="E417" s="1" t="s">
        <v>5155</v>
      </c>
      <c r="F417" s="1" t="s">
        <v>5156</v>
      </c>
      <c r="H417" s="2" t="s">
        <v>5</v>
      </c>
      <c r="I417" s="2" t="s">
        <v>6</v>
      </c>
      <c r="J417" s="2" t="s">
        <v>5</v>
      </c>
      <c r="K417" s="2" t="s">
        <v>5</v>
      </c>
      <c r="L417" s="2" t="s">
        <v>7</v>
      </c>
      <c r="M417" s="1" t="s">
        <v>5157</v>
      </c>
      <c r="N417" s="1" t="s">
        <v>1729</v>
      </c>
      <c r="O417" s="2" t="s">
        <v>1378</v>
      </c>
      <c r="Q417" s="2" t="s">
        <v>11</v>
      </c>
      <c r="R417" s="2" t="s">
        <v>78</v>
      </c>
      <c r="T417" s="2" t="s">
        <v>520</v>
      </c>
      <c r="U417" s="3">
        <v>4</v>
      </c>
      <c r="V417" s="3">
        <v>4</v>
      </c>
      <c r="W417" s="4" t="s">
        <v>5158</v>
      </c>
      <c r="X417" s="4" t="s">
        <v>5158</v>
      </c>
      <c r="Y417" s="4" t="s">
        <v>5159</v>
      </c>
      <c r="Z417" s="4" t="s">
        <v>5159</v>
      </c>
      <c r="AA417" s="3">
        <v>190</v>
      </c>
      <c r="AB417" s="3">
        <v>132</v>
      </c>
      <c r="AC417" s="3">
        <v>137</v>
      </c>
      <c r="AD417" s="3">
        <v>1</v>
      </c>
      <c r="AE417" s="3">
        <v>1</v>
      </c>
      <c r="AF417" s="3">
        <v>4</v>
      </c>
      <c r="AG417" s="3">
        <v>4</v>
      </c>
      <c r="AH417" s="3">
        <v>0</v>
      </c>
      <c r="AI417" s="3">
        <v>0</v>
      </c>
      <c r="AJ417" s="3">
        <v>1</v>
      </c>
      <c r="AK417" s="3">
        <v>1</v>
      </c>
      <c r="AL417" s="3">
        <v>3</v>
      </c>
      <c r="AM417" s="3">
        <v>3</v>
      </c>
      <c r="AN417" s="3">
        <v>0</v>
      </c>
      <c r="AO417" s="3">
        <v>0</v>
      </c>
      <c r="AP417" s="3">
        <v>0</v>
      </c>
      <c r="AQ417" s="3">
        <v>0</v>
      </c>
      <c r="AR417" s="2" t="s">
        <v>5</v>
      </c>
      <c r="AS417" s="2" t="s">
        <v>5</v>
      </c>
      <c r="AU417" s="5" t="str">
        <f>HYPERLINK("https://creighton-primo.hosted.exlibrisgroup.com/primo-explore/search?tab=default_tab&amp;search_scope=EVERYTHING&amp;vid=01CRU&amp;lang=en_US&amp;offset=0&amp;query=any,contains,991001530859702656","Catalog Record")</f>
        <v>Catalog Record</v>
      </c>
      <c r="AV417" s="5" t="str">
        <f>HYPERLINK("http://www.worldcat.org/oclc/36923331","WorldCat Record")</f>
        <v>WorldCat Record</v>
      </c>
      <c r="AW417" s="2" t="s">
        <v>5160</v>
      </c>
      <c r="AX417" s="2" t="s">
        <v>5161</v>
      </c>
      <c r="AY417" s="2" t="s">
        <v>5162</v>
      </c>
      <c r="AZ417" s="2" t="s">
        <v>5162</v>
      </c>
      <c r="BA417" s="2" t="s">
        <v>5163</v>
      </c>
      <c r="BB417" s="2" t="s">
        <v>21</v>
      </c>
      <c r="BD417" s="2" t="s">
        <v>5164</v>
      </c>
      <c r="BE417" s="2" t="s">
        <v>5165</v>
      </c>
      <c r="BF417" s="2" t="s">
        <v>5166</v>
      </c>
    </row>
    <row r="418" spans="1:58" ht="41.25" customHeight="1" x14ac:dyDescent="0.25">
      <c r="A418" s="8" t="s">
        <v>5</v>
      </c>
      <c r="B418" s="1" t="s">
        <v>0</v>
      </c>
      <c r="C418" s="1" t="s">
        <v>1</v>
      </c>
      <c r="D418" s="1" t="s">
        <v>5167</v>
      </c>
      <c r="E418" s="1" t="s">
        <v>5168</v>
      </c>
      <c r="F418" s="1" t="s">
        <v>5169</v>
      </c>
      <c r="H418" s="2" t="s">
        <v>5</v>
      </c>
      <c r="I418" s="2" t="s">
        <v>6</v>
      </c>
      <c r="J418" s="2" t="s">
        <v>5</v>
      </c>
      <c r="K418" s="2" t="s">
        <v>5</v>
      </c>
      <c r="L418" s="2" t="s">
        <v>7</v>
      </c>
      <c r="N418" s="1" t="s">
        <v>5170</v>
      </c>
      <c r="O418" s="2" t="s">
        <v>4990</v>
      </c>
      <c r="P418" s="1" t="s">
        <v>211</v>
      </c>
      <c r="Q418" s="2" t="s">
        <v>11</v>
      </c>
      <c r="R418" s="2" t="s">
        <v>78</v>
      </c>
      <c r="T418" s="2" t="s">
        <v>520</v>
      </c>
      <c r="U418" s="3">
        <v>1</v>
      </c>
      <c r="V418" s="3">
        <v>1</v>
      </c>
      <c r="W418" s="4" t="s">
        <v>5171</v>
      </c>
      <c r="X418" s="4" t="s">
        <v>5171</v>
      </c>
      <c r="Y418" s="4" t="s">
        <v>5171</v>
      </c>
      <c r="Z418" s="4" t="s">
        <v>5171</v>
      </c>
      <c r="AA418" s="3">
        <v>199</v>
      </c>
      <c r="AB418" s="3">
        <v>181</v>
      </c>
      <c r="AC418" s="3">
        <v>392</v>
      </c>
      <c r="AD418" s="3">
        <v>1</v>
      </c>
      <c r="AE418" s="3">
        <v>2</v>
      </c>
      <c r="AF418" s="3">
        <v>4</v>
      </c>
      <c r="AG418" s="3">
        <v>4</v>
      </c>
      <c r="AH418" s="3">
        <v>2</v>
      </c>
      <c r="AI418" s="3">
        <v>2</v>
      </c>
      <c r="AJ418" s="3">
        <v>0</v>
      </c>
      <c r="AK418" s="3">
        <v>0</v>
      </c>
      <c r="AL418" s="3">
        <v>3</v>
      </c>
      <c r="AM418" s="3">
        <v>3</v>
      </c>
      <c r="AN418" s="3">
        <v>0</v>
      </c>
      <c r="AO418" s="3">
        <v>0</v>
      </c>
      <c r="AP418" s="3">
        <v>0</v>
      </c>
      <c r="AQ418" s="3">
        <v>0</v>
      </c>
      <c r="AR418" s="2" t="s">
        <v>5</v>
      </c>
      <c r="AS418" s="2" t="s">
        <v>16</v>
      </c>
      <c r="AT418" s="5" t="str">
        <f>HYPERLINK("http://catalog.hathitrust.org/Record/003570183","HathiTrust Record")</f>
        <v>HathiTrust Record</v>
      </c>
      <c r="AU418" s="5" t="str">
        <f>HYPERLINK("https://creighton-primo.hosted.exlibrisgroup.com/primo-explore/search?tab=default_tab&amp;search_scope=EVERYTHING&amp;vid=01CRU&amp;lang=en_US&amp;offset=0&amp;query=any,contains,991001555209702656","Catalog Record")</f>
        <v>Catalog Record</v>
      </c>
      <c r="AV418" s="5" t="str">
        <f>HYPERLINK("http://www.worldcat.org/oclc/47997965","WorldCat Record")</f>
        <v>WorldCat Record</v>
      </c>
      <c r="AW418" s="2" t="s">
        <v>5172</v>
      </c>
      <c r="AX418" s="2" t="s">
        <v>5173</v>
      </c>
      <c r="AY418" s="2" t="s">
        <v>5174</v>
      </c>
      <c r="AZ418" s="2" t="s">
        <v>5174</v>
      </c>
      <c r="BA418" s="2" t="s">
        <v>5175</v>
      </c>
      <c r="BB418" s="2" t="s">
        <v>21</v>
      </c>
      <c r="BD418" s="2" t="s">
        <v>5176</v>
      </c>
      <c r="BE418" s="2" t="s">
        <v>5177</v>
      </c>
      <c r="BF418" s="2" t="s">
        <v>5178</v>
      </c>
    </row>
    <row r="419" spans="1:58" ht="41.25" customHeight="1" x14ac:dyDescent="0.25">
      <c r="A419" s="8" t="s">
        <v>5</v>
      </c>
      <c r="B419" s="1" t="s">
        <v>0</v>
      </c>
      <c r="C419" s="1" t="s">
        <v>1</v>
      </c>
      <c r="D419" s="1" t="s">
        <v>5179</v>
      </c>
      <c r="E419" s="1" t="s">
        <v>5180</v>
      </c>
      <c r="F419" s="1" t="s">
        <v>5181</v>
      </c>
      <c r="H419" s="2" t="s">
        <v>5</v>
      </c>
      <c r="I419" s="2" t="s">
        <v>6</v>
      </c>
      <c r="J419" s="2" t="s">
        <v>5</v>
      </c>
      <c r="K419" s="2" t="s">
        <v>16</v>
      </c>
      <c r="L419" s="2" t="s">
        <v>7</v>
      </c>
      <c r="M419" s="1" t="s">
        <v>5182</v>
      </c>
      <c r="N419" s="1" t="s">
        <v>5017</v>
      </c>
      <c r="O419" s="2" t="s">
        <v>1004</v>
      </c>
      <c r="Q419" s="2" t="s">
        <v>11</v>
      </c>
      <c r="R419" s="2" t="s">
        <v>78</v>
      </c>
      <c r="T419" s="2" t="s">
        <v>520</v>
      </c>
      <c r="U419" s="3">
        <v>13</v>
      </c>
      <c r="V419" s="3">
        <v>13</v>
      </c>
      <c r="W419" s="4" t="s">
        <v>5183</v>
      </c>
      <c r="X419" s="4" t="s">
        <v>5183</v>
      </c>
      <c r="Y419" s="4" t="s">
        <v>5184</v>
      </c>
      <c r="Z419" s="4" t="s">
        <v>5184</v>
      </c>
      <c r="AA419" s="3">
        <v>80</v>
      </c>
      <c r="AB419" s="3">
        <v>73</v>
      </c>
      <c r="AC419" s="3">
        <v>227</v>
      </c>
      <c r="AD419" s="3">
        <v>2</v>
      </c>
      <c r="AE419" s="3">
        <v>4</v>
      </c>
      <c r="AF419" s="3">
        <v>2</v>
      </c>
      <c r="AG419" s="3">
        <v>5</v>
      </c>
      <c r="AH419" s="3">
        <v>0</v>
      </c>
      <c r="AI419" s="3">
        <v>1</v>
      </c>
      <c r="AJ419" s="3">
        <v>0</v>
      </c>
      <c r="AK419" s="3">
        <v>0</v>
      </c>
      <c r="AL419" s="3">
        <v>2</v>
      </c>
      <c r="AM419" s="3">
        <v>2</v>
      </c>
      <c r="AN419" s="3">
        <v>0</v>
      </c>
      <c r="AO419" s="3">
        <v>2</v>
      </c>
      <c r="AP419" s="3">
        <v>0</v>
      </c>
      <c r="AQ419" s="3">
        <v>0</v>
      </c>
      <c r="AR419" s="2" t="s">
        <v>5</v>
      </c>
      <c r="AS419" s="2" t="s">
        <v>5</v>
      </c>
      <c r="AU419" s="5" t="str">
        <f>HYPERLINK("https://creighton-primo.hosted.exlibrisgroup.com/primo-explore/search?tab=default_tab&amp;search_scope=EVERYTHING&amp;vid=01CRU&amp;lang=en_US&amp;offset=0&amp;query=any,contains,991001764159702656","Catalog Record")</f>
        <v>Catalog Record</v>
      </c>
      <c r="AV419" s="5" t="str">
        <f>HYPERLINK("http://www.worldcat.org/oclc/38562311","WorldCat Record")</f>
        <v>WorldCat Record</v>
      </c>
      <c r="AW419" s="2" t="s">
        <v>5185</v>
      </c>
      <c r="AX419" s="2" t="s">
        <v>5186</v>
      </c>
      <c r="AY419" s="2" t="s">
        <v>5187</v>
      </c>
      <c r="AZ419" s="2" t="s">
        <v>5187</v>
      </c>
      <c r="BA419" s="2" t="s">
        <v>5188</v>
      </c>
      <c r="BB419" s="2" t="s">
        <v>21</v>
      </c>
      <c r="BD419" s="2" t="s">
        <v>5189</v>
      </c>
      <c r="BE419" s="2" t="s">
        <v>5190</v>
      </c>
      <c r="BF419" s="2" t="s">
        <v>5191</v>
      </c>
    </row>
    <row r="420" spans="1:58" ht="41.25" customHeight="1" x14ac:dyDescent="0.25">
      <c r="A420" s="8" t="s">
        <v>5</v>
      </c>
      <c r="B420" s="1" t="s">
        <v>0</v>
      </c>
      <c r="C420" s="1" t="s">
        <v>1</v>
      </c>
      <c r="D420" s="1" t="s">
        <v>5192</v>
      </c>
      <c r="E420" s="1" t="s">
        <v>5193</v>
      </c>
      <c r="F420" s="1" t="s">
        <v>5194</v>
      </c>
      <c r="H420" s="2" t="s">
        <v>5</v>
      </c>
      <c r="I420" s="2" t="s">
        <v>6</v>
      </c>
      <c r="J420" s="2" t="s">
        <v>5</v>
      </c>
      <c r="K420" s="2" t="s">
        <v>16</v>
      </c>
      <c r="L420" s="2" t="s">
        <v>7</v>
      </c>
      <c r="M420" s="1" t="s">
        <v>5182</v>
      </c>
      <c r="N420" s="1" t="s">
        <v>5170</v>
      </c>
      <c r="O420" s="2" t="s">
        <v>4990</v>
      </c>
      <c r="P420" s="1" t="s">
        <v>211</v>
      </c>
      <c r="Q420" s="2" t="s">
        <v>11</v>
      </c>
      <c r="R420" s="2" t="s">
        <v>78</v>
      </c>
      <c r="T420" s="2" t="s">
        <v>520</v>
      </c>
      <c r="U420" s="3">
        <v>15</v>
      </c>
      <c r="V420" s="3">
        <v>15</v>
      </c>
      <c r="W420" s="4" t="s">
        <v>5195</v>
      </c>
      <c r="X420" s="4" t="s">
        <v>5195</v>
      </c>
      <c r="Y420" s="4" t="s">
        <v>4993</v>
      </c>
      <c r="Z420" s="4" t="s">
        <v>4993</v>
      </c>
      <c r="AA420" s="3">
        <v>103</v>
      </c>
      <c r="AB420" s="3">
        <v>92</v>
      </c>
      <c r="AC420" s="3">
        <v>227</v>
      </c>
      <c r="AD420" s="3">
        <v>1</v>
      </c>
      <c r="AE420" s="3">
        <v>4</v>
      </c>
      <c r="AF420" s="3">
        <v>1</v>
      </c>
      <c r="AG420" s="3">
        <v>5</v>
      </c>
      <c r="AH420" s="3">
        <v>1</v>
      </c>
      <c r="AI420" s="3">
        <v>1</v>
      </c>
      <c r="AJ420" s="3">
        <v>0</v>
      </c>
      <c r="AK420" s="3">
        <v>0</v>
      </c>
      <c r="AL420" s="3">
        <v>0</v>
      </c>
      <c r="AM420" s="3">
        <v>2</v>
      </c>
      <c r="AN420" s="3">
        <v>0</v>
      </c>
      <c r="AO420" s="3">
        <v>2</v>
      </c>
      <c r="AP420" s="3">
        <v>0</v>
      </c>
      <c r="AQ420" s="3">
        <v>0</v>
      </c>
      <c r="AR420" s="2" t="s">
        <v>5</v>
      </c>
      <c r="AS420" s="2" t="s">
        <v>5</v>
      </c>
      <c r="AU420" s="5" t="str">
        <f>HYPERLINK("https://creighton-primo.hosted.exlibrisgroup.com/primo-explore/search?tab=default_tab&amp;search_scope=EVERYTHING&amp;vid=01CRU&amp;lang=en_US&amp;offset=0&amp;query=any,contains,991000307859702656","Catalog Record")</f>
        <v>Catalog Record</v>
      </c>
      <c r="AV420" s="5" t="str">
        <f>HYPERLINK("http://www.worldcat.org/oclc/48503649","WorldCat Record")</f>
        <v>WorldCat Record</v>
      </c>
      <c r="AW420" s="2" t="s">
        <v>5185</v>
      </c>
      <c r="AX420" s="2" t="s">
        <v>5196</v>
      </c>
      <c r="AY420" s="2" t="s">
        <v>5197</v>
      </c>
      <c r="AZ420" s="2" t="s">
        <v>5197</v>
      </c>
      <c r="BA420" s="2" t="s">
        <v>5198</v>
      </c>
      <c r="BB420" s="2" t="s">
        <v>21</v>
      </c>
      <c r="BD420" s="2" t="s">
        <v>5199</v>
      </c>
      <c r="BE420" s="2" t="s">
        <v>5200</v>
      </c>
      <c r="BF420" s="2" t="s">
        <v>5201</v>
      </c>
    </row>
    <row r="421" spans="1:58" ht="41.25" customHeight="1" x14ac:dyDescent="0.25">
      <c r="A421" s="8" t="s">
        <v>5</v>
      </c>
      <c r="B421" s="1" t="s">
        <v>0</v>
      </c>
      <c r="C421" s="1" t="s">
        <v>1</v>
      </c>
      <c r="D421" s="1" t="s">
        <v>5202</v>
      </c>
      <c r="E421" s="1" t="s">
        <v>5203</v>
      </c>
      <c r="F421" s="1" t="s">
        <v>5204</v>
      </c>
      <c r="H421" s="2" t="s">
        <v>5</v>
      </c>
      <c r="I421" s="2" t="s">
        <v>6</v>
      </c>
      <c r="J421" s="2" t="s">
        <v>5</v>
      </c>
      <c r="K421" s="2" t="s">
        <v>16</v>
      </c>
      <c r="L421" s="2" t="s">
        <v>7</v>
      </c>
      <c r="M421" s="1" t="s">
        <v>5205</v>
      </c>
      <c r="N421" s="1" t="s">
        <v>5206</v>
      </c>
      <c r="O421" s="2" t="s">
        <v>1863</v>
      </c>
      <c r="P421" s="1" t="s">
        <v>108</v>
      </c>
      <c r="Q421" s="2" t="s">
        <v>11</v>
      </c>
      <c r="R421" s="2" t="s">
        <v>229</v>
      </c>
      <c r="T421" s="2" t="s">
        <v>520</v>
      </c>
      <c r="U421" s="3">
        <v>18</v>
      </c>
      <c r="V421" s="3">
        <v>18</v>
      </c>
      <c r="W421" s="4" t="s">
        <v>5207</v>
      </c>
      <c r="X421" s="4" t="s">
        <v>5207</v>
      </c>
      <c r="Y421" s="4" t="s">
        <v>2310</v>
      </c>
      <c r="Z421" s="4" t="s">
        <v>2310</v>
      </c>
      <c r="AA421" s="3">
        <v>63</v>
      </c>
      <c r="AB421" s="3">
        <v>57</v>
      </c>
      <c r="AC421" s="3">
        <v>615</v>
      </c>
      <c r="AD421" s="3">
        <v>1</v>
      </c>
      <c r="AE421" s="3">
        <v>2</v>
      </c>
      <c r="AF421" s="3">
        <v>1</v>
      </c>
      <c r="AG421" s="3">
        <v>20</v>
      </c>
      <c r="AH421" s="3">
        <v>0</v>
      </c>
      <c r="AI421" s="3">
        <v>9</v>
      </c>
      <c r="AJ421" s="3">
        <v>0</v>
      </c>
      <c r="AK421" s="3">
        <v>5</v>
      </c>
      <c r="AL421" s="3">
        <v>1</v>
      </c>
      <c r="AM421" s="3">
        <v>8</v>
      </c>
      <c r="AN421" s="3">
        <v>0</v>
      </c>
      <c r="AO421" s="3">
        <v>1</v>
      </c>
      <c r="AP421" s="3">
        <v>0</v>
      </c>
      <c r="AQ421" s="3">
        <v>1</v>
      </c>
      <c r="AR421" s="2" t="s">
        <v>5</v>
      </c>
      <c r="AS421" s="2" t="s">
        <v>5</v>
      </c>
      <c r="AU421" s="5" t="str">
        <f>HYPERLINK("https://creighton-primo.hosted.exlibrisgroup.com/primo-explore/search?tab=default_tab&amp;search_scope=EVERYTHING&amp;vid=01CRU&amp;lang=en_US&amp;offset=0&amp;query=any,contains,991000331179702656","Catalog Record")</f>
        <v>Catalog Record</v>
      </c>
      <c r="AV421" s="5" t="str">
        <f>HYPERLINK("http://www.worldcat.org/oclc/61747619","WorldCat Record")</f>
        <v>WorldCat Record</v>
      </c>
      <c r="AW421" s="2" t="s">
        <v>5208</v>
      </c>
      <c r="AX421" s="2" t="s">
        <v>5209</v>
      </c>
      <c r="AY421" s="2" t="s">
        <v>5210</v>
      </c>
      <c r="AZ421" s="2" t="s">
        <v>5210</v>
      </c>
      <c r="BA421" s="2" t="s">
        <v>5211</v>
      </c>
      <c r="BB421" s="2" t="s">
        <v>21</v>
      </c>
      <c r="BD421" s="2" t="s">
        <v>5212</v>
      </c>
      <c r="BE421" s="2" t="s">
        <v>5213</v>
      </c>
      <c r="BF421" s="2" t="s">
        <v>5214</v>
      </c>
    </row>
    <row r="422" spans="1:58" ht="41.25" customHeight="1" x14ac:dyDescent="0.25">
      <c r="A422" s="8" t="s">
        <v>5</v>
      </c>
      <c r="B422" s="1" t="s">
        <v>0</v>
      </c>
      <c r="C422" s="1" t="s">
        <v>1</v>
      </c>
      <c r="D422" s="1" t="s">
        <v>5215</v>
      </c>
      <c r="E422" s="1" t="s">
        <v>5216</v>
      </c>
      <c r="F422" s="1" t="s">
        <v>5217</v>
      </c>
      <c r="H422" s="2" t="s">
        <v>5</v>
      </c>
      <c r="I422" s="2" t="s">
        <v>6</v>
      </c>
      <c r="J422" s="2" t="s">
        <v>5</v>
      </c>
      <c r="K422" s="2" t="s">
        <v>16</v>
      </c>
      <c r="L422" s="2" t="s">
        <v>7</v>
      </c>
      <c r="M422" s="1" t="s">
        <v>4755</v>
      </c>
      <c r="N422" s="1" t="s">
        <v>5218</v>
      </c>
      <c r="O422" s="2" t="s">
        <v>1283</v>
      </c>
      <c r="P422" s="1" t="s">
        <v>211</v>
      </c>
      <c r="Q422" s="2" t="s">
        <v>11</v>
      </c>
      <c r="R422" s="2" t="s">
        <v>1140</v>
      </c>
      <c r="T422" s="2" t="s">
        <v>520</v>
      </c>
      <c r="U422" s="3">
        <v>1</v>
      </c>
      <c r="V422" s="3">
        <v>1</v>
      </c>
      <c r="W422" s="4" t="s">
        <v>5219</v>
      </c>
      <c r="X422" s="4" t="s">
        <v>5219</v>
      </c>
      <c r="Y422" s="4" t="s">
        <v>5219</v>
      </c>
      <c r="Z422" s="4" t="s">
        <v>5219</v>
      </c>
      <c r="AA422" s="3">
        <v>183</v>
      </c>
      <c r="AB422" s="3">
        <v>143</v>
      </c>
      <c r="AC422" s="3">
        <v>458</v>
      </c>
      <c r="AD422" s="3">
        <v>1</v>
      </c>
      <c r="AE422" s="3">
        <v>3</v>
      </c>
      <c r="AF422" s="3">
        <v>4</v>
      </c>
      <c r="AG422" s="3">
        <v>15</v>
      </c>
      <c r="AH422" s="3">
        <v>2</v>
      </c>
      <c r="AI422" s="3">
        <v>5</v>
      </c>
      <c r="AJ422" s="3">
        <v>1</v>
      </c>
      <c r="AK422" s="3">
        <v>4</v>
      </c>
      <c r="AL422" s="3">
        <v>2</v>
      </c>
      <c r="AM422" s="3">
        <v>7</v>
      </c>
      <c r="AN422" s="3">
        <v>0</v>
      </c>
      <c r="AO422" s="3">
        <v>2</v>
      </c>
      <c r="AP422" s="3">
        <v>0</v>
      </c>
      <c r="AQ422" s="3">
        <v>0</v>
      </c>
      <c r="AR422" s="2" t="s">
        <v>5</v>
      </c>
      <c r="AS422" s="2" t="s">
        <v>16</v>
      </c>
      <c r="AT422" s="5" t="str">
        <f>HYPERLINK("http://catalog.hathitrust.org/Record/003979610","HathiTrust Record")</f>
        <v>HathiTrust Record</v>
      </c>
      <c r="AU422" s="5" t="str">
        <f>HYPERLINK("https://creighton-primo.hosted.exlibrisgroup.com/primo-explore/search?tab=default_tab&amp;search_scope=EVERYTHING&amp;vid=01CRU&amp;lang=en_US&amp;offset=0&amp;query=any,contains,991001573039702656","Catalog Record")</f>
        <v>Catalog Record</v>
      </c>
      <c r="AV422" s="5" t="str">
        <f>HYPERLINK("http://www.worldcat.org/oclc/34724473","WorldCat Record")</f>
        <v>WorldCat Record</v>
      </c>
      <c r="AW422" s="2" t="s">
        <v>4759</v>
      </c>
      <c r="AX422" s="2" t="s">
        <v>5220</v>
      </c>
      <c r="AY422" s="2" t="s">
        <v>5221</v>
      </c>
      <c r="AZ422" s="2" t="s">
        <v>5221</v>
      </c>
      <c r="BA422" s="2" t="s">
        <v>5222</v>
      </c>
      <c r="BB422" s="2" t="s">
        <v>21</v>
      </c>
      <c r="BD422" s="2" t="s">
        <v>5223</v>
      </c>
      <c r="BE422" s="2" t="s">
        <v>5224</v>
      </c>
      <c r="BF422" s="2" t="s">
        <v>5225</v>
      </c>
    </row>
    <row r="423" spans="1:58" ht="41.25" customHeight="1" x14ac:dyDescent="0.25">
      <c r="A423" s="8" t="s">
        <v>5</v>
      </c>
      <c r="B423" s="1" t="s">
        <v>0</v>
      </c>
      <c r="C423" s="1" t="s">
        <v>1</v>
      </c>
      <c r="D423" s="1" t="s">
        <v>5226</v>
      </c>
      <c r="E423" s="1" t="s">
        <v>5227</v>
      </c>
      <c r="F423" s="1" t="s">
        <v>5228</v>
      </c>
      <c r="H423" s="2" t="s">
        <v>5</v>
      </c>
      <c r="I423" s="2" t="s">
        <v>6</v>
      </c>
      <c r="J423" s="2" t="s">
        <v>5</v>
      </c>
      <c r="K423" s="2" t="s">
        <v>5</v>
      </c>
      <c r="L423" s="2" t="s">
        <v>7</v>
      </c>
      <c r="M423" s="1" t="s">
        <v>5229</v>
      </c>
      <c r="N423" s="1" t="s">
        <v>5230</v>
      </c>
      <c r="O423" s="2" t="s">
        <v>1863</v>
      </c>
      <c r="P423" s="1" t="s">
        <v>901</v>
      </c>
      <c r="Q423" s="2" t="s">
        <v>11</v>
      </c>
      <c r="R423" s="2" t="s">
        <v>78</v>
      </c>
      <c r="S423" s="1" t="s">
        <v>5115</v>
      </c>
      <c r="T423" s="2" t="s">
        <v>520</v>
      </c>
      <c r="U423" s="3">
        <v>4</v>
      </c>
      <c r="V423" s="3">
        <v>4</v>
      </c>
      <c r="W423" s="4" t="s">
        <v>5231</v>
      </c>
      <c r="X423" s="4" t="s">
        <v>5231</v>
      </c>
      <c r="Y423" s="4" t="s">
        <v>5232</v>
      </c>
      <c r="Z423" s="4" t="s">
        <v>5232</v>
      </c>
      <c r="AA423" s="3">
        <v>109</v>
      </c>
      <c r="AB423" s="3">
        <v>81</v>
      </c>
      <c r="AC423" s="3">
        <v>257</v>
      </c>
      <c r="AD423" s="3">
        <v>2</v>
      </c>
      <c r="AE423" s="3">
        <v>2</v>
      </c>
      <c r="AF423" s="3">
        <v>5</v>
      </c>
      <c r="AG423" s="3">
        <v>8</v>
      </c>
      <c r="AH423" s="3">
        <v>1</v>
      </c>
      <c r="AI423" s="3">
        <v>3</v>
      </c>
      <c r="AJ423" s="3">
        <v>0</v>
      </c>
      <c r="AK423" s="3">
        <v>0</v>
      </c>
      <c r="AL423" s="3">
        <v>3</v>
      </c>
      <c r="AM423" s="3">
        <v>5</v>
      </c>
      <c r="AN423" s="3">
        <v>1</v>
      </c>
      <c r="AO423" s="3">
        <v>1</v>
      </c>
      <c r="AP423" s="3">
        <v>0</v>
      </c>
      <c r="AQ423" s="3">
        <v>0</v>
      </c>
      <c r="AR423" s="2" t="s">
        <v>5</v>
      </c>
      <c r="AS423" s="2" t="s">
        <v>16</v>
      </c>
      <c r="AT423" s="5" t="str">
        <f>HYPERLINK("http://catalog.hathitrust.org/Record/010518153","HathiTrust Record")</f>
        <v>HathiTrust Record</v>
      </c>
      <c r="AU423" s="5" t="str">
        <f>HYPERLINK("https://creighton-primo.hosted.exlibrisgroup.com/primo-explore/search?tab=default_tab&amp;search_scope=EVERYTHING&amp;vid=01CRU&amp;lang=en_US&amp;offset=0&amp;query=any,contains,991000316629702656","Catalog Record")</f>
        <v>Catalog Record</v>
      </c>
      <c r="AV423" s="5" t="str">
        <f>HYPERLINK("http://www.worldcat.org/oclc/43791009","WorldCat Record")</f>
        <v>WorldCat Record</v>
      </c>
      <c r="AW423" s="2" t="s">
        <v>5233</v>
      </c>
      <c r="AX423" s="2" t="s">
        <v>5234</v>
      </c>
      <c r="AY423" s="2" t="s">
        <v>5235</v>
      </c>
      <c r="AZ423" s="2" t="s">
        <v>5235</v>
      </c>
      <c r="BA423" s="2" t="s">
        <v>5236</v>
      </c>
      <c r="BB423" s="2" t="s">
        <v>21</v>
      </c>
      <c r="BD423" s="2" t="s">
        <v>5237</v>
      </c>
      <c r="BE423" s="2" t="s">
        <v>5238</v>
      </c>
      <c r="BF423" s="2" t="s">
        <v>5239</v>
      </c>
    </row>
    <row r="424" spans="1:58" ht="41.25" customHeight="1" x14ac:dyDescent="0.25">
      <c r="A424" s="8" t="s">
        <v>5</v>
      </c>
      <c r="B424" s="1" t="s">
        <v>0</v>
      </c>
      <c r="C424" s="1" t="s">
        <v>1</v>
      </c>
      <c r="D424" s="1" t="s">
        <v>5240</v>
      </c>
      <c r="E424" s="1" t="s">
        <v>5241</v>
      </c>
      <c r="F424" s="1" t="s">
        <v>5242</v>
      </c>
      <c r="H424" s="2" t="s">
        <v>5</v>
      </c>
      <c r="I424" s="2" t="s">
        <v>6</v>
      </c>
      <c r="J424" s="2" t="s">
        <v>5</v>
      </c>
      <c r="K424" s="2" t="s">
        <v>16</v>
      </c>
      <c r="L424" s="2" t="s">
        <v>7</v>
      </c>
      <c r="M424" s="1" t="s">
        <v>5243</v>
      </c>
      <c r="N424" s="1" t="s">
        <v>5244</v>
      </c>
      <c r="O424" s="2" t="s">
        <v>546</v>
      </c>
      <c r="P424" s="1" t="s">
        <v>211</v>
      </c>
      <c r="Q424" s="2" t="s">
        <v>11</v>
      </c>
      <c r="R424" s="2" t="s">
        <v>5245</v>
      </c>
      <c r="T424" s="2" t="s">
        <v>520</v>
      </c>
      <c r="U424" s="3">
        <v>16</v>
      </c>
      <c r="V424" s="3">
        <v>16</v>
      </c>
      <c r="W424" s="4" t="s">
        <v>5246</v>
      </c>
      <c r="X424" s="4" t="s">
        <v>5246</v>
      </c>
      <c r="Y424" s="4" t="s">
        <v>5247</v>
      </c>
      <c r="Z424" s="4" t="s">
        <v>5247</v>
      </c>
      <c r="AA424" s="3">
        <v>42</v>
      </c>
      <c r="AB424" s="3">
        <v>39</v>
      </c>
      <c r="AC424" s="3">
        <v>180</v>
      </c>
      <c r="AD424" s="3">
        <v>1</v>
      </c>
      <c r="AE424" s="3">
        <v>1</v>
      </c>
      <c r="AF424" s="3">
        <v>1</v>
      </c>
      <c r="AG424" s="3">
        <v>12</v>
      </c>
      <c r="AH424" s="3">
        <v>1</v>
      </c>
      <c r="AI424" s="3">
        <v>5</v>
      </c>
      <c r="AJ424" s="3">
        <v>0</v>
      </c>
      <c r="AK424" s="3">
        <v>3</v>
      </c>
      <c r="AL424" s="3">
        <v>0</v>
      </c>
      <c r="AM424" s="3">
        <v>7</v>
      </c>
      <c r="AN424" s="3">
        <v>0</v>
      </c>
      <c r="AO424" s="3">
        <v>0</v>
      </c>
      <c r="AP424" s="3">
        <v>0</v>
      </c>
      <c r="AQ424" s="3">
        <v>0</v>
      </c>
      <c r="AR424" s="2" t="s">
        <v>5</v>
      </c>
      <c r="AS424" s="2" t="s">
        <v>16</v>
      </c>
      <c r="AT424" s="5" t="str">
        <f>HYPERLINK("http://catalog.hathitrust.org/Record/003155584","HathiTrust Record")</f>
        <v>HathiTrust Record</v>
      </c>
      <c r="AU424" s="5" t="str">
        <f>HYPERLINK("https://creighton-primo.hosted.exlibrisgroup.com/primo-explore/search?tab=default_tab&amp;search_scope=EVERYTHING&amp;vid=01CRU&amp;lang=en_US&amp;offset=0&amp;query=any,contains,991001403069702656","Catalog Record")</f>
        <v>Catalog Record</v>
      </c>
      <c r="AV424" s="5" t="str">
        <f>HYPERLINK("http://www.worldcat.org/oclc/30693456","WorldCat Record")</f>
        <v>WorldCat Record</v>
      </c>
      <c r="AW424" s="2" t="s">
        <v>5248</v>
      </c>
      <c r="AX424" s="2" t="s">
        <v>5249</v>
      </c>
      <c r="AY424" s="2" t="s">
        <v>5250</v>
      </c>
      <c r="AZ424" s="2" t="s">
        <v>5250</v>
      </c>
      <c r="BA424" s="2" t="s">
        <v>5251</v>
      </c>
      <c r="BB424" s="2" t="s">
        <v>21</v>
      </c>
      <c r="BE424" s="2" t="s">
        <v>5252</v>
      </c>
      <c r="BF424" s="2" t="s">
        <v>5253</v>
      </c>
    </row>
    <row r="425" spans="1:58" ht="41.25" customHeight="1" x14ac:dyDescent="0.25">
      <c r="A425" s="8" t="s">
        <v>5</v>
      </c>
      <c r="B425" s="1" t="s">
        <v>0</v>
      </c>
      <c r="C425" s="1" t="s">
        <v>1</v>
      </c>
      <c r="D425" s="1" t="s">
        <v>5254</v>
      </c>
      <c r="E425" s="1" t="s">
        <v>5255</v>
      </c>
      <c r="F425" s="1" t="s">
        <v>5256</v>
      </c>
      <c r="H425" s="2" t="s">
        <v>5</v>
      </c>
      <c r="I425" s="2" t="s">
        <v>6</v>
      </c>
      <c r="J425" s="2" t="s">
        <v>5</v>
      </c>
      <c r="K425" s="2" t="s">
        <v>16</v>
      </c>
      <c r="L425" s="2" t="s">
        <v>7</v>
      </c>
      <c r="M425" s="1" t="s">
        <v>5257</v>
      </c>
      <c r="N425" s="1" t="s">
        <v>5080</v>
      </c>
      <c r="O425" s="2" t="s">
        <v>1863</v>
      </c>
      <c r="P425" s="1" t="s">
        <v>211</v>
      </c>
      <c r="Q425" s="2" t="s">
        <v>11</v>
      </c>
      <c r="R425" s="2" t="s">
        <v>31</v>
      </c>
      <c r="T425" s="2" t="s">
        <v>520</v>
      </c>
      <c r="U425" s="3">
        <v>2</v>
      </c>
      <c r="V425" s="3">
        <v>2</v>
      </c>
      <c r="W425" s="4" t="s">
        <v>5258</v>
      </c>
      <c r="X425" s="4" t="s">
        <v>5258</v>
      </c>
      <c r="Y425" s="4" t="s">
        <v>5259</v>
      </c>
      <c r="Z425" s="4" t="s">
        <v>5259</v>
      </c>
      <c r="AA425" s="3">
        <v>311</v>
      </c>
      <c r="AB425" s="3">
        <v>233</v>
      </c>
      <c r="AC425" s="3">
        <v>296</v>
      </c>
      <c r="AD425" s="3">
        <v>1</v>
      </c>
      <c r="AE425" s="3">
        <v>1</v>
      </c>
      <c r="AF425" s="3">
        <v>8</v>
      </c>
      <c r="AG425" s="3">
        <v>9</v>
      </c>
      <c r="AH425" s="3">
        <v>4</v>
      </c>
      <c r="AI425" s="3">
        <v>4</v>
      </c>
      <c r="AJ425" s="3">
        <v>2</v>
      </c>
      <c r="AK425" s="3">
        <v>2</v>
      </c>
      <c r="AL425" s="3">
        <v>5</v>
      </c>
      <c r="AM425" s="3">
        <v>6</v>
      </c>
      <c r="AN425" s="3">
        <v>0</v>
      </c>
      <c r="AO425" s="3">
        <v>0</v>
      </c>
      <c r="AP425" s="3">
        <v>0</v>
      </c>
      <c r="AQ425" s="3">
        <v>0</v>
      </c>
      <c r="AR425" s="2" t="s">
        <v>5</v>
      </c>
      <c r="AS425" s="2" t="s">
        <v>16</v>
      </c>
      <c r="AT425" s="5" t="str">
        <f>HYPERLINK("http://catalog.hathitrust.org/Record/004577332","HathiTrust Record")</f>
        <v>HathiTrust Record</v>
      </c>
      <c r="AU425" s="5" t="str">
        <f>HYPERLINK("https://creighton-primo.hosted.exlibrisgroup.com/primo-explore/search?tab=default_tab&amp;search_scope=EVERYTHING&amp;vid=01CRU&amp;lang=en_US&amp;offset=0&amp;query=any,contains,991001710369702656","Catalog Record")</f>
        <v>Catalog Record</v>
      </c>
      <c r="AV425" s="5" t="str">
        <f>HYPERLINK("http://www.worldcat.org/oclc/43187266","WorldCat Record")</f>
        <v>WorldCat Record</v>
      </c>
      <c r="AW425" s="2" t="s">
        <v>5260</v>
      </c>
      <c r="AX425" s="2" t="s">
        <v>5261</v>
      </c>
      <c r="AY425" s="2" t="s">
        <v>5262</v>
      </c>
      <c r="AZ425" s="2" t="s">
        <v>5262</v>
      </c>
      <c r="BA425" s="2" t="s">
        <v>5263</v>
      </c>
      <c r="BB425" s="2" t="s">
        <v>21</v>
      </c>
      <c r="BD425" s="2" t="s">
        <v>5264</v>
      </c>
      <c r="BE425" s="2" t="s">
        <v>5265</v>
      </c>
      <c r="BF425" s="2" t="s">
        <v>5266</v>
      </c>
    </row>
    <row r="426" spans="1:58" ht="41.25" customHeight="1" x14ac:dyDescent="0.25">
      <c r="A426" s="8" t="s">
        <v>5</v>
      </c>
      <c r="B426" s="1" t="s">
        <v>0</v>
      </c>
      <c r="C426" s="1" t="s">
        <v>1</v>
      </c>
      <c r="D426" s="1" t="s">
        <v>5267</v>
      </c>
      <c r="E426" s="1" t="s">
        <v>5268</v>
      </c>
      <c r="F426" s="1" t="s">
        <v>5269</v>
      </c>
      <c r="H426" s="2" t="s">
        <v>5</v>
      </c>
      <c r="I426" s="2" t="s">
        <v>6</v>
      </c>
      <c r="J426" s="2" t="s">
        <v>5</v>
      </c>
      <c r="K426" s="2" t="s">
        <v>5</v>
      </c>
      <c r="L426" s="2" t="s">
        <v>7</v>
      </c>
      <c r="M426" s="1" t="s">
        <v>5270</v>
      </c>
      <c r="N426" s="1" t="s">
        <v>1403</v>
      </c>
      <c r="O426" s="2" t="s">
        <v>62</v>
      </c>
      <c r="Q426" s="2" t="s">
        <v>11</v>
      </c>
      <c r="R426" s="2" t="s">
        <v>12</v>
      </c>
      <c r="S426" s="1" t="s">
        <v>5271</v>
      </c>
      <c r="T426" s="2" t="s">
        <v>520</v>
      </c>
      <c r="U426" s="3">
        <v>3</v>
      </c>
      <c r="V426" s="3">
        <v>3</v>
      </c>
      <c r="W426" s="4" t="s">
        <v>1405</v>
      </c>
      <c r="X426" s="4" t="s">
        <v>1405</v>
      </c>
      <c r="Y426" s="4" t="s">
        <v>1249</v>
      </c>
      <c r="Z426" s="4" t="s">
        <v>1249</v>
      </c>
      <c r="AA426" s="3">
        <v>106</v>
      </c>
      <c r="AB426" s="3">
        <v>85</v>
      </c>
      <c r="AC426" s="3">
        <v>85</v>
      </c>
      <c r="AD426" s="3">
        <v>1</v>
      </c>
      <c r="AE426" s="3">
        <v>1</v>
      </c>
      <c r="AF426" s="3">
        <v>2</v>
      </c>
      <c r="AG426" s="3">
        <v>2</v>
      </c>
      <c r="AH426" s="3">
        <v>0</v>
      </c>
      <c r="AI426" s="3">
        <v>0</v>
      </c>
      <c r="AJ426" s="3">
        <v>0</v>
      </c>
      <c r="AK426" s="3">
        <v>0</v>
      </c>
      <c r="AL426" s="3">
        <v>2</v>
      </c>
      <c r="AM426" s="3">
        <v>2</v>
      </c>
      <c r="AN426" s="3">
        <v>0</v>
      </c>
      <c r="AO426" s="3">
        <v>0</v>
      </c>
      <c r="AP426" s="3">
        <v>0</v>
      </c>
      <c r="AQ426" s="3">
        <v>0</v>
      </c>
      <c r="AR426" s="2" t="s">
        <v>5</v>
      </c>
      <c r="AS426" s="2" t="s">
        <v>5</v>
      </c>
      <c r="AU426" s="5" t="str">
        <f>HYPERLINK("https://creighton-primo.hosted.exlibrisgroup.com/primo-explore/search?tab=default_tab&amp;search_scope=EVERYTHING&amp;vid=01CRU&amp;lang=en_US&amp;offset=0&amp;query=any,contains,991001388669702656","Catalog Record")</f>
        <v>Catalog Record</v>
      </c>
      <c r="AV426" s="5" t="str">
        <f>HYPERLINK("http://www.worldcat.org/oclc/5076848","WorldCat Record")</f>
        <v>WorldCat Record</v>
      </c>
      <c r="AW426" s="2" t="s">
        <v>5272</v>
      </c>
      <c r="AX426" s="2" t="s">
        <v>5273</v>
      </c>
      <c r="AY426" s="2" t="s">
        <v>5274</v>
      </c>
      <c r="AZ426" s="2" t="s">
        <v>5274</v>
      </c>
      <c r="BA426" s="2" t="s">
        <v>5275</v>
      </c>
      <c r="BB426" s="2" t="s">
        <v>21</v>
      </c>
      <c r="BE426" s="2" t="s">
        <v>5276</v>
      </c>
      <c r="BF426" s="2" t="s">
        <v>5277</v>
      </c>
    </row>
    <row r="427" spans="1:58" ht="41.25" customHeight="1" x14ac:dyDescent="0.25">
      <c r="A427" s="8" t="s">
        <v>5</v>
      </c>
      <c r="B427" s="1" t="s">
        <v>0</v>
      </c>
      <c r="C427" s="1" t="s">
        <v>1</v>
      </c>
      <c r="D427" s="1" t="s">
        <v>5278</v>
      </c>
      <c r="E427" s="1" t="s">
        <v>5279</v>
      </c>
      <c r="F427" s="1" t="s">
        <v>5280</v>
      </c>
      <c r="H427" s="2" t="s">
        <v>5</v>
      </c>
      <c r="I427" s="2" t="s">
        <v>6</v>
      </c>
      <c r="J427" s="2" t="s">
        <v>5</v>
      </c>
      <c r="K427" s="2" t="s">
        <v>5</v>
      </c>
      <c r="L427" s="2" t="s">
        <v>7</v>
      </c>
      <c r="N427" s="1" t="s">
        <v>1220</v>
      </c>
      <c r="O427" s="2" t="s">
        <v>62</v>
      </c>
      <c r="Q427" s="2" t="s">
        <v>11</v>
      </c>
      <c r="R427" s="2" t="s">
        <v>12</v>
      </c>
      <c r="S427" s="1" t="s">
        <v>5281</v>
      </c>
      <c r="T427" s="2" t="s">
        <v>520</v>
      </c>
      <c r="U427" s="3">
        <v>1</v>
      </c>
      <c r="V427" s="3">
        <v>1</v>
      </c>
      <c r="W427" s="4" t="s">
        <v>3195</v>
      </c>
      <c r="X427" s="4" t="s">
        <v>3195</v>
      </c>
      <c r="Y427" s="4" t="s">
        <v>5282</v>
      </c>
      <c r="Z427" s="4" t="s">
        <v>5282</v>
      </c>
      <c r="AA427" s="3">
        <v>9</v>
      </c>
      <c r="AB427" s="3">
        <v>9</v>
      </c>
      <c r="AC427" s="3">
        <v>78</v>
      </c>
      <c r="AD427" s="3">
        <v>1</v>
      </c>
      <c r="AE427" s="3">
        <v>1</v>
      </c>
      <c r="AF427" s="3">
        <v>0</v>
      </c>
      <c r="AG427" s="3">
        <v>2</v>
      </c>
      <c r="AH427" s="3">
        <v>0</v>
      </c>
      <c r="AI427" s="3">
        <v>0</v>
      </c>
      <c r="AJ427" s="3">
        <v>0</v>
      </c>
      <c r="AK427" s="3">
        <v>0</v>
      </c>
      <c r="AL427" s="3">
        <v>0</v>
      </c>
      <c r="AM427" s="3">
        <v>2</v>
      </c>
      <c r="AN427" s="3">
        <v>0</v>
      </c>
      <c r="AO427" s="3">
        <v>0</v>
      </c>
      <c r="AP427" s="3">
        <v>0</v>
      </c>
      <c r="AQ427" s="3">
        <v>0</v>
      </c>
      <c r="AR427" s="2" t="s">
        <v>5</v>
      </c>
      <c r="AS427" s="2" t="s">
        <v>5</v>
      </c>
      <c r="AU427" s="5" t="str">
        <f>HYPERLINK("https://creighton-primo.hosted.exlibrisgroup.com/primo-explore/search?tab=default_tab&amp;search_scope=EVERYTHING&amp;vid=01CRU&amp;lang=en_US&amp;offset=0&amp;query=any,contains,991001376469702656","Catalog Record")</f>
        <v>Catalog Record</v>
      </c>
      <c r="AV427" s="5" t="str">
        <f>HYPERLINK("http://www.worldcat.org/oclc/14386447","WorldCat Record")</f>
        <v>WorldCat Record</v>
      </c>
      <c r="AW427" s="2" t="s">
        <v>5283</v>
      </c>
      <c r="AX427" s="2" t="s">
        <v>5284</v>
      </c>
      <c r="AY427" s="2" t="s">
        <v>5285</v>
      </c>
      <c r="AZ427" s="2" t="s">
        <v>5285</v>
      </c>
      <c r="BA427" s="2" t="s">
        <v>5286</v>
      </c>
      <c r="BB427" s="2" t="s">
        <v>21</v>
      </c>
      <c r="BE427" s="2" t="s">
        <v>5287</v>
      </c>
      <c r="BF427" s="2" t="s">
        <v>5288</v>
      </c>
    </row>
    <row r="428" spans="1:58" ht="41.25" customHeight="1" x14ac:dyDescent="0.25">
      <c r="A428" s="8" t="s">
        <v>5</v>
      </c>
      <c r="B428" s="1" t="s">
        <v>0</v>
      </c>
      <c r="C428" s="1" t="s">
        <v>1</v>
      </c>
      <c r="D428" s="1" t="s">
        <v>5289</v>
      </c>
      <c r="E428" s="1" t="s">
        <v>5290</v>
      </c>
      <c r="F428" s="1" t="s">
        <v>5291</v>
      </c>
      <c r="H428" s="2" t="s">
        <v>5</v>
      </c>
      <c r="I428" s="2" t="s">
        <v>6</v>
      </c>
      <c r="J428" s="2" t="s">
        <v>5</v>
      </c>
      <c r="K428" s="2" t="s">
        <v>5</v>
      </c>
      <c r="L428" s="2" t="s">
        <v>7</v>
      </c>
      <c r="N428" s="1" t="s">
        <v>1403</v>
      </c>
      <c r="O428" s="2" t="s">
        <v>62</v>
      </c>
      <c r="Q428" s="2" t="s">
        <v>11</v>
      </c>
      <c r="R428" s="2" t="s">
        <v>426</v>
      </c>
      <c r="S428" s="1" t="s">
        <v>5292</v>
      </c>
      <c r="T428" s="2" t="s">
        <v>520</v>
      </c>
      <c r="U428" s="3">
        <v>1</v>
      </c>
      <c r="V428" s="3">
        <v>1</v>
      </c>
      <c r="W428" s="4" t="s">
        <v>2072</v>
      </c>
      <c r="X428" s="4" t="s">
        <v>2072</v>
      </c>
      <c r="Y428" s="4" t="s">
        <v>1578</v>
      </c>
      <c r="Z428" s="4" t="s">
        <v>1578</v>
      </c>
      <c r="AA428" s="3">
        <v>97</v>
      </c>
      <c r="AB428" s="3">
        <v>84</v>
      </c>
      <c r="AC428" s="3">
        <v>86</v>
      </c>
      <c r="AD428" s="3">
        <v>1</v>
      </c>
      <c r="AE428" s="3">
        <v>1</v>
      </c>
      <c r="AF428" s="3">
        <v>2</v>
      </c>
      <c r="AG428" s="3">
        <v>2</v>
      </c>
      <c r="AH428" s="3">
        <v>0</v>
      </c>
      <c r="AI428" s="3">
        <v>0</v>
      </c>
      <c r="AJ428" s="3">
        <v>0</v>
      </c>
      <c r="AK428" s="3">
        <v>0</v>
      </c>
      <c r="AL428" s="3">
        <v>2</v>
      </c>
      <c r="AM428" s="3">
        <v>2</v>
      </c>
      <c r="AN428" s="3">
        <v>0</v>
      </c>
      <c r="AO428" s="3">
        <v>0</v>
      </c>
      <c r="AP428" s="3">
        <v>0</v>
      </c>
      <c r="AQ428" s="3">
        <v>0</v>
      </c>
      <c r="AR428" s="2" t="s">
        <v>5</v>
      </c>
      <c r="AS428" s="2" t="s">
        <v>16</v>
      </c>
      <c r="AT428" s="5" t="str">
        <f>HYPERLINK("http://catalog.hathitrust.org/Record/000297348","HathiTrust Record")</f>
        <v>HathiTrust Record</v>
      </c>
      <c r="AU428" s="5" t="str">
        <f>HYPERLINK("https://creighton-primo.hosted.exlibrisgroup.com/primo-explore/search?tab=default_tab&amp;search_scope=EVERYTHING&amp;vid=01CRU&amp;lang=en_US&amp;offset=0&amp;query=any,contains,991001376739702656","Catalog Record")</f>
        <v>Catalog Record</v>
      </c>
      <c r="AV428" s="5" t="str">
        <f>HYPERLINK("http://www.worldcat.org/oclc/4760500","WorldCat Record")</f>
        <v>WorldCat Record</v>
      </c>
      <c r="AW428" s="2" t="s">
        <v>5293</v>
      </c>
      <c r="AX428" s="2" t="s">
        <v>5294</v>
      </c>
      <c r="AY428" s="2" t="s">
        <v>5295</v>
      </c>
      <c r="AZ428" s="2" t="s">
        <v>5295</v>
      </c>
      <c r="BA428" s="2" t="s">
        <v>5296</v>
      </c>
      <c r="BB428" s="2" t="s">
        <v>21</v>
      </c>
      <c r="BE428" s="2" t="s">
        <v>5297</v>
      </c>
      <c r="BF428" s="2" t="s">
        <v>5298</v>
      </c>
    </row>
    <row r="429" spans="1:58" ht="41.25" customHeight="1" x14ac:dyDescent="0.25">
      <c r="A429" s="8" t="s">
        <v>5</v>
      </c>
      <c r="B429" s="1" t="s">
        <v>0</v>
      </c>
      <c r="C429" s="1" t="s">
        <v>1</v>
      </c>
      <c r="D429" s="1" t="s">
        <v>5299</v>
      </c>
      <c r="E429" s="1" t="s">
        <v>5300</v>
      </c>
      <c r="F429" s="1" t="s">
        <v>5301</v>
      </c>
      <c r="H429" s="2" t="s">
        <v>5</v>
      </c>
      <c r="I429" s="2" t="s">
        <v>6</v>
      </c>
      <c r="J429" s="2" t="s">
        <v>5</v>
      </c>
      <c r="K429" s="2" t="s">
        <v>5</v>
      </c>
      <c r="L429" s="2" t="s">
        <v>7</v>
      </c>
      <c r="N429" s="1" t="s">
        <v>1403</v>
      </c>
      <c r="O429" s="2" t="s">
        <v>285</v>
      </c>
      <c r="Q429" s="2" t="s">
        <v>11</v>
      </c>
      <c r="R429" s="2" t="s">
        <v>93</v>
      </c>
      <c r="S429" s="1" t="s">
        <v>5302</v>
      </c>
      <c r="T429" s="2" t="s">
        <v>520</v>
      </c>
      <c r="U429" s="3">
        <v>1</v>
      </c>
      <c r="V429" s="3">
        <v>1</v>
      </c>
      <c r="W429" s="4" t="s">
        <v>2072</v>
      </c>
      <c r="X429" s="4" t="s">
        <v>2072</v>
      </c>
      <c r="Y429" s="4" t="s">
        <v>1591</v>
      </c>
      <c r="Z429" s="4" t="s">
        <v>1591</v>
      </c>
      <c r="AA429" s="3">
        <v>106</v>
      </c>
      <c r="AB429" s="3">
        <v>90</v>
      </c>
      <c r="AC429" s="3">
        <v>90</v>
      </c>
      <c r="AD429" s="3">
        <v>1</v>
      </c>
      <c r="AE429" s="3">
        <v>1</v>
      </c>
      <c r="AF429" s="3">
        <v>4</v>
      </c>
      <c r="AG429" s="3">
        <v>4</v>
      </c>
      <c r="AH429" s="3">
        <v>1</v>
      </c>
      <c r="AI429" s="3">
        <v>1</v>
      </c>
      <c r="AJ429" s="3">
        <v>0</v>
      </c>
      <c r="AK429" s="3">
        <v>0</v>
      </c>
      <c r="AL429" s="3">
        <v>3</v>
      </c>
      <c r="AM429" s="3">
        <v>3</v>
      </c>
      <c r="AN429" s="3">
        <v>0</v>
      </c>
      <c r="AO429" s="3">
        <v>0</v>
      </c>
      <c r="AP429" s="3">
        <v>0</v>
      </c>
      <c r="AQ429" s="3">
        <v>0</v>
      </c>
      <c r="AR429" s="2" t="s">
        <v>5</v>
      </c>
      <c r="AS429" s="2" t="s">
        <v>5</v>
      </c>
      <c r="AU429" s="5" t="str">
        <f>HYPERLINK("https://creighton-primo.hosted.exlibrisgroup.com/primo-explore/search?tab=default_tab&amp;search_scope=EVERYTHING&amp;vid=01CRU&amp;lang=en_US&amp;offset=0&amp;query=any,contains,991001371239702656","Catalog Record")</f>
        <v>Catalog Record</v>
      </c>
      <c r="AV429" s="5" t="str">
        <f>HYPERLINK("http://www.worldcat.org/oclc/5676102","WorldCat Record")</f>
        <v>WorldCat Record</v>
      </c>
      <c r="AW429" s="2" t="s">
        <v>5303</v>
      </c>
      <c r="AX429" s="2" t="s">
        <v>5304</v>
      </c>
      <c r="AY429" s="2" t="s">
        <v>5305</v>
      </c>
      <c r="AZ429" s="2" t="s">
        <v>5305</v>
      </c>
      <c r="BA429" s="2" t="s">
        <v>5306</v>
      </c>
      <c r="BB429" s="2" t="s">
        <v>21</v>
      </c>
      <c r="BE429" s="2" t="s">
        <v>5307</v>
      </c>
      <c r="BF429" s="2" t="s">
        <v>5308</v>
      </c>
    </row>
    <row r="430" spans="1:58" ht="41.25" customHeight="1" x14ac:dyDescent="0.25">
      <c r="A430" s="8" t="s">
        <v>5</v>
      </c>
      <c r="B430" s="1" t="s">
        <v>0</v>
      </c>
      <c r="C430" s="1" t="s">
        <v>1</v>
      </c>
      <c r="D430" s="1" t="s">
        <v>5309</v>
      </c>
      <c r="E430" s="1" t="s">
        <v>5310</v>
      </c>
      <c r="F430" s="1" t="s">
        <v>5311</v>
      </c>
      <c r="H430" s="2" t="s">
        <v>5</v>
      </c>
      <c r="I430" s="2" t="s">
        <v>6</v>
      </c>
      <c r="J430" s="2" t="s">
        <v>5</v>
      </c>
      <c r="K430" s="2" t="s">
        <v>5</v>
      </c>
      <c r="L430" s="2" t="s">
        <v>7</v>
      </c>
      <c r="N430" s="1" t="s">
        <v>1220</v>
      </c>
      <c r="O430" s="2" t="s">
        <v>10</v>
      </c>
      <c r="Q430" s="2" t="s">
        <v>11</v>
      </c>
      <c r="R430" s="2" t="s">
        <v>12</v>
      </c>
      <c r="S430" s="1" t="s">
        <v>5312</v>
      </c>
      <c r="T430" s="2" t="s">
        <v>520</v>
      </c>
      <c r="U430" s="3">
        <v>1</v>
      </c>
      <c r="V430" s="3">
        <v>1</v>
      </c>
      <c r="W430" s="4" t="s">
        <v>5313</v>
      </c>
      <c r="X430" s="4" t="s">
        <v>5313</v>
      </c>
      <c r="Y430" s="4" t="s">
        <v>2632</v>
      </c>
      <c r="Z430" s="4" t="s">
        <v>2632</v>
      </c>
      <c r="AA430" s="3">
        <v>64</v>
      </c>
      <c r="AB430" s="3">
        <v>57</v>
      </c>
      <c r="AC430" s="3">
        <v>57</v>
      </c>
      <c r="AD430" s="3">
        <v>2</v>
      </c>
      <c r="AE430" s="3">
        <v>2</v>
      </c>
      <c r="AF430" s="3">
        <v>2</v>
      </c>
      <c r="AG430" s="3">
        <v>2</v>
      </c>
      <c r="AH430" s="3">
        <v>0</v>
      </c>
      <c r="AI430" s="3">
        <v>0</v>
      </c>
      <c r="AJ430" s="3">
        <v>0</v>
      </c>
      <c r="AK430" s="3">
        <v>0</v>
      </c>
      <c r="AL430" s="3">
        <v>2</v>
      </c>
      <c r="AM430" s="3">
        <v>2</v>
      </c>
      <c r="AN430" s="3">
        <v>0</v>
      </c>
      <c r="AO430" s="3">
        <v>0</v>
      </c>
      <c r="AP430" s="3">
        <v>0</v>
      </c>
      <c r="AQ430" s="3">
        <v>0</v>
      </c>
      <c r="AR430" s="2" t="s">
        <v>5</v>
      </c>
      <c r="AS430" s="2" t="s">
        <v>5</v>
      </c>
      <c r="AU430" s="5" t="str">
        <f>HYPERLINK("https://creighton-primo.hosted.exlibrisgroup.com/primo-explore/search?tab=default_tab&amp;search_scope=EVERYTHING&amp;vid=01CRU&amp;lang=en_US&amp;offset=0&amp;query=any,contains,991001388329702656","Catalog Record")</f>
        <v>Catalog Record</v>
      </c>
      <c r="AV430" s="5" t="str">
        <f>HYPERLINK("http://www.worldcat.org/oclc/3776906","WorldCat Record")</f>
        <v>WorldCat Record</v>
      </c>
      <c r="AW430" s="2" t="s">
        <v>5314</v>
      </c>
      <c r="AX430" s="2" t="s">
        <v>5315</v>
      </c>
      <c r="AY430" s="2" t="s">
        <v>5316</v>
      </c>
      <c r="AZ430" s="2" t="s">
        <v>5316</v>
      </c>
      <c r="BA430" s="2" t="s">
        <v>5317</v>
      </c>
      <c r="BB430" s="2" t="s">
        <v>21</v>
      </c>
      <c r="BE430" s="2" t="s">
        <v>5318</v>
      </c>
      <c r="BF430" s="2" t="s">
        <v>5319</v>
      </c>
    </row>
    <row r="431" spans="1:58" ht="41.25" customHeight="1" x14ac:dyDescent="0.25">
      <c r="A431" s="8" t="s">
        <v>5</v>
      </c>
      <c r="B431" s="1" t="s">
        <v>0</v>
      </c>
      <c r="C431" s="1" t="s">
        <v>1</v>
      </c>
      <c r="D431" s="1" t="s">
        <v>5320</v>
      </c>
      <c r="E431" s="1" t="s">
        <v>5321</v>
      </c>
      <c r="F431" s="1" t="s">
        <v>5322</v>
      </c>
      <c r="H431" s="2" t="s">
        <v>5</v>
      </c>
      <c r="I431" s="2" t="s">
        <v>6</v>
      </c>
      <c r="J431" s="2" t="s">
        <v>5</v>
      </c>
      <c r="K431" s="2" t="s">
        <v>5</v>
      </c>
      <c r="L431" s="2" t="s">
        <v>7</v>
      </c>
      <c r="M431" s="1" t="s">
        <v>5323</v>
      </c>
      <c r="N431" s="1" t="s">
        <v>1220</v>
      </c>
      <c r="O431" s="2" t="s">
        <v>62</v>
      </c>
      <c r="Q431" s="2" t="s">
        <v>11</v>
      </c>
      <c r="R431" s="2" t="s">
        <v>12</v>
      </c>
      <c r="S431" s="1" t="s">
        <v>5324</v>
      </c>
      <c r="T431" s="2" t="s">
        <v>520</v>
      </c>
      <c r="U431" s="3">
        <v>1</v>
      </c>
      <c r="V431" s="3">
        <v>1</v>
      </c>
      <c r="W431" s="4" t="s">
        <v>1975</v>
      </c>
      <c r="X431" s="4" t="s">
        <v>1975</v>
      </c>
      <c r="Y431" s="4" t="s">
        <v>1718</v>
      </c>
      <c r="Z431" s="4" t="s">
        <v>1718</v>
      </c>
      <c r="AA431" s="3">
        <v>92</v>
      </c>
      <c r="AB431" s="3">
        <v>85</v>
      </c>
      <c r="AC431" s="3">
        <v>89</v>
      </c>
      <c r="AD431" s="3">
        <v>2</v>
      </c>
      <c r="AE431" s="3">
        <v>2</v>
      </c>
      <c r="AF431" s="3">
        <v>3</v>
      </c>
      <c r="AG431" s="3">
        <v>3</v>
      </c>
      <c r="AH431" s="3">
        <v>0</v>
      </c>
      <c r="AI431" s="3">
        <v>0</v>
      </c>
      <c r="AJ431" s="3">
        <v>1</v>
      </c>
      <c r="AK431" s="3">
        <v>1</v>
      </c>
      <c r="AL431" s="3">
        <v>2</v>
      </c>
      <c r="AM431" s="3">
        <v>2</v>
      </c>
      <c r="AN431" s="3">
        <v>0</v>
      </c>
      <c r="AO431" s="3">
        <v>0</v>
      </c>
      <c r="AP431" s="3">
        <v>0</v>
      </c>
      <c r="AQ431" s="3">
        <v>0</v>
      </c>
      <c r="AR431" s="2" t="s">
        <v>5</v>
      </c>
      <c r="AS431" s="2" t="s">
        <v>16</v>
      </c>
      <c r="AT431" s="5" t="str">
        <f>HYPERLINK("http://catalog.hathitrust.org/Record/000178224","HathiTrust Record")</f>
        <v>HathiTrust Record</v>
      </c>
      <c r="AU431" s="5" t="str">
        <f>HYPERLINK("https://creighton-primo.hosted.exlibrisgroup.com/primo-explore/search?tab=default_tab&amp;search_scope=EVERYTHING&amp;vid=01CRU&amp;lang=en_US&amp;offset=0&amp;query=any,contains,991001381209702656","Catalog Record")</f>
        <v>Catalog Record</v>
      </c>
      <c r="AV431" s="5" t="str">
        <f>HYPERLINK("http://www.worldcat.org/oclc/4048784","WorldCat Record")</f>
        <v>WorldCat Record</v>
      </c>
      <c r="AW431" s="2" t="s">
        <v>5325</v>
      </c>
      <c r="AX431" s="2" t="s">
        <v>5326</v>
      </c>
      <c r="AY431" s="2" t="s">
        <v>5327</v>
      </c>
      <c r="AZ431" s="2" t="s">
        <v>5327</v>
      </c>
      <c r="BA431" s="2" t="s">
        <v>5328</v>
      </c>
      <c r="BB431" s="2" t="s">
        <v>21</v>
      </c>
      <c r="BE431" s="2" t="s">
        <v>5329</v>
      </c>
      <c r="BF431" s="2" t="s">
        <v>5330</v>
      </c>
    </row>
    <row r="432" spans="1:58" ht="41.25" customHeight="1" x14ac:dyDescent="0.25">
      <c r="A432" s="8" t="s">
        <v>5</v>
      </c>
      <c r="B432" s="1" t="s">
        <v>0</v>
      </c>
      <c r="C432" s="1" t="s">
        <v>1</v>
      </c>
      <c r="D432" s="1" t="s">
        <v>5331</v>
      </c>
      <c r="E432" s="1" t="s">
        <v>5332</v>
      </c>
      <c r="F432" s="1" t="s">
        <v>5333</v>
      </c>
      <c r="H432" s="2" t="s">
        <v>5</v>
      </c>
      <c r="I432" s="2" t="s">
        <v>6</v>
      </c>
      <c r="J432" s="2" t="s">
        <v>5</v>
      </c>
      <c r="K432" s="2" t="s">
        <v>5</v>
      </c>
      <c r="L432" s="2" t="s">
        <v>7</v>
      </c>
      <c r="M432" s="1" t="s">
        <v>5334</v>
      </c>
      <c r="N432" s="1" t="s">
        <v>1403</v>
      </c>
      <c r="O432" s="2" t="s">
        <v>62</v>
      </c>
      <c r="Q432" s="2" t="s">
        <v>11</v>
      </c>
      <c r="R432" s="2" t="s">
        <v>12</v>
      </c>
      <c r="S432" s="1" t="s">
        <v>5335</v>
      </c>
      <c r="T432" s="2" t="s">
        <v>520</v>
      </c>
      <c r="U432" s="3">
        <v>3</v>
      </c>
      <c r="V432" s="3">
        <v>3</v>
      </c>
      <c r="W432" s="4" t="s">
        <v>1405</v>
      </c>
      <c r="X432" s="4" t="s">
        <v>1405</v>
      </c>
      <c r="Y432" s="4" t="s">
        <v>1249</v>
      </c>
      <c r="Z432" s="4" t="s">
        <v>1249</v>
      </c>
      <c r="AA432" s="3">
        <v>99</v>
      </c>
      <c r="AB432" s="3">
        <v>85</v>
      </c>
      <c r="AC432" s="3">
        <v>86</v>
      </c>
      <c r="AD432" s="3">
        <v>1</v>
      </c>
      <c r="AE432" s="3">
        <v>1</v>
      </c>
      <c r="AF432" s="3">
        <v>2</v>
      </c>
      <c r="AG432" s="3">
        <v>2</v>
      </c>
      <c r="AH432" s="3">
        <v>0</v>
      </c>
      <c r="AI432" s="3">
        <v>0</v>
      </c>
      <c r="AJ432" s="3">
        <v>0</v>
      </c>
      <c r="AK432" s="3">
        <v>0</v>
      </c>
      <c r="AL432" s="3">
        <v>2</v>
      </c>
      <c r="AM432" s="3">
        <v>2</v>
      </c>
      <c r="AN432" s="3">
        <v>0</v>
      </c>
      <c r="AO432" s="3">
        <v>0</v>
      </c>
      <c r="AP432" s="3">
        <v>0</v>
      </c>
      <c r="AQ432" s="3">
        <v>0</v>
      </c>
      <c r="AR432" s="2" t="s">
        <v>5</v>
      </c>
      <c r="AS432" s="2" t="s">
        <v>5</v>
      </c>
      <c r="AU432" s="5" t="str">
        <f>HYPERLINK("https://creighton-primo.hosted.exlibrisgroup.com/primo-explore/search?tab=default_tab&amp;search_scope=EVERYTHING&amp;vid=01CRU&amp;lang=en_US&amp;offset=0&amp;query=any,contains,991001388569702656","Catalog Record")</f>
        <v>Catalog Record</v>
      </c>
      <c r="AV432" s="5" t="str">
        <f>HYPERLINK("http://www.worldcat.org/oclc/5989640","WorldCat Record")</f>
        <v>WorldCat Record</v>
      </c>
      <c r="AW432" s="2" t="s">
        <v>5336</v>
      </c>
      <c r="AX432" s="2" t="s">
        <v>5337</v>
      </c>
      <c r="AY432" s="2" t="s">
        <v>5338</v>
      </c>
      <c r="AZ432" s="2" t="s">
        <v>5338</v>
      </c>
      <c r="BA432" s="2" t="s">
        <v>5339</v>
      </c>
      <c r="BB432" s="2" t="s">
        <v>21</v>
      </c>
      <c r="BE432" s="2" t="s">
        <v>5340</v>
      </c>
      <c r="BF432" s="2" t="s">
        <v>5341</v>
      </c>
    </row>
    <row r="433" spans="1:58" ht="41.25" customHeight="1" x14ac:dyDescent="0.25">
      <c r="A433" s="8" t="s">
        <v>5</v>
      </c>
      <c r="B433" s="1" t="s">
        <v>0</v>
      </c>
      <c r="C433" s="1" t="s">
        <v>1</v>
      </c>
      <c r="D433" s="1" t="s">
        <v>5342</v>
      </c>
      <c r="E433" s="1" t="s">
        <v>5343</v>
      </c>
      <c r="F433" s="1" t="s">
        <v>3978</v>
      </c>
      <c r="H433" s="2" t="s">
        <v>5</v>
      </c>
      <c r="I433" s="2" t="s">
        <v>6</v>
      </c>
      <c r="J433" s="2" t="s">
        <v>5</v>
      </c>
      <c r="K433" s="2" t="s">
        <v>16</v>
      </c>
      <c r="L433" s="2" t="s">
        <v>7</v>
      </c>
      <c r="N433" s="1" t="s">
        <v>1403</v>
      </c>
      <c r="O433" s="2" t="s">
        <v>285</v>
      </c>
      <c r="P433" s="1" t="s">
        <v>5344</v>
      </c>
      <c r="Q433" s="2" t="s">
        <v>11</v>
      </c>
      <c r="R433" s="2" t="s">
        <v>12</v>
      </c>
      <c r="S433" s="1" t="s">
        <v>5345</v>
      </c>
      <c r="T433" s="2" t="s">
        <v>520</v>
      </c>
      <c r="U433" s="3">
        <v>2</v>
      </c>
      <c r="V433" s="3">
        <v>2</v>
      </c>
      <c r="W433" s="4" t="s">
        <v>5346</v>
      </c>
      <c r="X433" s="4" t="s">
        <v>5346</v>
      </c>
      <c r="Y433" s="4" t="s">
        <v>2579</v>
      </c>
      <c r="Z433" s="4" t="s">
        <v>2579</v>
      </c>
      <c r="AA433" s="3">
        <v>49</v>
      </c>
      <c r="AB433" s="3">
        <v>44</v>
      </c>
      <c r="AC433" s="3">
        <v>223</v>
      </c>
      <c r="AD433" s="3">
        <v>1</v>
      </c>
      <c r="AE433" s="3">
        <v>3</v>
      </c>
      <c r="AF433" s="3">
        <v>3</v>
      </c>
      <c r="AG433" s="3">
        <v>11</v>
      </c>
      <c r="AH433" s="3">
        <v>1</v>
      </c>
      <c r="AI433" s="3">
        <v>2</v>
      </c>
      <c r="AJ433" s="3">
        <v>1</v>
      </c>
      <c r="AK433" s="3">
        <v>2</v>
      </c>
      <c r="AL433" s="3">
        <v>2</v>
      </c>
      <c r="AM433" s="3">
        <v>7</v>
      </c>
      <c r="AN433" s="3">
        <v>0</v>
      </c>
      <c r="AO433" s="3">
        <v>1</v>
      </c>
      <c r="AP433" s="3">
        <v>0</v>
      </c>
      <c r="AQ433" s="3">
        <v>0</v>
      </c>
      <c r="AR433" s="2" t="s">
        <v>5</v>
      </c>
      <c r="AS433" s="2" t="s">
        <v>16</v>
      </c>
      <c r="AT433" s="5" t="str">
        <f>HYPERLINK("http://catalog.hathitrust.org/Record/000298072","HathiTrust Record")</f>
        <v>HathiTrust Record</v>
      </c>
      <c r="AU433" s="5" t="str">
        <f>HYPERLINK("https://creighton-primo.hosted.exlibrisgroup.com/primo-explore/search?tab=default_tab&amp;search_scope=EVERYTHING&amp;vid=01CRU&amp;lang=en_US&amp;offset=0&amp;query=any,contains,991001362899702656","Catalog Record")</f>
        <v>Catalog Record</v>
      </c>
      <c r="AV433" s="5" t="str">
        <f>HYPERLINK("http://www.worldcat.org/oclc/4790073","WorldCat Record")</f>
        <v>WorldCat Record</v>
      </c>
      <c r="AW433" s="2" t="s">
        <v>3981</v>
      </c>
      <c r="AX433" s="2" t="s">
        <v>5347</v>
      </c>
      <c r="AY433" s="2" t="s">
        <v>5348</v>
      </c>
      <c r="AZ433" s="2" t="s">
        <v>5348</v>
      </c>
      <c r="BA433" s="2" t="s">
        <v>5349</v>
      </c>
      <c r="BB433" s="2" t="s">
        <v>21</v>
      </c>
      <c r="BE433" s="2" t="s">
        <v>5350</v>
      </c>
      <c r="BF433" s="2" t="s">
        <v>5351</v>
      </c>
    </row>
    <row r="434" spans="1:58" ht="41.25" customHeight="1" x14ac:dyDescent="0.25">
      <c r="A434" s="8" t="s">
        <v>5</v>
      </c>
      <c r="B434" s="1" t="s">
        <v>0</v>
      </c>
      <c r="C434" s="1" t="s">
        <v>1</v>
      </c>
      <c r="D434" s="1" t="s">
        <v>5352</v>
      </c>
      <c r="E434" s="1" t="s">
        <v>5353</v>
      </c>
      <c r="F434" s="1" t="s">
        <v>5354</v>
      </c>
      <c r="H434" s="2" t="s">
        <v>5</v>
      </c>
      <c r="I434" s="2" t="s">
        <v>6</v>
      </c>
      <c r="J434" s="2" t="s">
        <v>5</v>
      </c>
      <c r="K434" s="2" t="s">
        <v>5</v>
      </c>
      <c r="L434" s="2" t="s">
        <v>7</v>
      </c>
      <c r="N434" s="1" t="s">
        <v>1220</v>
      </c>
      <c r="O434" s="2" t="s">
        <v>62</v>
      </c>
      <c r="Q434" s="2" t="s">
        <v>11</v>
      </c>
      <c r="R434" s="2" t="s">
        <v>12</v>
      </c>
      <c r="S434" s="1" t="s">
        <v>5355</v>
      </c>
      <c r="T434" s="2" t="s">
        <v>520</v>
      </c>
      <c r="U434" s="3">
        <v>2</v>
      </c>
      <c r="V434" s="3">
        <v>2</v>
      </c>
      <c r="W434" s="4" t="s">
        <v>5346</v>
      </c>
      <c r="X434" s="4" t="s">
        <v>5346</v>
      </c>
      <c r="Y434" s="4" t="s">
        <v>1591</v>
      </c>
      <c r="Z434" s="4" t="s">
        <v>1591</v>
      </c>
      <c r="AA434" s="3">
        <v>104</v>
      </c>
      <c r="AB434" s="3">
        <v>87</v>
      </c>
      <c r="AC434" s="3">
        <v>89</v>
      </c>
      <c r="AD434" s="3">
        <v>1</v>
      </c>
      <c r="AE434" s="3">
        <v>1</v>
      </c>
      <c r="AF434" s="3">
        <v>3</v>
      </c>
      <c r="AG434" s="3">
        <v>3</v>
      </c>
      <c r="AH434" s="3">
        <v>0</v>
      </c>
      <c r="AI434" s="3">
        <v>0</v>
      </c>
      <c r="AJ434" s="3">
        <v>1</v>
      </c>
      <c r="AK434" s="3">
        <v>1</v>
      </c>
      <c r="AL434" s="3">
        <v>2</v>
      </c>
      <c r="AM434" s="3">
        <v>2</v>
      </c>
      <c r="AN434" s="3">
        <v>0</v>
      </c>
      <c r="AO434" s="3">
        <v>0</v>
      </c>
      <c r="AP434" s="3">
        <v>0</v>
      </c>
      <c r="AQ434" s="3">
        <v>0</v>
      </c>
      <c r="AR434" s="2" t="s">
        <v>5</v>
      </c>
      <c r="AS434" s="2" t="s">
        <v>16</v>
      </c>
      <c r="AT434" s="5" t="str">
        <f>HYPERLINK("http://catalog.hathitrust.org/Record/000714165","HathiTrust Record")</f>
        <v>HathiTrust Record</v>
      </c>
      <c r="AU434" s="5" t="str">
        <f>HYPERLINK("https://creighton-primo.hosted.exlibrisgroup.com/primo-explore/search?tab=default_tab&amp;search_scope=EVERYTHING&amp;vid=01CRU&amp;lang=en_US&amp;offset=0&amp;query=any,contains,991001370999702656","Catalog Record")</f>
        <v>Catalog Record</v>
      </c>
      <c r="AV434" s="5" t="str">
        <f>HYPERLINK("http://www.worldcat.org/oclc/4468344","WorldCat Record")</f>
        <v>WorldCat Record</v>
      </c>
      <c r="AW434" s="2" t="s">
        <v>5356</v>
      </c>
      <c r="AX434" s="2" t="s">
        <v>5357</v>
      </c>
      <c r="AY434" s="2" t="s">
        <v>5358</v>
      </c>
      <c r="AZ434" s="2" t="s">
        <v>5358</v>
      </c>
      <c r="BA434" s="2" t="s">
        <v>5359</v>
      </c>
      <c r="BB434" s="2" t="s">
        <v>21</v>
      </c>
      <c r="BE434" s="2" t="s">
        <v>5360</v>
      </c>
      <c r="BF434" s="2" t="s">
        <v>5361</v>
      </c>
    </row>
    <row r="435" spans="1:58" ht="41.25" customHeight="1" x14ac:dyDescent="0.25">
      <c r="A435" s="8" t="s">
        <v>5</v>
      </c>
      <c r="B435" s="1" t="s">
        <v>0</v>
      </c>
      <c r="C435" s="1" t="s">
        <v>1</v>
      </c>
      <c r="D435" s="1" t="s">
        <v>5362</v>
      </c>
      <c r="E435" s="1" t="s">
        <v>5363</v>
      </c>
      <c r="F435" s="1" t="s">
        <v>5364</v>
      </c>
      <c r="H435" s="2" t="s">
        <v>5</v>
      </c>
      <c r="I435" s="2" t="s">
        <v>6</v>
      </c>
      <c r="J435" s="2" t="s">
        <v>5</v>
      </c>
      <c r="K435" s="2" t="s">
        <v>5</v>
      </c>
      <c r="L435" s="2" t="s">
        <v>7</v>
      </c>
      <c r="N435" s="1" t="s">
        <v>1220</v>
      </c>
      <c r="O435" s="2" t="s">
        <v>10</v>
      </c>
      <c r="Q435" s="2" t="s">
        <v>11</v>
      </c>
      <c r="R435" s="2" t="s">
        <v>12</v>
      </c>
      <c r="S435" s="1" t="s">
        <v>5365</v>
      </c>
      <c r="T435" s="2" t="s">
        <v>520</v>
      </c>
      <c r="U435" s="3">
        <v>1</v>
      </c>
      <c r="V435" s="3">
        <v>1</v>
      </c>
      <c r="W435" s="4" t="s">
        <v>2189</v>
      </c>
      <c r="X435" s="4" t="s">
        <v>2189</v>
      </c>
      <c r="Y435" s="4" t="s">
        <v>2632</v>
      </c>
      <c r="Z435" s="4" t="s">
        <v>2632</v>
      </c>
      <c r="AA435" s="3">
        <v>95</v>
      </c>
      <c r="AB435" s="3">
        <v>82</v>
      </c>
      <c r="AC435" s="3">
        <v>84</v>
      </c>
      <c r="AD435" s="3">
        <v>2</v>
      </c>
      <c r="AE435" s="3">
        <v>2</v>
      </c>
      <c r="AF435" s="3">
        <v>2</v>
      </c>
      <c r="AG435" s="3">
        <v>2</v>
      </c>
      <c r="AH435" s="3">
        <v>0</v>
      </c>
      <c r="AI435" s="3">
        <v>0</v>
      </c>
      <c r="AJ435" s="3">
        <v>0</v>
      </c>
      <c r="AK435" s="3">
        <v>0</v>
      </c>
      <c r="AL435" s="3">
        <v>2</v>
      </c>
      <c r="AM435" s="3">
        <v>2</v>
      </c>
      <c r="AN435" s="3">
        <v>0</v>
      </c>
      <c r="AO435" s="3">
        <v>0</v>
      </c>
      <c r="AP435" s="3">
        <v>0</v>
      </c>
      <c r="AQ435" s="3">
        <v>0</v>
      </c>
      <c r="AR435" s="2" t="s">
        <v>5</v>
      </c>
      <c r="AS435" s="2" t="s">
        <v>16</v>
      </c>
      <c r="AT435" s="5" t="str">
        <f>HYPERLINK("http://catalog.hathitrust.org/Record/000688146","HathiTrust Record")</f>
        <v>HathiTrust Record</v>
      </c>
      <c r="AU435" s="5" t="str">
        <f>HYPERLINK("https://creighton-primo.hosted.exlibrisgroup.com/primo-explore/search?tab=default_tab&amp;search_scope=EVERYTHING&amp;vid=01CRU&amp;lang=en_US&amp;offset=0&amp;query=any,contains,991001388239702656","Catalog Record")</f>
        <v>Catalog Record</v>
      </c>
      <c r="AV435" s="5" t="str">
        <f>HYPERLINK("http://www.worldcat.org/oclc/4858635","WorldCat Record")</f>
        <v>WorldCat Record</v>
      </c>
      <c r="AW435" s="2" t="s">
        <v>5366</v>
      </c>
      <c r="AX435" s="2" t="s">
        <v>5367</v>
      </c>
      <c r="AY435" s="2" t="s">
        <v>5368</v>
      </c>
      <c r="AZ435" s="2" t="s">
        <v>5368</v>
      </c>
      <c r="BA435" s="2" t="s">
        <v>5369</v>
      </c>
      <c r="BB435" s="2" t="s">
        <v>21</v>
      </c>
      <c r="BE435" s="2" t="s">
        <v>5370</v>
      </c>
      <c r="BF435" s="2" t="s">
        <v>5371</v>
      </c>
    </row>
    <row r="436" spans="1:58" ht="41.25" customHeight="1" x14ac:dyDescent="0.25">
      <c r="A436" s="8" t="s">
        <v>5</v>
      </c>
      <c r="B436" s="1" t="s">
        <v>0</v>
      </c>
      <c r="C436" s="1" t="s">
        <v>1</v>
      </c>
      <c r="D436" s="1" t="s">
        <v>5372</v>
      </c>
      <c r="E436" s="1" t="s">
        <v>5373</v>
      </c>
      <c r="F436" s="1" t="s">
        <v>5374</v>
      </c>
      <c r="H436" s="2" t="s">
        <v>5</v>
      </c>
      <c r="I436" s="2" t="s">
        <v>6</v>
      </c>
      <c r="J436" s="2" t="s">
        <v>5</v>
      </c>
      <c r="K436" s="2" t="s">
        <v>5</v>
      </c>
      <c r="L436" s="2" t="s">
        <v>7</v>
      </c>
      <c r="M436" s="1" t="s">
        <v>5375</v>
      </c>
      <c r="N436" s="1" t="s">
        <v>2250</v>
      </c>
      <c r="O436" s="2" t="s">
        <v>228</v>
      </c>
      <c r="Q436" s="2" t="s">
        <v>11</v>
      </c>
      <c r="R436" s="2" t="s">
        <v>426</v>
      </c>
      <c r="T436" s="2" t="s">
        <v>520</v>
      </c>
      <c r="U436" s="3">
        <v>2</v>
      </c>
      <c r="V436" s="3">
        <v>2</v>
      </c>
      <c r="W436" s="4" t="s">
        <v>4709</v>
      </c>
      <c r="X436" s="4" t="s">
        <v>4709</v>
      </c>
      <c r="Y436" s="4" t="s">
        <v>168</v>
      </c>
      <c r="Z436" s="4" t="s">
        <v>168</v>
      </c>
      <c r="AA436" s="3">
        <v>182</v>
      </c>
      <c r="AB436" s="3">
        <v>140</v>
      </c>
      <c r="AC436" s="3">
        <v>142</v>
      </c>
      <c r="AD436" s="3">
        <v>1</v>
      </c>
      <c r="AE436" s="3">
        <v>1</v>
      </c>
      <c r="AF436" s="3">
        <v>1</v>
      </c>
      <c r="AG436" s="3">
        <v>1</v>
      </c>
      <c r="AH436" s="3">
        <v>0</v>
      </c>
      <c r="AI436" s="3">
        <v>0</v>
      </c>
      <c r="AJ436" s="3">
        <v>0</v>
      </c>
      <c r="AK436" s="3">
        <v>0</v>
      </c>
      <c r="AL436" s="3">
        <v>1</v>
      </c>
      <c r="AM436" s="3">
        <v>1</v>
      </c>
      <c r="AN436" s="3">
        <v>0</v>
      </c>
      <c r="AO436" s="3">
        <v>0</v>
      </c>
      <c r="AP436" s="3">
        <v>0</v>
      </c>
      <c r="AQ436" s="3">
        <v>0</v>
      </c>
      <c r="AR436" s="2" t="s">
        <v>5</v>
      </c>
      <c r="AS436" s="2" t="s">
        <v>16</v>
      </c>
      <c r="AT436" s="5" t="str">
        <f>HYPERLINK("http://catalog.hathitrust.org/Record/000274973","HathiTrust Record")</f>
        <v>HathiTrust Record</v>
      </c>
      <c r="AU436" s="5" t="str">
        <f>HYPERLINK("https://creighton-primo.hosted.exlibrisgroup.com/primo-explore/search?tab=default_tab&amp;search_scope=EVERYTHING&amp;vid=01CRU&amp;lang=en_US&amp;offset=0&amp;query=any,contains,991001046009702656","Catalog Record")</f>
        <v>Catalog Record</v>
      </c>
      <c r="AV436" s="5" t="str">
        <f>HYPERLINK("http://www.worldcat.org/oclc/8170295","WorldCat Record")</f>
        <v>WorldCat Record</v>
      </c>
      <c r="AW436" s="2" t="s">
        <v>5376</v>
      </c>
      <c r="AX436" s="2" t="s">
        <v>5377</v>
      </c>
      <c r="AY436" s="2" t="s">
        <v>5378</v>
      </c>
      <c r="AZ436" s="2" t="s">
        <v>5378</v>
      </c>
      <c r="BA436" s="2" t="s">
        <v>5379</v>
      </c>
      <c r="BB436" s="2" t="s">
        <v>21</v>
      </c>
      <c r="BD436" s="2" t="s">
        <v>5380</v>
      </c>
      <c r="BE436" s="2" t="s">
        <v>5381</v>
      </c>
      <c r="BF436" s="2" t="s">
        <v>5382</v>
      </c>
    </row>
    <row r="437" spans="1:58" ht="41.25" customHeight="1" x14ac:dyDescent="0.25">
      <c r="A437" s="8" t="s">
        <v>5</v>
      </c>
      <c r="B437" s="1" t="s">
        <v>0</v>
      </c>
      <c r="C437" s="1" t="s">
        <v>1</v>
      </c>
      <c r="D437" s="1" t="s">
        <v>5383</v>
      </c>
      <c r="E437" s="1" t="s">
        <v>5384</v>
      </c>
      <c r="F437" s="1" t="s">
        <v>5385</v>
      </c>
      <c r="H437" s="2" t="s">
        <v>5</v>
      </c>
      <c r="I437" s="2" t="s">
        <v>6</v>
      </c>
      <c r="J437" s="2" t="s">
        <v>5</v>
      </c>
      <c r="K437" s="2" t="s">
        <v>5</v>
      </c>
      <c r="L437" s="2" t="s">
        <v>7</v>
      </c>
      <c r="M437" s="1" t="s">
        <v>5386</v>
      </c>
      <c r="N437" s="1" t="s">
        <v>5387</v>
      </c>
      <c r="O437" s="2" t="s">
        <v>393</v>
      </c>
      <c r="Q437" s="2" t="s">
        <v>11</v>
      </c>
      <c r="R437" s="2" t="s">
        <v>426</v>
      </c>
      <c r="T437" s="2" t="s">
        <v>520</v>
      </c>
      <c r="U437" s="3">
        <v>6</v>
      </c>
      <c r="V437" s="3">
        <v>6</v>
      </c>
      <c r="W437" s="4" t="s">
        <v>5388</v>
      </c>
      <c r="X437" s="4" t="s">
        <v>5388</v>
      </c>
      <c r="Y437" s="4" t="s">
        <v>168</v>
      </c>
      <c r="Z437" s="4" t="s">
        <v>168</v>
      </c>
      <c r="AA437" s="3">
        <v>178</v>
      </c>
      <c r="AB437" s="3">
        <v>145</v>
      </c>
      <c r="AC437" s="3">
        <v>146</v>
      </c>
      <c r="AD437" s="3">
        <v>1</v>
      </c>
      <c r="AE437" s="3">
        <v>1</v>
      </c>
      <c r="AF437" s="3">
        <v>5</v>
      </c>
      <c r="AG437" s="3">
        <v>5</v>
      </c>
      <c r="AH437" s="3">
        <v>0</v>
      </c>
      <c r="AI437" s="3">
        <v>0</v>
      </c>
      <c r="AJ437" s="3">
        <v>1</v>
      </c>
      <c r="AK437" s="3">
        <v>1</v>
      </c>
      <c r="AL437" s="3">
        <v>5</v>
      </c>
      <c r="AM437" s="3">
        <v>5</v>
      </c>
      <c r="AN437" s="3">
        <v>0</v>
      </c>
      <c r="AO437" s="3">
        <v>0</v>
      </c>
      <c r="AP437" s="3">
        <v>0</v>
      </c>
      <c r="AQ437" s="3">
        <v>0</v>
      </c>
      <c r="AR437" s="2" t="s">
        <v>5</v>
      </c>
      <c r="AS437" s="2" t="s">
        <v>16</v>
      </c>
      <c r="AT437" s="5" t="str">
        <f>HYPERLINK("http://catalog.hathitrust.org/Record/000270287","HathiTrust Record")</f>
        <v>HathiTrust Record</v>
      </c>
      <c r="AU437" s="5" t="str">
        <f>HYPERLINK("https://creighton-primo.hosted.exlibrisgroup.com/primo-explore/search?tab=default_tab&amp;search_scope=EVERYTHING&amp;vid=01CRU&amp;lang=en_US&amp;offset=0&amp;query=any,contains,991001045989702656","Catalog Record")</f>
        <v>Catalog Record</v>
      </c>
      <c r="AV437" s="5" t="str">
        <f>HYPERLINK("http://www.worldcat.org/oclc/6943129","WorldCat Record")</f>
        <v>WorldCat Record</v>
      </c>
      <c r="AW437" s="2" t="s">
        <v>5389</v>
      </c>
      <c r="AX437" s="2" t="s">
        <v>5390</v>
      </c>
      <c r="AY437" s="2" t="s">
        <v>5391</v>
      </c>
      <c r="AZ437" s="2" t="s">
        <v>5391</v>
      </c>
      <c r="BA437" s="2" t="s">
        <v>5392</v>
      </c>
      <c r="BB437" s="2" t="s">
        <v>21</v>
      </c>
      <c r="BD437" s="2" t="s">
        <v>5393</v>
      </c>
      <c r="BE437" s="2" t="s">
        <v>5394</v>
      </c>
      <c r="BF437" s="2" t="s">
        <v>5395</v>
      </c>
    </row>
    <row r="438" spans="1:58" ht="41.25" customHeight="1" x14ac:dyDescent="0.25">
      <c r="A438" s="8" t="s">
        <v>5</v>
      </c>
      <c r="B438" s="1" t="s">
        <v>0</v>
      </c>
      <c r="C438" s="1" t="s">
        <v>1</v>
      </c>
      <c r="D438" s="1" t="s">
        <v>5396</v>
      </c>
      <c r="E438" s="1" t="s">
        <v>5397</v>
      </c>
      <c r="F438" s="1" t="s">
        <v>5398</v>
      </c>
      <c r="H438" s="2" t="s">
        <v>5</v>
      </c>
      <c r="I438" s="2" t="s">
        <v>6</v>
      </c>
      <c r="J438" s="2" t="s">
        <v>5</v>
      </c>
      <c r="K438" s="2" t="s">
        <v>5</v>
      </c>
      <c r="L438" s="2" t="s">
        <v>7</v>
      </c>
      <c r="N438" s="1" t="s">
        <v>1729</v>
      </c>
      <c r="O438" s="2" t="s">
        <v>1378</v>
      </c>
      <c r="P438" s="1" t="s">
        <v>211</v>
      </c>
      <c r="Q438" s="2" t="s">
        <v>11</v>
      </c>
      <c r="R438" s="2" t="s">
        <v>78</v>
      </c>
      <c r="T438" s="2" t="s">
        <v>520</v>
      </c>
      <c r="U438" s="3">
        <v>4</v>
      </c>
      <c r="V438" s="3">
        <v>4</v>
      </c>
      <c r="W438" s="4" t="s">
        <v>5388</v>
      </c>
      <c r="X438" s="4" t="s">
        <v>5388</v>
      </c>
      <c r="Y438" s="4" t="s">
        <v>4259</v>
      </c>
      <c r="Z438" s="4" t="s">
        <v>4259</v>
      </c>
      <c r="AA438" s="3">
        <v>277</v>
      </c>
      <c r="AB438" s="3">
        <v>217</v>
      </c>
      <c r="AC438" s="3">
        <v>218</v>
      </c>
      <c r="AD438" s="3">
        <v>1</v>
      </c>
      <c r="AE438" s="3">
        <v>1</v>
      </c>
      <c r="AF438" s="3">
        <v>7</v>
      </c>
      <c r="AG438" s="3">
        <v>7</v>
      </c>
      <c r="AH438" s="3">
        <v>3</v>
      </c>
      <c r="AI438" s="3">
        <v>3</v>
      </c>
      <c r="AJ438" s="3">
        <v>1</v>
      </c>
      <c r="AK438" s="3">
        <v>1</v>
      </c>
      <c r="AL438" s="3">
        <v>4</v>
      </c>
      <c r="AM438" s="3">
        <v>4</v>
      </c>
      <c r="AN438" s="3">
        <v>0</v>
      </c>
      <c r="AO438" s="3">
        <v>0</v>
      </c>
      <c r="AP438" s="3">
        <v>0</v>
      </c>
      <c r="AQ438" s="3">
        <v>0</v>
      </c>
      <c r="AR438" s="2" t="s">
        <v>5</v>
      </c>
      <c r="AS438" s="2" t="s">
        <v>5</v>
      </c>
      <c r="AU438" s="5" t="str">
        <f>HYPERLINK("https://creighton-primo.hosted.exlibrisgroup.com/primo-explore/search?tab=default_tab&amp;search_scope=EVERYTHING&amp;vid=01CRU&amp;lang=en_US&amp;offset=0&amp;query=any,contains,991001571719702656","Catalog Record")</f>
        <v>Catalog Record</v>
      </c>
      <c r="AV438" s="5" t="str">
        <f>HYPERLINK("http://www.worldcat.org/oclc/38239358","WorldCat Record")</f>
        <v>WorldCat Record</v>
      </c>
      <c r="AW438" s="2" t="s">
        <v>5399</v>
      </c>
      <c r="AX438" s="2" t="s">
        <v>5400</v>
      </c>
      <c r="AY438" s="2" t="s">
        <v>5401</v>
      </c>
      <c r="AZ438" s="2" t="s">
        <v>5401</v>
      </c>
      <c r="BA438" s="2" t="s">
        <v>5402</v>
      </c>
      <c r="BB438" s="2" t="s">
        <v>21</v>
      </c>
      <c r="BD438" s="2" t="s">
        <v>5403</v>
      </c>
      <c r="BE438" s="2" t="s">
        <v>5404</v>
      </c>
      <c r="BF438" s="2" t="s">
        <v>5405</v>
      </c>
    </row>
    <row r="439" spans="1:58" ht="41.25" customHeight="1" x14ac:dyDescent="0.25">
      <c r="A439" s="8" t="s">
        <v>5</v>
      </c>
      <c r="B439" s="1" t="s">
        <v>0</v>
      </c>
      <c r="C439" s="1" t="s">
        <v>1</v>
      </c>
      <c r="D439" s="1" t="s">
        <v>5406</v>
      </c>
      <c r="E439" s="1" t="s">
        <v>5407</v>
      </c>
      <c r="F439" s="1" t="s">
        <v>5408</v>
      </c>
      <c r="H439" s="2" t="s">
        <v>5</v>
      </c>
      <c r="I439" s="2" t="s">
        <v>6</v>
      </c>
      <c r="J439" s="2" t="s">
        <v>5</v>
      </c>
      <c r="K439" s="2" t="s">
        <v>5</v>
      </c>
      <c r="L439" s="2" t="s">
        <v>7</v>
      </c>
      <c r="M439" s="1" t="s">
        <v>5409</v>
      </c>
      <c r="N439" s="1" t="s">
        <v>1911</v>
      </c>
      <c r="O439" s="2" t="s">
        <v>734</v>
      </c>
      <c r="Q439" s="2" t="s">
        <v>11</v>
      </c>
      <c r="R439" s="2" t="s">
        <v>426</v>
      </c>
      <c r="T439" s="2" t="s">
        <v>520</v>
      </c>
      <c r="U439" s="3">
        <v>9</v>
      </c>
      <c r="V439" s="3">
        <v>9</v>
      </c>
      <c r="W439" s="4" t="s">
        <v>4370</v>
      </c>
      <c r="X439" s="4" t="s">
        <v>4370</v>
      </c>
      <c r="Y439" s="4" t="s">
        <v>168</v>
      </c>
      <c r="Z439" s="4" t="s">
        <v>168</v>
      </c>
      <c r="AA439" s="3">
        <v>204</v>
      </c>
      <c r="AB439" s="3">
        <v>172</v>
      </c>
      <c r="AC439" s="3">
        <v>174</v>
      </c>
      <c r="AD439" s="3">
        <v>1</v>
      </c>
      <c r="AE439" s="3">
        <v>1</v>
      </c>
      <c r="AF439" s="3">
        <v>4</v>
      </c>
      <c r="AG439" s="3">
        <v>4</v>
      </c>
      <c r="AH439" s="3">
        <v>1</v>
      </c>
      <c r="AI439" s="3">
        <v>1</v>
      </c>
      <c r="AJ439" s="3">
        <v>1</v>
      </c>
      <c r="AK439" s="3">
        <v>1</v>
      </c>
      <c r="AL439" s="3">
        <v>2</v>
      </c>
      <c r="AM439" s="3">
        <v>2</v>
      </c>
      <c r="AN439" s="3">
        <v>0</v>
      </c>
      <c r="AO439" s="3">
        <v>0</v>
      </c>
      <c r="AP439" s="3">
        <v>0</v>
      </c>
      <c r="AQ439" s="3">
        <v>0</v>
      </c>
      <c r="AR439" s="2" t="s">
        <v>5</v>
      </c>
      <c r="AS439" s="2" t="s">
        <v>16</v>
      </c>
      <c r="AT439" s="5" t="str">
        <f>HYPERLINK("http://catalog.hathitrust.org/Record/004413157","HathiTrust Record")</f>
        <v>HathiTrust Record</v>
      </c>
      <c r="AU439" s="5" t="str">
        <f>HYPERLINK("https://creighton-primo.hosted.exlibrisgroup.com/primo-explore/search?tab=default_tab&amp;search_scope=EVERYTHING&amp;vid=01CRU&amp;lang=en_US&amp;offset=0&amp;query=any,contains,991001046049702656","Catalog Record")</f>
        <v>Catalog Record</v>
      </c>
      <c r="AV439" s="5" t="str">
        <f>HYPERLINK("http://www.worldcat.org/oclc/8708887","WorldCat Record")</f>
        <v>WorldCat Record</v>
      </c>
      <c r="AW439" s="2" t="s">
        <v>5410</v>
      </c>
      <c r="AX439" s="2" t="s">
        <v>5411</v>
      </c>
      <c r="AY439" s="2" t="s">
        <v>5412</v>
      </c>
      <c r="AZ439" s="2" t="s">
        <v>5412</v>
      </c>
      <c r="BA439" s="2" t="s">
        <v>5413</v>
      </c>
      <c r="BB439" s="2" t="s">
        <v>21</v>
      </c>
      <c r="BD439" s="2" t="s">
        <v>5414</v>
      </c>
      <c r="BE439" s="2" t="s">
        <v>5415</v>
      </c>
      <c r="BF439" s="2" t="s">
        <v>5416</v>
      </c>
    </row>
    <row r="440" spans="1:58" ht="41.25" customHeight="1" x14ac:dyDescent="0.25">
      <c r="A440" s="8" t="s">
        <v>5</v>
      </c>
      <c r="B440" s="1" t="s">
        <v>0</v>
      </c>
      <c r="C440" s="1" t="s">
        <v>1</v>
      </c>
      <c r="D440" s="1" t="s">
        <v>5417</v>
      </c>
      <c r="E440" s="1" t="s">
        <v>5418</v>
      </c>
      <c r="F440" s="1" t="s">
        <v>5419</v>
      </c>
      <c r="H440" s="2" t="s">
        <v>5</v>
      </c>
      <c r="I440" s="2" t="s">
        <v>6</v>
      </c>
      <c r="J440" s="2" t="s">
        <v>5</v>
      </c>
      <c r="K440" s="2" t="s">
        <v>5</v>
      </c>
      <c r="L440" s="2" t="s">
        <v>7</v>
      </c>
      <c r="M440" s="1" t="s">
        <v>5420</v>
      </c>
      <c r="N440" s="1" t="s">
        <v>5421</v>
      </c>
      <c r="O440" s="2" t="s">
        <v>382</v>
      </c>
      <c r="Q440" s="2" t="s">
        <v>11</v>
      </c>
      <c r="R440" s="2" t="s">
        <v>426</v>
      </c>
      <c r="T440" s="2" t="s">
        <v>520</v>
      </c>
      <c r="U440" s="3">
        <v>3</v>
      </c>
      <c r="V440" s="3">
        <v>3</v>
      </c>
      <c r="W440" s="4" t="s">
        <v>3718</v>
      </c>
      <c r="X440" s="4" t="s">
        <v>3718</v>
      </c>
      <c r="Y440" s="4" t="s">
        <v>168</v>
      </c>
      <c r="Z440" s="4" t="s">
        <v>168</v>
      </c>
      <c r="AA440" s="3">
        <v>160</v>
      </c>
      <c r="AB440" s="3">
        <v>120</v>
      </c>
      <c r="AC440" s="3">
        <v>122</v>
      </c>
      <c r="AD440" s="3">
        <v>1</v>
      </c>
      <c r="AE440" s="3">
        <v>1</v>
      </c>
      <c r="AF440" s="3">
        <v>1</v>
      </c>
      <c r="AG440" s="3">
        <v>1</v>
      </c>
      <c r="AH440" s="3">
        <v>0</v>
      </c>
      <c r="AI440" s="3">
        <v>0</v>
      </c>
      <c r="AJ440" s="3">
        <v>0</v>
      </c>
      <c r="AK440" s="3">
        <v>0</v>
      </c>
      <c r="AL440" s="3">
        <v>1</v>
      </c>
      <c r="AM440" s="3">
        <v>1</v>
      </c>
      <c r="AN440" s="3">
        <v>0</v>
      </c>
      <c r="AO440" s="3">
        <v>0</v>
      </c>
      <c r="AP440" s="3">
        <v>0</v>
      </c>
      <c r="AQ440" s="3">
        <v>0</v>
      </c>
      <c r="AR440" s="2" t="s">
        <v>5</v>
      </c>
      <c r="AS440" s="2" t="s">
        <v>16</v>
      </c>
      <c r="AT440" s="5" t="str">
        <f>HYPERLINK("http://catalog.hathitrust.org/Record/000462904","HathiTrust Record")</f>
        <v>HathiTrust Record</v>
      </c>
      <c r="AU440" s="5" t="str">
        <f>HYPERLINK("https://creighton-primo.hosted.exlibrisgroup.com/primo-explore/search?tab=default_tab&amp;search_scope=EVERYTHING&amp;vid=01CRU&amp;lang=en_US&amp;offset=0&amp;query=any,contains,991001046119702656","Catalog Record")</f>
        <v>Catalog Record</v>
      </c>
      <c r="AV440" s="5" t="str">
        <f>HYPERLINK("http://www.worldcat.org/oclc/11497325","WorldCat Record")</f>
        <v>WorldCat Record</v>
      </c>
      <c r="AW440" s="2" t="s">
        <v>5422</v>
      </c>
      <c r="AX440" s="2" t="s">
        <v>5423</v>
      </c>
      <c r="AY440" s="2" t="s">
        <v>5424</v>
      </c>
      <c r="AZ440" s="2" t="s">
        <v>5424</v>
      </c>
      <c r="BA440" s="2" t="s">
        <v>5425</v>
      </c>
      <c r="BB440" s="2" t="s">
        <v>21</v>
      </c>
      <c r="BD440" s="2" t="s">
        <v>5426</v>
      </c>
      <c r="BE440" s="2" t="s">
        <v>5427</v>
      </c>
      <c r="BF440" s="2" t="s">
        <v>5428</v>
      </c>
    </row>
    <row r="441" spans="1:58" ht="41.25" customHeight="1" x14ac:dyDescent="0.25">
      <c r="A441" s="8" t="s">
        <v>5</v>
      </c>
      <c r="B441" s="1" t="s">
        <v>0</v>
      </c>
      <c r="C441" s="1" t="s">
        <v>1</v>
      </c>
      <c r="D441" s="1" t="s">
        <v>5429</v>
      </c>
      <c r="E441" s="1" t="s">
        <v>5430</v>
      </c>
      <c r="F441" s="1" t="s">
        <v>5431</v>
      </c>
      <c r="H441" s="2" t="s">
        <v>5</v>
      </c>
      <c r="I441" s="2" t="s">
        <v>6</v>
      </c>
      <c r="J441" s="2" t="s">
        <v>5</v>
      </c>
      <c r="K441" s="2" t="s">
        <v>5</v>
      </c>
      <c r="L441" s="2" t="s">
        <v>7</v>
      </c>
      <c r="N441" s="1" t="s">
        <v>5432</v>
      </c>
      <c r="O441" s="2" t="s">
        <v>228</v>
      </c>
      <c r="Q441" s="2" t="s">
        <v>11</v>
      </c>
      <c r="R441" s="2" t="s">
        <v>426</v>
      </c>
      <c r="S441" s="1" t="s">
        <v>5433</v>
      </c>
      <c r="T441" s="2" t="s">
        <v>520</v>
      </c>
      <c r="U441" s="3">
        <v>3</v>
      </c>
      <c r="V441" s="3">
        <v>3</v>
      </c>
      <c r="W441" s="4" t="s">
        <v>3072</v>
      </c>
      <c r="X441" s="4" t="s">
        <v>3072</v>
      </c>
      <c r="Y441" s="4" t="s">
        <v>1591</v>
      </c>
      <c r="Z441" s="4" t="s">
        <v>1591</v>
      </c>
      <c r="AA441" s="3">
        <v>88</v>
      </c>
      <c r="AB441" s="3">
        <v>79</v>
      </c>
      <c r="AC441" s="3">
        <v>82</v>
      </c>
      <c r="AD441" s="3">
        <v>1</v>
      </c>
      <c r="AE441" s="3">
        <v>1</v>
      </c>
      <c r="AF441" s="3">
        <v>2</v>
      </c>
      <c r="AG441" s="3">
        <v>2</v>
      </c>
      <c r="AH441" s="3">
        <v>0</v>
      </c>
      <c r="AI441" s="3">
        <v>0</v>
      </c>
      <c r="AJ441" s="3">
        <v>0</v>
      </c>
      <c r="AK441" s="3">
        <v>0</v>
      </c>
      <c r="AL441" s="3">
        <v>2</v>
      </c>
      <c r="AM441" s="3">
        <v>2</v>
      </c>
      <c r="AN441" s="3">
        <v>0</v>
      </c>
      <c r="AO441" s="3">
        <v>0</v>
      </c>
      <c r="AP441" s="3">
        <v>0</v>
      </c>
      <c r="AQ441" s="3">
        <v>0</v>
      </c>
      <c r="AR441" s="2" t="s">
        <v>5</v>
      </c>
      <c r="AS441" s="2" t="s">
        <v>16</v>
      </c>
      <c r="AT441" s="5" t="str">
        <f>HYPERLINK("http://catalog.hathitrust.org/Record/002505054","HathiTrust Record")</f>
        <v>HathiTrust Record</v>
      </c>
      <c r="AU441" s="5" t="str">
        <f>HYPERLINK("https://creighton-primo.hosted.exlibrisgroup.com/primo-explore/search?tab=default_tab&amp;search_scope=EVERYTHING&amp;vid=01CRU&amp;lang=en_US&amp;offset=0&amp;query=any,contains,991001373169702656","Catalog Record")</f>
        <v>Catalog Record</v>
      </c>
      <c r="AV441" s="5" t="str">
        <f>HYPERLINK("http://www.worldcat.org/oclc/9193915","WorldCat Record")</f>
        <v>WorldCat Record</v>
      </c>
      <c r="AW441" s="2" t="s">
        <v>5434</v>
      </c>
      <c r="AX441" s="2" t="s">
        <v>5435</v>
      </c>
      <c r="AY441" s="2" t="s">
        <v>5436</v>
      </c>
      <c r="AZ441" s="2" t="s">
        <v>5436</v>
      </c>
      <c r="BA441" s="2" t="s">
        <v>5437</v>
      </c>
      <c r="BB441" s="2" t="s">
        <v>21</v>
      </c>
      <c r="BE441" s="2" t="s">
        <v>5438</v>
      </c>
      <c r="BF441" s="2" t="s">
        <v>5439</v>
      </c>
    </row>
    <row r="442" spans="1:58" ht="41.25" customHeight="1" x14ac:dyDescent="0.25">
      <c r="A442" s="8" t="s">
        <v>5</v>
      </c>
      <c r="B442" s="1" t="s">
        <v>0</v>
      </c>
      <c r="C442" s="1" t="s">
        <v>1</v>
      </c>
      <c r="D442" s="1" t="s">
        <v>5440</v>
      </c>
      <c r="E442" s="1" t="s">
        <v>5441</v>
      </c>
      <c r="F442" s="1" t="s">
        <v>5442</v>
      </c>
      <c r="H442" s="2" t="s">
        <v>5</v>
      </c>
      <c r="I442" s="2" t="s">
        <v>6</v>
      </c>
      <c r="J442" s="2" t="s">
        <v>5</v>
      </c>
      <c r="K442" s="2" t="s">
        <v>5</v>
      </c>
      <c r="L442" s="2" t="s">
        <v>7</v>
      </c>
      <c r="N442" s="1" t="s">
        <v>1220</v>
      </c>
      <c r="O442" s="2" t="s">
        <v>62</v>
      </c>
      <c r="Q442" s="2" t="s">
        <v>11</v>
      </c>
      <c r="R442" s="2" t="s">
        <v>12</v>
      </c>
      <c r="S442" s="1" t="s">
        <v>5443</v>
      </c>
      <c r="T442" s="2" t="s">
        <v>520</v>
      </c>
      <c r="U442" s="3">
        <v>2</v>
      </c>
      <c r="V442" s="3">
        <v>2</v>
      </c>
      <c r="W442" s="4" t="s">
        <v>2072</v>
      </c>
      <c r="X442" s="4" t="s">
        <v>2072</v>
      </c>
      <c r="Y442" s="4" t="s">
        <v>1591</v>
      </c>
      <c r="Z442" s="4" t="s">
        <v>1591</v>
      </c>
      <c r="AA442" s="3">
        <v>100</v>
      </c>
      <c r="AB442" s="3">
        <v>83</v>
      </c>
      <c r="AC442" s="3">
        <v>83</v>
      </c>
      <c r="AD442" s="3">
        <v>2</v>
      </c>
      <c r="AE442" s="3">
        <v>2</v>
      </c>
      <c r="AF442" s="3">
        <v>1</v>
      </c>
      <c r="AG442" s="3">
        <v>1</v>
      </c>
      <c r="AH442" s="3">
        <v>0</v>
      </c>
      <c r="AI442" s="3">
        <v>0</v>
      </c>
      <c r="AJ442" s="3">
        <v>0</v>
      </c>
      <c r="AK442" s="3">
        <v>0</v>
      </c>
      <c r="AL442" s="3">
        <v>1</v>
      </c>
      <c r="AM442" s="3">
        <v>1</v>
      </c>
      <c r="AN442" s="3">
        <v>0</v>
      </c>
      <c r="AO442" s="3">
        <v>0</v>
      </c>
      <c r="AP442" s="3">
        <v>0</v>
      </c>
      <c r="AQ442" s="3">
        <v>0</v>
      </c>
      <c r="AR442" s="2" t="s">
        <v>5</v>
      </c>
      <c r="AS442" s="2" t="s">
        <v>5</v>
      </c>
      <c r="AU442" s="5" t="str">
        <f>HYPERLINK("https://creighton-primo.hosted.exlibrisgroup.com/primo-explore/search?tab=default_tab&amp;search_scope=EVERYTHING&amp;vid=01CRU&amp;lang=en_US&amp;offset=0&amp;query=any,contains,991001371039702656","Catalog Record")</f>
        <v>Catalog Record</v>
      </c>
      <c r="AV442" s="5" t="str">
        <f>HYPERLINK("http://www.worldcat.org/oclc/5051582","WorldCat Record")</f>
        <v>WorldCat Record</v>
      </c>
      <c r="AW442" s="2" t="s">
        <v>5444</v>
      </c>
      <c r="AX442" s="2" t="s">
        <v>5445</v>
      </c>
      <c r="AY442" s="2" t="s">
        <v>5446</v>
      </c>
      <c r="AZ442" s="2" t="s">
        <v>5446</v>
      </c>
      <c r="BA442" s="2" t="s">
        <v>5447</v>
      </c>
      <c r="BB442" s="2" t="s">
        <v>21</v>
      </c>
      <c r="BE442" s="2" t="s">
        <v>5448</v>
      </c>
      <c r="BF442" s="2" t="s">
        <v>5449</v>
      </c>
    </row>
    <row r="443" spans="1:58" ht="41.25" customHeight="1" x14ac:dyDescent="0.25">
      <c r="A443" s="8" t="s">
        <v>5</v>
      </c>
      <c r="B443" s="1" t="s">
        <v>0</v>
      </c>
      <c r="C443" s="1" t="s">
        <v>1</v>
      </c>
      <c r="D443" s="1" t="s">
        <v>5450</v>
      </c>
      <c r="E443" s="1" t="s">
        <v>5451</v>
      </c>
      <c r="F443" s="1" t="s">
        <v>5452</v>
      </c>
      <c r="H443" s="2" t="s">
        <v>5</v>
      </c>
      <c r="I443" s="2" t="s">
        <v>6</v>
      </c>
      <c r="J443" s="2" t="s">
        <v>5</v>
      </c>
      <c r="K443" s="2" t="s">
        <v>5</v>
      </c>
      <c r="L443" s="2" t="s">
        <v>7</v>
      </c>
      <c r="N443" s="1" t="s">
        <v>5453</v>
      </c>
      <c r="O443" s="2" t="s">
        <v>354</v>
      </c>
      <c r="Q443" s="2" t="s">
        <v>11</v>
      </c>
      <c r="R443" s="2" t="s">
        <v>426</v>
      </c>
      <c r="S443" s="1" t="s">
        <v>5454</v>
      </c>
      <c r="T443" s="2" t="s">
        <v>520</v>
      </c>
      <c r="U443" s="3">
        <v>5</v>
      </c>
      <c r="V443" s="3">
        <v>5</v>
      </c>
      <c r="W443" s="4" t="s">
        <v>5455</v>
      </c>
      <c r="X443" s="4" t="s">
        <v>5455</v>
      </c>
      <c r="Y443" s="4" t="s">
        <v>1591</v>
      </c>
      <c r="Z443" s="4" t="s">
        <v>1591</v>
      </c>
      <c r="AA443" s="3">
        <v>96</v>
      </c>
      <c r="AB443" s="3">
        <v>80</v>
      </c>
      <c r="AC443" s="3">
        <v>82</v>
      </c>
      <c r="AD443" s="3">
        <v>1</v>
      </c>
      <c r="AE443" s="3">
        <v>1</v>
      </c>
      <c r="AF443" s="3">
        <v>1</v>
      </c>
      <c r="AG443" s="3">
        <v>1</v>
      </c>
      <c r="AH443" s="3">
        <v>0</v>
      </c>
      <c r="AI443" s="3">
        <v>0</v>
      </c>
      <c r="AJ443" s="3">
        <v>0</v>
      </c>
      <c r="AK443" s="3">
        <v>0</v>
      </c>
      <c r="AL443" s="3">
        <v>1</v>
      </c>
      <c r="AM443" s="3">
        <v>1</v>
      </c>
      <c r="AN443" s="3">
        <v>0</v>
      </c>
      <c r="AO443" s="3">
        <v>0</v>
      </c>
      <c r="AP443" s="3">
        <v>0</v>
      </c>
      <c r="AQ443" s="3">
        <v>0</v>
      </c>
      <c r="AR443" s="2" t="s">
        <v>5</v>
      </c>
      <c r="AS443" s="2" t="s">
        <v>16</v>
      </c>
      <c r="AT443" s="5" t="str">
        <f>HYPERLINK("http://catalog.hathitrust.org/Record/001547908","HathiTrust Record")</f>
        <v>HathiTrust Record</v>
      </c>
      <c r="AU443" s="5" t="str">
        <f>HYPERLINK("https://creighton-primo.hosted.exlibrisgroup.com/primo-explore/search?tab=default_tab&amp;search_scope=EVERYTHING&amp;vid=01CRU&amp;lang=en_US&amp;offset=0&amp;query=any,contains,991001371749702656","Catalog Record")</f>
        <v>Catalog Record</v>
      </c>
      <c r="AV443" s="5" t="str">
        <f>HYPERLINK("http://www.worldcat.org/oclc/7776436","WorldCat Record")</f>
        <v>WorldCat Record</v>
      </c>
      <c r="AW443" s="2" t="s">
        <v>5456</v>
      </c>
      <c r="AX443" s="2" t="s">
        <v>5457</v>
      </c>
      <c r="AY443" s="2" t="s">
        <v>5458</v>
      </c>
      <c r="AZ443" s="2" t="s">
        <v>5458</v>
      </c>
      <c r="BA443" s="2" t="s">
        <v>5459</v>
      </c>
      <c r="BB443" s="2" t="s">
        <v>21</v>
      </c>
      <c r="BE443" s="2" t="s">
        <v>5460</v>
      </c>
      <c r="BF443" s="2" t="s">
        <v>5461</v>
      </c>
    </row>
    <row r="444" spans="1:58" ht="41.25" customHeight="1" x14ac:dyDescent="0.25">
      <c r="A444" s="8" t="s">
        <v>5</v>
      </c>
      <c r="B444" s="1" t="s">
        <v>0</v>
      </c>
      <c r="C444" s="1" t="s">
        <v>1</v>
      </c>
      <c r="D444" s="1" t="s">
        <v>5462</v>
      </c>
      <c r="E444" s="1" t="s">
        <v>5463</v>
      </c>
      <c r="F444" s="1" t="s">
        <v>5464</v>
      </c>
      <c r="H444" s="2" t="s">
        <v>5</v>
      </c>
      <c r="I444" s="2" t="s">
        <v>6</v>
      </c>
      <c r="J444" s="2" t="s">
        <v>5</v>
      </c>
      <c r="K444" s="2" t="s">
        <v>5</v>
      </c>
      <c r="L444" s="2" t="s">
        <v>7</v>
      </c>
      <c r="N444" s="1" t="s">
        <v>1220</v>
      </c>
      <c r="O444" s="2" t="s">
        <v>10</v>
      </c>
      <c r="Q444" s="2" t="s">
        <v>11</v>
      </c>
      <c r="R444" s="2" t="s">
        <v>12</v>
      </c>
      <c r="S444" s="1" t="s">
        <v>5465</v>
      </c>
      <c r="T444" s="2" t="s">
        <v>520</v>
      </c>
      <c r="U444" s="3">
        <v>2</v>
      </c>
      <c r="V444" s="3">
        <v>2</v>
      </c>
      <c r="W444" s="4" t="s">
        <v>1987</v>
      </c>
      <c r="X444" s="4" t="s">
        <v>1987</v>
      </c>
      <c r="Y444" s="4" t="s">
        <v>1444</v>
      </c>
      <c r="Z444" s="4" t="s">
        <v>1444</v>
      </c>
      <c r="AA444" s="3">
        <v>96</v>
      </c>
      <c r="AB444" s="3">
        <v>79</v>
      </c>
      <c r="AC444" s="3">
        <v>81</v>
      </c>
      <c r="AD444" s="3">
        <v>2</v>
      </c>
      <c r="AE444" s="3">
        <v>2</v>
      </c>
      <c r="AF444" s="3">
        <v>2</v>
      </c>
      <c r="AG444" s="3">
        <v>2</v>
      </c>
      <c r="AH444" s="3">
        <v>0</v>
      </c>
      <c r="AI444" s="3">
        <v>0</v>
      </c>
      <c r="AJ444" s="3">
        <v>0</v>
      </c>
      <c r="AK444" s="3">
        <v>0</v>
      </c>
      <c r="AL444" s="3">
        <v>2</v>
      </c>
      <c r="AM444" s="3">
        <v>2</v>
      </c>
      <c r="AN444" s="3">
        <v>0</v>
      </c>
      <c r="AO444" s="3">
        <v>0</v>
      </c>
      <c r="AP444" s="3">
        <v>0</v>
      </c>
      <c r="AQ444" s="3">
        <v>0</v>
      </c>
      <c r="AR444" s="2" t="s">
        <v>5</v>
      </c>
      <c r="AS444" s="2" t="s">
        <v>16</v>
      </c>
      <c r="AT444" s="5" t="str">
        <f>HYPERLINK("http://catalog.hathitrust.org/Record/000175728","HathiTrust Record")</f>
        <v>HathiTrust Record</v>
      </c>
      <c r="AU444" s="5" t="str">
        <f>HYPERLINK("https://creighton-primo.hosted.exlibrisgroup.com/primo-explore/search?tab=default_tab&amp;search_scope=EVERYTHING&amp;vid=01CRU&amp;lang=en_US&amp;offset=0&amp;query=any,contains,991001516979702656","Catalog Record")</f>
        <v>Catalog Record</v>
      </c>
      <c r="AV444" s="5" t="str">
        <f>HYPERLINK("http://www.worldcat.org/oclc/4468330","WorldCat Record")</f>
        <v>WorldCat Record</v>
      </c>
      <c r="AW444" s="2" t="s">
        <v>5466</v>
      </c>
      <c r="AX444" s="2" t="s">
        <v>5467</v>
      </c>
      <c r="AY444" s="2" t="s">
        <v>5468</v>
      </c>
      <c r="AZ444" s="2" t="s">
        <v>5468</v>
      </c>
      <c r="BA444" s="2" t="s">
        <v>5469</v>
      </c>
      <c r="BB444" s="2" t="s">
        <v>21</v>
      </c>
      <c r="BE444" s="2" t="s">
        <v>5470</v>
      </c>
      <c r="BF444" s="2" t="s">
        <v>5471</v>
      </c>
    </row>
    <row r="445" spans="1:58" ht="41.25" customHeight="1" x14ac:dyDescent="0.25">
      <c r="A445" s="8" t="s">
        <v>5</v>
      </c>
      <c r="B445" s="1" t="s">
        <v>0</v>
      </c>
      <c r="C445" s="1" t="s">
        <v>1</v>
      </c>
      <c r="D445" s="1" t="s">
        <v>5472</v>
      </c>
      <c r="E445" s="1" t="s">
        <v>5473</v>
      </c>
      <c r="F445" s="1" t="s">
        <v>5474</v>
      </c>
      <c r="H445" s="2" t="s">
        <v>5</v>
      </c>
      <c r="I445" s="2" t="s">
        <v>6</v>
      </c>
      <c r="J445" s="2" t="s">
        <v>5</v>
      </c>
      <c r="K445" s="2" t="s">
        <v>5</v>
      </c>
      <c r="L445" s="2" t="s">
        <v>7</v>
      </c>
      <c r="N445" s="1" t="s">
        <v>2334</v>
      </c>
      <c r="O445" s="2" t="s">
        <v>1339</v>
      </c>
      <c r="Q445" s="2" t="s">
        <v>11</v>
      </c>
      <c r="R445" s="2" t="s">
        <v>12</v>
      </c>
      <c r="S445" s="1" t="s">
        <v>5475</v>
      </c>
      <c r="T445" s="2" t="s">
        <v>520</v>
      </c>
      <c r="U445" s="3">
        <v>12</v>
      </c>
      <c r="V445" s="3">
        <v>12</v>
      </c>
      <c r="W445" s="4" t="s">
        <v>5476</v>
      </c>
      <c r="X445" s="4" t="s">
        <v>5476</v>
      </c>
      <c r="Y445" s="4" t="s">
        <v>5477</v>
      </c>
      <c r="Z445" s="4" t="s">
        <v>5477</v>
      </c>
      <c r="AA445" s="3">
        <v>201</v>
      </c>
      <c r="AB445" s="3">
        <v>176</v>
      </c>
      <c r="AC445" s="3">
        <v>178</v>
      </c>
      <c r="AD445" s="3">
        <v>1</v>
      </c>
      <c r="AE445" s="3">
        <v>1</v>
      </c>
      <c r="AF445" s="3">
        <v>7</v>
      </c>
      <c r="AG445" s="3">
        <v>7</v>
      </c>
      <c r="AH445" s="3">
        <v>2</v>
      </c>
      <c r="AI445" s="3">
        <v>2</v>
      </c>
      <c r="AJ445" s="3">
        <v>2</v>
      </c>
      <c r="AK445" s="3">
        <v>2</v>
      </c>
      <c r="AL445" s="3">
        <v>5</v>
      </c>
      <c r="AM445" s="3">
        <v>5</v>
      </c>
      <c r="AN445" s="3">
        <v>0</v>
      </c>
      <c r="AO445" s="3">
        <v>0</v>
      </c>
      <c r="AP445" s="3">
        <v>0</v>
      </c>
      <c r="AQ445" s="3">
        <v>0</v>
      </c>
      <c r="AR445" s="2" t="s">
        <v>5</v>
      </c>
      <c r="AS445" s="2" t="s">
        <v>16</v>
      </c>
      <c r="AT445" s="5" t="str">
        <f>HYPERLINK("http://catalog.hathitrust.org/Record/002506709","HathiTrust Record")</f>
        <v>HathiTrust Record</v>
      </c>
      <c r="AU445" s="5" t="str">
        <f>HYPERLINK("https://creighton-primo.hosted.exlibrisgroup.com/primo-explore/search?tab=default_tab&amp;search_scope=EVERYTHING&amp;vid=01CRU&amp;lang=en_US&amp;offset=0&amp;query=any,contains,991001536199702656","Catalog Record")</f>
        <v>Catalog Record</v>
      </c>
      <c r="AV445" s="5" t="str">
        <f>HYPERLINK("http://www.worldcat.org/oclc/17205600","WorldCat Record")</f>
        <v>WorldCat Record</v>
      </c>
      <c r="AW445" s="2" t="s">
        <v>5478</v>
      </c>
      <c r="AX445" s="2" t="s">
        <v>5479</v>
      </c>
      <c r="AY445" s="2" t="s">
        <v>5480</v>
      </c>
      <c r="AZ445" s="2" t="s">
        <v>5480</v>
      </c>
      <c r="BA445" s="2" t="s">
        <v>5481</v>
      </c>
      <c r="BB445" s="2" t="s">
        <v>21</v>
      </c>
      <c r="BD445" s="2" t="s">
        <v>5482</v>
      </c>
      <c r="BE445" s="2" t="s">
        <v>5483</v>
      </c>
      <c r="BF445" s="2" t="s">
        <v>5484</v>
      </c>
    </row>
    <row r="446" spans="1:58" ht="41.25" customHeight="1" x14ac:dyDescent="0.25">
      <c r="A446" s="8" t="s">
        <v>5</v>
      </c>
      <c r="B446" s="1" t="s">
        <v>0</v>
      </c>
      <c r="C446" s="1" t="s">
        <v>1</v>
      </c>
      <c r="D446" s="1" t="s">
        <v>5485</v>
      </c>
      <c r="E446" s="1" t="s">
        <v>5486</v>
      </c>
      <c r="F446" s="1" t="s">
        <v>5487</v>
      </c>
      <c r="H446" s="2" t="s">
        <v>5</v>
      </c>
      <c r="I446" s="2" t="s">
        <v>6</v>
      </c>
      <c r="J446" s="2" t="s">
        <v>5</v>
      </c>
      <c r="K446" s="2" t="s">
        <v>5</v>
      </c>
      <c r="L446" s="2" t="s">
        <v>7</v>
      </c>
      <c r="N446" s="1" t="s">
        <v>5488</v>
      </c>
      <c r="O446" s="2" t="s">
        <v>1102</v>
      </c>
      <c r="Q446" s="2" t="s">
        <v>11</v>
      </c>
      <c r="R446" s="2" t="s">
        <v>426</v>
      </c>
      <c r="T446" s="2" t="s">
        <v>520</v>
      </c>
      <c r="U446" s="3">
        <v>4</v>
      </c>
      <c r="V446" s="3">
        <v>4</v>
      </c>
      <c r="W446" s="4" t="s">
        <v>5489</v>
      </c>
      <c r="X446" s="4" t="s">
        <v>5489</v>
      </c>
      <c r="Y446" s="4" t="s">
        <v>5490</v>
      </c>
      <c r="Z446" s="4" t="s">
        <v>5490</v>
      </c>
      <c r="AA446" s="3">
        <v>2</v>
      </c>
      <c r="AB446" s="3">
        <v>2</v>
      </c>
      <c r="AC446" s="3">
        <v>2</v>
      </c>
      <c r="AD446" s="3">
        <v>1</v>
      </c>
      <c r="AE446" s="3">
        <v>1</v>
      </c>
      <c r="AF446" s="3">
        <v>0</v>
      </c>
      <c r="AG446" s="3">
        <v>0</v>
      </c>
      <c r="AH446" s="3">
        <v>0</v>
      </c>
      <c r="AI446" s="3">
        <v>0</v>
      </c>
      <c r="AJ446" s="3">
        <v>0</v>
      </c>
      <c r="AK446" s="3">
        <v>0</v>
      </c>
      <c r="AL446" s="3">
        <v>0</v>
      </c>
      <c r="AM446" s="3">
        <v>0</v>
      </c>
      <c r="AN446" s="3">
        <v>0</v>
      </c>
      <c r="AO446" s="3">
        <v>0</v>
      </c>
      <c r="AP446" s="3">
        <v>0</v>
      </c>
      <c r="AQ446" s="3">
        <v>0</v>
      </c>
      <c r="AR446" s="2" t="s">
        <v>5</v>
      </c>
      <c r="AS446" s="2" t="s">
        <v>5</v>
      </c>
      <c r="AU446" s="5" t="str">
        <f>HYPERLINK("https://creighton-primo.hosted.exlibrisgroup.com/primo-explore/search?tab=default_tab&amp;search_scope=EVERYTHING&amp;vid=01CRU&amp;lang=en_US&amp;offset=0&amp;query=any,contains,991001116629702656","Catalog Record")</f>
        <v>Catalog Record</v>
      </c>
      <c r="AV446" s="5" t="str">
        <f>HYPERLINK("http://www.worldcat.org/oclc/21155778","WorldCat Record")</f>
        <v>WorldCat Record</v>
      </c>
      <c r="AW446" s="2" t="s">
        <v>5491</v>
      </c>
      <c r="AX446" s="2" t="s">
        <v>5492</v>
      </c>
      <c r="AY446" s="2" t="s">
        <v>5493</v>
      </c>
      <c r="AZ446" s="2" t="s">
        <v>5493</v>
      </c>
      <c r="BA446" s="2" t="s">
        <v>5494</v>
      </c>
      <c r="BB446" s="2" t="s">
        <v>21</v>
      </c>
      <c r="BE446" s="2" t="s">
        <v>5495</v>
      </c>
      <c r="BF446" s="2" t="s">
        <v>5496</v>
      </c>
    </row>
    <row r="447" spans="1:58" ht="41.25" customHeight="1" x14ac:dyDescent="0.25">
      <c r="A447" s="8" t="s">
        <v>5</v>
      </c>
      <c r="B447" s="1" t="s">
        <v>0</v>
      </c>
      <c r="C447" s="1" t="s">
        <v>1</v>
      </c>
      <c r="D447" s="1" t="s">
        <v>5497</v>
      </c>
      <c r="E447" s="1" t="s">
        <v>5498</v>
      </c>
      <c r="F447" s="1" t="s">
        <v>5499</v>
      </c>
      <c r="H447" s="2" t="s">
        <v>5</v>
      </c>
      <c r="I447" s="2" t="s">
        <v>6</v>
      </c>
      <c r="J447" s="2" t="s">
        <v>5</v>
      </c>
      <c r="K447" s="2" t="s">
        <v>5</v>
      </c>
      <c r="L447" s="2" t="s">
        <v>7</v>
      </c>
      <c r="N447" s="1" t="s">
        <v>5488</v>
      </c>
      <c r="O447" s="2" t="s">
        <v>1102</v>
      </c>
      <c r="Q447" s="2" t="s">
        <v>11</v>
      </c>
      <c r="R447" s="2" t="s">
        <v>426</v>
      </c>
      <c r="T447" s="2" t="s">
        <v>520</v>
      </c>
      <c r="U447" s="3">
        <v>5</v>
      </c>
      <c r="V447" s="3">
        <v>5</v>
      </c>
      <c r="W447" s="4" t="s">
        <v>5500</v>
      </c>
      <c r="X447" s="4" t="s">
        <v>5500</v>
      </c>
      <c r="Y447" s="4" t="s">
        <v>5490</v>
      </c>
      <c r="Z447" s="4" t="s">
        <v>5490</v>
      </c>
      <c r="AA447" s="3">
        <v>2</v>
      </c>
      <c r="AB447" s="3">
        <v>2</v>
      </c>
      <c r="AC447" s="3">
        <v>2</v>
      </c>
      <c r="AD447" s="3">
        <v>1</v>
      </c>
      <c r="AE447" s="3">
        <v>1</v>
      </c>
      <c r="AF447" s="3">
        <v>0</v>
      </c>
      <c r="AG447" s="3">
        <v>0</v>
      </c>
      <c r="AH447" s="3">
        <v>0</v>
      </c>
      <c r="AI447" s="3">
        <v>0</v>
      </c>
      <c r="AJ447" s="3">
        <v>0</v>
      </c>
      <c r="AK447" s="3">
        <v>0</v>
      </c>
      <c r="AL447" s="3">
        <v>0</v>
      </c>
      <c r="AM447" s="3">
        <v>0</v>
      </c>
      <c r="AN447" s="3">
        <v>0</v>
      </c>
      <c r="AO447" s="3">
        <v>0</v>
      </c>
      <c r="AP447" s="3">
        <v>0</v>
      </c>
      <c r="AQ447" s="3">
        <v>0</v>
      </c>
      <c r="AR447" s="2" t="s">
        <v>5</v>
      </c>
      <c r="AS447" s="2" t="s">
        <v>5</v>
      </c>
      <c r="AU447" s="5" t="str">
        <f>HYPERLINK("https://creighton-primo.hosted.exlibrisgroup.com/primo-explore/search?tab=default_tab&amp;search_scope=EVERYTHING&amp;vid=01CRU&amp;lang=en_US&amp;offset=0&amp;query=any,contains,991001116649702656","Catalog Record")</f>
        <v>Catalog Record</v>
      </c>
      <c r="AV447" s="5" t="str">
        <f>HYPERLINK("http://www.worldcat.org/oclc/20760789","WorldCat Record")</f>
        <v>WorldCat Record</v>
      </c>
      <c r="AW447" s="2" t="s">
        <v>5501</v>
      </c>
      <c r="AX447" s="2" t="s">
        <v>5502</v>
      </c>
      <c r="AY447" s="2" t="s">
        <v>5503</v>
      </c>
      <c r="AZ447" s="2" t="s">
        <v>5503</v>
      </c>
      <c r="BA447" s="2" t="s">
        <v>5504</v>
      </c>
      <c r="BB447" s="2" t="s">
        <v>21</v>
      </c>
      <c r="BE447" s="2" t="s">
        <v>5505</v>
      </c>
      <c r="BF447" s="2" t="s">
        <v>5506</v>
      </c>
    </row>
    <row r="448" spans="1:58" ht="41.25" customHeight="1" x14ac:dyDescent="0.25">
      <c r="A448" s="8" t="s">
        <v>5</v>
      </c>
      <c r="B448" s="1" t="s">
        <v>0</v>
      </c>
      <c r="C448" s="1" t="s">
        <v>1</v>
      </c>
      <c r="D448" s="1" t="s">
        <v>5507</v>
      </c>
      <c r="E448" s="1" t="s">
        <v>5508</v>
      </c>
      <c r="F448" s="1" t="s">
        <v>5509</v>
      </c>
      <c r="H448" s="2" t="s">
        <v>5</v>
      </c>
      <c r="I448" s="2" t="s">
        <v>6</v>
      </c>
      <c r="J448" s="2" t="s">
        <v>5</v>
      </c>
      <c r="K448" s="2" t="s">
        <v>5</v>
      </c>
      <c r="L448" s="2" t="s">
        <v>7</v>
      </c>
      <c r="N448" s="1" t="s">
        <v>5510</v>
      </c>
      <c r="O448" s="2" t="s">
        <v>721</v>
      </c>
      <c r="Q448" s="2" t="s">
        <v>11</v>
      </c>
      <c r="R448" s="2" t="s">
        <v>93</v>
      </c>
      <c r="S448" s="1" t="s">
        <v>5511</v>
      </c>
      <c r="T448" s="2" t="s">
        <v>520</v>
      </c>
      <c r="U448" s="3">
        <v>2</v>
      </c>
      <c r="V448" s="3">
        <v>2</v>
      </c>
      <c r="W448" s="4" t="s">
        <v>2715</v>
      </c>
      <c r="X448" s="4" t="s">
        <v>2715</v>
      </c>
      <c r="Y448" s="4" t="s">
        <v>1827</v>
      </c>
      <c r="Z448" s="4" t="s">
        <v>1827</v>
      </c>
      <c r="AA448" s="3">
        <v>59</v>
      </c>
      <c r="AB448" s="3">
        <v>52</v>
      </c>
      <c r="AC448" s="3">
        <v>54</v>
      </c>
      <c r="AD448" s="3">
        <v>1</v>
      </c>
      <c r="AE448" s="3">
        <v>1</v>
      </c>
      <c r="AF448" s="3">
        <v>2</v>
      </c>
      <c r="AG448" s="3">
        <v>2</v>
      </c>
      <c r="AH448" s="3">
        <v>0</v>
      </c>
      <c r="AI448" s="3">
        <v>0</v>
      </c>
      <c r="AJ448" s="3">
        <v>0</v>
      </c>
      <c r="AK448" s="3">
        <v>0</v>
      </c>
      <c r="AL448" s="3">
        <v>2</v>
      </c>
      <c r="AM448" s="3">
        <v>2</v>
      </c>
      <c r="AN448" s="3">
        <v>0</v>
      </c>
      <c r="AO448" s="3">
        <v>0</v>
      </c>
      <c r="AP448" s="3">
        <v>0</v>
      </c>
      <c r="AQ448" s="3">
        <v>0</v>
      </c>
      <c r="AR448" s="2" t="s">
        <v>5</v>
      </c>
      <c r="AS448" s="2" t="s">
        <v>16</v>
      </c>
      <c r="AT448" s="5" t="str">
        <f>HYPERLINK("http://catalog.hathitrust.org/Record/001574540","HathiTrust Record")</f>
        <v>HathiTrust Record</v>
      </c>
      <c r="AU448" s="5" t="str">
        <f>HYPERLINK("https://creighton-primo.hosted.exlibrisgroup.com/primo-explore/search?tab=default_tab&amp;search_scope=EVERYTHING&amp;vid=01CRU&amp;lang=en_US&amp;offset=0&amp;query=any,contains,991001365039702656","Catalog Record")</f>
        <v>Catalog Record</v>
      </c>
      <c r="AV448" s="5" t="str">
        <f>HYPERLINK("http://www.worldcat.org/oclc/14535008","WorldCat Record")</f>
        <v>WorldCat Record</v>
      </c>
      <c r="AW448" s="2" t="s">
        <v>5512</v>
      </c>
      <c r="AX448" s="2" t="s">
        <v>5513</v>
      </c>
      <c r="AY448" s="2" t="s">
        <v>5514</v>
      </c>
      <c r="AZ448" s="2" t="s">
        <v>5514</v>
      </c>
      <c r="BA448" s="2" t="s">
        <v>5515</v>
      </c>
      <c r="BB448" s="2" t="s">
        <v>21</v>
      </c>
      <c r="BE448" s="2" t="s">
        <v>5516</v>
      </c>
      <c r="BF448" s="2" t="s">
        <v>5517</v>
      </c>
    </row>
    <row r="449" spans="1:58" ht="41.25" customHeight="1" x14ac:dyDescent="0.25">
      <c r="A449" s="8" t="s">
        <v>5</v>
      </c>
      <c r="B449" s="1" t="s">
        <v>0</v>
      </c>
      <c r="C449" s="1" t="s">
        <v>1</v>
      </c>
      <c r="D449" s="1" t="s">
        <v>5518</v>
      </c>
      <c r="E449" s="1" t="s">
        <v>5519</v>
      </c>
      <c r="F449" s="1" t="s">
        <v>5520</v>
      </c>
      <c r="H449" s="2" t="s">
        <v>5</v>
      </c>
      <c r="I449" s="2" t="s">
        <v>6</v>
      </c>
      <c r="J449" s="2" t="s">
        <v>5</v>
      </c>
      <c r="K449" s="2" t="s">
        <v>5</v>
      </c>
      <c r="L449" s="2" t="s">
        <v>7</v>
      </c>
      <c r="M449" s="1" t="s">
        <v>3943</v>
      </c>
      <c r="N449" s="1" t="s">
        <v>5521</v>
      </c>
      <c r="O449" s="2" t="s">
        <v>1339</v>
      </c>
      <c r="Q449" s="2" t="s">
        <v>11</v>
      </c>
      <c r="R449" s="2" t="s">
        <v>12</v>
      </c>
      <c r="S449" s="1" t="s">
        <v>5522</v>
      </c>
      <c r="T449" s="2" t="s">
        <v>520</v>
      </c>
      <c r="U449" s="3">
        <v>2</v>
      </c>
      <c r="V449" s="3">
        <v>2</v>
      </c>
      <c r="W449" s="4" t="s">
        <v>3072</v>
      </c>
      <c r="X449" s="4" t="s">
        <v>3072</v>
      </c>
      <c r="Y449" s="4" t="s">
        <v>5523</v>
      </c>
      <c r="Z449" s="4" t="s">
        <v>5523</v>
      </c>
      <c r="AA449" s="3">
        <v>94</v>
      </c>
      <c r="AB449" s="3">
        <v>86</v>
      </c>
      <c r="AC449" s="3">
        <v>88</v>
      </c>
      <c r="AD449" s="3">
        <v>1</v>
      </c>
      <c r="AE449" s="3">
        <v>1</v>
      </c>
      <c r="AF449" s="3">
        <v>4</v>
      </c>
      <c r="AG449" s="3">
        <v>4</v>
      </c>
      <c r="AH449" s="3">
        <v>0</v>
      </c>
      <c r="AI449" s="3">
        <v>0</v>
      </c>
      <c r="AJ449" s="3">
        <v>0</v>
      </c>
      <c r="AK449" s="3">
        <v>0</v>
      </c>
      <c r="AL449" s="3">
        <v>4</v>
      </c>
      <c r="AM449" s="3">
        <v>4</v>
      </c>
      <c r="AN449" s="3">
        <v>0</v>
      </c>
      <c r="AO449" s="3">
        <v>0</v>
      </c>
      <c r="AP449" s="3">
        <v>0</v>
      </c>
      <c r="AQ449" s="3">
        <v>0</v>
      </c>
      <c r="AR449" s="2" t="s">
        <v>5</v>
      </c>
      <c r="AS449" s="2" t="s">
        <v>16</v>
      </c>
      <c r="AT449" s="5" t="str">
        <f>HYPERLINK("http://catalog.hathitrust.org/Record/002508301","HathiTrust Record")</f>
        <v>HathiTrust Record</v>
      </c>
      <c r="AU449" s="5" t="str">
        <f>HYPERLINK("https://creighton-primo.hosted.exlibrisgroup.com/primo-explore/search?tab=default_tab&amp;search_scope=EVERYTHING&amp;vid=01CRU&amp;lang=en_US&amp;offset=0&amp;query=any,contains,991001529729702656","Catalog Record")</f>
        <v>Catalog Record</v>
      </c>
      <c r="AV449" s="5" t="str">
        <f>HYPERLINK("http://www.worldcat.org/oclc/16857733","WorldCat Record")</f>
        <v>WorldCat Record</v>
      </c>
      <c r="AW449" s="2" t="s">
        <v>5524</v>
      </c>
      <c r="AX449" s="2" t="s">
        <v>5525</v>
      </c>
      <c r="AY449" s="2" t="s">
        <v>5526</v>
      </c>
      <c r="AZ449" s="2" t="s">
        <v>5526</v>
      </c>
      <c r="BA449" s="2" t="s">
        <v>5527</v>
      </c>
      <c r="BB449" s="2" t="s">
        <v>21</v>
      </c>
      <c r="BD449" s="2" t="s">
        <v>5528</v>
      </c>
      <c r="BE449" s="2" t="s">
        <v>5529</v>
      </c>
      <c r="BF449" s="2" t="s">
        <v>5530</v>
      </c>
    </row>
    <row r="450" spans="1:58" ht="41.25" customHeight="1" x14ac:dyDescent="0.25">
      <c r="A450" s="8" t="s">
        <v>5</v>
      </c>
      <c r="B450" s="1" t="s">
        <v>0</v>
      </c>
      <c r="C450" s="1" t="s">
        <v>1</v>
      </c>
      <c r="D450" s="1" t="s">
        <v>5531</v>
      </c>
      <c r="E450" s="1" t="s">
        <v>5532</v>
      </c>
      <c r="F450" s="1" t="s">
        <v>5533</v>
      </c>
      <c r="H450" s="2" t="s">
        <v>5</v>
      </c>
      <c r="I450" s="2" t="s">
        <v>974</v>
      </c>
      <c r="J450" s="2" t="s">
        <v>16</v>
      </c>
      <c r="K450" s="2" t="s">
        <v>5</v>
      </c>
      <c r="L450" s="2" t="s">
        <v>7</v>
      </c>
      <c r="M450" s="1" t="s">
        <v>1822</v>
      </c>
      <c r="N450" s="1" t="s">
        <v>5534</v>
      </c>
      <c r="O450" s="2" t="s">
        <v>939</v>
      </c>
      <c r="Q450" s="2" t="s">
        <v>11</v>
      </c>
      <c r="R450" s="2" t="s">
        <v>12</v>
      </c>
      <c r="S450" s="1" t="s">
        <v>5535</v>
      </c>
      <c r="T450" s="2" t="s">
        <v>520</v>
      </c>
      <c r="U450" s="3">
        <v>0</v>
      </c>
      <c r="V450" s="3">
        <v>4</v>
      </c>
      <c r="X450" s="4" t="s">
        <v>3072</v>
      </c>
      <c r="Y450" s="4" t="s">
        <v>5536</v>
      </c>
      <c r="Z450" s="4" t="s">
        <v>5536</v>
      </c>
      <c r="AA450" s="3">
        <v>39</v>
      </c>
      <c r="AB450" s="3">
        <v>36</v>
      </c>
      <c r="AC450" s="3">
        <v>36</v>
      </c>
      <c r="AD450" s="3">
        <v>1</v>
      </c>
      <c r="AE450" s="3">
        <v>1</v>
      </c>
      <c r="AF450" s="3">
        <v>3</v>
      </c>
      <c r="AG450" s="3">
        <v>3</v>
      </c>
      <c r="AH450" s="3">
        <v>1</v>
      </c>
      <c r="AI450" s="3">
        <v>1</v>
      </c>
      <c r="AJ450" s="3">
        <v>1</v>
      </c>
      <c r="AK450" s="3">
        <v>1</v>
      </c>
      <c r="AL450" s="3">
        <v>1</v>
      </c>
      <c r="AM450" s="3">
        <v>1</v>
      </c>
      <c r="AN450" s="3">
        <v>0</v>
      </c>
      <c r="AO450" s="3">
        <v>0</v>
      </c>
      <c r="AP450" s="3">
        <v>0</v>
      </c>
      <c r="AQ450" s="3">
        <v>0</v>
      </c>
      <c r="AR450" s="2" t="s">
        <v>5</v>
      </c>
      <c r="AS450" s="2" t="s">
        <v>5</v>
      </c>
      <c r="AU450" s="5" t="str">
        <f>HYPERLINK("https://creighton-primo.hosted.exlibrisgroup.com/primo-explore/search?tab=default_tab&amp;search_scope=EVERYTHING&amp;vid=01CRU&amp;lang=en_US&amp;offset=0&amp;query=any,contains,991001104189702656","Catalog Record")</f>
        <v>Catalog Record</v>
      </c>
      <c r="AV450" s="5" t="str">
        <f>HYPERLINK("http://www.worldcat.org/oclc/18765898","WorldCat Record")</f>
        <v>WorldCat Record</v>
      </c>
      <c r="AW450" s="2" t="s">
        <v>5537</v>
      </c>
      <c r="AX450" s="2" t="s">
        <v>5538</v>
      </c>
      <c r="AY450" s="2" t="s">
        <v>5539</v>
      </c>
      <c r="AZ450" s="2" t="s">
        <v>5539</v>
      </c>
      <c r="BA450" s="2" t="s">
        <v>5540</v>
      </c>
      <c r="BB450" s="2" t="s">
        <v>21</v>
      </c>
      <c r="BD450" s="2" t="s">
        <v>5541</v>
      </c>
      <c r="BE450" s="2" t="s">
        <v>5542</v>
      </c>
      <c r="BF450" s="2" t="s">
        <v>5543</v>
      </c>
    </row>
    <row r="451" spans="1:58" ht="41.25" customHeight="1" x14ac:dyDescent="0.25">
      <c r="A451" s="8" t="s">
        <v>5</v>
      </c>
      <c r="B451" s="1" t="s">
        <v>0</v>
      </c>
      <c r="C451" s="1" t="s">
        <v>1</v>
      </c>
      <c r="D451" s="1" t="s">
        <v>5531</v>
      </c>
      <c r="E451" s="1" t="s">
        <v>5532</v>
      </c>
      <c r="F451" s="1" t="s">
        <v>5533</v>
      </c>
      <c r="H451" s="2" t="s">
        <v>5</v>
      </c>
      <c r="I451" s="2" t="s">
        <v>6</v>
      </c>
      <c r="J451" s="2" t="s">
        <v>16</v>
      </c>
      <c r="K451" s="2" t="s">
        <v>5</v>
      </c>
      <c r="L451" s="2" t="s">
        <v>7</v>
      </c>
      <c r="M451" s="1" t="s">
        <v>1822</v>
      </c>
      <c r="N451" s="1" t="s">
        <v>5534</v>
      </c>
      <c r="O451" s="2" t="s">
        <v>939</v>
      </c>
      <c r="Q451" s="2" t="s">
        <v>11</v>
      </c>
      <c r="R451" s="2" t="s">
        <v>12</v>
      </c>
      <c r="S451" s="1" t="s">
        <v>5535</v>
      </c>
      <c r="T451" s="2" t="s">
        <v>520</v>
      </c>
      <c r="U451" s="3">
        <v>4</v>
      </c>
      <c r="V451" s="3">
        <v>4</v>
      </c>
      <c r="W451" s="4" t="s">
        <v>3072</v>
      </c>
      <c r="X451" s="4" t="s">
        <v>3072</v>
      </c>
      <c r="Y451" s="4" t="s">
        <v>5544</v>
      </c>
      <c r="Z451" s="4" t="s">
        <v>5536</v>
      </c>
      <c r="AA451" s="3">
        <v>39</v>
      </c>
      <c r="AB451" s="3">
        <v>36</v>
      </c>
      <c r="AC451" s="3">
        <v>36</v>
      </c>
      <c r="AD451" s="3">
        <v>1</v>
      </c>
      <c r="AE451" s="3">
        <v>1</v>
      </c>
      <c r="AF451" s="3">
        <v>3</v>
      </c>
      <c r="AG451" s="3">
        <v>3</v>
      </c>
      <c r="AH451" s="3">
        <v>1</v>
      </c>
      <c r="AI451" s="3">
        <v>1</v>
      </c>
      <c r="AJ451" s="3">
        <v>1</v>
      </c>
      <c r="AK451" s="3">
        <v>1</v>
      </c>
      <c r="AL451" s="3">
        <v>1</v>
      </c>
      <c r="AM451" s="3">
        <v>1</v>
      </c>
      <c r="AN451" s="3">
        <v>0</v>
      </c>
      <c r="AO451" s="3">
        <v>0</v>
      </c>
      <c r="AP451" s="3">
        <v>0</v>
      </c>
      <c r="AQ451" s="3">
        <v>0</v>
      </c>
      <c r="AR451" s="2" t="s">
        <v>5</v>
      </c>
      <c r="AS451" s="2" t="s">
        <v>5</v>
      </c>
      <c r="AU451" s="5" t="str">
        <f>HYPERLINK("https://creighton-primo.hosted.exlibrisgroup.com/primo-explore/search?tab=default_tab&amp;search_scope=EVERYTHING&amp;vid=01CRU&amp;lang=en_US&amp;offset=0&amp;query=any,contains,991001104189702656","Catalog Record")</f>
        <v>Catalog Record</v>
      </c>
      <c r="AV451" s="5" t="str">
        <f>HYPERLINK("http://www.worldcat.org/oclc/18765898","WorldCat Record")</f>
        <v>WorldCat Record</v>
      </c>
      <c r="AW451" s="2" t="s">
        <v>5537</v>
      </c>
      <c r="AX451" s="2" t="s">
        <v>5538</v>
      </c>
      <c r="AY451" s="2" t="s">
        <v>5539</v>
      </c>
      <c r="AZ451" s="2" t="s">
        <v>5539</v>
      </c>
      <c r="BA451" s="2" t="s">
        <v>5540</v>
      </c>
      <c r="BB451" s="2" t="s">
        <v>21</v>
      </c>
      <c r="BD451" s="2" t="s">
        <v>5541</v>
      </c>
      <c r="BE451" s="2" t="s">
        <v>5545</v>
      </c>
      <c r="BF451" s="2" t="s">
        <v>5546</v>
      </c>
    </row>
    <row r="452" spans="1:58" ht="41.25" customHeight="1" x14ac:dyDescent="0.25">
      <c r="A452" s="8" t="s">
        <v>5</v>
      </c>
      <c r="B452" s="1" t="s">
        <v>0</v>
      </c>
      <c r="C452" s="1" t="s">
        <v>1</v>
      </c>
      <c r="D452" s="1" t="s">
        <v>5547</v>
      </c>
      <c r="E452" s="1" t="s">
        <v>5548</v>
      </c>
      <c r="F452" s="1" t="s">
        <v>5549</v>
      </c>
      <c r="H452" s="2" t="s">
        <v>5</v>
      </c>
      <c r="I452" s="2" t="s">
        <v>6</v>
      </c>
      <c r="J452" s="2" t="s">
        <v>5</v>
      </c>
      <c r="K452" s="2" t="s">
        <v>5</v>
      </c>
      <c r="L452" s="2" t="s">
        <v>7</v>
      </c>
      <c r="M452" s="1" t="s">
        <v>5550</v>
      </c>
      <c r="N452" s="1" t="s">
        <v>5551</v>
      </c>
      <c r="O452" s="2" t="s">
        <v>210</v>
      </c>
      <c r="Q452" s="2" t="s">
        <v>11</v>
      </c>
      <c r="R452" s="2" t="s">
        <v>78</v>
      </c>
      <c r="T452" s="2" t="s">
        <v>520</v>
      </c>
      <c r="U452" s="3">
        <v>2</v>
      </c>
      <c r="V452" s="3">
        <v>2</v>
      </c>
      <c r="W452" s="4" t="s">
        <v>5552</v>
      </c>
      <c r="X452" s="4" t="s">
        <v>5552</v>
      </c>
      <c r="Y452" s="4" t="s">
        <v>5552</v>
      </c>
      <c r="Z452" s="4" t="s">
        <v>5552</v>
      </c>
      <c r="AA452" s="3">
        <v>226</v>
      </c>
      <c r="AB452" s="3">
        <v>177</v>
      </c>
      <c r="AC452" s="3">
        <v>184</v>
      </c>
      <c r="AD452" s="3">
        <v>3</v>
      </c>
      <c r="AE452" s="3">
        <v>3</v>
      </c>
      <c r="AF452" s="3">
        <v>6</v>
      </c>
      <c r="AG452" s="3">
        <v>6</v>
      </c>
      <c r="AH452" s="3">
        <v>3</v>
      </c>
      <c r="AI452" s="3">
        <v>3</v>
      </c>
      <c r="AJ452" s="3">
        <v>1</v>
      </c>
      <c r="AK452" s="3">
        <v>1</v>
      </c>
      <c r="AL452" s="3">
        <v>4</v>
      </c>
      <c r="AM452" s="3">
        <v>4</v>
      </c>
      <c r="AN452" s="3">
        <v>1</v>
      </c>
      <c r="AO452" s="3">
        <v>1</v>
      </c>
      <c r="AP452" s="3">
        <v>0</v>
      </c>
      <c r="AQ452" s="3">
        <v>0</v>
      </c>
      <c r="AR452" s="2" t="s">
        <v>5</v>
      </c>
      <c r="AS452" s="2" t="s">
        <v>16</v>
      </c>
      <c r="AT452" s="5" t="str">
        <f>HYPERLINK("http://catalog.hathitrust.org/Record/002530729","HathiTrust Record")</f>
        <v>HathiTrust Record</v>
      </c>
      <c r="AU452" s="5" t="str">
        <f>HYPERLINK("https://creighton-primo.hosted.exlibrisgroup.com/primo-explore/search?tab=default_tab&amp;search_scope=EVERYTHING&amp;vid=01CRU&amp;lang=en_US&amp;offset=0&amp;query=any,contains,991001307679702656","Catalog Record")</f>
        <v>Catalog Record</v>
      </c>
      <c r="AV452" s="5" t="str">
        <f>HYPERLINK("http://www.worldcat.org/oclc/25283262","WorldCat Record")</f>
        <v>WorldCat Record</v>
      </c>
      <c r="AW452" s="2" t="s">
        <v>5553</v>
      </c>
      <c r="AX452" s="2" t="s">
        <v>5554</v>
      </c>
      <c r="AY452" s="2" t="s">
        <v>5555</v>
      </c>
      <c r="AZ452" s="2" t="s">
        <v>5555</v>
      </c>
      <c r="BA452" s="2" t="s">
        <v>5556</v>
      </c>
      <c r="BB452" s="2" t="s">
        <v>21</v>
      </c>
      <c r="BD452" s="2" t="s">
        <v>5557</v>
      </c>
      <c r="BE452" s="2" t="s">
        <v>5558</v>
      </c>
      <c r="BF452" s="2" t="s">
        <v>5559</v>
      </c>
    </row>
    <row r="453" spans="1:58" ht="41.25" customHeight="1" x14ac:dyDescent="0.25">
      <c r="A453" s="8" t="s">
        <v>5</v>
      </c>
      <c r="B453" s="1" t="s">
        <v>0</v>
      </c>
      <c r="C453" s="1" t="s">
        <v>1</v>
      </c>
      <c r="D453" s="1" t="s">
        <v>5560</v>
      </c>
      <c r="E453" s="1" t="s">
        <v>5561</v>
      </c>
      <c r="F453" s="1" t="s">
        <v>5562</v>
      </c>
      <c r="H453" s="2" t="s">
        <v>5</v>
      </c>
      <c r="I453" s="2" t="s">
        <v>6</v>
      </c>
      <c r="J453" s="2" t="s">
        <v>5</v>
      </c>
      <c r="K453" s="2" t="s">
        <v>5</v>
      </c>
      <c r="L453" s="2" t="s">
        <v>7</v>
      </c>
      <c r="M453" s="1" t="s">
        <v>5563</v>
      </c>
      <c r="N453" s="1" t="s">
        <v>5564</v>
      </c>
      <c r="O453" s="2" t="s">
        <v>393</v>
      </c>
      <c r="Q453" s="2" t="s">
        <v>11</v>
      </c>
      <c r="R453" s="2" t="s">
        <v>1140</v>
      </c>
      <c r="T453" s="2" t="s">
        <v>520</v>
      </c>
      <c r="U453" s="3">
        <v>4</v>
      </c>
      <c r="V453" s="3">
        <v>4</v>
      </c>
      <c r="W453" s="4" t="s">
        <v>3754</v>
      </c>
      <c r="X453" s="4" t="s">
        <v>3754</v>
      </c>
      <c r="Y453" s="4" t="s">
        <v>168</v>
      </c>
      <c r="Z453" s="4" t="s">
        <v>168</v>
      </c>
      <c r="AA453" s="3">
        <v>240</v>
      </c>
      <c r="AB453" s="3">
        <v>218</v>
      </c>
      <c r="AC453" s="3">
        <v>225</v>
      </c>
      <c r="AD453" s="3">
        <v>1</v>
      </c>
      <c r="AE453" s="3">
        <v>1</v>
      </c>
      <c r="AF453" s="3">
        <v>6</v>
      </c>
      <c r="AG453" s="3">
        <v>6</v>
      </c>
      <c r="AH453" s="3">
        <v>1</v>
      </c>
      <c r="AI453" s="3">
        <v>1</v>
      </c>
      <c r="AJ453" s="3">
        <v>2</v>
      </c>
      <c r="AK453" s="3">
        <v>2</v>
      </c>
      <c r="AL453" s="3">
        <v>4</v>
      </c>
      <c r="AM453" s="3">
        <v>4</v>
      </c>
      <c r="AN453" s="3">
        <v>0</v>
      </c>
      <c r="AO453" s="3">
        <v>0</v>
      </c>
      <c r="AP453" s="3">
        <v>0</v>
      </c>
      <c r="AQ453" s="3">
        <v>0</v>
      </c>
      <c r="AR453" s="2" t="s">
        <v>5</v>
      </c>
      <c r="AS453" s="2" t="s">
        <v>16</v>
      </c>
      <c r="AT453" s="5" t="str">
        <f>HYPERLINK("http://catalog.hathitrust.org/Record/000108377","HathiTrust Record")</f>
        <v>HathiTrust Record</v>
      </c>
      <c r="AU453" s="5" t="str">
        <f>HYPERLINK("https://creighton-primo.hosted.exlibrisgroup.com/primo-explore/search?tab=default_tab&amp;search_scope=EVERYTHING&amp;vid=01CRU&amp;lang=en_US&amp;offset=0&amp;query=any,contains,991001042289702656","Catalog Record")</f>
        <v>Catalog Record</v>
      </c>
      <c r="AV453" s="5" t="str">
        <f>HYPERLINK("http://www.worldcat.org/oclc/7329304","WorldCat Record")</f>
        <v>WorldCat Record</v>
      </c>
      <c r="AW453" s="2" t="s">
        <v>5565</v>
      </c>
      <c r="AX453" s="2" t="s">
        <v>5566</v>
      </c>
      <c r="AY453" s="2" t="s">
        <v>5567</v>
      </c>
      <c r="AZ453" s="2" t="s">
        <v>5567</v>
      </c>
      <c r="BA453" s="2" t="s">
        <v>5568</v>
      </c>
      <c r="BB453" s="2" t="s">
        <v>21</v>
      </c>
      <c r="BD453" s="2" t="s">
        <v>5569</v>
      </c>
      <c r="BE453" s="2" t="s">
        <v>5570</v>
      </c>
      <c r="BF453" s="2" t="s">
        <v>5571</v>
      </c>
    </row>
    <row r="454" spans="1:58" ht="41.25" customHeight="1" x14ac:dyDescent="0.25">
      <c r="A454" s="8" t="s">
        <v>5</v>
      </c>
      <c r="B454" s="1" t="s">
        <v>0</v>
      </c>
      <c r="C454" s="1" t="s">
        <v>1</v>
      </c>
      <c r="D454" s="1" t="s">
        <v>5572</v>
      </c>
      <c r="E454" s="1" t="s">
        <v>5573</v>
      </c>
      <c r="F454" s="1" t="s">
        <v>5574</v>
      </c>
      <c r="H454" s="2" t="s">
        <v>5</v>
      </c>
      <c r="I454" s="2" t="s">
        <v>6</v>
      </c>
      <c r="J454" s="2" t="s">
        <v>5</v>
      </c>
      <c r="K454" s="2" t="s">
        <v>5</v>
      </c>
      <c r="L454" s="2" t="s">
        <v>7</v>
      </c>
      <c r="N454" s="1" t="s">
        <v>5575</v>
      </c>
      <c r="O454" s="2" t="s">
        <v>708</v>
      </c>
      <c r="Q454" s="2" t="s">
        <v>11</v>
      </c>
      <c r="R454" s="2" t="s">
        <v>12</v>
      </c>
      <c r="T454" s="2" t="s">
        <v>520</v>
      </c>
      <c r="U454" s="3">
        <v>1</v>
      </c>
      <c r="V454" s="3">
        <v>1</v>
      </c>
      <c r="W454" s="4" t="s">
        <v>2225</v>
      </c>
      <c r="X454" s="4" t="s">
        <v>2225</v>
      </c>
      <c r="Y454" s="4" t="s">
        <v>2226</v>
      </c>
      <c r="Z454" s="4" t="s">
        <v>2226</v>
      </c>
      <c r="AA454" s="3">
        <v>26</v>
      </c>
      <c r="AB454" s="3">
        <v>25</v>
      </c>
      <c r="AC454" s="3">
        <v>32</v>
      </c>
      <c r="AD454" s="3">
        <v>1</v>
      </c>
      <c r="AE454" s="3">
        <v>1</v>
      </c>
      <c r="AF454" s="3">
        <v>3</v>
      </c>
      <c r="AG454" s="3">
        <v>3</v>
      </c>
      <c r="AH454" s="3">
        <v>0</v>
      </c>
      <c r="AI454" s="3">
        <v>0</v>
      </c>
      <c r="AJ454" s="3">
        <v>0</v>
      </c>
      <c r="AK454" s="3">
        <v>0</v>
      </c>
      <c r="AL454" s="3">
        <v>3</v>
      </c>
      <c r="AM454" s="3">
        <v>3</v>
      </c>
      <c r="AN454" s="3">
        <v>0</v>
      </c>
      <c r="AO454" s="3">
        <v>0</v>
      </c>
      <c r="AP454" s="3">
        <v>0</v>
      </c>
      <c r="AQ454" s="3">
        <v>0</v>
      </c>
      <c r="AR454" s="2" t="s">
        <v>16</v>
      </c>
      <c r="AS454" s="2" t="s">
        <v>5</v>
      </c>
      <c r="AT454" s="5" t="str">
        <f>HYPERLINK("http://catalog.hathitrust.org/Record/002072199","HathiTrust Record")</f>
        <v>HathiTrust Record</v>
      </c>
      <c r="AU454" s="5" t="str">
        <f>HYPERLINK("https://creighton-primo.hosted.exlibrisgroup.com/primo-explore/search?tab=default_tab&amp;search_scope=EVERYTHING&amp;vid=01CRU&amp;lang=en_US&amp;offset=0&amp;query=any,contains,991001518339702656","Catalog Record")</f>
        <v>Catalog Record</v>
      </c>
      <c r="AV454" s="5" t="str">
        <f>HYPERLINK("http://www.worldcat.org/oclc/1070424","WorldCat Record")</f>
        <v>WorldCat Record</v>
      </c>
      <c r="AW454" s="2" t="s">
        <v>5576</v>
      </c>
      <c r="AX454" s="2" t="s">
        <v>5577</v>
      </c>
      <c r="AY454" s="2" t="s">
        <v>5578</v>
      </c>
      <c r="AZ454" s="2" t="s">
        <v>5578</v>
      </c>
      <c r="BA454" s="2" t="s">
        <v>5579</v>
      </c>
      <c r="BB454" s="2" t="s">
        <v>21</v>
      </c>
      <c r="BE454" s="2" t="s">
        <v>5580</v>
      </c>
      <c r="BF454" s="2" t="s">
        <v>5581</v>
      </c>
    </row>
    <row r="455" spans="1:58" ht="41.25" customHeight="1" x14ac:dyDescent="0.25">
      <c r="A455" s="8" t="s">
        <v>5</v>
      </c>
      <c r="B455" s="1" t="s">
        <v>0</v>
      </c>
      <c r="C455" s="1" t="s">
        <v>1</v>
      </c>
      <c r="D455" s="1" t="s">
        <v>5582</v>
      </c>
      <c r="E455" s="1" t="s">
        <v>5583</v>
      </c>
      <c r="F455" s="1" t="s">
        <v>5584</v>
      </c>
      <c r="H455" s="2" t="s">
        <v>5</v>
      </c>
      <c r="I455" s="2" t="s">
        <v>6</v>
      </c>
      <c r="J455" s="2" t="s">
        <v>5</v>
      </c>
      <c r="K455" s="2" t="s">
        <v>5</v>
      </c>
      <c r="L455" s="2" t="s">
        <v>6</v>
      </c>
      <c r="N455" s="1" t="s">
        <v>5585</v>
      </c>
      <c r="O455" s="2" t="s">
        <v>1283</v>
      </c>
      <c r="Q455" s="2" t="s">
        <v>11</v>
      </c>
      <c r="R455" s="2" t="s">
        <v>12</v>
      </c>
      <c r="T455" s="2" t="s">
        <v>520</v>
      </c>
      <c r="U455" s="3">
        <v>3</v>
      </c>
      <c r="V455" s="3">
        <v>3</v>
      </c>
      <c r="W455" s="4" t="s">
        <v>5586</v>
      </c>
      <c r="X455" s="4" t="s">
        <v>5586</v>
      </c>
      <c r="Y455" s="4" t="s">
        <v>5219</v>
      </c>
      <c r="Z455" s="4" t="s">
        <v>5219</v>
      </c>
      <c r="AA455" s="3">
        <v>374</v>
      </c>
      <c r="AB455" s="3">
        <v>288</v>
      </c>
      <c r="AC455" s="3">
        <v>1426</v>
      </c>
      <c r="AD455" s="3">
        <v>2</v>
      </c>
      <c r="AE455" s="3">
        <v>16</v>
      </c>
      <c r="AF455" s="3">
        <v>12</v>
      </c>
      <c r="AG455" s="3">
        <v>54</v>
      </c>
      <c r="AH455" s="3">
        <v>6</v>
      </c>
      <c r="AI455" s="3">
        <v>18</v>
      </c>
      <c r="AJ455" s="3">
        <v>1</v>
      </c>
      <c r="AK455" s="3">
        <v>11</v>
      </c>
      <c r="AL455" s="3">
        <v>8</v>
      </c>
      <c r="AM455" s="3">
        <v>18</v>
      </c>
      <c r="AN455" s="3">
        <v>1</v>
      </c>
      <c r="AO455" s="3">
        <v>14</v>
      </c>
      <c r="AP455" s="3">
        <v>0</v>
      </c>
      <c r="AQ455" s="3">
        <v>2</v>
      </c>
      <c r="AR455" s="2" t="s">
        <v>5</v>
      </c>
      <c r="AS455" s="2" t="s">
        <v>16</v>
      </c>
      <c r="AT455" s="5" t="str">
        <f>HYPERLINK("http://catalog.hathitrust.org/Record/003196387","HathiTrust Record")</f>
        <v>HathiTrust Record</v>
      </c>
      <c r="AU455" s="5" t="str">
        <f>HYPERLINK("https://creighton-primo.hosted.exlibrisgroup.com/primo-explore/search?tab=default_tab&amp;search_scope=EVERYTHING&amp;vid=01CRU&amp;lang=en_US&amp;offset=0&amp;query=any,contains,991001573089702656","Catalog Record")</f>
        <v>Catalog Record</v>
      </c>
      <c r="AV455" s="5" t="str">
        <f>HYPERLINK("http://www.worldcat.org/oclc/35521652","WorldCat Record")</f>
        <v>WorldCat Record</v>
      </c>
      <c r="AW455" s="2" t="s">
        <v>5587</v>
      </c>
      <c r="AX455" s="2" t="s">
        <v>5588</v>
      </c>
      <c r="AY455" s="2" t="s">
        <v>5589</v>
      </c>
      <c r="AZ455" s="2" t="s">
        <v>5589</v>
      </c>
      <c r="BA455" s="2" t="s">
        <v>5590</v>
      </c>
      <c r="BB455" s="2" t="s">
        <v>21</v>
      </c>
      <c r="BD455" s="2" t="s">
        <v>5591</v>
      </c>
      <c r="BE455" s="2" t="s">
        <v>5592</v>
      </c>
      <c r="BF455" s="2" t="s">
        <v>5593</v>
      </c>
    </row>
    <row r="456" spans="1:58" ht="41.25" customHeight="1" x14ac:dyDescent="0.25">
      <c r="A456" s="8" t="s">
        <v>5</v>
      </c>
      <c r="B456" s="1" t="s">
        <v>0</v>
      </c>
      <c r="C456" s="1" t="s">
        <v>1</v>
      </c>
      <c r="D456" s="1" t="s">
        <v>5594</v>
      </c>
      <c r="E456" s="1" t="s">
        <v>5595</v>
      </c>
      <c r="F456" s="1" t="s">
        <v>5596</v>
      </c>
      <c r="H456" s="2" t="s">
        <v>5</v>
      </c>
      <c r="I456" s="2" t="s">
        <v>6</v>
      </c>
      <c r="J456" s="2" t="s">
        <v>5</v>
      </c>
      <c r="K456" s="2" t="s">
        <v>5</v>
      </c>
      <c r="L456" s="2" t="s">
        <v>7</v>
      </c>
      <c r="N456" s="1" t="s">
        <v>5597</v>
      </c>
      <c r="O456" s="2" t="s">
        <v>1195</v>
      </c>
      <c r="Q456" s="2" t="s">
        <v>11</v>
      </c>
      <c r="R456" s="2" t="s">
        <v>1325</v>
      </c>
      <c r="S456" s="1" t="s">
        <v>5598</v>
      </c>
      <c r="T456" s="2" t="s">
        <v>520</v>
      </c>
      <c r="U456" s="3">
        <v>2</v>
      </c>
      <c r="V456" s="3">
        <v>2</v>
      </c>
      <c r="W456" s="4" t="s">
        <v>5599</v>
      </c>
      <c r="X456" s="4" t="s">
        <v>5599</v>
      </c>
      <c r="Y456" s="4" t="s">
        <v>5600</v>
      </c>
      <c r="Z456" s="4" t="s">
        <v>5600</v>
      </c>
      <c r="AA456" s="3">
        <v>259</v>
      </c>
      <c r="AB456" s="3">
        <v>253</v>
      </c>
      <c r="AC456" s="3">
        <v>262</v>
      </c>
      <c r="AD456" s="3">
        <v>3</v>
      </c>
      <c r="AE456" s="3">
        <v>3</v>
      </c>
      <c r="AF456" s="3">
        <v>9</v>
      </c>
      <c r="AG456" s="3">
        <v>9</v>
      </c>
      <c r="AH456" s="3">
        <v>3</v>
      </c>
      <c r="AI456" s="3">
        <v>3</v>
      </c>
      <c r="AJ456" s="3">
        <v>1</v>
      </c>
      <c r="AK456" s="3">
        <v>1</v>
      </c>
      <c r="AL456" s="3">
        <v>6</v>
      </c>
      <c r="AM456" s="3">
        <v>6</v>
      </c>
      <c r="AN456" s="3">
        <v>1</v>
      </c>
      <c r="AO456" s="3">
        <v>1</v>
      </c>
      <c r="AP456" s="3">
        <v>0</v>
      </c>
      <c r="AQ456" s="3">
        <v>0</v>
      </c>
      <c r="AR456" s="2" t="s">
        <v>5</v>
      </c>
      <c r="AS456" s="2" t="s">
        <v>16</v>
      </c>
      <c r="AT456" s="5" t="str">
        <f>HYPERLINK("http://catalog.hathitrust.org/Record/003513883","HathiTrust Record")</f>
        <v>HathiTrust Record</v>
      </c>
      <c r="AU456" s="5" t="str">
        <f>HYPERLINK("https://creighton-primo.hosted.exlibrisgroup.com/primo-explore/search?tab=default_tab&amp;search_scope=EVERYTHING&amp;vid=01CRU&amp;lang=en_US&amp;offset=0&amp;query=any,contains,991000295799702656","Catalog Record")</f>
        <v>Catalog Record</v>
      </c>
      <c r="AV456" s="5" t="str">
        <f>HYPERLINK("http://www.worldcat.org/oclc/44128558","WorldCat Record")</f>
        <v>WorldCat Record</v>
      </c>
      <c r="AW456" s="2" t="s">
        <v>5601</v>
      </c>
      <c r="AX456" s="2" t="s">
        <v>5602</v>
      </c>
      <c r="AY456" s="2" t="s">
        <v>5603</v>
      </c>
      <c r="AZ456" s="2" t="s">
        <v>5603</v>
      </c>
      <c r="BA456" s="2" t="s">
        <v>5604</v>
      </c>
      <c r="BB456" s="2" t="s">
        <v>21</v>
      </c>
      <c r="BE456" s="2" t="s">
        <v>5605</v>
      </c>
      <c r="BF456" s="2" t="s">
        <v>5606</v>
      </c>
    </row>
    <row r="457" spans="1:58" ht="41.25" customHeight="1" x14ac:dyDescent="0.25">
      <c r="A457" s="8" t="s">
        <v>5</v>
      </c>
      <c r="B457" s="1" t="s">
        <v>0</v>
      </c>
      <c r="C457" s="1" t="s">
        <v>1</v>
      </c>
      <c r="D457" s="1" t="s">
        <v>5607</v>
      </c>
      <c r="E457" s="1" t="s">
        <v>5608</v>
      </c>
      <c r="F457" s="1" t="s">
        <v>5609</v>
      </c>
      <c r="H457" s="2" t="s">
        <v>5</v>
      </c>
      <c r="I457" s="2" t="s">
        <v>6</v>
      </c>
      <c r="J457" s="2" t="s">
        <v>5</v>
      </c>
      <c r="K457" s="2" t="s">
        <v>5</v>
      </c>
      <c r="L457" s="2" t="s">
        <v>7</v>
      </c>
      <c r="N457" s="1" t="s">
        <v>5610</v>
      </c>
      <c r="O457" s="2" t="s">
        <v>151</v>
      </c>
      <c r="Q457" s="2" t="s">
        <v>11</v>
      </c>
      <c r="R457" s="2" t="s">
        <v>426</v>
      </c>
      <c r="T457" s="2" t="s">
        <v>520</v>
      </c>
      <c r="U457" s="3">
        <v>0</v>
      </c>
      <c r="V457" s="3">
        <v>0</v>
      </c>
      <c r="W457" s="4" t="s">
        <v>5611</v>
      </c>
      <c r="X457" s="4" t="s">
        <v>5611</v>
      </c>
      <c r="Y457" s="4" t="s">
        <v>604</v>
      </c>
      <c r="Z457" s="4" t="s">
        <v>604</v>
      </c>
      <c r="AA457" s="3">
        <v>2</v>
      </c>
      <c r="AB457" s="3">
        <v>2</v>
      </c>
      <c r="AC457" s="3">
        <v>2</v>
      </c>
      <c r="AD457" s="3">
        <v>1</v>
      </c>
      <c r="AE457" s="3">
        <v>1</v>
      </c>
      <c r="AF457" s="3">
        <v>0</v>
      </c>
      <c r="AG457" s="3">
        <v>0</v>
      </c>
      <c r="AH457" s="3">
        <v>0</v>
      </c>
      <c r="AI457" s="3">
        <v>0</v>
      </c>
      <c r="AJ457" s="3">
        <v>0</v>
      </c>
      <c r="AK457" s="3">
        <v>0</v>
      </c>
      <c r="AL457" s="3">
        <v>0</v>
      </c>
      <c r="AM457" s="3">
        <v>0</v>
      </c>
      <c r="AN457" s="3">
        <v>0</v>
      </c>
      <c r="AO457" s="3">
        <v>0</v>
      </c>
      <c r="AP457" s="3">
        <v>0</v>
      </c>
      <c r="AQ457" s="3">
        <v>0</v>
      </c>
      <c r="AR457" s="2" t="s">
        <v>5</v>
      </c>
      <c r="AS457" s="2" t="s">
        <v>5</v>
      </c>
      <c r="AU457" s="5" t="str">
        <f>HYPERLINK("https://creighton-primo.hosted.exlibrisgroup.com/primo-explore/search?tab=default_tab&amp;search_scope=EVERYTHING&amp;vid=01CRU&amp;lang=en_US&amp;offset=0&amp;query=any,contains,991000182759702656","Catalog Record")</f>
        <v>Catalog Record</v>
      </c>
      <c r="AV457" s="5" t="str">
        <f>HYPERLINK("http://www.worldcat.org/oclc/7777933","WorldCat Record")</f>
        <v>WorldCat Record</v>
      </c>
      <c r="AW457" s="2" t="s">
        <v>5612</v>
      </c>
      <c r="AX457" s="2" t="s">
        <v>5613</v>
      </c>
      <c r="AY457" s="2" t="s">
        <v>5614</v>
      </c>
      <c r="AZ457" s="2" t="s">
        <v>5614</v>
      </c>
      <c r="BA457" s="2" t="s">
        <v>5615</v>
      </c>
      <c r="BB457" s="2" t="s">
        <v>21</v>
      </c>
      <c r="BE457" s="2" t="s">
        <v>5616</v>
      </c>
      <c r="BF457" s="2" t="s">
        <v>5617</v>
      </c>
    </row>
    <row r="458" spans="1:58" ht="41.25" customHeight="1" x14ac:dyDescent="0.25">
      <c r="A458" s="8" t="s">
        <v>5</v>
      </c>
      <c r="B458" s="1" t="s">
        <v>0</v>
      </c>
      <c r="C458" s="1" t="s">
        <v>1</v>
      </c>
      <c r="D458" s="1" t="s">
        <v>5618</v>
      </c>
      <c r="E458" s="1" t="s">
        <v>5619</v>
      </c>
      <c r="F458" s="1" t="s">
        <v>5620</v>
      </c>
      <c r="H458" s="2" t="s">
        <v>5</v>
      </c>
      <c r="I458" s="2" t="s">
        <v>6</v>
      </c>
      <c r="J458" s="2" t="s">
        <v>5</v>
      </c>
      <c r="K458" s="2" t="s">
        <v>16</v>
      </c>
      <c r="L458" s="2" t="s">
        <v>7</v>
      </c>
      <c r="M458" s="1" t="s">
        <v>5621</v>
      </c>
      <c r="N458" s="1" t="s">
        <v>5622</v>
      </c>
      <c r="O458" s="2" t="s">
        <v>1339</v>
      </c>
      <c r="Q458" s="2" t="s">
        <v>11</v>
      </c>
      <c r="R458" s="2" t="s">
        <v>426</v>
      </c>
      <c r="T458" s="2" t="s">
        <v>520</v>
      </c>
      <c r="U458" s="3">
        <v>1</v>
      </c>
      <c r="V458" s="3">
        <v>1</v>
      </c>
      <c r="W458" s="4" t="s">
        <v>5623</v>
      </c>
      <c r="X458" s="4" t="s">
        <v>5623</v>
      </c>
      <c r="Y458" s="4" t="s">
        <v>329</v>
      </c>
      <c r="Z458" s="4" t="s">
        <v>329</v>
      </c>
      <c r="AA458" s="3">
        <v>116</v>
      </c>
      <c r="AB458" s="3">
        <v>94</v>
      </c>
      <c r="AC458" s="3">
        <v>627</v>
      </c>
      <c r="AD458" s="3">
        <v>2</v>
      </c>
      <c r="AE458" s="3">
        <v>4</v>
      </c>
      <c r="AF458" s="3">
        <v>1</v>
      </c>
      <c r="AG458" s="3">
        <v>18</v>
      </c>
      <c r="AH458" s="3">
        <v>0</v>
      </c>
      <c r="AI458" s="3">
        <v>8</v>
      </c>
      <c r="AJ458" s="3">
        <v>0</v>
      </c>
      <c r="AK458" s="3">
        <v>2</v>
      </c>
      <c r="AL458" s="3">
        <v>1</v>
      </c>
      <c r="AM458" s="3">
        <v>9</v>
      </c>
      <c r="AN458" s="3">
        <v>0</v>
      </c>
      <c r="AO458" s="3">
        <v>2</v>
      </c>
      <c r="AP458" s="3">
        <v>0</v>
      </c>
      <c r="AQ458" s="3">
        <v>0</v>
      </c>
      <c r="AR458" s="2" t="s">
        <v>5</v>
      </c>
      <c r="AS458" s="2" t="s">
        <v>16</v>
      </c>
      <c r="AT458" s="5" t="str">
        <f>HYPERLINK("http://catalog.hathitrust.org/Record/000818388","HathiTrust Record")</f>
        <v>HathiTrust Record</v>
      </c>
      <c r="AU458" s="5" t="str">
        <f>HYPERLINK("https://creighton-primo.hosted.exlibrisgroup.com/primo-explore/search?tab=default_tab&amp;search_scope=EVERYTHING&amp;vid=01CRU&amp;lang=en_US&amp;offset=0&amp;query=any,contains,991001265019702656","Catalog Record")</f>
        <v>Catalog Record</v>
      </c>
      <c r="AV458" s="5" t="str">
        <f>HYPERLINK("http://www.worldcat.org/oclc/15428863","WorldCat Record")</f>
        <v>WorldCat Record</v>
      </c>
      <c r="AW458" s="2" t="s">
        <v>5624</v>
      </c>
      <c r="AX458" s="2" t="s">
        <v>5625</v>
      </c>
      <c r="AY458" s="2" t="s">
        <v>5626</v>
      </c>
      <c r="AZ458" s="2" t="s">
        <v>5626</v>
      </c>
      <c r="BA458" s="2" t="s">
        <v>5627</v>
      </c>
      <c r="BB458" s="2" t="s">
        <v>21</v>
      </c>
      <c r="BD458" s="2" t="s">
        <v>5628</v>
      </c>
      <c r="BE458" s="2" t="s">
        <v>5629</v>
      </c>
      <c r="BF458" s="2" t="s">
        <v>5630</v>
      </c>
    </row>
    <row r="459" spans="1:58" ht="41.25" customHeight="1" x14ac:dyDescent="0.25">
      <c r="A459" s="8" t="s">
        <v>5</v>
      </c>
      <c r="B459" s="1" t="s">
        <v>0</v>
      </c>
      <c r="C459" s="1" t="s">
        <v>1</v>
      </c>
      <c r="D459" s="1" t="s">
        <v>5631</v>
      </c>
      <c r="E459" s="1" t="s">
        <v>5632</v>
      </c>
      <c r="F459" s="1" t="s">
        <v>5633</v>
      </c>
      <c r="H459" s="2" t="s">
        <v>5</v>
      </c>
      <c r="I459" s="2" t="s">
        <v>6</v>
      </c>
      <c r="J459" s="2" t="s">
        <v>5</v>
      </c>
      <c r="K459" s="2" t="s">
        <v>5</v>
      </c>
      <c r="L459" s="2" t="s">
        <v>7</v>
      </c>
      <c r="M459" s="1" t="s">
        <v>5634</v>
      </c>
      <c r="N459" s="1" t="s">
        <v>1588</v>
      </c>
      <c r="O459" s="2" t="s">
        <v>1102</v>
      </c>
      <c r="Q459" s="2" t="s">
        <v>11</v>
      </c>
      <c r="R459" s="2" t="s">
        <v>426</v>
      </c>
      <c r="S459" s="1" t="s">
        <v>5635</v>
      </c>
      <c r="T459" s="2" t="s">
        <v>520</v>
      </c>
      <c r="U459" s="3">
        <v>3</v>
      </c>
      <c r="V459" s="3">
        <v>3</v>
      </c>
      <c r="W459" s="4" t="s">
        <v>5636</v>
      </c>
      <c r="X459" s="4" t="s">
        <v>5636</v>
      </c>
      <c r="Y459" s="4" t="s">
        <v>736</v>
      </c>
      <c r="Z459" s="4" t="s">
        <v>736</v>
      </c>
      <c r="AA459" s="3">
        <v>149</v>
      </c>
      <c r="AB459" s="3">
        <v>131</v>
      </c>
      <c r="AC459" s="3">
        <v>133</v>
      </c>
      <c r="AD459" s="3">
        <v>2</v>
      </c>
      <c r="AE459" s="3">
        <v>2</v>
      </c>
      <c r="AF459" s="3">
        <v>8</v>
      </c>
      <c r="AG459" s="3">
        <v>8</v>
      </c>
      <c r="AH459" s="3">
        <v>2</v>
      </c>
      <c r="AI459" s="3">
        <v>2</v>
      </c>
      <c r="AJ459" s="3">
        <v>2</v>
      </c>
      <c r="AK459" s="3">
        <v>2</v>
      </c>
      <c r="AL459" s="3">
        <v>6</v>
      </c>
      <c r="AM459" s="3">
        <v>6</v>
      </c>
      <c r="AN459" s="3">
        <v>0</v>
      </c>
      <c r="AO459" s="3">
        <v>0</v>
      </c>
      <c r="AP459" s="3">
        <v>0</v>
      </c>
      <c r="AQ459" s="3">
        <v>0</v>
      </c>
      <c r="AR459" s="2" t="s">
        <v>5</v>
      </c>
      <c r="AS459" s="2" t="s">
        <v>16</v>
      </c>
      <c r="AT459" s="5" t="str">
        <f>HYPERLINK("http://catalog.hathitrust.org/Record/004448030","HathiTrust Record")</f>
        <v>HathiTrust Record</v>
      </c>
      <c r="AU459" s="5" t="str">
        <f>HYPERLINK("https://creighton-primo.hosted.exlibrisgroup.com/primo-explore/search?tab=default_tab&amp;search_scope=EVERYTHING&amp;vid=01CRU&amp;lang=en_US&amp;offset=0&amp;query=any,contains,991001390379702656","Catalog Record")</f>
        <v>Catalog Record</v>
      </c>
      <c r="AV459" s="5" t="str">
        <f>HYPERLINK("http://www.worldcat.org/oclc/13262555","WorldCat Record")</f>
        <v>WorldCat Record</v>
      </c>
      <c r="AW459" s="2" t="s">
        <v>5637</v>
      </c>
      <c r="AX459" s="2" t="s">
        <v>5638</v>
      </c>
      <c r="AY459" s="2" t="s">
        <v>5639</v>
      </c>
      <c r="AZ459" s="2" t="s">
        <v>5639</v>
      </c>
      <c r="BA459" s="2" t="s">
        <v>5640</v>
      </c>
      <c r="BB459" s="2" t="s">
        <v>21</v>
      </c>
      <c r="BD459" s="2" t="s">
        <v>5641</v>
      </c>
      <c r="BE459" s="2" t="s">
        <v>5642</v>
      </c>
      <c r="BF459" s="2" t="s">
        <v>5643</v>
      </c>
    </row>
    <row r="460" spans="1:58" ht="41.25" customHeight="1" x14ac:dyDescent="0.25">
      <c r="A460" s="8" t="s">
        <v>5</v>
      </c>
      <c r="B460" s="1" t="s">
        <v>0</v>
      </c>
      <c r="C460" s="1" t="s">
        <v>1</v>
      </c>
      <c r="D460" s="1" t="s">
        <v>5644</v>
      </c>
      <c r="E460" s="1" t="s">
        <v>5645</v>
      </c>
      <c r="F460" s="1" t="s">
        <v>5646</v>
      </c>
      <c r="H460" s="2" t="s">
        <v>5</v>
      </c>
      <c r="I460" s="2" t="s">
        <v>6</v>
      </c>
      <c r="J460" s="2" t="s">
        <v>5</v>
      </c>
      <c r="K460" s="2" t="s">
        <v>5</v>
      </c>
      <c r="L460" s="2" t="s">
        <v>7</v>
      </c>
      <c r="N460" s="1" t="s">
        <v>5647</v>
      </c>
      <c r="O460" s="2" t="s">
        <v>46</v>
      </c>
      <c r="Q460" s="2" t="s">
        <v>11</v>
      </c>
      <c r="R460" s="2" t="s">
        <v>12</v>
      </c>
      <c r="T460" s="2" t="s">
        <v>520</v>
      </c>
      <c r="U460" s="3">
        <v>1</v>
      </c>
      <c r="V460" s="3">
        <v>1</v>
      </c>
      <c r="W460" s="4" t="s">
        <v>1717</v>
      </c>
      <c r="X460" s="4" t="s">
        <v>1717</v>
      </c>
      <c r="Y460" s="4" t="s">
        <v>2226</v>
      </c>
      <c r="Z460" s="4" t="s">
        <v>2226</v>
      </c>
      <c r="AA460" s="3">
        <v>58</v>
      </c>
      <c r="AB460" s="3">
        <v>58</v>
      </c>
      <c r="AC460" s="3">
        <v>65</v>
      </c>
      <c r="AD460" s="3">
        <v>1</v>
      </c>
      <c r="AE460" s="3">
        <v>1</v>
      </c>
      <c r="AF460" s="3">
        <v>4</v>
      </c>
      <c r="AG460" s="3">
        <v>4</v>
      </c>
      <c r="AH460" s="3">
        <v>2</v>
      </c>
      <c r="AI460" s="3">
        <v>2</v>
      </c>
      <c r="AJ460" s="3">
        <v>1</v>
      </c>
      <c r="AK460" s="3">
        <v>1</v>
      </c>
      <c r="AL460" s="3">
        <v>1</v>
      </c>
      <c r="AM460" s="3">
        <v>1</v>
      </c>
      <c r="AN460" s="3">
        <v>0</v>
      </c>
      <c r="AO460" s="3">
        <v>0</v>
      </c>
      <c r="AP460" s="3">
        <v>0</v>
      </c>
      <c r="AQ460" s="3">
        <v>0</v>
      </c>
      <c r="AR460" s="2" t="s">
        <v>16</v>
      </c>
      <c r="AS460" s="2" t="s">
        <v>5</v>
      </c>
      <c r="AT460" s="5" t="str">
        <f>HYPERLINK("http://catalog.hathitrust.org/Record/001579460","HathiTrust Record")</f>
        <v>HathiTrust Record</v>
      </c>
      <c r="AU460" s="5" t="str">
        <f>HYPERLINK("https://creighton-primo.hosted.exlibrisgroup.com/primo-explore/search?tab=default_tab&amp;search_scope=EVERYTHING&amp;vid=01CRU&amp;lang=en_US&amp;offset=0&amp;query=any,contains,991001517939702656","Catalog Record")</f>
        <v>Catalog Record</v>
      </c>
      <c r="AV460" s="5" t="str">
        <f>HYPERLINK("http://www.worldcat.org/oclc/1053016","WorldCat Record")</f>
        <v>WorldCat Record</v>
      </c>
      <c r="AW460" s="2" t="s">
        <v>5648</v>
      </c>
      <c r="AX460" s="2" t="s">
        <v>5649</v>
      </c>
      <c r="AY460" s="2" t="s">
        <v>5650</v>
      </c>
      <c r="AZ460" s="2" t="s">
        <v>5650</v>
      </c>
      <c r="BA460" s="2" t="s">
        <v>5651</v>
      </c>
      <c r="BB460" s="2" t="s">
        <v>21</v>
      </c>
      <c r="BE460" s="2" t="s">
        <v>5652</v>
      </c>
      <c r="BF460" s="2" t="s">
        <v>5653</v>
      </c>
    </row>
    <row r="461" spans="1:58" ht="41.25" customHeight="1" x14ac:dyDescent="0.25">
      <c r="A461" s="8" t="s">
        <v>5</v>
      </c>
      <c r="B461" s="1" t="s">
        <v>0</v>
      </c>
      <c r="C461" s="1" t="s">
        <v>1</v>
      </c>
      <c r="D461" s="1" t="s">
        <v>5654</v>
      </c>
      <c r="E461" s="1" t="s">
        <v>5655</v>
      </c>
      <c r="F461" s="1" t="s">
        <v>5656</v>
      </c>
      <c r="H461" s="2" t="s">
        <v>5</v>
      </c>
      <c r="I461" s="2" t="s">
        <v>6</v>
      </c>
      <c r="J461" s="2" t="s">
        <v>5</v>
      </c>
      <c r="K461" s="2" t="s">
        <v>5</v>
      </c>
      <c r="L461" s="2" t="s">
        <v>7</v>
      </c>
      <c r="M461" s="1" t="s">
        <v>5657</v>
      </c>
      <c r="N461" s="1" t="s">
        <v>5658</v>
      </c>
      <c r="O461" s="2" t="s">
        <v>654</v>
      </c>
      <c r="Q461" s="2" t="s">
        <v>11</v>
      </c>
      <c r="R461" s="2" t="s">
        <v>575</v>
      </c>
      <c r="T461" s="2" t="s">
        <v>520</v>
      </c>
      <c r="U461" s="3">
        <v>1</v>
      </c>
      <c r="V461" s="3">
        <v>1</v>
      </c>
      <c r="W461" s="4" t="s">
        <v>5659</v>
      </c>
      <c r="X461" s="4" t="s">
        <v>5659</v>
      </c>
      <c r="Y461" s="4" t="s">
        <v>168</v>
      </c>
      <c r="Z461" s="4" t="s">
        <v>168</v>
      </c>
      <c r="AA461" s="3">
        <v>156</v>
      </c>
      <c r="AB461" s="3">
        <v>149</v>
      </c>
      <c r="AC461" s="3">
        <v>157</v>
      </c>
      <c r="AD461" s="3">
        <v>2</v>
      </c>
      <c r="AE461" s="3">
        <v>2</v>
      </c>
      <c r="AF461" s="3">
        <v>7</v>
      </c>
      <c r="AG461" s="3">
        <v>7</v>
      </c>
      <c r="AH461" s="3">
        <v>1</v>
      </c>
      <c r="AI461" s="3">
        <v>1</v>
      </c>
      <c r="AJ461" s="3">
        <v>3</v>
      </c>
      <c r="AK461" s="3">
        <v>3</v>
      </c>
      <c r="AL461" s="3">
        <v>3</v>
      </c>
      <c r="AM461" s="3">
        <v>3</v>
      </c>
      <c r="AN461" s="3">
        <v>1</v>
      </c>
      <c r="AO461" s="3">
        <v>1</v>
      </c>
      <c r="AP461" s="3">
        <v>0</v>
      </c>
      <c r="AQ461" s="3">
        <v>0</v>
      </c>
      <c r="AR461" s="2" t="s">
        <v>16</v>
      </c>
      <c r="AS461" s="2" t="s">
        <v>5</v>
      </c>
      <c r="AT461" s="5" t="str">
        <f>HYPERLINK("http://catalog.hathitrust.org/Record/001588339","HathiTrust Record")</f>
        <v>HathiTrust Record</v>
      </c>
      <c r="AU461" s="5" t="str">
        <f>HYPERLINK("https://creighton-primo.hosted.exlibrisgroup.com/primo-explore/search?tab=default_tab&amp;search_scope=EVERYTHING&amp;vid=01CRU&amp;lang=en_US&amp;offset=0&amp;query=any,contains,991001042419702656","Catalog Record")</f>
        <v>Catalog Record</v>
      </c>
      <c r="AV461" s="5" t="str">
        <f>HYPERLINK("http://www.worldcat.org/oclc/1451801","WorldCat Record")</f>
        <v>WorldCat Record</v>
      </c>
      <c r="AW461" s="2" t="s">
        <v>5660</v>
      </c>
      <c r="AX461" s="2" t="s">
        <v>5661</v>
      </c>
      <c r="AY461" s="2" t="s">
        <v>5662</v>
      </c>
      <c r="AZ461" s="2" t="s">
        <v>5662</v>
      </c>
      <c r="BA461" s="2" t="s">
        <v>5663</v>
      </c>
      <c r="BB461" s="2" t="s">
        <v>21</v>
      </c>
      <c r="BE461" s="2" t="s">
        <v>5664</v>
      </c>
      <c r="BF461" s="2" t="s">
        <v>5665</v>
      </c>
    </row>
    <row r="462" spans="1:58" ht="41.25" customHeight="1" x14ac:dyDescent="0.25">
      <c r="A462" s="8" t="s">
        <v>5</v>
      </c>
      <c r="B462" s="1" t="s">
        <v>0</v>
      </c>
      <c r="C462" s="1" t="s">
        <v>1</v>
      </c>
      <c r="D462" s="1" t="s">
        <v>5666</v>
      </c>
      <c r="E462" s="1" t="s">
        <v>5667</v>
      </c>
      <c r="F462" s="1" t="s">
        <v>5668</v>
      </c>
      <c r="H462" s="2" t="s">
        <v>5</v>
      </c>
      <c r="I462" s="2" t="s">
        <v>6</v>
      </c>
      <c r="J462" s="2" t="s">
        <v>5</v>
      </c>
      <c r="K462" s="2" t="s">
        <v>5</v>
      </c>
      <c r="L462" s="2" t="s">
        <v>7</v>
      </c>
      <c r="M462" s="1" t="s">
        <v>5669</v>
      </c>
      <c r="N462" s="1" t="s">
        <v>3500</v>
      </c>
      <c r="O462" s="2" t="s">
        <v>3501</v>
      </c>
      <c r="Q462" s="2" t="s">
        <v>11</v>
      </c>
      <c r="R462" s="2" t="s">
        <v>93</v>
      </c>
      <c r="S462" s="1" t="s">
        <v>5670</v>
      </c>
      <c r="T462" s="2" t="s">
        <v>520</v>
      </c>
      <c r="U462" s="3">
        <v>1</v>
      </c>
      <c r="V462" s="3">
        <v>1</v>
      </c>
      <c r="W462" s="4" t="s">
        <v>1840</v>
      </c>
      <c r="X462" s="4" t="s">
        <v>1840</v>
      </c>
      <c r="Y462" s="4" t="s">
        <v>1827</v>
      </c>
      <c r="Z462" s="4" t="s">
        <v>1827</v>
      </c>
      <c r="AA462" s="3">
        <v>27</v>
      </c>
      <c r="AB462" s="3">
        <v>25</v>
      </c>
      <c r="AC462" s="3">
        <v>32</v>
      </c>
      <c r="AD462" s="3">
        <v>1</v>
      </c>
      <c r="AE462" s="3">
        <v>1</v>
      </c>
      <c r="AF462" s="3">
        <v>1</v>
      </c>
      <c r="AG462" s="3">
        <v>1</v>
      </c>
      <c r="AH462" s="3">
        <v>0</v>
      </c>
      <c r="AI462" s="3">
        <v>0</v>
      </c>
      <c r="AJ462" s="3">
        <v>0</v>
      </c>
      <c r="AK462" s="3">
        <v>0</v>
      </c>
      <c r="AL462" s="3">
        <v>1</v>
      </c>
      <c r="AM462" s="3">
        <v>1</v>
      </c>
      <c r="AN462" s="3">
        <v>0</v>
      </c>
      <c r="AO462" s="3">
        <v>0</v>
      </c>
      <c r="AP462" s="3">
        <v>0</v>
      </c>
      <c r="AQ462" s="3">
        <v>0</v>
      </c>
      <c r="AR462" s="2" t="s">
        <v>16</v>
      </c>
      <c r="AS462" s="2" t="s">
        <v>5</v>
      </c>
      <c r="AT462" s="5" t="str">
        <f>HYPERLINK("http://catalog.hathitrust.org/Record/002072332","HathiTrust Record")</f>
        <v>HathiTrust Record</v>
      </c>
      <c r="AU462" s="5" t="str">
        <f>HYPERLINK("https://creighton-primo.hosted.exlibrisgroup.com/primo-explore/search?tab=default_tab&amp;search_scope=EVERYTHING&amp;vid=01CRU&amp;lang=en_US&amp;offset=0&amp;query=any,contains,991001364949702656","Catalog Record")</f>
        <v>Catalog Record</v>
      </c>
      <c r="AV462" s="5" t="str">
        <f>HYPERLINK("http://www.worldcat.org/oclc/1141809","WorldCat Record")</f>
        <v>WorldCat Record</v>
      </c>
      <c r="AW462" s="2" t="s">
        <v>5671</v>
      </c>
      <c r="AX462" s="2" t="s">
        <v>5672</v>
      </c>
      <c r="AY462" s="2" t="s">
        <v>5673</v>
      </c>
      <c r="AZ462" s="2" t="s">
        <v>5673</v>
      </c>
      <c r="BA462" s="2" t="s">
        <v>5674</v>
      </c>
      <c r="BB462" s="2" t="s">
        <v>21</v>
      </c>
      <c r="BE462" s="2" t="s">
        <v>5675</v>
      </c>
      <c r="BF462" s="2" t="s">
        <v>5676</v>
      </c>
    </row>
    <row r="463" spans="1:58" ht="41.25" customHeight="1" x14ac:dyDescent="0.25">
      <c r="A463" s="8" t="s">
        <v>5</v>
      </c>
      <c r="B463" s="1" t="s">
        <v>0</v>
      </c>
      <c r="C463" s="1" t="s">
        <v>1</v>
      </c>
      <c r="D463" s="1" t="s">
        <v>5677</v>
      </c>
      <c r="E463" s="1" t="s">
        <v>5678</v>
      </c>
      <c r="F463" s="1" t="s">
        <v>5679</v>
      </c>
      <c r="H463" s="2" t="s">
        <v>5</v>
      </c>
      <c r="I463" s="2" t="s">
        <v>6</v>
      </c>
      <c r="J463" s="2" t="s">
        <v>5</v>
      </c>
      <c r="K463" s="2" t="s">
        <v>5</v>
      </c>
      <c r="L463" s="2" t="s">
        <v>7</v>
      </c>
      <c r="M463" s="1" t="s">
        <v>5680</v>
      </c>
      <c r="O463" s="2" t="s">
        <v>617</v>
      </c>
      <c r="Q463" s="2" t="s">
        <v>11</v>
      </c>
      <c r="R463" s="2" t="s">
        <v>93</v>
      </c>
      <c r="T463" s="2" t="s">
        <v>520</v>
      </c>
      <c r="U463" s="3">
        <v>2</v>
      </c>
      <c r="V463" s="3">
        <v>2</v>
      </c>
      <c r="W463" s="4" t="s">
        <v>810</v>
      </c>
      <c r="X463" s="4" t="s">
        <v>810</v>
      </c>
      <c r="Y463" s="4" t="s">
        <v>695</v>
      </c>
      <c r="Z463" s="4" t="s">
        <v>695</v>
      </c>
      <c r="AA463" s="3">
        <v>9</v>
      </c>
      <c r="AB463" s="3">
        <v>8</v>
      </c>
      <c r="AC463" s="3">
        <v>8</v>
      </c>
      <c r="AD463" s="3">
        <v>1</v>
      </c>
      <c r="AE463" s="3">
        <v>1</v>
      </c>
      <c r="AF463" s="3">
        <v>0</v>
      </c>
      <c r="AG463" s="3">
        <v>0</v>
      </c>
      <c r="AH463" s="3">
        <v>0</v>
      </c>
      <c r="AI463" s="3">
        <v>0</v>
      </c>
      <c r="AJ463" s="3">
        <v>0</v>
      </c>
      <c r="AK463" s="3">
        <v>0</v>
      </c>
      <c r="AL463" s="3">
        <v>0</v>
      </c>
      <c r="AM463" s="3">
        <v>0</v>
      </c>
      <c r="AN463" s="3">
        <v>0</v>
      </c>
      <c r="AO463" s="3">
        <v>0</v>
      </c>
      <c r="AP463" s="3">
        <v>0</v>
      </c>
      <c r="AQ463" s="3">
        <v>0</v>
      </c>
      <c r="AR463" s="2" t="s">
        <v>5</v>
      </c>
      <c r="AS463" s="2" t="s">
        <v>5</v>
      </c>
      <c r="AU463" s="5" t="str">
        <f>HYPERLINK("https://creighton-primo.hosted.exlibrisgroup.com/primo-explore/search?tab=default_tab&amp;search_scope=EVERYTHING&amp;vid=01CRU&amp;lang=en_US&amp;offset=0&amp;query=any,contains,991001042449702656","Catalog Record")</f>
        <v>Catalog Record</v>
      </c>
      <c r="AV463" s="5" t="str">
        <f>HYPERLINK("http://www.worldcat.org/oclc/14614267","WorldCat Record")</f>
        <v>WorldCat Record</v>
      </c>
      <c r="AW463" s="2" t="s">
        <v>5681</v>
      </c>
      <c r="AX463" s="2" t="s">
        <v>5682</v>
      </c>
      <c r="AY463" s="2" t="s">
        <v>5683</v>
      </c>
      <c r="AZ463" s="2" t="s">
        <v>5683</v>
      </c>
      <c r="BA463" s="2" t="s">
        <v>5684</v>
      </c>
      <c r="BB463" s="2" t="s">
        <v>21</v>
      </c>
      <c r="BE463" s="2" t="s">
        <v>5685</v>
      </c>
      <c r="BF463" s="2" t="s">
        <v>5686</v>
      </c>
    </row>
    <row r="464" spans="1:58" ht="41.25" customHeight="1" x14ac:dyDescent="0.25">
      <c r="A464" s="8" t="s">
        <v>5</v>
      </c>
      <c r="B464" s="1" t="s">
        <v>0</v>
      </c>
      <c r="C464" s="1" t="s">
        <v>1</v>
      </c>
      <c r="D464" s="1" t="s">
        <v>5687</v>
      </c>
      <c r="E464" s="1" t="s">
        <v>5688</v>
      </c>
      <c r="F464" s="1" t="s">
        <v>5689</v>
      </c>
      <c r="H464" s="2" t="s">
        <v>5</v>
      </c>
      <c r="I464" s="2" t="s">
        <v>6</v>
      </c>
      <c r="J464" s="2" t="s">
        <v>5</v>
      </c>
      <c r="K464" s="2" t="s">
        <v>5</v>
      </c>
      <c r="L464" s="2" t="s">
        <v>7</v>
      </c>
      <c r="N464" s="1" t="s">
        <v>1808</v>
      </c>
      <c r="O464" s="2" t="s">
        <v>939</v>
      </c>
      <c r="Q464" s="2" t="s">
        <v>11</v>
      </c>
      <c r="R464" s="2" t="s">
        <v>12</v>
      </c>
      <c r="T464" s="2" t="s">
        <v>520</v>
      </c>
      <c r="U464" s="3">
        <v>1</v>
      </c>
      <c r="V464" s="3">
        <v>1</v>
      </c>
      <c r="W464" s="4" t="s">
        <v>5690</v>
      </c>
      <c r="X464" s="4" t="s">
        <v>5690</v>
      </c>
      <c r="Y464" s="4" t="s">
        <v>5690</v>
      </c>
      <c r="Z464" s="4" t="s">
        <v>5690</v>
      </c>
      <c r="AA464" s="3">
        <v>15</v>
      </c>
      <c r="AB464" s="3">
        <v>14</v>
      </c>
      <c r="AC464" s="3">
        <v>14</v>
      </c>
      <c r="AD464" s="3">
        <v>1</v>
      </c>
      <c r="AE464" s="3">
        <v>1</v>
      </c>
      <c r="AF464" s="3">
        <v>0</v>
      </c>
      <c r="AG464" s="3">
        <v>0</v>
      </c>
      <c r="AH464" s="3">
        <v>0</v>
      </c>
      <c r="AI464" s="3">
        <v>0</v>
      </c>
      <c r="AJ464" s="3">
        <v>0</v>
      </c>
      <c r="AK464" s="3">
        <v>0</v>
      </c>
      <c r="AL464" s="3">
        <v>0</v>
      </c>
      <c r="AM464" s="3">
        <v>0</v>
      </c>
      <c r="AN464" s="3">
        <v>0</v>
      </c>
      <c r="AO464" s="3">
        <v>0</v>
      </c>
      <c r="AP464" s="3">
        <v>0</v>
      </c>
      <c r="AQ464" s="3">
        <v>0</v>
      </c>
      <c r="AR464" s="2" t="s">
        <v>5</v>
      </c>
      <c r="AS464" s="2" t="s">
        <v>5</v>
      </c>
      <c r="AU464" s="5" t="str">
        <f>HYPERLINK("https://creighton-primo.hosted.exlibrisgroup.com/primo-explore/search?tab=default_tab&amp;search_scope=EVERYTHING&amp;vid=01CRU&amp;lang=en_US&amp;offset=0&amp;query=any,contains,991001446369702656","Catalog Record")</f>
        <v>Catalog Record</v>
      </c>
      <c r="AV464" s="5" t="str">
        <f>HYPERLINK("http://www.worldcat.org/oclc/18765749","WorldCat Record")</f>
        <v>WorldCat Record</v>
      </c>
      <c r="AW464" s="2" t="s">
        <v>5691</v>
      </c>
      <c r="AX464" s="2" t="s">
        <v>5692</v>
      </c>
      <c r="AY464" s="2" t="s">
        <v>5693</v>
      </c>
      <c r="AZ464" s="2" t="s">
        <v>5693</v>
      </c>
      <c r="BA464" s="2" t="s">
        <v>5694</v>
      </c>
      <c r="BB464" s="2" t="s">
        <v>21</v>
      </c>
      <c r="BD464" s="2" t="s">
        <v>5695</v>
      </c>
      <c r="BE464" s="2" t="s">
        <v>5696</v>
      </c>
      <c r="BF464" s="2" t="s">
        <v>5697</v>
      </c>
    </row>
    <row r="465" spans="1:58" ht="41.25" customHeight="1" x14ac:dyDescent="0.25">
      <c r="A465" s="8" t="s">
        <v>5</v>
      </c>
      <c r="B465" s="1" t="s">
        <v>0</v>
      </c>
      <c r="C465" s="1" t="s">
        <v>1</v>
      </c>
      <c r="D465" s="1" t="s">
        <v>5698</v>
      </c>
      <c r="E465" s="1" t="s">
        <v>5699</v>
      </c>
      <c r="F465" s="1" t="s">
        <v>5700</v>
      </c>
      <c r="H465" s="2" t="s">
        <v>5</v>
      </c>
      <c r="I465" s="2" t="s">
        <v>6</v>
      </c>
      <c r="J465" s="2" t="s">
        <v>5</v>
      </c>
      <c r="K465" s="2" t="s">
        <v>5</v>
      </c>
      <c r="L465" s="2" t="s">
        <v>7</v>
      </c>
      <c r="N465" s="1" t="s">
        <v>871</v>
      </c>
      <c r="O465" s="2" t="s">
        <v>872</v>
      </c>
      <c r="Q465" s="2" t="s">
        <v>11</v>
      </c>
      <c r="R465" s="2" t="s">
        <v>12</v>
      </c>
      <c r="S465" s="1" t="s">
        <v>5701</v>
      </c>
      <c r="T465" s="2" t="s">
        <v>520</v>
      </c>
      <c r="U465" s="3">
        <v>1</v>
      </c>
      <c r="V465" s="3">
        <v>1</v>
      </c>
      <c r="W465" s="4" t="s">
        <v>4575</v>
      </c>
      <c r="X465" s="4" t="s">
        <v>4575</v>
      </c>
      <c r="Y465" s="4" t="s">
        <v>4575</v>
      </c>
      <c r="Z465" s="4" t="s">
        <v>4575</v>
      </c>
      <c r="AA465" s="3">
        <v>19</v>
      </c>
      <c r="AB465" s="3">
        <v>17</v>
      </c>
      <c r="AC465" s="3">
        <v>17</v>
      </c>
      <c r="AD465" s="3">
        <v>1</v>
      </c>
      <c r="AE465" s="3">
        <v>1</v>
      </c>
      <c r="AF465" s="3">
        <v>0</v>
      </c>
      <c r="AG465" s="3">
        <v>0</v>
      </c>
      <c r="AH465" s="3">
        <v>0</v>
      </c>
      <c r="AI465" s="3">
        <v>0</v>
      </c>
      <c r="AJ465" s="3">
        <v>0</v>
      </c>
      <c r="AK465" s="3">
        <v>0</v>
      </c>
      <c r="AL465" s="3">
        <v>0</v>
      </c>
      <c r="AM465" s="3">
        <v>0</v>
      </c>
      <c r="AN465" s="3">
        <v>0</v>
      </c>
      <c r="AO465" s="3">
        <v>0</v>
      </c>
      <c r="AP465" s="3">
        <v>0</v>
      </c>
      <c r="AQ465" s="3">
        <v>0</v>
      </c>
      <c r="AR465" s="2" t="s">
        <v>5</v>
      </c>
      <c r="AS465" s="2" t="s">
        <v>5</v>
      </c>
      <c r="AU465" s="5" t="str">
        <f>HYPERLINK("https://creighton-primo.hosted.exlibrisgroup.com/primo-explore/search?tab=default_tab&amp;search_scope=EVERYTHING&amp;vid=01CRU&amp;lang=en_US&amp;offset=0&amp;query=any,contains,991000221359702656","Catalog Record")</f>
        <v>Catalog Record</v>
      </c>
      <c r="AV465" s="5" t="str">
        <f>HYPERLINK("http://www.worldcat.org/oclc/21244851","WorldCat Record")</f>
        <v>WorldCat Record</v>
      </c>
      <c r="AW465" s="2" t="s">
        <v>5702</v>
      </c>
      <c r="AX465" s="2" t="s">
        <v>5703</v>
      </c>
      <c r="AY465" s="2" t="s">
        <v>5704</v>
      </c>
      <c r="AZ465" s="2" t="s">
        <v>5704</v>
      </c>
      <c r="BA465" s="2" t="s">
        <v>5705</v>
      </c>
      <c r="BB465" s="2" t="s">
        <v>21</v>
      </c>
      <c r="BE465" s="2" t="s">
        <v>5706</v>
      </c>
      <c r="BF465" s="2" t="s">
        <v>5707</v>
      </c>
    </row>
    <row r="466" spans="1:58" ht="41.25" customHeight="1" x14ac:dyDescent="0.25">
      <c r="A466" s="8" t="s">
        <v>5</v>
      </c>
      <c r="B466" s="1" t="s">
        <v>0</v>
      </c>
      <c r="C466" s="1" t="s">
        <v>1</v>
      </c>
      <c r="D466" s="1" t="s">
        <v>5708</v>
      </c>
      <c r="E466" s="1" t="s">
        <v>5709</v>
      </c>
      <c r="F466" s="1" t="s">
        <v>5710</v>
      </c>
      <c r="H466" s="2" t="s">
        <v>5</v>
      </c>
      <c r="I466" s="2" t="s">
        <v>6</v>
      </c>
      <c r="J466" s="2" t="s">
        <v>5</v>
      </c>
      <c r="K466" s="2" t="s">
        <v>5</v>
      </c>
      <c r="L466" s="2" t="s">
        <v>7</v>
      </c>
      <c r="N466" s="1" t="s">
        <v>5711</v>
      </c>
      <c r="O466" s="2" t="s">
        <v>382</v>
      </c>
      <c r="P466" s="1" t="s">
        <v>5712</v>
      </c>
      <c r="Q466" s="2" t="s">
        <v>11</v>
      </c>
      <c r="R466" s="2" t="s">
        <v>12</v>
      </c>
      <c r="S466" s="1" t="s">
        <v>5713</v>
      </c>
      <c r="T466" s="2" t="s">
        <v>520</v>
      </c>
      <c r="U466" s="3">
        <v>1</v>
      </c>
      <c r="V466" s="3">
        <v>1</v>
      </c>
      <c r="W466" s="4" t="s">
        <v>5714</v>
      </c>
      <c r="X466" s="4" t="s">
        <v>5714</v>
      </c>
      <c r="Y466" s="4" t="s">
        <v>1249</v>
      </c>
      <c r="Z466" s="4" t="s">
        <v>1249</v>
      </c>
      <c r="AA466" s="3">
        <v>15</v>
      </c>
      <c r="AB466" s="3">
        <v>13</v>
      </c>
      <c r="AC466" s="3">
        <v>13</v>
      </c>
      <c r="AD466" s="3">
        <v>1</v>
      </c>
      <c r="AE466" s="3">
        <v>1</v>
      </c>
      <c r="AF466" s="3">
        <v>0</v>
      </c>
      <c r="AG466" s="3">
        <v>0</v>
      </c>
      <c r="AH466" s="3">
        <v>0</v>
      </c>
      <c r="AI466" s="3">
        <v>0</v>
      </c>
      <c r="AJ466" s="3">
        <v>0</v>
      </c>
      <c r="AK466" s="3">
        <v>0</v>
      </c>
      <c r="AL466" s="3">
        <v>0</v>
      </c>
      <c r="AM466" s="3">
        <v>0</v>
      </c>
      <c r="AN466" s="3">
        <v>0</v>
      </c>
      <c r="AO466" s="3">
        <v>0</v>
      </c>
      <c r="AP466" s="3">
        <v>0</v>
      </c>
      <c r="AQ466" s="3">
        <v>0</v>
      </c>
      <c r="AR466" s="2" t="s">
        <v>5</v>
      </c>
      <c r="AS466" s="2" t="s">
        <v>5</v>
      </c>
      <c r="AU466" s="5" t="str">
        <f>HYPERLINK("https://creighton-primo.hosted.exlibrisgroup.com/primo-explore/search?tab=default_tab&amp;search_scope=EVERYTHING&amp;vid=01CRU&amp;lang=en_US&amp;offset=0&amp;query=any,contains,991001383219702656","Catalog Record")</f>
        <v>Catalog Record</v>
      </c>
      <c r="AV466" s="5" t="str">
        <f>HYPERLINK("http://www.worldcat.org/oclc/12729106","WorldCat Record")</f>
        <v>WorldCat Record</v>
      </c>
      <c r="AW466" s="2" t="s">
        <v>5715</v>
      </c>
      <c r="AX466" s="2" t="s">
        <v>5716</v>
      </c>
      <c r="AY466" s="2" t="s">
        <v>5717</v>
      </c>
      <c r="AZ466" s="2" t="s">
        <v>5717</v>
      </c>
      <c r="BA466" s="2" t="s">
        <v>5718</v>
      </c>
      <c r="BB466" s="2" t="s">
        <v>21</v>
      </c>
      <c r="BD466" s="2" t="s">
        <v>5719</v>
      </c>
      <c r="BE466" s="2" t="s">
        <v>5720</v>
      </c>
      <c r="BF466" s="2" t="s">
        <v>5721</v>
      </c>
    </row>
    <row r="467" spans="1:58" ht="41.25" customHeight="1" x14ac:dyDescent="0.25">
      <c r="A467" s="8" t="s">
        <v>5</v>
      </c>
      <c r="B467" s="1" t="s">
        <v>0</v>
      </c>
      <c r="C467" s="1" t="s">
        <v>1</v>
      </c>
      <c r="D467" s="1" t="s">
        <v>5722</v>
      </c>
      <c r="E467" s="1" t="s">
        <v>5723</v>
      </c>
      <c r="F467" s="1" t="s">
        <v>5724</v>
      </c>
      <c r="H467" s="2" t="s">
        <v>5</v>
      </c>
      <c r="I467" s="2" t="s">
        <v>6</v>
      </c>
      <c r="J467" s="2" t="s">
        <v>5</v>
      </c>
      <c r="K467" s="2" t="s">
        <v>5</v>
      </c>
      <c r="L467" s="2" t="s">
        <v>7</v>
      </c>
      <c r="M467" s="1" t="s">
        <v>5725</v>
      </c>
      <c r="N467" s="1" t="s">
        <v>5726</v>
      </c>
      <c r="O467" s="2" t="s">
        <v>734</v>
      </c>
      <c r="Q467" s="2" t="s">
        <v>11</v>
      </c>
      <c r="R467" s="2" t="s">
        <v>426</v>
      </c>
      <c r="S467" s="1" t="s">
        <v>5727</v>
      </c>
      <c r="T467" s="2" t="s">
        <v>520</v>
      </c>
      <c r="U467" s="3">
        <v>2</v>
      </c>
      <c r="V467" s="3">
        <v>2</v>
      </c>
      <c r="W467" s="4" t="s">
        <v>5728</v>
      </c>
      <c r="X467" s="4" t="s">
        <v>5728</v>
      </c>
      <c r="Y467" s="4" t="s">
        <v>168</v>
      </c>
      <c r="Z467" s="4" t="s">
        <v>168</v>
      </c>
      <c r="AA467" s="3">
        <v>97</v>
      </c>
      <c r="AB467" s="3">
        <v>88</v>
      </c>
      <c r="AC467" s="3">
        <v>91</v>
      </c>
      <c r="AD467" s="3">
        <v>3</v>
      </c>
      <c r="AE467" s="3">
        <v>3</v>
      </c>
      <c r="AF467" s="3">
        <v>5</v>
      </c>
      <c r="AG467" s="3">
        <v>5</v>
      </c>
      <c r="AH467" s="3">
        <v>1</v>
      </c>
      <c r="AI467" s="3">
        <v>1</v>
      </c>
      <c r="AJ467" s="3">
        <v>0</v>
      </c>
      <c r="AK467" s="3">
        <v>0</v>
      </c>
      <c r="AL467" s="3">
        <v>3</v>
      </c>
      <c r="AM467" s="3">
        <v>3</v>
      </c>
      <c r="AN467" s="3">
        <v>1</v>
      </c>
      <c r="AO467" s="3">
        <v>1</v>
      </c>
      <c r="AP467" s="3">
        <v>0</v>
      </c>
      <c r="AQ467" s="3">
        <v>0</v>
      </c>
      <c r="AR467" s="2" t="s">
        <v>5</v>
      </c>
      <c r="AS467" s="2" t="s">
        <v>16</v>
      </c>
      <c r="AT467" s="5" t="str">
        <f>HYPERLINK("http://catalog.hathitrust.org/Record/000203596","HathiTrust Record")</f>
        <v>HathiTrust Record</v>
      </c>
      <c r="AU467" s="5" t="str">
        <f>HYPERLINK("https://creighton-primo.hosted.exlibrisgroup.com/primo-explore/search?tab=default_tab&amp;search_scope=EVERYTHING&amp;vid=01CRU&amp;lang=en_US&amp;offset=0&amp;query=any,contains,991001042509702656","Catalog Record")</f>
        <v>Catalog Record</v>
      </c>
      <c r="AV467" s="5" t="str">
        <f>HYPERLINK("http://www.worldcat.org/oclc/10098080","WorldCat Record")</f>
        <v>WorldCat Record</v>
      </c>
      <c r="AW467" s="2" t="s">
        <v>5729</v>
      </c>
      <c r="AX467" s="2" t="s">
        <v>5730</v>
      </c>
      <c r="AY467" s="2" t="s">
        <v>5731</v>
      </c>
      <c r="AZ467" s="2" t="s">
        <v>5731</v>
      </c>
      <c r="BA467" s="2" t="s">
        <v>5732</v>
      </c>
      <c r="BB467" s="2" t="s">
        <v>21</v>
      </c>
      <c r="BE467" s="2" t="s">
        <v>5733</v>
      </c>
      <c r="BF467" s="2" t="s">
        <v>5734</v>
      </c>
    </row>
    <row r="468" spans="1:58" ht="41.25" customHeight="1" x14ac:dyDescent="0.25">
      <c r="A468" s="8" t="s">
        <v>5</v>
      </c>
      <c r="B468" s="1" t="s">
        <v>0</v>
      </c>
      <c r="C468" s="1" t="s">
        <v>1</v>
      </c>
      <c r="D468" s="1" t="s">
        <v>5735</v>
      </c>
      <c r="E468" s="1" t="s">
        <v>5736</v>
      </c>
      <c r="F468" s="1" t="s">
        <v>5737</v>
      </c>
      <c r="H468" s="2" t="s">
        <v>5</v>
      </c>
      <c r="I468" s="2" t="s">
        <v>6</v>
      </c>
      <c r="J468" s="2" t="s">
        <v>5</v>
      </c>
      <c r="K468" s="2" t="s">
        <v>5</v>
      </c>
      <c r="L468" s="2" t="s">
        <v>7</v>
      </c>
      <c r="M468" s="1" t="s">
        <v>5738</v>
      </c>
      <c r="N468" s="1" t="s">
        <v>5739</v>
      </c>
      <c r="O468" s="2" t="s">
        <v>3644</v>
      </c>
      <c r="Q468" s="2" t="s">
        <v>11</v>
      </c>
      <c r="R468" s="2" t="s">
        <v>12</v>
      </c>
      <c r="T468" s="2" t="s">
        <v>520</v>
      </c>
      <c r="U468" s="3">
        <v>1</v>
      </c>
      <c r="V468" s="3">
        <v>1</v>
      </c>
      <c r="W468" s="4" t="s">
        <v>5740</v>
      </c>
      <c r="X468" s="4" t="s">
        <v>5740</v>
      </c>
      <c r="Y468" s="4" t="s">
        <v>5741</v>
      </c>
      <c r="Z468" s="4" t="s">
        <v>5741</v>
      </c>
      <c r="AA468" s="3">
        <v>108</v>
      </c>
      <c r="AB468" s="3">
        <v>101</v>
      </c>
      <c r="AC468" s="3">
        <v>108</v>
      </c>
      <c r="AD468" s="3">
        <v>2</v>
      </c>
      <c r="AE468" s="3">
        <v>2</v>
      </c>
      <c r="AF468" s="3">
        <v>7</v>
      </c>
      <c r="AG468" s="3">
        <v>7</v>
      </c>
      <c r="AH468" s="3">
        <v>0</v>
      </c>
      <c r="AI468" s="3">
        <v>0</v>
      </c>
      <c r="AJ468" s="3">
        <v>2</v>
      </c>
      <c r="AK468" s="3">
        <v>2</v>
      </c>
      <c r="AL468" s="3">
        <v>4</v>
      </c>
      <c r="AM468" s="3">
        <v>4</v>
      </c>
      <c r="AN468" s="3">
        <v>1</v>
      </c>
      <c r="AO468" s="3">
        <v>1</v>
      </c>
      <c r="AP468" s="3">
        <v>0</v>
      </c>
      <c r="AQ468" s="3">
        <v>0</v>
      </c>
      <c r="AR468" s="2" t="s">
        <v>16</v>
      </c>
      <c r="AS468" s="2" t="s">
        <v>5</v>
      </c>
      <c r="AT468" s="5" t="str">
        <f>HYPERLINK("http://catalog.hathitrust.org/Record/001574567","HathiTrust Record")</f>
        <v>HathiTrust Record</v>
      </c>
      <c r="AU468" s="5" t="str">
        <f>HYPERLINK("https://creighton-primo.hosted.exlibrisgroup.com/primo-explore/search?tab=default_tab&amp;search_scope=EVERYTHING&amp;vid=01CRU&amp;lang=en_US&amp;offset=0&amp;query=any,contains,991000739879702656","Catalog Record")</f>
        <v>Catalog Record</v>
      </c>
      <c r="AV468" s="5" t="str">
        <f>HYPERLINK("http://www.worldcat.org/oclc/2004923","WorldCat Record")</f>
        <v>WorldCat Record</v>
      </c>
      <c r="AW468" s="2" t="s">
        <v>5742</v>
      </c>
      <c r="AX468" s="2" t="s">
        <v>5743</v>
      </c>
      <c r="AY468" s="2" t="s">
        <v>5744</v>
      </c>
      <c r="AZ468" s="2" t="s">
        <v>5744</v>
      </c>
      <c r="BA468" s="2" t="s">
        <v>5745</v>
      </c>
      <c r="BB468" s="2" t="s">
        <v>21</v>
      </c>
      <c r="BE468" s="2" t="s">
        <v>5746</v>
      </c>
      <c r="BF468" s="2" t="s">
        <v>5747</v>
      </c>
    </row>
    <row r="469" spans="1:58" ht="41.25" customHeight="1" x14ac:dyDescent="0.25">
      <c r="A469" s="8" t="s">
        <v>5</v>
      </c>
      <c r="B469" s="1" t="s">
        <v>0</v>
      </c>
      <c r="C469" s="1" t="s">
        <v>1</v>
      </c>
      <c r="D469" s="1" t="s">
        <v>5748</v>
      </c>
      <c r="E469" s="1" t="s">
        <v>5749</v>
      </c>
      <c r="F469" s="1" t="s">
        <v>5750</v>
      </c>
      <c r="H469" s="2" t="s">
        <v>5</v>
      </c>
      <c r="I469" s="2" t="s">
        <v>6</v>
      </c>
      <c r="J469" s="2" t="s">
        <v>5</v>
      </c>
      <c r="K469" s="2" t="s">
        <v>5</v>
      </c>
      <c r="L469" s="2" t="s">
        <v>7</v>
      </c>
      <c r="N469" s="1" t="s">
        <v>4236</v>
      </c>
      <c r="O469" s="2" t="s">
        <v>561</v>
      </c>
      <c r="Q469" s="2" t="s">
        <v>11</v>
      </c>
      <c r="R469" s="2" t="s">
        <v>12</v>
      </c>
      <c r="S469" s="1" t="s">
        <v>5751</v>
      </c>
      <c r="T469" s="2" t="s">
        <v>520</v>
      </c>
      <c r="U469" s="3">
        <v>2</v>
      </c>
      <c r="V469" s="3">
        <v>2</v>
      </c>
      <c r="W469" s="4" t="s">
        <v>1826</v>
      </c>
      <c r="X469" s="4" t="s">
        <v>1826</v>
      </c>
      <c r="Y469" s="4" t="s">
        <v>1827</v>
      </c>
      <c r="Z469" s="4" t="s">
        <v>1827</v>
      </c>
      <c r="AA469" s="3">
        <v>44</v>
      </c>
      <c r="AB469" s="3">
        <v>40</v>
      </c>
      <c r="AC469" s="3">
        <v>42</v>
      </c>
      <c r="AD469" s="3">
        <v>2</v>
      </c>
      <c r="AE469" s="3">
        <v>2</v>
      </c>
      <c r="AF469" s="3">
        <v>3</v>
      </c>
      <c r="AG469" s="3">
        <v>3</v>
      </c>
      <c r="AH469" s="3">
        <v>1</v>
      </c>
      <c r="AI469" s="3">
        <v>1</v>
      </c>
      <c r="AJ469" s="3">
        <v>0</v>
      </c>
      <c r="AK469" s="3">
        <v>0</v>
      </c>
      <c r="AL469" s="3">
        <v>2</v>
      </c>
      <c r="AM469" s="3">
        <v>2</v>
      </c>
      <c r="AN469" s="3">
        <v>0</v>
      </c>
      <c r="AO469" s="3">
        <v>0</v>
      </c>
      <c r="AP469" s="3">
        <v>0</v>
      </c>
      <c r="AQ469" s="3">
        <v>0</v>
      </c>
      <c r="AR469" s="2" t="s">
        <v>5</v>
      </c>
      <c r="AS469" s="2" t="s">
        <v>16</v>
      </c>
      <c r="AT469" s="5" t="str">
        <f>HYPERLINK("http://catalog.hathitrust.org/Record/001574598","HathiTrust Record")</f>
        <v>HathiTrust Record</v>
      </c>
      <c r="AU469" s="5" t="str">
        <f>HYPERLINK("https://creighton-primo.hosted.exlibrisgroup.com/primo-explore/search?tab=default_tab&amp;search_scope=EVERYTHING&amp;vid=01CRU&amp;lang=en_US&amp;offset=0&amp;query=any,contains,991001365269702656","Catalog Record")</f>
        <v>Catalog Record</v>
      </c>
      <c r="AV469" s="5" t="str">
        <f>HYPERLINK("http://www.worldcat.org/oclc/4296272","WorldCat Record")</f>
        <v>WorldCat Record</v>
      </c>
      <c r="AW469" s="2" t="s">
        <v>5752</v>
      </c>
      <c r="AX469" s="2" t="s">
        <v>5753</v>
      </c>
      <c r="AY469" s="2" t="s">
        <v>5754</v>
      </c>
      <c r="AZ469" s="2" t="s">
        <v>5754</v>
      </c>
      <c r="BA469" s="2" t="s">
        <v>5755</v>
      </c>
      <c r="BB469" s="2" t="s">
        <v>21</v>
      </c>
      <c r="BE469" s="2" t="s">
        <v>5756</v>
      </c>
      <c r="BF469" s="2" t="s">
        <v>5757</v>
      </c>
    </row>
    <row r="470" spans="1:58" ht="41.25" customHeight="1" x14ac:dyDescent="0.25">
      <c r="A470" s="8" t="s">
        <v>5</v>
      </c>
      <c r="B470" s="1" t="s">
        <v>0</v>
      </c>
      <c r="C470" s="1" t="s">
        <v>1</v>
      </c>
      <c r="D470" s="1" t="s">
        <v>5758</v>
      </c>
      <c r="E470" s="1" t="s">
        <v>5759</v>
      </c>
      <c r="F470" s="1" t="s">
        <v>5760</v>
      </c>
      <c r="H470" s="2" t="s">
        <v>5</v>
      </c>
      <c r="I470" s="2" t="s">
        <v>6</v>
      </c>
      <c r="J470" s="2" t="s">
        <v>5</v>
      </c>
      <c r="K470" s="2" t="s">
        <v>5</v>
      </c>
      <c r="L470" s="2" t="s">
        <v>7</v>
      </c>
      <c r="N470" s="1" t="s">
        <v>1985</v>
      </c>
      <c r="O470" s="2" t="s">
        <v>151</v>
      </c>
      <c r="Q470" s="2" t="s">
        <v>11</v>
      </c>
      <c r="R470" s="2" t="s">
        <v>12</v>
      </c>
      <c r="S470" s="1" t="s">
        <v>5761</v>
      </c>
      <c r="T470" s="2" t="s">
        <v>520</v>
      </c>
      <c r="U470" s="3">
        <v>1</v>
      </c>
      <c r="V470" s="3">
        <v>1</v>
      </c>
      <c r="W470" s="4" t="s">
        <v>3968</v>
      </c>
      <c r="X470" s="4" t="s">
        <v>3968</v>
      </c>
      <c r="Y470" s="4" t="s">
        <v>1591</v>
      </c>
      <c r="Z470" s="4" t="s">
        <v>1591</v>
      </c>
      <c r="AA470" s="3">
        <v>104</v>
      </c>
      <c r="AB470" s="3">
        <v>91</v>
      </c>
      <c r="AC470" s="3">
        <v>93</v>
      </c>
      <c r="AD470" s="3">
        <v>2</v>
      </c>
      <c r="AE470" s="3">
        <v>2</v>
      </c>
      <c r="AF470" s="3">
        <v>4</v>
      </c>
      <c r="AG470" s="3">
        <v>4</v>
      </c>
      <c r="AH470" s="3">
        <v>1</v>
      </c>
      <c r="AI470" s="3">
        <v>1</v>
      </c>
      <c r="AJ470" s="3">
        <v>0</v>
      </c>
      <c r="AK470" s="3">
        <v>0</v>
      </c>
      <c r="AL470" s="3">
        <v>2</v>
      </c>
      <c r="AM470" s="3">
        <v>2</v>
      </c>
      <c r="AN470" s="3">
        <v>1</v>
      </c>
      <c r="AO470" s="3">
        <v>1</v>
      </c>
      <c r="AP470" s="3">
        <v>0</v>
      </c>
      <c r="AQ470" s="3">
        <v>0</v>
      </c>
      <c r="AR470" s="2" t="s">
        <v>5</v>
      </c>
      <c r="AS470" s="2" t="s">
        <v>16</v>
      </c>
      <c r="AT470" s="5" t="str">
        <f>HYPERLINK("http://catalog.hathitrust.org/Record/000744661","HathiTrust Record")</f>
        <v>HathiTrust Record</v>
      </c>
      <c r="AU470" s="5" t="str">
        <f>HYPERLINK("https://creighton-primo.hosted.exlibrisgroup.com/primo-explore/search?tab=default_tab&amp;search_scope=EVERYTHING&amp;vid=01CRU&amp;lang=en_US&amp;offset=0&amp;query=any,contains,991001376319702656","Catalog Record")</f>
        <v>Catalog Record</v>
      </c>
      <c r="AV470" s="5" t="str">
        <f>HYPERLINK("http://www.worldcat.org/oclc/2454890","WorldCat Record")</f>
        <v>WorldCat Record</v>
      </c>
      <c r="AW470" s="2" t="s">
        <v>5762</v>
      </c>
      <c r="AX470" s="2" t="s">
        <v>5763</v>
      </c>
      <c r="AY470" s="2" t="s">
        <v>5764</v>
      </c>
      <c r="AZ470" s="2" t="s">
        <v>5764</v>
      </c>
      <c r="BA470" s="2" t="s">
        <v>5765</v>
      </c>
      <c r="BB470" s="2" t="s">
        <v>21</v>
      </c>
      <c r="BE470" s="2" t="s">
        <v>5766</v>
      </c>
      <c r="BF470" s="2" t="s">
        <v>5767</v>
      </c>
    </row>
    <row r="471" spans="1:58" ht="41.25" customHeight="1" x14ac:dyDescent="0.25">
      <c r="A471" s="8" t="s">
        <v>5</v>
      </c>
      <c r="B471" s="1" t="s">
        <v>0</v>
      </c>
      <c r="C471" s="1" t="s">
        <v>1</v>
      </c>
      <c r="D471" s="1" t="s">
        <v>5768</v>
      </c>
      <c r="E471" s="1" t="s">
        <v>5769</v>
      </c>
      <c r="F471" s="1" t="s">
        <v>5770</v>
      </c>
      <c r="H471" s="2" t="s">
        <v>5</v>
      </c>
      <c r="I471" s="2" t="s">
        <v>6</v>
      </c>
      <c r="J471" s="2" t="s">
        <v>5</v>
      </c>
      <c r="K471" s="2" t="s">
        <v>5</v>
      </c>
      <c r="L471" s="2" t="s">
        <v>7</v>
      </c>
      <c r="N471" s="1" t="s">
        <v>2887</v>
      </c>
      <c r="O471" s="2" t="s">
        <v>10</v>
      </c>
      <c r="Q471" s="2" t="s">
        <v>11</v>
      </c>
      <c r="R471" s="2" t="s">
        <v>12</v>
      </c>
      <c r="S471" s="1" t="s">
        <v>5771</v>
      </c>
      <c r="T471" s="2" t="s">
        <v>520</v>
      </c>
      <c r="U471" s="3">
        <v>1</v>
      </c>
      <c r="V471" s="3">
        <v>1</v>
      </c>
      <c r="W471" s="4" t="s">
        <v>2775</v>
      </c>
      <c r="X471" s="4" t="s">
        <v>2775</v>
      </c>
      <c r="Y471" s="4" t="s">
        <v>2632</v>
      </c>
      <c r="Z471" s="4" t="s">
        <v>2632</v>
      </c>
      <c r="AA471" s="3">
        <v>75</v>
      </c>
      <c r="AB471" s="3">
        <v>65</v>
      </c>
      <c r="AC471" s="3">
        <v>67</v>
      </c>
      <c r="AD471" s="3">
        <v>1</v>
      </c>
      <c r="AE471" s="3">
        <v>1</v>
      </c>
      <c r="AF471" s="3">
        <v>2</v>
      </c>
      <c r="AG471" s="3">
        <v>2</v>
      </c>
      <c r="AH471" s="3">
        <v>0</v>
      </c>
      <c r="AI471" s="3">
        <v>0</v>
      </c>
      <c r="AJ471" s="3">
        <v>0</v>
      </c>
      <c r="AK471" s="3">
        <v>0</v>
      </c>
      <c r="AL471" s="3">
        <v>2</v>
      </c>
      <c r="AM471" s="3">
        <v>2</v>
      </c>
      <c r="AN471" s="3">
        <v>0</v>
      </c>
      <c r="AO471" s="3">
        <v>0</v>
      </c>
      <c r="AP471" s="3">
        <v>0</v>
      </c>
      <c r="AQ471" s="3">
        <v>0</v>
      </c>
      <c r="AR471" s="2" t="s">
        <v>5</v>
      </c>
      <c r="AS471" s="2" t="s">
        <v>16</v>
      </c>
      <c r="AT471" s="5" t="str">
        <f>HYPERLINK("http://catalog.hathitrust.org/Record/001545321","HathiTrust Record")</f>
        <v>HathiTrust Record</v>
      </c>
      <c r="AU471" s="5" t="str">
        <f>HYPERLINK("https://creighton-primo.hosted.exlibrisgroup.com/primo-explore/search?tab=default_tab&amp;search_scope=EVERYTHING&amp;vid=01CRU&amp;lang=en_US&amp;offset=0&amp;query=any,contains,991001388139702656","Catalog Record")</f>
        <v>Catalog Record</v>
      </c>
      <c r="AV471" s="5" t="str">
        <f>HYPERLINK("http://www.worldcat.org/oclc/3441808","WorldCat Record")</f>
        <v>WorldCat Record</v>
      </c>
      <c r="AW471" s="2" t="s">
        <v>5772</v>
      </c>
      <c r="AX471" s="2" t="s">
        <v>5773</v>
      </c>
      <c r="AY471" s="2" t="s">
        <v>5774</v>
      </c>
      <c r="AZ471" s="2" t="s">
        <v>5774</v>
      </c>
      <c r="BA471" s="2" t="s">
        <v>5775</v>
      </c>
      <c r="BB471" s="2" t="s">
        <v>21</v>
      </c>
      <c r="BE471" s="2" t="s">
        <v>5776</v>
      </c>
      <c r="BF471" s="2" t="s">
        <v>5777</v>
      </c>
    </row>
    <row r="472" spans="1:58" ht="41.25" customHeight="1" x14ac:dyDescent="0.25">
      <c r="A472" s="8" t="s">
        <v>5</v>
      </c>
      <c r="B472" s="1" t="s">
        <v>0</v>
      </c>
      <c r="C472" s="1" t="s">
        <v>1</v>
      </c>
      <c r="D472" s="1" t="s">
        <v>5778</v>
      </c>
      <c r="E472" s="1" t="s">
        <v>5779</v>
      </c>
      <c r="F472" s="1" t="s">
        <v>5780</v>
      </c>
      <c r="H472" s="2" t="s">
        <v>5</v>
      </c>
      <c r="I472" s="2" t="s">
        <v>6</v>
      </c>
      <c r="J472" s="2" t="s">
        <v>5</v>
      </c>
      <c r="K472" s="2" t="s">
        <v>5</v>
      </c>
      <c r="L472" s="2" t="s">
        <v>7</v>
      </c>
      <c r="M472" s="1" t="s">
        <v>5781</v>
      </c>
      <c r="N472" s="1" t="s">
        <v>1220</v>
      </c>
      <c r="O472" s="2" t="s">
        <v>62</v>
      </c>
      <c r="Q472" s="2" t="s">
        <v>11</v>
      </c>
      <c r="R472" s="2" t="s">
        <v>12</v>
      </c>
      <c r="S472" s="1" t="s">
        <v>5782</v>
      </c>
      <c r="T472" s="2" t="s">
        <v>520</v>
      </c>
      <c r="U472" s="3">
        <v>1</v>
      </c>
      <c r="V472" s="3">
        <v>1</v>
      </c>
      <c r="W472" s="4" t="s">
        <v>2072</v>
      </c>
      <c r="X472" s="4" t="s">
        <v>2072</v>
      </c>
      <c r="Y472" s="4" t="s">
        <v>1591</v>
      </c>
      <c r="Z472" s="4" t="s">
        <v>1591</v>
      </c>
      <c r="AA472" s="3">
        <v>89</v>
      </c>
      <c r="AB472" s="3">
        <v>80</v>
      </c>
      <c r="AC472" s="3">
        <v>82</v>
      </c>
      <c r="AD472" s="3">
        <v>1</v>
      </c>
      <c r="AE472" s="3">
        <v>1</v>
      </c>
      <c r="AF472" s="3">
        <v>2</v>
      </c>
      <c r="AG472" s="3">
        <v>2</v>
      </c>
      <c r="AH472" s="3">
        <v>0</v>
      </c>
      <c r="AI472" s="3">
        <v>0</v>
      </c>
      <c r="AJ472" s="3">
        <v>0</v>
      </c>
      <c r="AK472" s="3">
        <v>0</v>
      </c>
      <c r="AL472" s="3">
        <v>2</v>
      </c>
      <c r="AM472" s="3">
        <v>2</v>
      </c>
      <c r="AN472" s="3">
        <v>0</v>
      </c>
      <c r="AO472" s="3">
        <v>0</v>
      </c>
      <c r="AP472" s="3">
        <v>0</v>
      </c>
      <c r="AQ472" s="3">
        <v>0</v>
      </c>
      <c r="AR472" s="2" t="s">
        <v>5</v>
      </c>
      <c r="AS472" s="2" t="s">
        <v>16</v>
      </c>
      <c r="AT472" s="5" t="str">
        <f>HYPERLINK("http://catalog.hathitrust.org/Record/000220701","HathiTrust Record")</f>
        <v>HathiTrust Record</v>
      </c>
      <c r="AU472" s="5" t="str">
        <f>HYPERLINK("https://creighton-primo.hosted.exlibrisgroup.com/primo-explore/search?tab=default_tab&amp;search_scope=EVERYTHING&amp;vid=01CRU&amp;lang=en_US&amp;offset=0&amp;query=any,contains,991001370879702656","Catalog Record")</f>
        <v>Catalog Record</v>
      </c>
      <c r="AV472" s="5" t="str">
        <f>HYPERLINK("http://www.worldcat.org/oclc/4443496","WorldCat Record")</f>
        <v>WorldCat Record</v>
      </c>
      <c r="AW472" s="2" t="s">
        <v>5783</v>
      </c>
      <c r="AX472" s="2" t="s">
        <v>5784</v>
      </c>
      <c r="AY472" s="2" t="s">
        <v>5785</v>
      </c>
      <c r="AZ472" s="2" t="s">
        <v>5785</v>
      </c>
      <c r="BA472" s="2" t="s">
        <v>5786</v>
      </c>
      <c r="BB472" s="2" t="s">
        <v>21</v>
      </c>
      <c r="BE472" s="2" t="s">
        <v>5787</v>
      </c>
      <c r="BF472" s="2" t="s">
        <v>5788</v>
      </c>
    </row>
    <row r="473" spans="1:58" ht="41.25" customHeight="1" x14ac:dyDescent="0.25">
      <c r="A473" s="8" t="s">
        <v>5</v>
      </c>
      <c r="B473" s="1" t="s">
        <v>0</v>
      </c>
      <c r="C473" s="1" t="s">
        <v>1</v>
      </c>
      <c r="D473" s="1" t="s">
        <v>5789</v>
      </c>
      <c r="E473" s="1" t="s">
        <v>5790</v>
      </c>
      <c r="F473" s="1" t="s">
        <v>5791</v>
      </c>
      <c r="H473" s="2" t="s">
        <v>5</v>
      </c>
      <c r="I473" s="2" t="s">
        <v>6</v>
      </c>
      <c r="J473" s="2" t="s">
        <v>5</v>
      </c>
      <c r="K473" s="2" t="s">
        <v>5</v>
      </c>
      <c r="L473" s="2" t="s">
        <v>7</v>
      </c>
      <c r="N473" s="1" t="s">
        <v>1220</v>
      </c>
      <c r="O473" s="2" t="s">
        <v>10</v>
      </c>
      <c r="Q473" s="2" t="s">
        <v>11</v>
      </c>
      <c r="R473" s="2" t="s">
        <v>12</v>
      </c>
      <c r="S473" s="1" t="s">
        <v>5792</v>
      </c>
      <c r="T473" s="2" t="s">
        <v>520</v>
      </c>
      <c r="U473" s="3">
        <v>2</v>
      </c>
      <c r="V473" s="3">
        <v>2</v>
      </c>
      <c r="W473" s="4" t="s">
        <v>2072</v>
      </c>
      <c r="X473" s="4" t="s">
        <v>2072</v>
      </c>
      <c r="Y473" s="4" t="s">
        <v>1591</v>
      </c>
      <c r="Z473" s="4" t="s">
        <v>1591</v>
      </c>
      <c r="AA473" s="3">
        <v>106</v>
      </c>
      <c r="AB473" s="3">
        <v>94</v>
      </c>
      <c r="AC473" s="3">
        <v>96</v>
      </c>
      <c r="AD473" s="3">
        <v>1</v>
      </c>
      <c r="AE473" s="3">
        <v>1</v>
      </c>
      <c r="AF473" s="3">
        <v>2</v>
      </c>
      <c r="AG473" s="3">
        <v>2</v>
      </c>
      <c r="AH473" s="3">
        <v>0</v>
      </c>
      <c r="AI473" s="3">
        <v>0</v>
      </c>
      <c r="AJ473" s="3">
        <v>0</v>
      </c>
      <c r="AK473" s="3">
        <v>0</v>
      </c>
      <c r="AL473" s="3">
        <v>2</v>
      </c>
      <c r="AM473" s="3">
        <v>2</v>
      </c>
      <c r="AN473" s="3">
        <v>0</v>
      </c>
      <c r="AO473" s="3">
        <v>0</v>
      </c>
      <c r="AP473" s="3">
        <v>0</v>
      </c>
      <c r="AQ473" s="3">
        <v>0</v>
      </c>
      <c r="AR473" s="2" t="s">
        <v>5</v>
      </c>
      <c r="AS473" s="2" t="s">
        <v>16</v>
      </c>
      <c r="AT473" s="5" t="str">
        <f>HYPERLINK("http://catalog.hathitrust.org/Record/000689970","HathiTrust Record")</f>
        <v>HathiTrust Record</v>
      </c>
      <c r="AU473" s="5" t="str">
        <f>HYPERLINK("https://creighton-primo.hosted.exlibrisgroup.com/primo-explore/search?tab=default_tab&amp;search_scope=EVERYTHING&amp;vid=01CRU&amp;lang=en_US&amp;offset=0&amp;query=any,contains,991001370799702656","Catalog Record")</f>
        <v>Catalog Record</v>
      </c>
      <c r="AV473" s="5" t="str">
        <f>HYPERLINK("http://www.worldcat.org/oclc/4468359","WorldCat Record")</f>
        <v>WorldCat Record</v>
      </c>
      <c r="AW473" s="2" t="s">
        <v>5793</v>
      </c>
      <c r="AX473" s="2" t="s">
        <v>5794</v>
      </c>
      <c r="AY473" s="2" t="s">
        <v>5795</v>
      </c>
      <c r="AZ473" s="2" t="s">
        <v>5795</v>
      </c>
      <c r="BA473" s="2" t="s">
        <v>5796</v>
      </c>
      <c r="BB473" s="2" t="s">
        <v>21</v>
      </c>
      <c r="BE473" s="2" t="s">
        <v>5797</v>
      </c>
      <c r="BF473" s="2" t="s">
        <v>5798</v>
      </c>
    </row>
    <row r="474" spans="1:58" ht="41.25" customHeight="1" x14ac:dyDescent="0.25">
      <c r="A474" s="8" t="s">
        <v>5</v>
      </c>
      <c r="B474" s="1" t="s">
        <v>0</v>
      </c>
      <c r="C474" s="1" t="s">
        <v>1</v>
      </c>
      <c r="D474" s="1" t="s">
        <v>5799</v>
      </c>
      <c r="E474" s="1" t="s">
        <v>5800</v>
      </c>
      <c r="F474" s="1" t="s">
        <v>5801</v>
      </c>
      <c r="H474" s="2" t="s">
        <v>5</v>
      </c>
      <c r="I474" s="2" t="s">
        <v>6</v>
      </c>
      <c r="J474" s="2" t="s">
        <v>5</v>
      </c>
      <c r="K474" s="2" t="s">
        <v>5</v>
      </c>
      <c r="L474" s="2" t="s">
        <v>7</v>
      </c>
      <c r="N474" s="1" t="s">
        <v>5802</v>
      </c>
      <c r="O474" s="2" t="s">
        <v>1441</v>
      </c>
      <c r="Q474" s="2" t="s">
        <v>11</v>
      </c>
      <c r="R474" s="2" t="s">
        <v>12</v>
      </c>
      <c r="S474" s="1" t="s">
        <v>5803</v>
      </c>
      <c r="T474" s="2" t="s">
        <v>520</v>
      </c>
      <c r="U474" s="3">
        <v>2</v>
      </c>
      <c r="V474" s="3">
        <v>2</v>
      </c>
      <c r="W474" s="4" t="s">
        <v>2072</v>
      </c>
      <c r="X474" s="4" t="s">
        <v>2072</v>
      </c>
      <c r="Y474" s="4" t="s">
        <v>1591</v>
      </c>
      <c r="Z474" s="4" t="s">
        <v>1591</v>
      </c>
      <c r="AA474" s="3">
        <v>66</v>
      </c>
      <c r="AB474" s="3">
        <v>62</v>
      </c>
      <c r="AC474" s="3">
        <v>64</v>
      </c>
      <c r="AD474" s="3">
        <v>1</v>
      </c>
      <c r="AE474" s="3">
        <v>1</v>
      </c>
      <c r="AF474" s="3">
        <v>4</v>
      </c>
      <c r="AG474" s="3">
        <v>4</v>
      </c>
      <c r="AH474" s="3">
        <v>1</v>
      </c>
      <c r="AI474" s="3">
        <v>1</v>
      </c>
      <c r="AJ474" s="3">
        <v>2</v>
      </c>
      <c r="AK474" s="3">
        <v>2</v>
      </c>
      <c r="AL474" s="3">
        <v>2</v>
      </c>
      <c r="AM474" s="3">
        <v>2</v>
      </c>
      <c r="AN474" s="3">
        <v>0</v>
      </c>
      <c r="AO474" s="3">
        <v>0</v>
      </c>
      <c r="AP474" s="3">
        <v>0</v>
      </c>
      <c r="AQ474" s="3">
        <v>0</v>
      </c>
      <c r="AR474" s="2" t="s">
        <v>5</v>
      </c>
      <c r="AS474" s="2" t="s">
        <v>16</v>
      </c>
      <c r="AT474" s="5" t="str">
        <f>HYPERLINK("http://catalog.hathitrust.org/Record/001574577","HathiTrust Record")</f>
        <v>HathiTrust Record</v>
      </c>
      <c r="AU474" s="5" t="str">
        <f>HYPERLINK("https://creighton-primo.hosted.exlibrisgroup.com/primo-explore/search?tab=default_tab&amp;search_scope=EVERYTHING&amp;vid=01CRU&amp;lang=en_US&amp;offset=0&amp;query=any,contains,991001376169702656","Catalog Record")</f>
        <v>Catalog Record</v>
      </c>
      <c r="AV474" s="5" t="str">
        <f>HYPERLINK("http://www.worldcat.org/oclc/3120126","WorldCat Record")</f>
        <v>WorldCat Record</v>
      </c>
      <c r="AW474" s="2" t="s">
        <v>5804</v>
      </c>
      <c r="AX474" s="2" t="s">
        <v>5805</v>
      </c>
      <c r="AY474" s="2" t="s">
        <v>5806</v>
      </c>
      <c r="AZ474" s="2" t="s">
        <v>5806</v>
      </c>
      <c r="BA474" s="2" t="s">
        <v>5807</v>
      </c>
      <c r="BB474" s="2" t="s">
        <v>21</v>
      </c>
      <c r="BE474" s="2" t="s">
        <v>5808</v>
      </c>
      <c r="BF474" s="2" t="s">
        <v>5809</v>
      </c>
    </row>
    <row r="475" spans="1:58" ht="41.25" customHeight="1" x14ac:dyDescent="0.25">
      <c r="A475" s="8" t="s">
        <v>5</v>
      </c>
      <c r="B475" s="1" t="s">
        <v>0</v>
      </c>
      <c r="C475" s="1" t="s">
        <v>1</v>
      </c>
      <c r="D475" s="1" t="s">
        <v>5810</v>
      </c>
      <c r="E475" s="1" t="s">
        <v>5811</v>
      </c>
      <c r="F475" s="1" t="s">
        <v>5812</v>
      </c>
      <c r="H475" s="2" t="s">
        <v>5</v>
      </c>
      <c r="I475" s="2" t="s">
        <v>6</v>
      </c>
      <c r="J475" s="2" t="s">
        <v>5</v>
      </c>
      <c r="K475" s="2" t="s">
        <v>5</v>
      </c>
      <c r="L475" s="2" t="s">
        <v>6</v>
      </c>
      <c r="M475" s="1" t="s">
        <v>5813</v>
      </c>
      <c r="N475" s="1" t="s">
        <v>5814</v>
      </c>
      <c r="O475" s="2" t="s">
        <v>1195</v>
      </c>
      <c r="Q475" s="2" t="s">
        <v>11</v>
      </c>
      <c r="R475" s="2" t="s">
        <v>12</v>
      </c>
      <c r="T475" s="2" t="s">
        <v>520</v>
      </c>
      <c r="U475" s="3">
        <v>0</v>
      </c>
      <c r="V475" s="3">
        <v>0</v>
      </c>
      <c r="W475" s="4" t="s">
        <v>5815</v>
      </c>
      <c r="X475" s="4" t="s">
        <v>5815</v>
      </c>
      <c r="Y475" s="4" t="s">
        <v>5816</v>
      </c>
      <c r="Z475" s="4" t="s">
        <v>5816</v>
      </c>
      <c r="AA475" s="3">
        <v>166</v>
      </c>
      <c r="AB475" s="3">
        <v>150</v>
      </c>
      <c r="AC475" s="3">
        <v>1163</v>
      </c>
      <c r="AD475" s="3">
        <v>1</v>
      </c>
      <c r="AE475" s="3">
        <v>14</v>
      </c>
      <c r="AF475" s="3">
        <v>4</v>
      </c>
      <c r="AG475" s="3">
        <v>43</v>
      </c>
      <c r="AH475" s="3">
        <v>2</v>
      </c>
      <c r="AI475" s="3">
        <v>14</v>
      </c>
      <c r="AJ475" s="3">
        <v>1</v>
      </c>
      <c r="AK475" s="3">
        <v>9</v>
      </c>
      <c r="AL475" s="3">
        <v>1</v>
      </c>
      <c r="AM475" s="3">
        <v>12</v>
      </c>
      <c r="AN475" s="3">
        <v>0</v>
      </c>
      <c r="AO475" s="3">
        <v>12</v>
      </c>
      <c r="AP475" s="3">
        <v>0</v>
      </c>
      <c r="AQ475" s="3">
        <v>2</v>
      </c>
      <c r="AR475" s="2" t="s">
        <v>5</v>
      </c>
      <c r="AS475" s="2" t="s">
        <v>16</v>
      </c>
      <c r="AT475" s="5" t="str">
        <f>HYPERLINK("http://catalog.hathitrust.org/Record/004134828","HathiTrust Record")</f>
        <v>HathiTrust Record</v>
      </c>
      <c r="AU475" s="5" t="str">
        <f>HYPERLINK("https://creighton-primo.hosted.exlibrisgroup.com/primo-explore/search?tab=default_tab&amp;search_scope=EVERYTHING&amp;vid=01CRU&amp;lang=en_US&amp;offset=0&amp;query=any,contains,991000359079702656","Catalog Record")</f>
        <v>Catalog Record</v>
      </c>
      <c r="AV475" s="5" t="str">
        <f>HYPERLINK("http://www.worldcat.org/oclc/44634317","WorldCat Record")</f>
        <v>WorldCat Record</v>
      </c>
      <c r="AW475" s="2" t="s">
        <v>5817</v>
      </c>
      <c r="AX475" s="2" t="s">
        <v>5818</v>
      </c>
      <c r="AY475" s="2" t="s">
        <v>5819</v>
      </c>
      <c r="AZ475" s="2" t="s">
        <v>5819</v>
      </c>
      <c r="BA475" s="2" t="s">
        <v>5820</v>
      </c>
      <c r="BB475" s="2" t="s">
        <v>21</v>
      </c>
      <c r="BD475" s="2" t="s">
        <v>5821</v>
      </c>
      <c r="BE475" s="2" t="s">
        <v>5822</v>
      </c>
      <c r="BF475" s="2" t="s">
        <v>5823</v>
      </c>
    </row>
    <row r="476" spans="1:58" ht="41.25" customHeight="1" x14ac:dyDescent="0.25">
      <c r="A476" s="8" t="s">
        <v>5</v>
      </c>
      <c r="B476" s="1" t="s">
        <v>0</v>
      </c>
      <c r="C476" s="1" t="s">
        <v>1</v>
      </c>
      <c r="D476" s="1" t="s">
        <v>5824</v>
      </c>
      <c r="E476" s="1" t="s">
        <v>5825</v>
      </c>
      <c r="F476" s="1" t="s">
        <v>5826</v>
      </c>
      <c r="H476" s="2" t="s">
        <v>5</v>
      </c>
      <c r="I476" s="2" t="s">
        <v>6</v>
      </c>
      <c r="J476" s="2" t="s">
        <v>5</v>
      </c>
      <c r="K476" s="2" t="s">
        <v>5</v>
      </c>
      <c r="L476" s="2" t="s">
        <v>7</v>
      </c>
      <c r="M476" s="1" t="s">
        <v>5827</v>
      </c>
      <c r="N476" s="1" t="s">
        <v>1220</v>
      </c>
      <c r="O476" s="2" t="s">
        <v>62</v>
      </c>
      <c r="Q476" s="2" t="s">
        <v>11</v>
      </c>
      <c r="R476" s="2" t="s">
        <v>12</v>
      </c>
      <c r="S476" s="1" t="s">
        <v>5828</v>
      </c>
      <c r="T476" s="2" t="s">
        <v>520</v>
      </c>
      <c r="U476" s="3">
        <v>2</v>
      </c>
      <c r="V476" s="3">
        <v>2</v>
      </c>
      <c r="W476" s="4" t="s">
        <v>1222</v>
      </c>
      <c r="X476" s="4" t="s">
        <v>1222</v>
      </c>
      <c r="Y476" s="4" t="s">
        <v>1223</v>
      </c>
      <c r="Z476" s="4" t="s">
        <v>1223</v>
      </c>
      <c r="AA476" s="3">
        <v>71</v>
      </c>
      <c r="AB476" s="3">
        <v>64</v>
      </c>
      <c r="AC476" s="3">
        <v>70</v>
      </c>
      <c r="AD476" s="3">
        <v>1</v>
      </c>
      <c r="AE476" s="3">
        <v>1</v>
      </c>
      <c r="AF476" s="3">
        <v>2</v>
      </c>
      <c r="AG476" s="3">
        <v>2</v>
      </c>
      <c r="AH476" s="3">
        <v>0</v>
      </c>
      <c r="AI476" s="3">
        <v>0</v>
      </c>
      <c r="AJ476" s="3">
        <v>0</v>
      </c>
      <c r="AK476" s="3">
        <v>0</v>
      </c>
      <c r="AL476" s="3">
        <v>2</v>
      </c>
      <c r="AM476" s="3">
        <v>2</v>
      </c>
      <c r="AN476" s="3">
        <v>0</v>
      </c>
      <c r="AO476" s="3">
        <v>0</v>
      </c>
      <c r="AP476" s="3">
        <v>0</v>
      </c>
      <c r="AQ476" s="3">
        <v>0</v>
      </c>
      <c r="AR476" s="2" t="s">
        <v>5</v>
      </c>
      <c r="AS476" s="2" t="s">
        <v>16</v>
      </c>
      <c r="AT476" s="5" t="str">
        <f>HYPERLINK("http://catalog.hathitrust.org/Record/000175980","HathiTrust Record")</f>
        <v>HathiTrust Record</v>
      </c>
      <c r="AU476" s="5" t="str">
        <f>HYPERLINK("https://creighton-primo.hosted.exlibrisgroup.com/primo-explore/search?tab=default_tab&amp;search_scope=EVERYTHING&amp;vid=01CRU&amp;lang=en_US&amp;offset=0&amp;query=any,contains,991001388519702656","Catalog Record")</f>
        <v>Catalog Record</v>
      </c>
      <c r="AV476" s="5" t="str">
        <f>HYPERLINK("http://www.worldcat.org/oclc/5102837","WorldCat Record")</f>
        <v>WorldCat Record</v>
      </c>
      <c r="AW476" s="2" t="s">
        <v>5829</v>
      </c>
      <c r="AX476" s="2" t="s">
        <v>5830</v>
      </c>
      <c r="AY476" s="2" t="s">
        <v>5831</v>
      </c>
      <c r="AZ476" s="2" t="s">
        <v>5831</v>
      </c>
      <c r="BA476" s="2" t="s">
        <v>5832</v>
      </c>
      <c r="BB476" s="2" t="s">
        <v>21</v>
      </c>
      <c r="BE476" s="2" t="s">
        <v>5833</v>
      </c>
      <c r="BF476" s="2" t="s">
        <v>5834</v>
      </c>
    </row>
    <row r="477" spans="1:58" ht="41.25" customHeight="1" x14ac:dyDescent="0.25">
      <c r="A477" s="8" t="s">
        <v>5</v>
      </c>
      <c r="B477" s="1" t="s">
        <v>0</v>
      </c>
      <c r="C477" s="1" t="s">
        <v>1</v>
      </c>
      <c r="D477" s="1" t="s">
        <v>5835</v>
      </c>
      <c r="E477" s="1" t="s">
        <v>5836</v>
      </c>
      <c r="F477" s="1" t="s">
        <v>5837</v>
      </c>
      <c r="H477" s="2" t="s">
        <v>5</v>
      </c>
      <c r="I477" s="2" t="s">
        <v>6</v>
      </c>
      <c r="J477" s="2" t="s">
        <v>5</v>
      </c>
      <c r="K477" s="2" t="s">
        <v>5</v>
      </c>
      <c r="L477" s="2" t="s">
        <v>7</v>
      </c>
      <c r="M477" s="1" t="s">
        <v>5838</v>
      </c>
      <c r="N477" s="1" t="s">
        <v>2887</v>
      </c>
      <c r="O477" s="2" t="s">
        <v>10</v>
      </c>
      <c r="Q477" s="2" t="s">
        <v>11</v>
      </c>
      <c r="R477" s="2" t="s">
        <v>12</v>
      </c>
      <c r="S477" s="1" t="s">
        <v>5839</v>
      </c>
      <c r="T477" s="2" t="s">
        <v>520</v>
      </c>
      <c r="U477" s="3">
        <v>2</v>
      </c>
      <c r="V477" s="3">
        <v>2</v>
      </c>
      <c r="W477" s="4" t="s">
        <v>1248</v>
      </c>
      <c r="X477" s="4" t="s">
        <v>1248</v>
      </c>
      <c r="Y477" s="4" t="s">
        <v>2425</v>
      </c>
      <c r="Z477" s="4" t="s">
        <v>2425</v>
      </c>
      <c r="AA477" s="3">
        <v>70</v>
      </c>
      <c r="AB477" s="3">
        <v>56</v>
      </c>
      <c r="AC477" s="3">
        <v>56</v>
      </c>
      <c r="AD477" s="3">
        <v>1</v>
      </c>
      <c r="AE477" s="3">
        <v>1</v>
      </c>
      <c r="AF477" s="3">
        <v>3</v>
      </c>
      <c r="AG477" s="3">
        <v>3</v>
      </c>
      <c r="AH477" s="3">
        <v>0</v>
      </c>
      <c r="AI477" s="3">
        <v>0</v>
      </c>
      <c r="AJ477" s="3">
        <v>0</v>
      </c>
      <c r="AK477" s="3">
        <v>0</v>
      </c>
      <c r="AL477" s="3">
        <v>3</v>
      </c>
      <c r="AM477" s="3">
        <v>3</v>
      </c>
      <c r="AN477" s="3">
        <v>0</v>
      </c>
      <c r="AO477" s="3">
        <v>0</v>
      </c>
      <c r="AP477" s="3">
        <v>0</v>
      </c>
      <c r="AQ477" s="3">
        <v>0</v>
      </c>
      <c r="AR477" s="2" t="s">
        <v>5</v>
      </c>
      <c r="AS477" s="2" t="s">
        <v>5</v>
      </c>
      <c r="AU477" s="5" t="str">
        <f>HYPERLINK("https://creighton-primo.hosted.exlibrisgroup.com/primo-explore/search?tab=default_tab&amp;search_scope=EVERYTHING&amp;vid=01CRU&amp;lang=en_US&amp;offset=0&amp;query=any,contains,991001370639702656","Catalog Record")</f>
        <v>Catalog Record</v>
      </c>
      <c r="AV477" s="5" t="str">
        <f>HYPERLINK("http://www.worldcat.org/oclc/3198384","WorldCat Record")</f>
        <v>WorldCat Record</v>
      </c>
      <c r="AW477" s="2" t="s">
        <v>5840</v>
      </c>
      <c r="AX477" s="2" t="s">
        <v>5841</v>
      </c>
      <c r="AY477" s="2" t="s">
        <v>5842</v>
      </c>
      <c r="AZ477" s="2" t="s">
        <v>5842</v>
      </c>
      <c r="BA477" s="2" t="s">
        <v>5843</v>
      </c>
      <c r="BB477" s="2" t="s">
        <v>21</v>
      </c>
      <c r="BE477" s="2" t="s">
        <v>5844</v>
      </c>
      <c r="BF477" s="2" t="s">
        <v>5845</v>
      </c>
    </row>
    <row r="478" spans="1:58" ht="41.25" customHeight="1" x14ac:dyDescent="0.25">
      <c r="A478" s="8" t="s">
        <v>5</v>
      </c>
      <c r="B478" s="1" t="s">
        <v>0</v>
      </c>
      <c r="C478" s="1" t="s">
        <v>1</v>
      </c>
      <c r="D478" s="1" t="s">
        <v>5846</v>
      </c>
      <c r="E478" s="1" t="s">
        <v>5847</v>
      </c>
      <c r="F478" s="1" t="s">
        <v>5848</v>
      </c>
      <c r="H478" s="2" t="s">
        <v>5</v>
      </c>
      <c r="I478" s="2" t="s">
        <v>6</v>
      </c>
      <c r="J478" s="2" t="s">
        <v>5</v>
      </c>
      <c r="K478" s="2" t="s">
        <v>5</v>
      </c>
      <c r="L478" s="2" t="s">
        <v>7</v>
      </c>
      <c r="N478" s="1" t="s">
        <v>5849</v>
      </c>
      <c r="O478" s="2" t="s">
        <v>1441</v>
      </c>
      <c r="Q478" s="2" t="s">
        <v>11</v>
      </c>
      <c r="R478" s="2" t="s">
        <v>426</v>
      </c>
      <c r="S478" s="1" t="s">
        <v>5850</v>
      </c>
      <c r="T478" s="2" t="s">
        <v>520</v>
      </c>
      <c r="U478" s="3">
        <v>2</v>
      </c>
      <c r="V478" s="3">
        <v>2</v>
      </c>
      <c r="W478" s="4" t="s">
        <v>2072</v>
      </c>
      <c r="X478" s="4" t="s">
        <v>2072</v>
      </c>
      <c r="Y478" s="4" t="s">
        <v>1591</v>
      </c>
      <c r="Z478" s="4" t="s">
        <v>1591</v>
      </c>
      <c r="AA478" s="3">
        <v>19</v>
      </c>
      <c r="AB478" s="3">
        <v>12</v>
      </c>
      <c r="AC478" s="3">
        <v>57</v>
      </c>
      <c r="AD478" s="3">
        <v>1</v>
      </c>
      <c r="AE478" s="3">
        <v>1</v>
      </c>
      <c r="AF478" s="3">
        <v>1</v>
      </c>
      <c r="AG478" s="3">
        <v>2</v>
      </c>
      <c r="AH478" s="3">
        <v>0</v>
      </c>
      <c r="AI478" s="3">
        <v>0</v>
      </c>
      <c r="AJ478" s="3">
        <v>0</v>
      </c>
      <c r="AK478" s="3">
        <v>0</v>
      </c>
      <c r="AL478" s="3">
        <v>1</v>
      </c>
      <c r="AM478" s="3">
        <v>2</v>
      </c>
      <c r="AN478" s="3">
        <v>0</v>
      </c>
      <c r="AO478" s="3">
        <v>0</v>
      </c>
      <c r="AP478" s="3">
        <v>0</v>
      </c>
      <c r="AQ478" s="3">
        <v>0</v>
      </c>
      <c r="AR478" s="2" t="s">
        <v>5</v>
      </c>
      <c r="AS478" s="2" t="s">
        <v>5</v>
      </c>
      <c r="AU478" s="5" t="str">
        <f>HYPERLINK("https://creighton-primo.hosted.exlibrisgroup.com/primo-explore/search?tab=default_tab&amp;search_scope=EVERYTHING&amp;vid=01CRU&amp;lang=en_US&amp;offset=0&amp;query=any,contains,991001376279702656","Catalog Record")</f>
        <v>Catalog Record</v>
      </c>
      <c r="AV478" s="5" t="str">
        <f>HYPERLINK("http://www.worldcat.org/oclc/14380735","WorldCat Record")</f>
        <v>WorldCat Record</v>
      </c>
      <c r="AW478" s="2" t="s">
        <v>5851</v>
      </c>
      <c r="AX478" s="2" t="s">
        <v>5852</v>
      </c>
      <c r="AY478" s="2" t="s">
        <v>5853</v>
      </c>
      <c r="AZ478" s="2" t="s">
        <v>5853</v>
      </c>
      <c r="BA478" s="2" t="s">
        <v>5854</v>
      </c>
      <c r="BB478" s="2" t="s">
        <v>21</v>
      </c>
      <c r="BE478" s="2" t="s">
        <v>5855</v>
      </c>
      <c r="BF478" s="2" t="s">
        <v>5856</v>
      </c>
    </row>
    <row r="479" spans="1:58" ht="41.25" customHeight="1" x14ac:dyDescent="0.25">
      <c r="A479" s="8" t="s">
        <v>5</v>
      </c>
      <c r="B479" s="1" t="s">
        <v>0</v>
      </c>
      <c r="C479" s="1" t="s">
        <v>1</v>
      </c>
      <c r="D479" s="1" t="s">
        <v>5857</v>
      </c>
      <c r="E479" s="1" t="s">
        <v>5858</v>
      </c>
      <c r="F479" s="1" t="s">
        <v>5859</v>
      </c>
      <c r="H479" s="2" t="s">
        <v>5</v>
      </c>
      <c r="I479" s="2" t="s">
        <v>6</v>
      </c>
      <c r="J479" s="2" t="s">
        <v>5</v>
      </c>
      <c r="K479" s="2" t="s">
        <v>5</v>
      </c>
      <c r="L479" s="2" t="s">
        <v>7</v>
      </c>
      <c r="N479" s="1" t="s">
        <v>1220</v>
      </c>
      <c r="O479" s="2" t="s">
        <v>10</v>
      </c>
      <c r="Q479" s="2" t="s">
        <v>11</v>
      </c>
      <c r="R479" s="2" t="s">
        <v>12</v>
      </c>
      <c r="S479" s="1" t="s">
        <v>5860</v>
      </c>
      <c r="T479" s="2" t="s">
        <v>520</v>
      </c>
      <c r="U479" s="3">
        <v>1</v>
      </c>
      <c r="V479" s="3">
        <v>1</v>
      </c>
      <c r="W479" s="4" t="s">
        <v>2072</v>
      </c>
      <c r="X479" s="4" t="s">
        <v>2072</v>
      </c>
      <c r="Y479" s="4" t="s">
        <v>1591</v>
      </c>
      <c r="Z479" s="4" t="s">
        <v>1591</v>
      </c>
      <c r="AA479" s="3">
        <v>88</v>
      </c>
      <c r="AB479" s="3">
        <v>78</v>
      </c>
      <c r="AC479" s="3">
        <v>80</v>
      </c>
      <c r="AD479" s="3">
        <v>1</v>
      </c>
      <c r="AE479" s="3">
        <v>1</v>
      </c>
      <c r="AF479" s="3">
        <v>2</v>
      </c>
      <c r="AG479" s="3">
        <v>2</v>
      </c>
      <c r="AH479" s="3">
        <v>0</v>
      </c>
      <c r="AI479" s="3">
        <v>0</v>
      </c>
      <c r="AJ479" s="3">
        <v>0</v>
      </c>
      <c r="AK479" s="3">
        <v>0</v>
      </c>
      <c r="AL479" s="3">
        <v>2</v>
      </c>
      <c r="AM479" s="3">
        <v>2</v>
      </c>
      <c r="AN479" s="3">
        <v>0</v>
      </c>
      <c r="AO479" s="3">
        <v>0</v>
      </c>
      <c r="AP479" s="3">
        <v>0</v>
      </c>
      <c r="AQ479" s="3">
        <v>0</v>
      </c>
      <c r="AR479" s="2" t="s">
        <v>5</v>
      </c>
      <c r="AS479" s="2" t="s">
        <v>16</v>
      </c>
      <c r="AT479" s="5" t="str">
        <f>HYPERLINK("http://catalog.hathitrust.org/Record/000701309","HathiTrust Record")</f>
        <v>HathiTrust Record</v>
      </c>
      <c r="AU479" s="5" t="str">
        <f>HYPERLINK("https://creighton-primo.hosted.exlibrisgroup.com/primo-explore/search?tab=default_tab&amp;search_scope=EVERYTHING&amp;vid=01CRU&amp;lang=en_US&amp;offset=0&amp;query=any,contains,991001376429702656","Catalog Record")</f>
        <v>Catalog Record</v>
      </c>
      <c r="AV479" s="5" t="str">
        <f>HYPERLINK("http://www.worldcat.org/oclc/4491319","WorldCat Record")</f>
        <v>WorldCat Record</v>
      </c>
      <c r="AW479" s="2" t="s">
        <v>5861</v>
      </c>
      <c r="AX479" s="2" t="s">
        <v>5862</v>
      </c>
      <c r="AY479" s="2" t="s">
        <v>5863</v>
      </c>
      <c r="AZ479" s="2" t="s">
        <v>5863</v>
      </c>
      <c r="BA479" s="2" t="s">
        <v>5864</v>
      </c>
      <c r="BB479" s="2" t="s">
        <v>21</v>
      </c>
      <c r="BE479" s="2" t="s">
        <v>5865</v>
      </c>
      <c r="BF479" s="2" t="s">
        <v>5866</v>
      </c>
    </row>
    <row r="480" spans="1:58" ht="41.25" customHeight="1" x14ac:dyDescent="0.25">
      <c r="A480" s="8" t="s">
        <v>5</v>
      </c>
      <c r="B480" s="1" t="s">
        <v>0</v>
      </c>
      <c r="C480" s="1" t="s">
        <v>1</v>
      </c>
      <c r="D480" s="1" t="s">
        <v>5867</v>
      </c>
      <c r="E480" s="1" t="s">
        <v>5868</v>
      </c>
      <c r="F480" s="1" t="s">
        <v>5869</v>
      </c>
      <c r="H480" s="2" t="s">
        <v>5</v>
      </c>
      <c r="I480" s="2" t="s">
        <v>6</v>
      </c>
      <c r="J480" s="2" t="s">
        <v>5</v>
      </c>
      <c r="K480" s="2" t="s">
        <v>5</v>
      </c>
      <c r="L480" s="2" t="s">
        <v>7</v>
      </c>
      <c r="N480" s="1" t="s">
        <v>1985</v>
      </c>
      <c r="O480" s="2" t="s">
        <v>151</v>
      </c>
      <c r="Q480" s="2" t="s">
        <v>11</v>
      </c>
      <c r="R480" s="2" t="s">
        <v>12</v>
      </c>
      <c r="S480" s="1" t="s">
        <v>5870</v>
      </c>
      <c r="T480" s="2" t="s">
        <v>520</v>
      </c>
      <c r="U480" s="3">
        <v>1</v>
      </c>
      <c r="V480" s="3">
        <v>1</v>
      </c>
      <c r="W480" s="4" t="s">
        <v>1405</v>
      </c>
      <c r="X480" s="4" t="s">
        <v>1405</v>
      </c>
      <c r="Y480" s="4" t="s">
        <v>2632</v>
      </c>
      <c r="Z480" s="4" t="s">
        <v>2632</v>
      </c>
      <c r="AA480" s="3">
        <v>97</v>
      </c>
      <c r="AB480" s="3">
        <v>87</v>
      </c>
      <c r="AC480" s="3">
        <v>89</v>
      </c>
      <c r="AD480" s="3">
        <v>2</v>
      </c>
      <c r="AE480" s="3">
        <v>2</v>
      </c>
      <c r="AF480" s="3">
        <v>4</v>
      </c>
      <c r="AG480" s="3">
        <v>4</v>
      </c>
      <c r="AH480" s="3">
        <v>0</v>
      </c>
      <c r="AI480" s="3">
        <v>0</v>
      </c>
      <c r="AJ480" s="3">
        <v>0</v>
      </c>
      <c r="AK480" s="3">
        <v>0</v>
      </c>
      <c r="AL480" s="3">
        <v>3</v>
      </c>
      <c r="AM480" s="3">
        <v>3</v>
      </c>
      <c r="AN480" s="3">
        <v>1</v>
      </c>
      <c r="AO480" s="3">
        <v>1</v>
      </c>
      <c r="AP480" s="3">
        <v>0</v>
      </c>
      <c r="AQ480" s="3">
        <v>0</v>
      </c>
      <c r="AR480" s="2" t="s">
        <v>5</v>
      </c>
      <c r="AS480" s="2" t="s">
        <v>16</v>
      </c>
      <c r="AT480" s="5" t="str">
        <f>HYPERLINK("http://catalog.hathitrust.org/Record/000746714","HathiTrust Record")</f>
        <v>HathiTrust Record</v>
      </c>
      <c r="AU480" s="5" t="str">
        <f>HYPERLINK("https://creighton-primo.hosted.exlibrisgroup.com/primo-explore/search?tab=default_tab&amp;search_scope=EVERYTHING&amp;vid=01CRU&amp;lang=en_US&amp;offset=0&amp;query=any,contains,991001387869702656","Catalog Record")</f>
        <v>Catalog Record</v>
      </c>
      <c r="AV480" s="5" t="str">
        <f>HYPERLINK("http://www.worldcat.org/oclc/2968328","WorldCat Record")</f>
        <v>WorldCat Record</v>
      </c>
      <c r="AW480" s="2" t="s">
        <v>5871</v>
      </c>
      <c r="AX480" s="2" t="s">
        <v>5872</v>
      </c>
      <c r="AY480" s="2" t="s">
        <v>5873</v>
      </c>
      <c r="AZ480" s="2" t="s">
        <v>5873</v>
      </c>
      <c r="BA480" s="2" t="s">
        <v>5874</v>
      </c>
      <c r="BB480" s="2" t="s">
        <v>21</v>
      </c>
      <c r="BE480" s="2" t="s">
        <v>5875</v>
      </c>
      <c r="BF480" s="2" t="s">
        <v>5876</v>
      </c>
    </row>
    <row r="481" spans="1:58" ht="41.25" customHeight="1" x14ac:dyDescent="0.25">
      <c r="A481" s="8" t="s">
        <v>5</v>
      </c>
      <c r="B481" s="1" t="s">
        <v>0</v>
      </c>
      <c r="C481" s="1" t="s">
        <v>1</v>
      </c>
      <c r="D481" s="1" t="s">
        <v>5877</v>
      </c>
      <c r="E481" s="1" t="s">
        <v>5878</v>
      </c>
      <c r="F481" s="1" t="s">
        <v>5879</v>
      </c>
      <c r="H481" s="2" t="s">
        <v>5</v>
      </c>
      <c r="I481" s="2" t="s">
        <v>6</v>
      </c>
      <c r="J481" s="2" t="s">
        <v>5</v>
      </c>
      <c r="K481" s="2" t="s">
        <v>5</v>
      </c>
      <c r="L481" s="2" t="s">
        <v>7</v>
      </c>
      <c r="N481" s="1" t="s">
        <v>2577</v>
      </c>
      <c r="O481" s="2" t="s">
        <v>92</v>
      </c>
      <c r="Q481" s="2" t="s">
        <v>11</v>
      </c>
      <c r="R481" s="2" t="s">
        <v>12</v>
      </c>
      <c r="S481" s="1" t="s">
        <v>5880</v>
      </c>
      <c r="T481" s="2" t="s">
        <v>520</v>
      </c>
      <c r="U481" s="3">
        <v>3</v>
      </c>
      <c r="V481" s="3">
        <v>3</v>
      </c>
      <c r="W481" s="4" t="s">
        <v>5881</v>
      </c>
      <c r="X481" s="4" t="s">
        <v>5881</v>
      </c>
      <c r="Y481" s="4" t="s">
        <v>1591</v>
      </c>
      <c r="Z481" s="4" t="s">
        <v>1591</v>
      </c>
      <c r="AA481" s="3">
        <v>111</v>
      </c>
      <c r="AB481" s="3">
        <v>99</v>
      </c>
      <c r="AC481" s="3">
        <v>103</v>
      </c>
      <c r="AD481" s="3">
        <v>2</v>
      </c>
      <c r="AE481" s="3">
        <v>2</v>
      </c>
      <c r="AF481" s="3">
        <v>4</v>
      </c>
      <c r="AG481" s="3">
        <v>4</v>
      </c>
      <c r="AH481" s="3">
        <v>0</v>
      </c>
      <c r="AI481" s="3">
        <v>0</v>
      </c>
      <c r="AJ481" s="3">
        <v>2</v>
      </c>
      <c r="AK481" s="3">
        <v>2</v>
      </c>
      <c r="AL481" s="3">
        <v>3</v>
      </c>
      <c r="AM481" s="3">
        <v>3</v>
      </c>
      <c r="AN481" s="3">
        <v>0</v>
      </c>
      <c r="AO481" s="3">
        <v>0</v>
      </c>
      <c r="AP481" s="3">
        <v>0</v>
      </c>
      <c r="AQ481" s="3">
        <v>0</v>
      </c>
      <c r="AR481" s="2" t="s">
        <v>5</v>
      </c>
      <c r="AS481" s="2" t="s">
        <v>16</v>
      </c>
      <c r="AT481" s="5" t="str">
        <f>HYPERLINK("http://catalog.hathitrust.org/Record/001943728","HathiTrust Record")</f>
        <v>HathiTrust Record</v>
      </c>
      <c r="AU481" s="5" t="str">
        <f>HYPERLINK("https://creighton-primo.hosted.exlibrisgroup.com/primo-explore/search?tab=default_tab&amp;search_scope=EVERYTHING&amp;vid=01CRU&amp;lang=en_US&amp;offset=0&amp;query=any,contains,991001376379702656","Catalog Record")</f>
        <v>Catalog Record</v>
      </c>
      <c r="AV481" s="5" t="str">
        <f>HYPERLINK("http://www.worldcat.org/oclc/28754728","WorldCat Record")</f>
        <v>WorldCat Record</v>
      </c>
      <c r="AW481" s="2" t="s">
        <v>5882</v>
      </c>
      <c r="AX481" s="2" t="s">
        <v>5883</v>
      </c>
      <c r="AY481" s="2" t="s">
        <v>5884</v>
      </c>
      <c r="AZ481" s="2" t="s">
        <v>5884</v>
      </c>
      <c r="BA481" s="2" t="s">
        <v>5885</v>
      </c>
      <c r="BB481" s="2" t="s">
        <v>21</v>
      </c>
      <c r="BE481" s="2" t="s">
        <v>5886</v>
      </c>
      <c r="BF481" s="2" t="s">
        <v>5887</v>
      </c>
    </row>
    <row r="482" spans="1:58" ht="41.25" customHeight="1" x14ac:dyDescent="0.25">
      <c r="A482" s="8" t="s">
        <v>5</v>
      </c>
      <c r="B482" s="1" t="s">
        <v>0</v>
      </c>
      <c r="C482" s="1" t="s">
        <v>1</v>
      </c>
      <c r="D482" s="1" t="s">
        <v>5888</v>
      </c>
      <c r="E482" s="1" t="s">
        <v>5889</v>
      </c>
      <c r="F482" s="1" t="s">
        <v>5890</v>
      </c>
      <c r="H482" s="2" t="s">
        <v>5</v>
      </c>
      <c r="I482" s="2" t="s">
        <v>6</v>
      </c>
      <c r="J482" s="2" t="s">
        <v>5</v>
      </c>
      <c r="K482" s="2" t="s">
        <v>5</v>
      </c>
      <c r="L482" s="2" t="s">
        <v>7</v>
      </c>
      <c r="M482" s="1" t="s">
        <v>5891</v>
      </c>
      <c r="N482" s="1" t="s">
        <v>1510</v>
      </c>
      <c r="O482" s="2" t="s">
        <v>546</v>
      </c>
      <c r="Q482" s="2" t="s">
        <v>11</v>
      </c>
      <c r="R482" s="2" t="s">
        <v>12</v>
      </c>
      <c r="S482" s="1" t="s">
        <v>5892</v>
      </c>
      <c r="T482" s="2" t="s">
        <v>520</v>
      </c>
      <c r="U482" s="3">
        <v>1</v>
      </c>
      <c r="V482" s="3">
        <v>1</v>
      </c>
      <c r="W482" s="4" t="s">
        <v>5893</v>
      </c>
      <c r="X482" s="4" t="s">
        <v>5893</v>
      </c>
      <c r="Y482" s="4" t="s">
        <v>604</v>
      </c>
      <c r="Z482" s="4" t="s">
        <v>604</v>
      </c>
      <c r="AA482" s="3">
        <v>319</v>
      </c>
      <c r="AB482" s="3">
        <v>250</v>
      </c>
      <c r="AC482" s="3">
        <v>252</v>
      </c>
      <c r="AD482" s="3">
        <v>1</v>
      </c>
      <c r="AE482" s="3">
        <v>1</v>
      </c>
      <c r="AF482" s="3">
        <v>19</v>
      </c>
      <c r="AG482" s="3">
        <v>19</v>
      </c>
      <c r="AH482" s="3">
        <v>10</v>
      </c>
      <c r="AI482" s="3">
        <v>10</v>
      </c>
      <c r="AJ482" s="3">
        <v>5</v>
      </c>
      <c r="AK482" s="3">
        <v>5</v>
      </c>
      <c r="AL482" s="3">
        <v>9</v>
      </c>
      <c r="AM482" s="3">
        <v>9</v>
      </c>
      <c r="AN482" s="3">
        <v>0</v>
      </c>
      <c r="AO482" s="3">
        <v>0</v>
      </c>
      <c r="AP482" s="3">
        <v>0</v>
      </c>
      <c r="AQ482" s="3">
        <v>0</v>
      </c>
      <c r="AR482" s="2" t="s">
        <v>5</v>
      </c>
      <c r="AS482" s="2" t="s">
        <v>16</v>
      </c>
      <c r="AT482" s="5" t="str">
        <f>HYPERLINK("http://catalog.hathitrust.org/Record/002810478","HathiTrust Record")</f>
        <v>HathiTrust Record</v>
      </c>
      <c r="AU482" s="5" t="str">
        <f>HYPERLINK("https://creighton-primo.hosted.exlibrisgroup.com/primo-explore/search?tab=default_tab&amp;search_scope=EVERYTHING&amp;vid=01CRU&amp;lang=en_US&amp;offset=0&amp;query=any,contains,991000246789702656","Catalog Record")</f>
        <v>Catalog Record</v>
      </c>
      <c r="AV482" s="5" t="str">
        <f>HYPERLINK("http://www.worldcat.org/oclc/29844031","WorldCat Record")</f>
        <v>WorldCat Record</v>
      </c>
      <c r="AW482" s="2" t="s">
        <v>5894</v>
      </c>
      <c r="AX482" s="2" t="s">
        <v>5895</v>
      </c>
      <c r="AY482" s="2" t="s">
        <v>5896</v>
      </c>
      <c r="AZ482" s="2" t="s">
        <v>5896</v>
      </c>
      <c r="BA482" s="2" t="s">
        <v>5897</v>
      </c>
      <c r="BB482" s="2" t="s">
        <v>21</v>
      </c>
      <c r="BD482" s="2" t="s">
        <v>5898</v>
      </c>
      <c r="BE482" s="2" t="s">
        <v>5899</v>
      </c>
      <c r="BF482" s="2" t="s">
        <v>5900</v>
      </c>
    </row>
    <row r="483" spans="1:58" ht="41.25" customHeight="1" x14ac:dyDescent="0.25">
      <c r="A483" s="8" t="s">
        <v>5</v>
      </c>
      <c r="B483" s="1" t="s">
        <v>0</v>
      </c>
      <c r="C483" s="1" t="s">
        <v>1</v>
      </c>
      <c r="D483" s="1" t="s">
        <v>5901</v>
      </c>
      <c r="E483" s="1" t="s">
        <v>5902</v>
      </c>
      <c r="F483" s="1" t="s">
        <v>5903</v>
      </c>
      <c r="H483" s="2" t="s">
        <v>5</v>
      </c>
      <c r="I483" s="2" t="s">
        <v>6</v>
      </c>
      <c r="J483" s="2" t="s">
        <v>5</v>
      </c>
      <c r="K483" s="2" t="s">
        <v>5</v>
      </c>
      <c r="L483" s="2" t="s">
        <v>7</v>
      </c>
      <c r="M483" s="1" t="s">
        <v>5904</v>
      </c>
      <c r="N483" s="1" t="s">
        <v>5905</v>
      </c>
      <c r="O483" s="2" t="s">
        <v>4853</v>
      </c>
      <c r="Q483" s="2" t="s">
        <v>11</v>
      </c>
      <c r="R483" s="2" t="s">
        <v>12</v>
      </c>
      <c r="T483" s="2" t="s">
        <v>520</v>
      </c>
      <c r="U483" s="3">
        <v>2</v>
      </c>
      <c r="V483" s="3">
        <v>2</v>
      </c>
      <c r="W483" s="4" t="s">
        <v>5906</v>
      </c>
      <c r="X483" s="4" t="s">
        <v>5906</v>
      </c>
      <c r="Y483" s="4" t="s">
        <v>168</v>
      </c>
      <c r="Z483" s="4" t="s">
        <v>168</v>
      </c>
      <c r="AA483" s="3">
        <v>281</v>
      </c>
      <c r="AB483" s="3">
        <v>238</v>
      </c>
      <c r="AC483" s="3">
        <v>460</v>
      </c>
      <c r="AD483" s="3">
        <v>2</v>
      </c>
      <c r="AE483" s="3">
        <v>4</v>
      </c>
      <c r="AF483" s="3">
        <v>11</v>
      </c>
      <c r="AG483" s="3">
        <v>20</v>
      </c>
      <c r="AH483" s="3">
        <v>3</v>
      </c>
      <c r="AI483" s="3">
        <v>9</v>
      </c>
      <c r="AJ483" s="3">
        <v>3</v>
      </c>
      <c r="AK483" s="3">
        <v>3</v>
      </c>
      <c r="AL483" s="3">
        <v>5</v>
      </c>
      <c r="AM483" s="3">
        <v>10</v>
      </c>
      <c r="AN483" s="3">
        <v>1</v>
      </c>
      <c r="AO483" s="3">
        <v>2</v>
      </c>
      <c r="AP483" s="3">
        <v>0</v>
      </c>
      <c r="AQ483" s="3">
        <v>0</v>
      </c>
      <c r="AR483" s="2" t="s">
        <v>5</v>
      </c>
      <c r="AS483" s="2" t="s">
        <v>16</v>
      </c>
      <c r="AT483" s="5" t="str">
        <f>HYPERLINK("http://catalog.hathitrust.org/Record/000010719","HathiTrust Record")</f>
        <v>HathiTrust Record</v>
      </c>
      <c r="AU483" s="5" t="str">
        <f>HYPERLINK("https://creighton-primo.hosted.exlibrisgroup.com/primo-explore/search?tab=default_tab&amp;search_scope=EVERYTHING&amp;vid=01CRU&amp;lang=en_US&amp;offset=0&amp;query=any,contains,991001042679702656","Catalog Record")</f>
        <v>Catalog Record</v>
      </c>
      <c r="AV483" s="5" t="str">
        <f>HYPERLINK("http://www.worldcat.org/oclc/739446","WorldCat Record")</f>
        <v>WorldCat Record</v>
      </c>
      <c r="AW483" s="2" t="s">
        <v>5907</v>
      </c>
      <c r="AX483" s="2" t="s">
        <v>5908</v>
      </c>
      <c r="AY483" s="2" t="s">
        <v>5909</v>
      </c>
      <c r="AZ483" s="2" t="s">
        <v>5909</v>
      </c>
      <c r="BA483" s="2" t="s">
        <v>5910</v>
      </c>
      <c r="BB483" s="2" t="s">
        <v>21</v>
      </c>
      <c r="BE483" s="2" t="s">
        <v>5911</v>
      </c>
      <c r="BF483" s="2" t="s">
        <v>5912</v>
      </c>
    </row>
    <row r="484" spans="1:58" ht="41.25" customHeight="1" x14ac:dyDescent="0.25">
      <c r="A484" s="8" t="s">
        <v>5</v>
      </c>
      <c r="B484" s="1" t="s">
        <v>0</v>
      </c>
      <c r="C484" s="1" t="s">
        <v>1</v>
      </c>
      <c r="D484" s="1" t="s">
        <v>5913</v>
      </c>
      <c r="E484" s="1" t="s">
        <v>5914</v>
      </c>
      <c r="F484" s="1" t="s">
        <v>5915</v>
      </c>
      <c r="H484" s="2" t="s">
        <v>5</v>
      </c>
      <c r="I484" s="2" t="s">
        <v>6</v>
      </c>
      <c r="J484" s="2" t="s">
        <v>5</v>
      </c>
      <c r="K484" s="2" t="s">
        <v>5</v>
      </c>
      <c r="L484" s="2" t="s">
        <v>7</v>
      </c>
      <c r="M484" s="1" t="s">
        <v>5904</v>
      </c>
      <c r="N484" s="1" t="s">
        <v>5916</v>
      </c>
      <c r="O484" s="2" t="s">
        <v>546</v>
      </c>
      <c r="Q484" s="2" t="s">
        <v>11</v>
      </c>
      <c r="R484" s="2" t="s">
        <v>12</v>
      </c>
      <c r="T484" s="2" t="s">
        <v>520</v>
      </c>
      <c r="U484" s="3">
        <v>10</v>
      </c>
      <c r="V484" s="3">
        <v>10</v>
      </c>
      <c r="W484" s="4" t="s">
        <v>5917</v>
      </c>
      <c r="X484" s="4" t="s">
        <v>5917</v>
      </c>
      <c r="Y484" s="4" t="s">
        <v>1429</v>
      </c>
      <c r="Z484" s="4" t="s">
        <v>1429</v>
      </c>
      <c r="AA484" s="3">
        <v>356</v>
      </c>
      <c r="AB484" s="3">
        <v>281</v>
      </c>
      <c r="AC484" s="3">
        <v>283</v>
      </c>
      <c r="AD484" s="3">
        <v>2</v>
      </c>
      <c r="AE484" s="3">
        <v>2</v>
      </c>
      <c r="AF484" s="3">
        <v>15</v>
      </c>
      <c r="AG484" s="3">
        <v>15</v>
      </c>
      <c r="AH484" s="3">
        <v>6</v>
      </c>
      <c r="AI484" s="3">
        <v>6</v>
      </c>
      <c r="AJ484" s="3">
        <v>4</v>
      </c>
      <c r="AK484" s="3">
        <v>4</v>
      </c>
      <c r="AL484" s="3">
        <v>8</v>
      </c>
      <c r="AM484" s="3">
        <v>8</v>
      </c>
      <c r="AN484" s="3">
        <v>1</v>
      </c>
      <c r="AO484" s="3">
        <v>1</v>
      </c>
      <c r="AP484" s="3">
        <v>0</v>
      </c>
      <c r="AQ484" s="3">
        <v>0</v>
      </c>
      <c r="AR484" s="2" t="s">
        <v>5</v>
      </c>
      <c r="AS484" s="2" t="s">
        <v>16</v>
      </c>
      <c r="AT484" s="5" t="str">
        <f>HYPERLINK("http://catalog.hathitrust.org/Record/002865552","HathiTrust Record")</f>
        <v>HathiTrust Record</v>
      </c>
      <c r="AU484" s="5" t="str">
        <f>HYPERLINK("https://creighton-primo.hosted.exlibrisgroup.com/primo-explore/search?tab=default_tab&amp;search_scope=EVERYTHING&amp;vid=01CRU&amp;lang=en_US&amp;offset=0&amp;query=any,contains,991000677469702656","Catalog Record")</f>
        <v>Catalog Record</v>
      </c>
      <c r="AV484" s="5" t="str">
        <f>HYPERLINK("http://www.worldcat.org/oclc/29911903","WorldCat Record")</f>
        <v>WorldCat Record</v>
      </c>
      <c r="AW484" s="2" t="s">
        <v>5918</v>
      </c>
      <c r="AX484" s="2" t="s">
        <v>5919</v>
      </c>
      <c r="AY484" s="2" t="s">
        <v>5920</v>
      </c>
      <c r="AZ484" s="2" t="s">
        <v>5920</v>
      </c>
      <c r="BA484" s="2" t="s">
        <v>5921</v>
      </c>
      <c r="BB484" s="2" t="s">
        <v>21</v>
      </c>
      <c r="BD484" s="2" t="s">
        <v>5922</v>
      </c>
      <c r="BE484" s="2" t="s">
        <v>5923</v>
      </c>
      <c r="BF484" s="2" t="s">
        <v>5924</v>
      </c>
    </row>
    <row r="485" spans="1:58" ht="41.25" customHeight="1" x14ac:dyDescent="0.25">
      <c r="A485" s="8" t="s">
        <v>5</v>
      </c>
      <c r="B485" s="1" t="s">
        <v>0</v>
      </c>
      <c r="C485" s="1" t="s">
        <v>1</v>
      </c>
      <c r="D485" s="1" t="s">
        <v>5925</v>
      </c>
      <c r="E485" s="1" t="s">
        <v>5926</v>
      </c>
      <c r="F485" s="1" t="s">
        <v>5927</v>
      </c>
      <c r="H485" s="2" t="s">
        <v>5</v>
      </c>
      <c r="I485" s="2" t="s">
        <v>6</v>
      </c>
      <c r="J485" s="2" t="s">
        <v>5</v>
      </c>
      <c r="K485" s="2" t="s">
        <v>5</v>
      </c>
      <c r="L485" s="2" t="s">
        <v>7</v>
      </c>
      <c r="M485" s="1" t="s">
        <v>5928</v>
      </c>
      <c r="N485" s="1" t="s">
        <v>5929</v>
      </c>
      <c r="O485" s="2" t="s">
        <v>393</v>
      </c>
      <c r="Q485" s="2" t="s">
        <v>11</v>
      </c>
      <c r="R485" s="2" t="s">
        <v>426</v>
      </c>
      <c r="T485" s="2" t="s">
        <v>520</v>
      </c>
      <c r="U485" s="3">
        <v>1</v>
      </c>
      <c r="V485" s="3">
        <v>1</v>
      </c>
      <c r="W485" s="4" t="s">
        <v>5930</v>
      </c>
      <c r="X485" s="4" t="s">
        <v>5930</v>
      </c>
      <c r="Y485" s="4" t="s">
        <v>168</v>
      </c>
      <c r="Z485" s="4" t="s">
        <v>168</v>
      </c>
      <c r="AA485" s="3">
        <v>216</v>
      </c>
      <c r="AB485" s="3">
        <v>160</v>
      </c>
      <c r="AC485" s="3">
        <v>162</v>
      </c>
      <c r="AD485" s="3">
        <v>3</v>
      </c>
      <c r="AE485" s="3">
        <v>3</v>
      </c>
      <c r="AF485" s="3">
        <v>5</v>
      </c>
      <c r="AG485" s="3">
        <v>5</v>
      </c>
      <c r="AH485" s="3">
        <v>1</v>
      </c>
      <c r="AI485" s="3">
        <v>1</v>
      </c>
      <c r="AJ485" s="3">
        <v>0</v>
      </c>
      <c r="AK485" s="3">
        <v>0</v>
      </c>
      <c r="AL485" s="3">
        <v>2</v>
      </c>
      <c r="AM485" s="3">
        <v>2</v>
      </c>
      <c r="AN485" s="3">
        <v>2</v>
      </c>
      <c r="AO485" s="3">
        <v>2</v>
      </c>
      <c r="AP485" s="3">
        <v>0</v>
      </c>
      <c r="AQ485" s="3">
        <v>0</v>
      </c>
      <c r="AR485" s="2" t="s">
        <v>5</v>
      </c>
      <c r="AS485" s="2" t="s">
        <v>16</v>
      </c>
      <c r="AT485" s="5" t="str">
        <f>HYPERLINK("http://catalog.hathitrust.org/Record/000265512","HathiTrust Record")</f>
        <v>HathiTrust Record</v>
      </c>
      <c r="AU485" s="5" t="str">
        <f>HYPERLINK("https://creighton-primo.hosted.exlibrisgroup.com/primo-explore/search?tab=default_tab&amp;search_scope=EVERYTHING&amp;vid=01CRU&amp;lang=en_US&amp;offset=0&amp;query=any,contains,991001042759702656","Catalog Record")</f>
        <v>Catalog Record</v>
      </c>
      <c r="AV485" s="5" t="str">
        <f>HYPERLINK("http://www.worldcat.org/oclc/6420884","WorldCat Record")</f>
        <v>WorldCat Record</v>
      </c>
      <c r="AW485" s="2" t="s">
        <v>5931</v>
      </c>
      <c r="AX485" s="2" t="s">
        <v>5932</v>
      </c>
      <c r="AY485" s="2" t="s">
        <v>5933</v>
      </c>
      <c r="AZ485" s="2" t="s">
        <v>5933</v>
      </c>
      <c r="BA485" s="2" t="s">
        <v>5934</v>
      </c>
      <c r="BB485" s="2" t="s">
        <v>21</v>
      </c>
      <c r="BD485" s="2" t="s">
        <v>5935</v>
      </c>
      <c r="BE485" s="2" t="s">
        <v>5936</v>
      </c>
      <c r="BF485" s="2" t="s">
        <v>5937</v>
      </c>
    </row>
    <row r="486" spans="1:58" ht="41.25" customHeight="1" x14ac:dyDescent="0.25">
      <c r="A486" s="8" t="s">
        <v>5</v>
      </c>
      <c r="B486" s="1" t="s">
        <v>0</v>
      </c>
      <c r="C486" s="1" t="s">
        <v>1</v>
      </c>
      <c r="D486" s="1" t="s">
        <v>5938</v>
      </c>
      <c r="E486" s="1" t="s">
        <v>5939</v>
      </c>
      <c r="F486" s="1" t="s">
        <v>5940</v>
      </c>
      <c r="H486" s="2" t="s">
        <v>5</v>
      </c>
      <c r="I486" s="2" t="s">
        <v>6</v>
      </c>
      <c r="J486" s="2" t="s">
        <v>5</v>
      </c>
      <c r="K486" s="2" t="s">
        <v>5</v>
      </c>
      <c r="L486" s="2" t="s">
        <v>6</v>
      </c>
      <c r="N486" s="1" t="s">
        <v>5941</v>
      </c>
      <c r="O486" s="2" t="s">
        <v>1378</v>
      </c>
      <c r="P486" s="1" t="s">
        <v>211</v>
      </c>
      <c r="Q486" s="2" t="s">
        <v>11</v>
      </c>
      <c r="R486" s="2" t="s">
        <v>1019</v>
      </c>
      <c r="T486" s="2" t="s">
        <v>520</v>
      </c>
      <c r="U486" s="3">
        <v>8</v>
      </c>
      <c r="V486" s="3">
        <v>8</v>
      </c>
      <c r="W486" s="4" t="s">
        <v>5942</v>
      </c>
      <c r="X486" s="4" t="s">
        <v>5942</v>
      </c>
      <c r="Y486" s="4" t="s">
        <v>5943</v>
      </c>
      <c r="Z486" s="4" t="s">
        <v>5943</v>
      </c>
      <c r="AA486" s="3">
        <v>301</v>
      </c>
      <c r="AB486" s="3">
        <v>207</v>
      </c>
      <c r="AC486" s="3">
        <v>1076</v>
      </c>
      <c r="AD486" s="3">
        <v>2</v>
      </c>
      <c r="AE486" s="3">
        <v>14</v>
      </c>
      <c r="AF486" s="3">
        <v>14</v>
      </c>
      <c r="AG486" s="3">
        <v>41</v>
      </c>
      <c r="AH486" s="3">
        <v>3</v>
      </c>
      <c r="AI486" s="3">
        <v>13</v>
      </c>
      <c r="AJ486" s="3">
        <v>5</v>
      </c>
      <c r="AK486" s="3">
        <v>7</v>
      </c>
      <c r="AL486" s="3">
        <v>8</v>
      </c>
      <c r="AM486" s="3">
        <v>16</v>
      </c>
      <c r="AN486" s="3">
        <v>1</v>
      </c>
      <c r="AO486" s="3">
        <v>12</v>
      </c>
      <c r="AP486" s="3">
        <v>0</v>
      </c>
      <c r="AQ486" s="3">
        <v>1</v>
      </c>
      <c r="AR486" s="2" t="s">
        <v>5</v>
      </c>
      <c r="AS486" s="2" t="s">
        <v>16</v>
      </c>
      <c r="AT486" s="5" t="str">
        <f>HYPERLINK("http://catalog.hathitrust.org/Record/003246358","HathiTrust Record")</f>
        <v>HathiTrust Record</v>
      </c>
      <c r="AU486" s="5" t="str">
        <f>HYPERLINK("https://creighton-primo.hosted.exlibrisgroup.com/primo-explore/search?tab=default_tab&amp;search_scope=EVERYTHING&amp;vid=01CRU&amp;lang=en_US&amp;offset=0&amp;query=any,contains,991001549939702656","Catalog Record")</f>
        <v>Catalog Record</v>
      </c>
      <c r="AV486" s="5" t="str">
        <f>HYPERLINK("http://www.worldcat.org/oclc/37594182","WorldCat Record")</f>
        <v>WorldCat Record</v>
      </c>
      <c r="AW486" s="2" t="s">
        <v>5944</v>
      </c>
      <c r="AX486" s="2" t="s">
        <v>5945</v>
      </c>
      <c r="AY486" s="2" t="s">
        <v>5946</v>
      </c>
      <c r="AZ486" s="2" t="s">
        <v>5946</v>
      </c>
      <c r="BA486" s="2" t="s">
        <v>5947</v>
      </c>
      <c r="BB486" s="2" t="s">
        <v>21</v>
      </c>
      <c r="BD486" s="2" t="s">
        <v>5948</v>
      </c>
      <c r="BE486" s="2" t="s">
        <v>5949</v>
      </c>
      <c r="BF486" s="2" t="s">
        <v>5950</v>
      </c>
    </row>
    <row r="487" spans="1:58" ht="41.25" customHeight="1" x14ac:dyDescent="0.25">
      <c r="A487" s="8" t="s">
        <v>5</v>
      </c>
      <c r="B487" s="1" t="s">
        <v>0</v>
      </c>
      <c r="C487" s="1" t="s">
        <v>1</v>
      </c>
      <c r="D487" s="1" t="s">
        <v>5951</v>
      </c>
      <c r="E487" s="1" t="s">
        <v>5952</v>
      </c>
      <c r="F487" s="1" t="s">
        <v>5953</v>
      </c>
      <c r="H487" s="2" t="s">
        <v>5</v>
      </c>
      <c r="I487" s="2" t="s">
        <v>6</v>
      </c>
      <c r="J487" s="2" t="s">
        <v>5</v>
      </c>
      <c r="K487" s="2" t="s">
        <v>5</v>
      </c>
      <c r="L487" s="2" t="s">
        <v>7</v>
      </c>
      <c r="M487" s="1" t="s">
        <v>5954</v>
      </c>
      <c r="N487" s="1" t="s">
        <v>5955</v>
      </c>
      <c r="O487" s="2" t="s">
        <v>1441</v>
      </c>
      <c r="Q487" s="2" t="s">
        <v>11</v>
      </c>
      <c r="R487" s="2" t="s">
        <v>426</v>
      </c>
      <c r="S487" s="1" t="s">
        <v>5956</v>
      </c>
      <c r="T487" s="2" t="s">
        <v>520</v>
      </c>
      <c r="U487" s="3">
        <v>2</v>
      </c>
      <c r="V487" s="3">
        <v>2</v>
      </c>
      <c r="W487" s="4" t="s">
        <v>5930</v>
      </c>
      <c r="X487" s="4" t="s">
        <v>5930</v>
      </c>
      <c r="Y487" s="4" t="s">
        <v>5957</v>
      </c>
      <c r="Z487" s="4" t="s">
        <v>5957</v>
      </c>
      <c r="AA487" s="3">
        <v>21</v>
      </c>
      <c r="AB487" s="3">
        <v>21</v>
      </c>
      <c r="AC487" s="3">
        <v>69</v>
      </c>
      <c r="AD487" s="3">
        <v>1</v>
      </c>
      <c r="AE487" s="3">
        <v>1</v>
      </c>
      <c r="AF487" s="3">
        <v>2</v>
      </c>
      <c r="AG487" s="3">
        <v>5</v>
      </c>
      <c r="AH487" s="3">
        <v>0</v>
      </c>
      <c r="AI487" s="3">
        <v>1</v>
      </c>
      <c r="AJ487" s="3">
        <v>1</v>
      </c>
      <c r="AK487" s="3">
        <v>1</v>
      </c>
      <c r="AL487" s="3">
        <v>1</v>
      </c>
      <c r="AM487" s="3">
        <v>3</v>
      </c>
      <c r="AN487" s="3">
        <v>0</v>
      </c>
      <c r="AO487" s="3">
        <v>0</v>
      </c>
      <c r="AP487" s="3">
        <v>0</v>
      </c>
      <c r="AQ487" s="3">
        <v>0</v>
      </c>
      <c r="AR487" s="2" t="s">
        <v>5</v>
      </c>
      <c r="AS487" s="2" t="s">
        <v>5</v>
      </c>
      <c r="AU487" s="5" t="str">
        <f>HYPERLINK("https://creighton-primo.hosted.exlibrisgroup.com/primo-explore/search?tab=default_tab&amp;search_scope=EVERYTHING&amp;vid=01CRU&amp;lang=en_US&amp;offset=0&amp;query=any,contains,991001520739702656","Catalog Record")</f>
        <v>Catalog Record</v>
      </c>
      <c r="AV487" s="5" t="str">
        <f>HYPERLINK("http://www.worldcat.org/oclc/5262628","WorldCat Record")</f>
        <v>WorldCat Record</v>
      </c>
      <c r="AW487" s="2" t="s">
        <v>5958</v>
      </c>
      <c r="AX487" s="2" t="s">
        <v>5959</v>
      </c>
      <c r="AY487" s="2" t="s">
        <v>5960</v>
      </c>
      <c r="AZ487" s="2" t="s">
        <v>5960</v>
      </c>
      <c r="BA487" s="2" t="s">
        <v>5961</v>
      </c>
      <c r="BB487" s="2" t="s">
        <v>21</v>
      </c>
      <c r="BE487" s="2" t="s">
        <v>5962</v>
      </c>
      <c r="BF487" s="2" t="s">
        <v>5963</v>
      </c>
    </row>
    <row r="488" spans="1:58" ht="41.25" customHeight="1" x14ac:dyDescent="0.25">
      <c r="A488" s="8" t="s">
        <v>5</v>
      </c>
      <c r="B488" s="1" t="s">
        <v>0</v>
      </c>
      <c r="C488" s="1" t="s">
        <v>1</v>
      </c>
      <c r="D488" s="1" t="s">
        <v>5964</v>
      </c>
      <c r="E488" s="1" t="s">
        <v>5965</v>
      </c>
      <c r="F488" s="1" t="s">
        <v>5966</v>
      </c>
      <c r="H488" s="2" t="s">
        <v>5</v>
      </c>
      <c r="I488" s="2" t="s">
        <v>6</v>
      </c>
      <c r="J488" s="2" t="s">
        <v>5</v>
      </c>
      <c r="K488" s="2" t="s">
        <v>5</v>
      </c>
      <c r="L488" s="2" t="s">
        <v>7</v>
      </c>
      <c r="N488" s="1" t="s">
        <v>5967</v>
      </c>
      <c r="O488" s="2" t="s">
        <v>393</v>
      </c>
      <c r="Q488" s="2" t="s">
        <v>11</v>
      </c>
      <c r="R488" s="2" t="s">
        <v>31</v>
      </c>
      <c r="S488" s="1" t="s">
        <v>5968</v>
      </c>
      <c r="T488" s="2" t="s">
        <v>520</v>
      </c>
      <c r="U488" s="3">
        <v>3</v>
      </c>
      <c r="V488" s="3">
        <v>3</v>
      </c>
      <c r="W488" s="4" t="s">
        <v>3968</v>
      </c>
      <c r="X488" s="4" t="s">
        <v>3968</v>
      </c>
      <c r="Y488" s="4" t="s">
        <v>1105</v>
      </c>
      <c r="Z488" s="4" t="s">
        <v>1105</v>
      </c>
      <c r="AA488" s="3">
        <v>16</v>
      </c>
      <c r="AB488" s="3">
        <v>14</v>
      </c>
      <c r="AC488" s="3">
        <v>15</v>
      </c>
      <c r="AD488" s="3">
        <v>1</v>
      </c>
      <c r="AE488" s="3">
        <v>1</v>
      </c>
      <c r="AF488" s="3">
        <v>0</v>
      </c>
      <c r="AG488" s="3">
        <v>0</v>
      </c>
      <c r="AH488" s="3">
        <v>0</v>
      </c>
      <c r="AI488" s="3">
        <v>0</v>
      </c>
      <c r="AJ488" s="3">
        <v>0</v>
      </c>
      <c r="AK488" s="3">
        <v>0</v>
      </c>
      <c r="AL488" s="3">
        <v>0</v>
      </c>
      <c r="AM488" s="3">
        <v>0</v>
      </c>
      <c r="AN488" s="3">
        <v>0</v>
      </c>
      <c r="AO488" s="3">
        <v>0</v>
      </c>
      <c r="AP488" s="3">
        <v>0</v>
      </c>
      <c r="AQ488" s="3">
        <v>0</v>
      </c>
      <c r="AR488" s="2" t="s">
        <v>5</v>
      </c>
      <c r="AS488" s="2" t="s">
        <v>5</v>
      </c>
      <c r="AU488" s="5" t="str">
        <f>HYPERLINK("https://creighton-primo.hosted.exlibrisgroup.com/primo-explore/search?tab=default_tab&amp;search_scope=EVERYTHING&amp;vid=01CRU&amp;lang=en_US&amp;offset=0&amp;query=any,contains,991001519739702656","Catalog Record")</f>
        <v>Catalog Record</v>
      </c>
      <c r="AV488" s="5" t="str">
        <f>HYPERLINK("http://www.worldcat.org/oclc/8134214","WorldCat Record")</f>
        <v>WorldCat Record</v>
      </c>
      <c r="AW488" s="2" t="s">
        <v>5969</v>
      </c>
      <c r="AX488" s="2" t="s">
        <v>5970</v>
      </c>
      <c r="AY488" s="2" t="s">
        <v>5971</v>
      </c>
      <c r="AZ488" s="2" t="s">
        <v>5971</v>
      </c>
      <c r="BA488" s="2" t="s">
        <v>5972</v>
      </c>
      <c r="BB488" s="2" t="s">
        <v>21</v>
      </c>
      <c r="BE488" s="2" t="s">
        <v>5973</v>
      </c>
      <c r="BF488" s="2" t="s">
        <v>5974</v>
      </c>
    </row>
    <row r="489" spans="1:58" ht="41.25" customHeight="1" x14ac:dyDescent="0.25">
      <c r="A489" s="8" t="s">
        <v>5</v>
      </c>
      <c r="B489" s="1" t="s">
        <v>0</v>
      </c>
      <c r="C489" s="1" t="s">
        <v>1</v>
      </c>
      <c r="D489" s="1" t="s">
        <v>5975</v>
      </c>
      <c r="E489" s="1" t="s">
        <v>5976</v>
      </c>
      <c r="F489" s="1" t="s">
        <v>5977</v>
      </c>
      <c r="H489" s="2" t="s">
        <v>5</v>
      </c>
      <c r="I489" s="2" t="s">
        <v>6</v>
      </c>
      <c r="J489" s="2" t="s">
        <v>5</v>
      </c>
      <c r="K489" s="2" t="s">
        <v>5</v>
      </c>
      <c r="L489" s="2" t="s">
        <v>7</v>
      </c>
      <c r="N489" s="1" t="s">
        <v>2127</v>
      </c>
      <c r="O489" s="2" t="s">
        <v>794</v>
      </c>
      <c r="Q489" s="2" t="s">
        <v>11</v>
      </c>
      <c r="R489" s="2" t="s">
        <v>12</v>
      </c>
      <c r="S489" s="1" t="s">
        <v>5978</v>
      </c>
      <c r="T489" s="2" t="s">
        <v>520</v>
      </c>
      <c r="U489" s="3">
        <v>6</v>
      </c>
      <c r="V489" s="3">
        <v>6</v>
      </c>
      <c r="W489" s="4" t="s">
        <v>5942</v>
      </c>
      <c r="X489" s="4" t="s">
        <v>5942</v>
      </c>
      <c r="Y489" s="4" t="s">
        <v>604</v>
      </c>
      <c r="Z489" s="4" t="s">
        <v>604</v>
      </c>
      <c r="AA489" s="3">
        <v>321</v>
      </c>
      <c r="AB489" s="3">
        <v>287</v>
      </c>
      <c r="AC489" s="3">
        <v>291</v>
      </c>
      <c r="AD489" s="3">
        <v>3</v>
      </c>
      <c r="AE489" s="3">
        <v>3</v>
      </c>
      <c r="AF489" s="3">
        <v>18</v>
      </c>
      <c r="AG489" s="3">
        <v>18</v>
      </c>
      <c r="AH489" s="3">
        <v>9</v>
      </c>
      <c r="AI489" s="3">
        <v>9</v>
      </c>
      <c r="AJ489" s="3">
        <v>5</v>
      </c>
      <c r="AK489" s="3">
        <v>5</v>
      </c>
      <c r="AL489" s="3">
        <v>7</v>
      </c>
      <c r="AM489" s="3">
        <v>7</v>
      </c>
      <c r="AN489" s="3">
        <v>1</v>
      </c>
      <c r="AO489" s="3">
        <v>1</v>
      </c>
      <c r="AP489" s="3">
        <v>0</v>
      </c>
      <c r="AQ489" s="3">
        <v>0</v>
      </c>
      <c r="AR489" s="2" t="s">
        <v>5</v>
      </c>
      <c r="AS489" s="2" t="s">
        <v>16</v>
      </c>
      <c r="AT489" s="5" t="str">
        <f>HYPERLINK("http://catalog.hathitrust.org/Record/003078027","HathiTrust Record")</f>
        <v>HathiTrust Record</v>
      </c>
      <c r="AU489" s="5" t="str">
        <f>HYPERLINK("https://creighton-primo.hosted.exlibrisgroup.com/primo-explore/search?tab=default_tab&amp;search_scope=EVERYTHING&amp;vid=01CRU&amp;lang=en_US&amp;offset=0&amp;query=any,contains,991000261259702656","Catalog Record")</f>
        <v>Catalog Record</v>
      </c>
      <c r="AV489" s="5" t="str">
        <f>HYPERLINK("http://www.worldcat.org/oclc/34699519","WorldCat Record")</f>
        <v>WorldCat Record</v>
      </c>
      <c r="AW489" s="2" t="s">
        <v>5979</v>
      </c>
      <c r="AX489" s="2" t="s">
        <v>5980</v>
      </c>
      <c r="AY489" s="2" t="s">
        <v>5981</v>
      </c>
      <c r="AZ489" s="2" t="s">
        <v>5981</v>
      </c>
      <c r="BA489" s="2" t="s">
        <v>5982</v>
      </c>
      <c r="BB489" s="2" t="s">
        <v>21</v>
      </c>
      <c r="BD489" s="2" t="s">
        <v>5983</v>
      </c>
      <c r="BE489" s="2" t="s">
        <v>5984</v>
      </c>
      <c r="BF489" s="2" t="s">
        <v>5985</v>
      </c>
    </row>
    <row r="490" spans="1:58" ht="41.25" customHeight="1" x14ac:dyDescent="0.25">
      <c r="A490" s="8" t="s">
        <v>5</v>
      </c>
      <c r="B490" s="1" t="s">
        <v>0</v>
      </c>
      <c r="C490" s="1" t="s">
        <v>1</v>
      </c>
      <c r="D490" s="1" t="s">
        <v>5986</v>
      </c>
      <c r="E490" s="1" t="s">
        <v>5987</v>
      </c>
      <c r="F490" s="1" t="s">
        <v>5988</v>
      </c>
      <c r="H490" s="2" t="s">
        <v>5</v>
      </c>
      <c r="I490" s="2" t="s">
        <v>6</v>
      </c>
      <c r="J490" s="2" t="s">
        <v>5</v>
      </c>
      <c r="K490" s="2" t="s">
        <v>16</v>
      </c>
      <c r="L490" s="2" t="s">
        <v>7</v>
      </c>
      <c r="M490" s="1" t="s">
        <v>5989</v>
      </c>
      <c r="N490" s="1" t="s">
        <v>5990</v>
      </c>
      <c r="O490" s="2" t="s">
        <v>546</v>
      </c>
      <c r="P490" s="1" t="s">
        <v>1208</v>
      </c>
      <c r="Q490" s="2" t="s">
        <v>11</v>
      </c>
      <c r="R490" s="2" t="s">
        <v>271</v>
      </c>
      <c r="S490" s="1" t="s">
        <v>5991</v>
      </c>
      <c r="T490" s="2" t="s">
        <v>520</v>
      </c>
      <c r="U490" s="3">
        <v>6</v>
      </c>
      <c r="V490" s="3">
        <v>6</v>
      </c>
      <c r="W490" s="4" t="s">
        <v>5992</v>
      </c>
      <c r="X490" s="4" t="s">
        <v>5992</v>
      </c>
      <c r="Y490" s="4" t="s">
        <v>5993</v>
      </c>
      <c r="Z490" s="4" t="s">
        <v>5993</v>
      </c>
      <c r="AA490" s="3">
        <v>329</v>
      </c>
      <c r="AB490" s="3">
        <v>243</v>
      </c>
      <c r="AC490" s="3">
        <v>972</v>
      </c>
      <c r="AD490" s="3">
        <v>2</v>
      </c>
      <c r="AE490" s="3">
        <v>11</v>
      </c>
      <c r="AF490" s="3">
        <v>10</v>
      </c>
      <c r="AG490" s="3">
        <v>36</v>
      </c>
      <c r="AH490" s="3">
        <v>2</v>
      </c>
      <c r="AI490" s="3">
        <v>13</v>
      </c>
      <c r="AJ490" s="3">
        <v>3</v>
      </c>
      <c r="AK490" s="3">
        <v>7</v>
      </c>
      <c r="AL490" s="3">
        <v>7</v>
      </c>
      <c r="AM490" s="3">
        <v>15</v>
      </c>
      <c r="AN490" s="3">
        <v>1</v>
      </c>
      <c r="AO490" s="3">
        <v>7</v>
      </c>
      <c r="AP490" s="3">
        <v>0</v>
      </c>
      <c r="AQ490" s="3">
        <v>0</v>
      </c>
      <c r="AR490" s="2" t="s">
        <v>5</v>
      </c>
      <c r="AS490" s="2" t="s">
        <v>16</v>
      </c>
      <c r="AT490" s="5" t="str">
        <f>HYPERLINK("http://catalog.hathitrust.org/Record/004531419","HathiTrust Record")</f>
        <v>HathiTrust Record</v>
      </c>
      <c r="AU490" s="5" t="str">
        <f>HYPERLINK("https://creighton-primo.hosted.exlibrisgroup.com/primo-explore/search?tab=default_tab&amp;search_scope=EVERYTHING&amp;vid=01CRU&amp;lang=en_US&amp;offset=0&amp;query=any,contains,991000688809702656","Catalog Record")</f>
        <v>Catalog Record</v>
      </c>
      <c r="AV490" s="5" t="str">
        <f>HYPERLINK("http://www.worldcat.org/oclc/29310473","WorldCat Record")</f>
        <v>WorldCat Record</v>
      </c>
      <c r="AW490" s="2" t="s">
        <v>5994</v>
      </c>
      <c r="AX490" s="2" t="s">
        <v>5995</v>
      </c>
      <c r="AY490" s="2" t="s">
        <v>5996</v>
      </c>
      <c r="AZ490" s="2" t="s">
        <v>5996</v>
      </c>
      <c r="BA490" s="2" t="s">
        <v>5997</v>
      </c>
      <c r="BB490" s="2" t="s">
        <v>21</v>
      </c>
      <c r="BD490" s="2" t="s">
        <v>5998</v>
      </c>
      <c r="BE490" s="2" t="s">
        <v>5999</v>
      </c>
      <c r="BF490" s="2" t="s">
        <v>6000</v>
      </c>
    </row>
    <row r="491" spans="1:58" ht="41.25" customHeight="1" x14ac:dyDescent="0.25">
      <c r="A491" s="8" t="s">
        <v>5</v>
      </c>
      <c r="B491" s="1" t="s">
        <v>0</v>
      </c>
      <c r="C491" s="1" t="s">
        <v>1</v>
      </c>
      <c r="D491" s="1" t="s">
        <v>6001</v>
      </c>
      <c r="E491" s="1" t="s">
        <v>6002</v>
      </c>
      <c r="F491" s="1" t="s">
        <v>6003</v>
      </c>
      <c r="H491" s="2" t="s">
        <v>5</v>
      </c>
      <c r="I491" s="2" t="s">
        <v>6</v>
      </c>
      <c r="J491" s="2" t="s">
        <v>5</v>
      </c>
      <c r="K491" s="2" t="s">
        <v>16</v>
      </c>
      <c r="L491" s="2" t="s">
        <v>7</v>
      </c>
      <c r="M491" s="1" t="s">
        <v>6004</v>
      </c>
      <c r="N491" s="1" t="s">
        <v>1947</v>
      </c>
      <c r="O491" s="2" t="s">
        <v>1283</v>
      </c>
      <c r="P491" s="1" t="s">
        <v>901</v>
      </c>
      <c r="Q491" s="2" t="s">
        <v>11</v>
      </c>
      <c r="R491" s="2" t="s">
        <v>78</v>
      </c>
      <c r="T491" s="2" t="s">
        <v>520</v>
      </c>
      <c r="U491" s="3">
        <v>13</v>
      </c>
      <c r="V491" s="3">
        <v>13</v>
      </c>
      <c r="W491" s="4" t="s">
        <v>6005</v>
      </c>
      <c r="X491" s="4" t="s">
        <v>6005</v>
      </c>
      <c r="Y491" s="4" t="s">
        <v>1286</v>
      </c>
      <c r="Z491" s="4" t="s">
        <v>1286</v>
      </c>
      <c r="AA491" s="3">
        <v>336</v>
      </c>
      <c r="AB491" s="3">
        <v>224</v>
      </c>
      <c r="AC491" s="3">
        <v>615</v>
      </c>
      <c r="AD491" s="3">
        <v>1</v>
      </c>
      <c r="AE491" s="3">
        <v>4</v>
      </c>
      <c r="AF491" s="3">
        <v>10</v>
      </c>
      <c r="AG491" s="3">
        <v>22</v>
      </c>
      <c r="AH491" s="3">
        <v>6</v>
      </c>
      <c r="AI491" s="3">
        <v>9</v>
      </c>
      <c r="AJ491" s="3">
        <v>1</v>
      </c>
      <c r="AK491" s="3">
        <v>4</v>
      </c>
      <c r="AL491" s="3">
        <v>6</v>
      </c>
      <c r="AM491" s="3">
        <v>13</v>
      </c>
      <c r="AN491" s="3">
        <v>0</v>
      </c>
      <c r="AO491" s="3">
        <v>2</v>
      </c>
      <c r="AP491" s="3">
        <v>0</v>
      </c>
      <c r="AQ491" s="3">
        <v>0</v>
      </c>
      <c r="AR491" s="2" t="s">
        <v>5</v>
      </c>
      <c r="AS491" s="2" t="s">
        <v>5</v>
      </c>
      <c r="AU491" s="5" t="str">
        <f>HYPERLINK("https://creighton-primo.hosted.exlibrisgroup.com/primo-explore/search?tab=default_tab&amp;search_scope=EVERYTHING&amp;vid=01CRU&amp;lang=en_US&amp;offset=0&amp;query=any,contains,991000839589702656","Catalog Record")</f>
        <v>Catalog Record</v>
      </c>
      <c r="AV491" s="5" t="str">
        <f>HYPERLINK("http://www.worldcat.org/oclc/34824049","WorldCat Record")</f>
        <v>WorldCat Record</v>
      </c>
      <c r="AW491" s="2" t="s">
        <v>6006</v>
      </c>
      <c r="AX491" s="2" t="s">
        <v>6007</v>
      </c>
      <c r="AY491" s="2" t="s">
        <v>6008</v>
      </c>
      <c r="AZ491" s="2" t="s">
        <v>6008</v>
      </c>
      <c r="BA491" s="2" t="s">
        <v>6009</v>
      </c>
      <c r="BB491" s="2" t="s">
        <v>21</v>
      </c>
      <c r="BD491" s="2" t="s">
        <v>6010</v>
      </c>
      <c r="BE491" s="2" t="s">
        <v>6011</v>
      </c>
      <c r="BF491" s="2" t="s">
        <v>6012</v>
      </c>
    </row>
    <row r="492" spans="1:58" ht="41.25" customHeight="1" x14ac:dyDescent="0.25">
      <c r="A492" s="8" t="s">
        <v>5</v>
      </c>
      <c r="B492" s="1" t="s">
        <v>0</v>
      </c>
      <c r="C492" s="1" t="s">
        <v>1</v>
      </c>
      <c r="D492" s="1" t="s">
        <v>6013</v>
      </c>
      <c r="E492" s="1" t="s">
        <v>6014</v>
      </c>
      <c r="F492" s="1" t="s">
        <v>6015</v>
      </c>
      <c r="H492" s="2" t="s">
        <v>5</v>
      </c>
      <c r="I492" s="2" t="s">
        <v>6</v>
      </c>
      <c r="J492" s="2" t="s">
        <v>5</v>
      </c>
      <c r="K492" s="2" t="s">
        <v>16</v>
      </c>
      <c r="L492" s="2" t="s">
        <v>7</v>
      </c>
      <c r="M492" s="1" t="s">
        <v>6004</v>
      </c>
      <c r="N492" s="1" t="s">
        <v>6016</v>
      </c>
      <c r="O492" s="2" t="s">
        <v>1046</v>
      </c>
      <c r="P492" s="1" t="s">
        <v>901</v>
      </c>
      <c r="Q492" s="2" t="s">
        <v>11</v>
      </c>
      <c r="R492" s="2" t="s">
        <v>78</v>
      </c>
      <c r="T492" s="2" t="s">
        <v>520</v>
      </c>
      <c r="U492" s="3">
        <v>4</v>
      </c>
      <c r="V492" s="3">
        <v>4</v>
      </c>
      <c r="W492" s="4" t="s">
        <v>6017</v>
      </c>
      <c r="X492" s="4" t="s">
        <v>6017</v>
      </c>
      <c r="Y492" s="4" t="s">
        <v>6018</v>
      </c>
      <c r="Z492" s="4" t="s">
        <v>6018</v>
      </c>
      <c r="AA492" s="3">
        <v>302</v>
      </c>
      <c r="AB492" s="3">
        <v>212</v>
      </c>
      <c r="AC492" s="3">
        <v>855</v>
      </c>
      <c r="AD492" s="3">
        <v>2</v>
      </c>
      <c r="AE492" s="3">
        <v>6</v>
      </c>
      <c r="AF492" s="3">
        <v>13</v>
      </c>
      <c r="AG492" s="3">
        <v>35</v>
      </c>
      <c r="AH492" s="3">
        <v>5</v>
      </c>
      <c r="AI492" s="3">
        <v>14</v>
      </c>
      <c r="AJ492" s="3">
        <v>2</v>
      </c>
      <c r="AK492" s="3">
        <v>5</v>
      </c>
      <c r="AL492" s="3">
        <v>6</v>
      </c>
      <c r="AM492" s="3">
        <v>17</v>
      </c>
      <c r="AN492" s="3">
        <v>1</v>
      </c>
      <c r="AO492" s="3">
        <v>5</v>
      </c>
      <c r="AP492" s="3">
        <v>0</v>
      </c>
      <c r="AQ492" s="3">
        <v>0</v>
      </c>
      <c r="AR492" s="2" t="s">
        <v>5</v>
      </c>
      <c r="AS492" s="2" t="s">
        <v>16</v>
      </c>
      <c r="AT492" s="5" t="str">
        <f>HYPERLINK("http://catalog.hathitrust.org/Record/004295692","HathiTrust Record")</f>
        <v>HathiTrust Record</v>
      </c>
      <c r="AU492" s="5" t="str">
        <f>HYPERLINK("https://creighton-primo.hosted.exlibrisgroup.com/primo-explore/search?tab=default_tab&amp;search_scope=EVERYTHING&amp;vid=01CRU&amp;lang=en_US&amp;offset=0&amp;query=any,contains,991000351539702656","Catalog Record")</f>
        <v>Catalog Record</v>
      </c>
      <c r="AV492" s="5" t="str">
        <f>HYPERLINK("http://www.worldcat.org/oclc/50984422","WorldCat Record")</f>
        <v>WorldCat Record</v>
      </c>
      <c r="AW492" s="2" t="s">
        <v>6019</v>
      </c>
      <c r="AX492" s="2" t="s">
        <v>6020</v>
      </c>
      <c r="AY492" s="2" t="s">
        <v>6021</v>
      </c>
      <c r="AZ492" s="2" t="s">
        <v>6021</v>
      </c>
      <c r="BA492" s="2" t="s">
        <v>6022</v>
      </c>
      <c r="BB492" s="2" t="s">
        <v>21</v>
      </c>
      <c r="BD492" s="2" t="s">
        <v>6023</v>
      </c>
      <c r="BE492" s="2" t="s">
        <v>6024</v>
      </c>
      <c r="BF492" s="2" t="s">
        <v>6025</v>
      </c>
    </row>
    <row r="493" spans="1:58" ht="41.25" customHeight="1" x14ac:dyDescent="0.25">
      <c r="A493" s="8" t="s">
        <v>5</v>
      </c>
      <c r="B493" s="1" t="s">
        <v>0</v>
      </c>
      <c r="C493" s="1" t="s">
        <v>1</v>
      </c>
      <c r="D493" s="1" t="s">
        <v>6026</v>
      </c>
      <c r="E493" s="1" t="s">
        <v>6027</v>
      </c>
      <c r="F493" s="1" t="s">
        <v>6028</v>
      </c>
      <c r="H493" s="2" t="s">
        <v>5</v>
      </c>
      <c r="I493" s="2" t="s">
        <v>6</v>
      </c>
      <c r="J493" s="2" t="s">
        <v>5</v>
      </c>
      <c r="K493" s="2" t="s">
        <v>5</v>
      </c>
      <c r="L493" s="2" t="s">
        <v>7</v>
      </c>
      <c r="M493" s="1" t="s">
        <v>6029</v>
      </c>
      <c r="N493" s="1" t="s">
        <v>5421</v>
      </c>
      <c r="O493" s="2" t="s">
        <v>382</v>
      </c>
      <c r="Q493" s="2" t="s">
        <v>11</v>
      </c>
      <c r="R493" s="2" t="s">
        <v>426</v>
      </c>
      <c r="T493" s="2" t="s">
        <v>520</v>
      </c>
      <c r="U493" s="3">
        <v>17</v>
      </c>
      <c r="V493" s="3">
        <v>17</v>
      </c>
      <c r="W493" s="4" t="s">
        <v>6030</v>
      </c>
      <c r="X493" s="4" t="s">
        <v>6030</v>
      </c>
      <c r="Y493" s="4" t="s">
        <v>168</v>
      </c>
      <c r="Z493" s="4" t="s">
        <v>168</v>
      </c>
      <c r="AA493" s="3">
        <v>213</v>
      </c>
      <c r="AB493" s="3">
        <v>167</v>
      </c>
      <c r="AC493" s="3">
        <v>174</v>
      </c>
      <c r="AD493" s="3">
        <v>1</v>
      </c>
      <c r="AE493" s="3">
        <v>1</v>
      </c>
      <c r="AF493" s="3">
        <v>6</v>
      </c>
      <c r="AG493" s="3">
        <v>6</v>
      </c>
      <c r="AH493" s="3">
        <v>3</v>
      </c>
      <c r="AI493" s="3">
        <v>3</v>
      </c>
      <c r="AJ493" s="3">
        <v>0</v>
      </c>
      <c r="AK493" s="3">
        <v>0</v>
      </c>
      <c r="AL493" s="3">
        <v>4</v>
      </c>
      <c r="AM493" s="3">
        <v>4</v>
      </c>
      <c r="AN493" s="3">
        <v>0</v>
      </c>
      <c r="AO493" s="3">
        <v>0</v>
      </c>
      <c r="AP493" s="3">
        <v>0</v>
      </c>
      <c r="AQ493" s="3">
        <v>0</v>
      </c>
      <c r="AR493" s="2" t="s">
        <v>5</v>
      </c>
      <c r="AS493" s="2" t="s">
        <v>16</v>
      </c>
      <c r="AT493" s="5" t="str">
        <f>HYPERLINK("http://catalog.hathitrust.org/Record/000444012","HathiTrust Record")</f>
        <v>HathiTrust Record</v>
      </c>
      <c r="AU493" s="5" t="str">
        <f>HYPERLINK("https://creighton-primo.hosted.exlibrisgroup.com/primo-explore/search?tab=default_tab&amp;search_scope=EVERYTHING&amp;vid=01CRU&amp;lang=en_US&amp;offset=0&amp;query=any,contains,991001045009702656","Catalog Record")</f>
        <v>Catalog Record</v>
      </c>
      <c r="AV493" s="5" t="str">
        <f>HYPERLINK("http://www.worldcat.org/oclc/11114088","WorldCat Record")</f>
        <v>WorldCat Record</v>
      </c>
      <c r="AW493" s="2" t="s">
        <v>6031</v>
      </c>
      <c r="AX493" s="2" t="s">
        <v>6032</v>
      </c>
      <c r="AY493" s="2" t="s">
        <v>6033</v>
      </c>
      <c r="AZ493" s="2" t="s">
        <v>6033</v>
      </c>
      <c r="BA493" s="2" t="s">
        <v>6034</v>
      </c>
      <c r="BB493" s="2" t="s">
        <v>21</v>
      </c>
      <c r="BD493" s="2" t="s">
        <v>6035</v>
      </c>
      <c r="BE493" s="2" t="s">
        <v>6036</v>
      </c>
      <c r="BF493" s="2" t="s">
        <v>6037</v>
      </c>
    </row>
    <row r="494" spans="1:58" ht="41.25" customHeight="1" x14ac:dyDescent="0.25">
      <c r="A494" s="8" t="s">
        <v>5</v>
      </c>
      <c r="B494" s="1" t="s">
        <v>0</v>
      </c>
      <c r="C494" s="1" t="s">
        <v>1</v>
      </c>
      <c r="D494" s="1" t="s">
        <v>6038</v>
      </c>
      <c r="E494" s="1" t="s">
        <v>6039</v>
      </c>
      <c r="F494" s="1" t="s">
        <v>6040</v>
      </c>
      <c r="H494" s="2" t="s">
        <v>5</v>
      </c>
      <c r="I494" s="2" t="s">
        <v>6</v>
      </c>
      <c r="J494" s="2" t="s">
        <v>5</v>
      </c>
      <c r="K494" s="2" t="s">
        <v>5</v>
      </c>
      <c r="L494" s="2" t="s">
        <v>7</v>
      </c>
      <c r="M494" s="1" t="s">
        <v>6041</v>
      </c>
      <c r="N494" s="1" t="s">
        <v>2968</v>
      </c>
      <c r="O494" s="2" t="s">
        <v>1339</v>
      </c>
      <c r="Q494" s="2" t="s">
        <v>11</v>
      </c>
      <c r="R494" s="2" t="s">
        <v>426</v>
      </c>
      <c r="T494" s="2" t="s">
        <v>520</v>
      </c>
      <c r="U494" s="3">
        <v>20</v>
      </c>
      <c r="V494" s="3">
        <v>20</v>
      </c>
      <c r="W494" s="4" t="s">
        <v>6042</v>
      </c>
      <c r="X494" s="4" t="s">
        <v>6042</v>
      </c>
      <c r="Y494" s="4" t="s">
        <v>168</v>
      </c>
      <c r="Z494" s="4" t="s">
        <v>168</v>
      </c>
      <c r="AA494" s="3">
        <v>201</v>
      </c>
      <c r="AB494" s="3">
        <v>136</v>
      </c>
      <c r="AC494" s="3">
        <v>143</v>
      </c>
      <c r="AD494" s="3">
        <v>2</v>
      </c>
      <c r="AE494" s="3">
        <v>2</v>
      </c>
      <c r="AF494" s="3">
        <v>6</v>
      </c>
      <c r="AG494" s="3">
        <v>6</v>
      </c>
      <c r="AH494" s="3">
        <v>1</v>
      </c>
      <c r="AI494" s="3">
        <v>1</v>
      </c>
      <c r="AJ494" s="3">
        <v>1</v>
      </c>
      <c r="AK494" s="3">
        <v>1</v>
      </c>
      <c r="AL494" s="3">
        <v>4</v>
      </c>
      <c r="AM494" s="3">
        <v>4</v>
      </c>
      <c r="AN494" s="3">
        <v>1</v>
      </c>
      <c r="AO494" s="3">
        <v>1</v>
      </c>
      <c r="AP494" s="3">
        <v>0</v>
      </c>
      <c r="AQ494" s="3">
        <v>0</v>
      </c>
      <c r="AR494" s="2" t="s">
        <v>5</v>
      </c>
      <c r="AS494" s="2" t="s">
        <v>16</v>
      </c>
      <c r="AT494" s="5" t="str">
        <f>HYPERLINK("http://catalog.hathitrust.org/Record/000445745","HathiTrust Record")</f>
        <v>HathiTrust Record</v>
      </c>
      <c r="AU494" s="5" t="str">
        <f>HYPERLINK("https://creighton-primo.hosted.exlibrisgroup.com/primo-explore/search?tab=default_tab&amp;search_scope=EVERYTHING&amp;vid=01CRU&amp;lang=en_US&amp;offset=0&amp;query=any,contains,991001045039702656","Catalog Record")</f>
        <v>Catalog Record</v>
      </c>
      <c r="AV494" s="5" t="str">
        <f>HYPERLINK("http://www.worldcat.org/oclc/15654844","WorldCat Record")</f>
        <v>WorldCat Record</v>
      </c>
      <c r="AW494" s="2" t="s">
        <v>6043</v>
      </c>
      <c r="AX494" s="2" t="s">
        <v>6044</v>
      </c>
      <c r="AY494" s="2" t="s">
        <v>6045</v>
      </c>
      <c r="AZ494" s="2" t="s">
        <v>6045</v>
      </c>
      <c r="BA494" s="2" t="s">
        <v>6046</v>
      </c>
      <c r="BB494" s="2" t="s">
        <v>21</v>
      </c>
      <c r="BD494" s="2" t="s">
        <v>6047</v>
      </c>
      <c r="BE494" s="2" t="s">
        <v>6048</v>
      </c>
      <c r="BF494" s="2" t="s">
        <v>6049</v>
      </c>
    </row>
    <row r="495" spans="1:58" ht="41.25" customHeight="1" x14ac:dyDescent="0.25">
      <c r="A495" s="8" t="s">
        <v>5</v>
      </c>
      <c r="B495" s="1" t="s">
        <v>0</v>
      </c>
      <c r="C495" s="1" t="s">
        <v>1</v>
      </c>
      <c r="D495" s="1" t="s">
        <v>6050</v>
      </c>
      <c r="E495" s="1" t="s">
        <v>6051</v>
      </c>
      <c r="F495" s="1" t="s">
        <v>6052</v>
      </c>
      <c r="H495" s="2" t="s">
        <v>5</v>
      </c>
      <c r="I495" s="2" t="s">
        <v>6</v>
      </c>
      <c r="J495" s="2" t="s">
        <v>5</v>
      </c>
      <c r="K495" s="2" t="s">
        <v>5</v>
      </c>
      <c r="L495" s="2" t="s">
        <v>7</v>
      </c>
      <c r="N495" s="1" t="s">
        <v>6053</v>
      </c>
      <c r="O495" s="2" t="s">
        <v>1102</v>
      </c>
      <c r="Q495" s="2" t="s">
        <v>11</v>
      </c>
      <c r="R495" s="2" t="s">
        <v>426</v>
      </c>
      <c r="T495" s="2" t="s">
        <v>520</v>
      </c>
      <c r="U495" s="3">
        <v>15</v>
      </c>
      <c r="V495" s="3">
        <v>15</v>
      </c>
      <c r="W495" s="4" t="s">
        <v>6054</v>
      </c>
      <c r="X495" s="4" t="s">
        <v>6054</v>
      </c>
      <c r="Y495" s="4" t="s">
        <v>6055</v>
      </c>
      <c r="Z495" s="4" t="s">
        <v>6055</v>
      </c>
      <c r="AA495" s="3">
        <v>215</v>
      </c>
      <c r="AB495" s="3">
        <v>186</v>
      </c>
      <c r="AC495" s="3">
        <v>195</v>
      </c>
      <c r="AD495" s="3">
        <v>3</v>
      </c>
      <c r="AE495" s="3">
        <v>3</v>
      </c>
      <c r="AF495" s="3">
        <v>9</v>
      </c>
      <c r="AG495" s="3">
        <v>9</v>
      </c>
      <c r="AH495" s="3">
        <v>1</v>
      </c>
      <c r="AI495" s="3">
        <v>1</v>
      </c>
      <c r="AJ495" s="3">
        <v>2</v>
      </c>
      <c r="AK495" s="3">
        <v>2</v>
      </c>
      <c r="AL495" s="3">
        <v>5</v>
      </c>
      <c r="AM495" s="3">
        <v>5</v>
      </c>
      <c r="AN495" s="3">
        <v>2</v>
      </c>
      <c r="AO495" s="3">
        <v>2</v>
      </c>
      <c r="AP495" s="3">
        <v>0</v>
      </c>
      <c r="AQ495" s="3">
        <v>0</v>
      </c>
      <c r="AR495" s="2" t="s">
        <v>5</v>
      </c>
      <c r="AS495" s="2" t="s">
        <v>16</v>
      </c>
      <c r="AT495" s="5" t="str">
        <f>HYPERLINK("http://catalog.hathitrust.org/Record/000661553","HathiTrust Record")</f>
        <v>HathiTrust Record</v>
      </c>
      <c r="AU495" s="5" t="str">
        <f>HYPERLINK("https://creighton-primo.hosted.exlibrisgroup.com/primo-explore/search?tab=default_tab&amp;search_scope=EVERYTHING&amp;vid=01CRU&amp;lang=en_US&amp;offset=0&amp;query=any,contains,991001451859702656","Catalog Record")</f>
        <v>Catalog Record</v>
      </c>
      <c r="AV495" s="5" t="str">
        <f>HYPERLINK("http://www.worldcat.org/oclc/12695696","WorldCat Record")</f>
        <v>WorldCat Record</v>
      </c>
      <c r="AW495" s="2" t="s">
        <v>6056</v>
      </c>
      <c r="AX495" s="2" t="s">
        <v>6057</v>
      </c>
      <c r="AY495" s="2" t="s">
        <v>6058</v>
      </c>
      <c r="AZ495" s="2" t="s">
        <v>6058</v>
      </c>
      <c r="BA495" s="2" t="s">
        <v>6059</v>
      </c>
      <c r="BB495" s="2" t="s">
        <v>21</v>
      </c>
      <c r="BD495" s="2" t="s">
        <v>6060</v>
      </c>
      <c r="BE495" s="2" t="s">
        <v>6061</v>
      </c>
      <c r="BF495" s="2" t="s">
        <v>6062</v>
      </c>
    </row>
    <row r="496" spans="1:58" ht="41.25" customHeight="1" x14ac:dyDescent="0.25">
      <c r="A496" s="8" t="s">
        <v>5</v>
      </c>
      <c r="B496" s="1" t="s">
        <v>0</v>
      </c>
      <c r="C496" s="1" t="s">
        <v>1</v>
      </c>
      <c r="D496" s="1" t="s">
        <v>6063</v>
      </c>
      <c r="E496" s="1" t="s">
        <v>6064</v>
      </c>
      <c r="F496" s="1" t="s">
        <v>6065</v>
      </c>
      <c r="H496" s="2" t="s">
        <v>5</v>
      </c>
      <c r="I496" s="2" t="s">
        <v>6</v>
      </c>
      <c r="J496" s="2" t="s">
        <v>5</v>
      </c>
      <c r="K496" s="2" t="s">
        <v>5</v>
      </c>
      <c r="L496" s="2" t="s">
        <v>7</v>
      </c>
      <c r="N496" s="1" t="s">
        <v>6066</v>
      </c>
      <c r="O496" s="2" t="s">
        <v>1283</v>
      </c>
      <c r="Q496" s="2" t="s">
        <v>11</v>
      </c>
      <c r="R496" s="2" t="s">
        <v>1019</v>
      </c>
      <c r="T496" s="2" t="s">
        <v>520</v>
      </c>
      <c r="U496" s="3">
        <v>5</v>
      </c>
      <c r="V496" s="3">
        <v>5</v>
      </c>
      <c r="W496" s="4" t="s">
        <v>6067</v>
      </c>
      <c r="X496" s="4" t="s">
        <v>6067</v>
      </c>
      <c r="Y496" s="4" t="s">
        <v>6068</v>
      </c>
      <c r="Z496" s="4" t="s">
        <v>6068</v>
      </c>
      <c r="AA496" s="3">
        <v>399</v>
      </c>
      <c r="AB496" s="3">
        <v>250</v>
      </c>
      <c r="AC496" s="3">
        <v>255</v>
      </c>
      <c r="AD496" s="3">
        <v>3</v>
      </c>
      <c r="AE496" s="3">
        <v>3</v>
      </c>
      <c r="AF496" s="3">
        <v>18</v>
      </c>
      <c r="AG496" s="3">
        <v>18</v>
      </c>
      <c r="AH496" s="3">
        <v>5</v>
      </c>
      <c r="AI496" s="3">
        <v>5</v>
      </c>
      <c r="AJ496" s="3">
        <v>5</v>
      </c>
      <c r="AK496" s="3">
        <v>5</v>
      </c>
      <c r="AL496" s="3">
        <v>10</v>
      </c>
      <c r="AM496" s="3">
        <v>10</v>
      </c>
      <c r="AN496" s="3">
        <v>2</v>
      </c>
      <c r="AO496" s="3">
        <v>2</v>
      </c>
      <c r="AP496" s="3">
        <v>0</v>
      </c>
      <c r="AQ496" s="3">
        <v>0</v>
      </c>
      <c r="AR496" s="2" t="s">
        <v>5</v>
      </c>
      <c r="AS496" s="2" t="s">
        <v>5</v>
      </c>
      <c r="AU496" s="5" t="str">
        <f>HYPERLINK("https://creighton-primo.hosted.exlibrisgroup.com/primo-explore/search?tab=default_tab&amp;search_scope=EVERYTHING&amp;vid=01CRU&amp;lang=en_US&amp;offset=0&amp;query=any,contains,991001296309702656","Catalog Record")</f>
        <v>Catalog Record</v>
      </c>
      <c r="AV496" s="5" t="str">
        <f>HYPERLINK("http://www.worldcat.org/oclc/36372357","WorldCat Record")</f>
        <v>WorldCat Record</v>
      </c>
      <c r="AW496" s="2" t="s">
        <v>6069</v>
      </c>
      <c r="AX496" s="2" t="s">
        <v>6070</v>
      </c>
      <c r="AY496" s="2" t="s">
        <v>6071</v>
      </c>
      <c r="AZ496" s="2" t="s">
        <v>6071</v>
      </c>
      <c r="BA496" s="2" t="s">
        <v>6072</v>
      </c>
      <c r="BB496" s="2" t="s">
        <v>21</v>
      </c>
      <c r="BD496" s="2" t="s">
        <v>6073</v>
      </c>
      <c r="BE496" s="2" t="s">
        <v>6074</v>
      </c>
      <c r="BF496" s="2" t="s">
        <v>6075</v>
      </c>
    </row>
    <row r="497" spans="1:58" ht="41.25" customHeight="1" x14ac:dyDescent="0.25">
      <c r="A497" s="8" t="s">
        <v>5</v>
      </c>
      <c r="B497" s="1" t="s">
        <v>0</v>
      </c>
      <c r="C497" s="1" t="s">
        <v>1</v>
      </c>
      <c r="D497" s="1" t="s">
        <v>6076</v>
      </c>
      <c r="E497" s="1" t="s">
        <v>6077</v>
      </c>
      <c r="F497" s="1" t="s">
        <v>6078</v>
      </c>
      <c r="H497" s="2" t="s">
        <v>5</v>
      </c>
      <c r="I497" s="2" t="s">
        <v>6</v>
      </c>
      <c r="J497" s="2" t="s">
        <v>5</v>
      </c>
      <c r="K497" s="2" t="s">
        <v>5</v>
      </c>
      <c r="L497" s="2" t="s">
        <v>7</v>
      </c>
      <c r="M497" s="1" t="s">
        <v>6079</v>
      </c>
      <c r="N497" s="1" t="s">
        <v>6080</v>
      </c>
      <c r="O497" s="2" t="s">
        <v>1102</v>
      </c>
      <c r="P497" s="1" t="s">
        <v>211</v>
      </c>
      <c r="Q497" s="2" t="s">
        <v>11</v>
      </c>
      <c r="R497" s="2" t="s">
        <v>426</v>
      </c>
      <c r="T497" s="2" t="s">
        <v>520</v>
      </c>
      <c r="U497" s="3">
        <v>11</v>
      </c>
      <c r="V497" s="3">
        <v>11</v>
      </c>
      <c r="W497" s="4" t="s">
        <v>4784</v>
      </c>
      <c r="X497" s="4" t="s">
        <v>4784</v>
      </c>
      <c r="Y497" s="4" t="s">
        <v>329</v>
      </c>
      <c r="Z497" s="4" t="s">
        <v>329</v>
      </c>
      <c r="AA497" s="3">
        <v>158</v>
      </c>
      <c r="AB497" s="3">
        <v>126</v>
      </c>
      <c r="AC497" s="3">
        <v>194</v>
      </c>
      <c r="AD497" s="3">
        <v>3</v>
      </c>
      <c r="AE497" s="3">
        <v>4</v>
      </c>
      <c r="AF497" s="3">
        <v>5</v>
      </c>
      <c r="AG497" s="3">
        <v>10</v>
      </c>
      <c r="AH497" s="3">
        <v>0</v>
      </c>
      <c r="AI497" s="3">
        <v>1</v>
      </c>
      <c r="AJ497" s="3">
        <v>0</v>
      </c>
      <c r="AK497" s="3">
        <v>2</v>
      </c>
      <c r="AL497" s="3">
        <v>4</v>
      </c>
      <c r="AM497" s="3">
        <v>6</v>
      </c>
      <c r="AN497" s="3">
        <v>1</v>
      </c>
      <c r="AO497" s="3">
        <v>2</v>
      </c>
      <c r="AP497" s="3">
        <v>0</v>
      </c>
      <c r="AQ497" s="3">
        <v>0</v>
      </c>
      <c r="AR497" s="2" t="s">
        <v>5</v>
      </c>
      <c r="AS497" s="2" t="s">
        <v>16</v>
      </c>
      <c r="AT497" s="5" t="str">
        <f>HYPERLINK("http://catalog.hathitrust.org/Record/000621933","HathiTrust Record")</f>
        <v>HathiTrust Record</v>
      </c>
      <c r="AU497" s="5" t="str">
        <f>HYPERLINK("https://creighton-primo.hosted.exlibrisgroup.com/primo-explore/search?tab=default_tab&amp;search_scope=EVERYTHING&amp;vid=01CRU&amp;lang=en_US&amp;offset=0&amp;query=any,contains,991000739819702656","Catalog Record")</f>
        <v>Catalog Record</v>
      </c>
      <c r="AV497" s="5" t="str">
        <f>HYPERLINK("http://www.worldcat.org/oclc/12665541","WorldCat Record")</f>
        <v>WorldCat Record</v>
      </c>
      <c r="AW497" s="2" t="s">
        <v>6081</v>
      </c>
      <c r="AX497" s="2" t="s">
        <v>6082</v>
      </c>
      <c r="AY497" s="2" t="s">
        <v>6083</v>
      </c>
      <c r="AZ497" s="2" t="s">
        <v>6083</v>
      </c>
      <c r="BA497" s="2" t="s">
        <v>6084</v>
      </c>
      <c r="BB497" s="2" t="s">
        <v>21</v>
      </c>
      <c r="BD497" s="2" t="s">
        <v>6085</v>
      </c>
      <c r="BE497" s="2" t="s">
        <v>6086</v>
      </c>
      <c r="BF497" s="2" t="s">
        <v>6087</v>
      </c>
    </row>
    <row r="498" spans="1:58" ht="41.25" customHeight="1" x14ac:dyDescent="0.25">
      <c r="A498" s="8" t="s">
        <v>5</v>
      </c>
      <c r="B498" s="1" t="s">
        <v>0</v>
      </c>
      <c r="C498" s="1" t="s">
        <v>1</v>
      </c>
      <c r="D498" s="1" t="s">
        <v>6088</v>
      </c>
      <c r="E498" s="1" t="s">
        <v>6089</v>
      </c>
      <c r="F498" s="1" t="s">
        <v>6090</v>
      </c>
      <c r="H498" s="2" t="s">
        <v>5</v>
      </c>
      <c r="I498" s="2" t="s">
        <v>6</v>
      </c>
      <c r="J498" s="2" t="s">
        <v>5</v>
      </c>
      <c r="K498" s="2" t="s">
        <v>5</v>
      </c>
      <c r="L498" s="2" t="s">
        <v>7</v>
      </c>
      <c r="M498" s="1" t="s">
        <v>6079</v>
      </c>
      <c r="N498" s="1" t="s">
        <v>6091</v>
      </c>
      <c r="O498" s="2" t="s">
        <v>210</v>
      </c>
      <c r="P498" s="1" t="s">
        <v>901</v>
      </c>
      <c r="Q498" s="2" t="s">
        <v>11</v>
      </c>
      <c r="R498" s="2" t="s">
        <v>426</v>
      </c>
      <c r="T498" s="2" t="s">
        <v>520</v>
      </c>
      <c r="U498" s="3">
        <v>8</v>
      </c>
      <c r="V498" s="3">
        <v>8</v>
      </c>
      <c r="W498" s="4" t="s">
        <v>6092</v>
      </c>
      <c r="X498" s="4" t="s">
        <v>6092</v>
      </c>
      <c r="Y498" s="4" t="s">
        <v>3416</v>
      </c>
      <c r="Z498" s="4" t="s">
        <v>3416</v>
      </c>
      <c r="AA498" s="3">
        <v>227</v>
      </c>
      <c r="AB498" s="3">
        <v>159</v>
      </c>
      <c r="AC498" s="3">
        <v>161</v>
      </c>
      <c r="AD498" s="3">
        <v>3</v>
      </c>
      <c r="AE498" s="3">
        <v>3</v>
      </c>
      <c r="AF498" s="3">
        <v>9</v>
      </c>
      <c r="AG498" s="3">
        <v>9</v>
      </c>
      <c r="AH498" s="3">
        <v>5</v>
      </c>
      <c r="AI498" s="3">
        <v>5</v>
      </c>
      <c r="AJ498" s="3">
        <v>1</v>
      </c>
      <c r="AK498" s="3">
        <v>1</v>
      </c>
      <c r="AL498" s="3">
        <v>5</v>
      </c>
      <c r="AM498" s="3">
        <v>5</v>
      </c>
      <c r="AN498" s="3">
        <v>2</v>
      </c>
      <c r="AO498" s="3">
        <v>2</v>
      </c>
      <c r="AP498" s="3">
        <v>0</v>
      </c>
      <c r="AQ498" s="3">
        <v>0</v>
      </c>
      <c r="AR498" s="2" t="s">
        <v>5</v>
      </c>
      <c r="AS498" s="2" t="s">
        <v>16</v>
      </c>
      <c r="AT498" s="5" t="str">
        <f>HYPERLINK("http://catalog.hathitrust.org/Record/002514781","HathiTrust Record")</f>
        <v>HathiTrust Record</v>
      </c>
      <c r="AU498" s="5" t="str">
        <f>HYPERLINK("https://creighton-primo.hosted.exlibrisgroup.com/primo-explore/search?tab=default_tab&amp;search_scope=EVERYTHING&amp;vid=01CRU&amp;lang=en_US&amp;offset=0&amp;query=any,contains,991001303059702656","Catalog Record")</f>
        <v>Catalog Record</v>
      </c>
      <c r="AV498" s="5" t="str">
        <f>HYPERLINK("http://www.worldcat.org/oclc/24871596","WorldCat Record")</f>
        <v>WorldCat Record</v>
      </c>
      <c r="AW498" s="2" t="s">
        <v>6093</v>
      </c>
      <c r="AX498" s="2" t="s">
        <v>6094</v>
      </c>
      <c r="AY498" s="2" t="s">
        <v>6095</v>
      </c>
      <c r="AZ498" s="2" t="s">
        <v>6095</v>
      </c>
      <c r="BA498" s="2" t="s">
        <v>6096</v>
      </c>
      <c r="BB498" s="2" t="s">
        <v>21</v>
      </c>
      <c r="BD498" s="2" t="s">
        <v>6097</v>
      </c>
      <c r="BE498" s="2" t="s">
        <v>6098</v>
      </c>
      <c r="BF498" s="2" t="s">
        <v>6099</v>
      </c>
    </row>
    <row r="499" spans="1:58" ht="41.25" customHeight="1" x14ac:dyDescent="0.25">
      <c r="A499" s="8" t="s">
        <v>5</v>
      </c>
      <c r="B499" s="1" t="s">
        <v>0</v>
      </c>
      <c r="C499" s="1" t="s">
        <v>1</v>
      </c>
      <c r="D499" s="1" t="s">
        <v>6100</v>
      </c>
      <c r="E499" s="1" t="s">
        <v>6101</v>
      </c>
      <c r="F499" s="1" t="s">
        <v>6102</v>
      </c>
      <c r="H499" s="2" t="s">
        <v>5</v>
      </c>
      <c r="I499" s="2" t="s">
        <v>6</v>
      </c>
      <c r="J499" s="2" t="s">
        <v>5</v>
      </c>
      <c r="K499" s="2" t="s">
        <v>5</v>
      </c>
      <c r="L499" s="2" t="s">
        <v>7</v>
      </c>
      <c r="M499" s="1" t="s">
        <v>6103</v>
      </c>
      <c r="N499" s="1" t="s">
        <v>6104</v>
      </c>
      <c r="O499" s="2" t="s">
        <v>285</v>
      </c>
      <c r="Q499" s="2" t="s">
        <v>11</v>
      </c>
      <c r="R499" s="2" t="s">
        <v>78</v>
      </c>
      <c r="T499" s="2" t="s">
        <v>520</v>
      </c>
      <c r="U499" s="3">
        <v>7</v>
      </c>
      <c r="V499" s="3">
        <v>7</v>
      </c>
      <c r="W499" s="4" t="s">
        <v>6105</v>
      </c>
      <c r="X499" s="4" t="s">
        <v>6105</v>
      </c>
      <c r="Y499" s="4" t="s">
        <v>168</v>
      </c>
      <c r="Z499" s="4" t="s">
        <v>168</v>
      </c>
      <c r="AA499" s="3">
        <v>243</v>
      </c>
      <c r="AB499" s="3">
        <v>191</v>
      </c>
      <c r="AC499" s="3">
        <v>193</v>
      </c>
      <c r="AD499" s="3">
        <v>4</v>
      </c>
      <c r="AE499" s="3">
        <v>4</v>
      </c>
      <c r="AF499" s="3">
        <v>14</v>
      </c>
      <c r="AG499" s="3">
        <v>14</v>
      </c>
      <c r="AH499" s="3">
        <v>5</v>
      </c>
      <c r="AI499" s="3">
        <v>5</v>
      </c>
      <c r="AJ499" s="3">
        <v>2</v>
      </c>
      <c r="AK499" s="3">
        <v>2</v>
      </c>
      <c r="AL499" s="3">
        <v>6</v>
      </c>
      <c r="AM499" s="3">
        <v>6</v>
      </c>
      <c r="AN499" s="3">
        <v>3</v>
      </c>
      <c r="AO499" s="3">
        <v>3</v>
      </c>
      <c r="AP499" s="3">
        <v>0</v>
      </c>
      <c r="AQ499" s="3">
        <v>0</v>
      </c>
      <c r="AR499" s="2" t="s">
        <v>5</v>
      </c>
      <c r="AS499" s="2" t="s">
        <v>16</v>
      </c>
      <c r="AT499" s="5" t="str">
        <f>HYPERLINK("http://catalog.hathitrust.org/Record/000024362","HathiTrust Record")</f>
        <v>HathiTrust Record</v>
      </c>
      <c r="AU499" s="5" t="str">
        <f>HYPERLINK("https://creighton-primo.hosted.exlibrisgroup.com/primo-explore/search?tab=default_tab&amp;search_scope=EVERYTHING&amp;vid=01CRU&amp;lang=en_US&amp;offset=0&amp;query=any,contains,991001045089702656","Catalog Record")</f>
        <v>Catalog Record</v>
      </c>
      <c r="AV499" s="5" t="str">
        <f>HYPERLINK("http://www.worldcat.org/oclc/4638285","WorldCat Record")</f>
        <v>WorldCat Record</v>
      </c>
      <c r="AW499" s="2" t="s">
        <v>6106</v>
      </c>
      <c r="AX499" s="2" t="s">
        <v>6107</v>
      </c>
      <c r="AY499" s="2" t="s">
        <v>6108</v>
      </c>
      <c r="AZ499" s="2" t="s">
        <v>6108</v>
      </c>
      <c r="BA499" s="2" t="s">
        <v>6109</v>
      </c>
      <c r="BB499" s="2" t="s">
        <v>21</v>
      </c>
      <c r="BD499" s="2" t="s">
        <v>6110</v>
      </c>
      <c r="BE499" s="2" t="s">
        <v>6111</v>
      </c>
      <c r="BF499" s="2" t="s">
        <v>6112</v>
      </c>
    </row>
    <row r="500" spans="1:58" ht="41.25" customHeight="1" x14ac:dyDescent="0.25">
      <c r="A500" s="8" t="s">
        <v>5</v>
      </c>
      <c r="B500" s="1" t="s">
        <v>0</v>
      </c>
      <c r="C500" s="1" t="s">
        <v>1</v>
      </c>
      <c r="D500" s="1" t="s">
        <v>6113</v>
      </c>
      <c r="E500" s="1" t="s">
        <v>6114</v>
      </c>
      <c r="F500" s="1" t="s">
        <v>6115</v>
      </c>
      <c r="H500" s="2" t="s">
        <v>5</v>
      </c>
      <c r="I500" s="2" t="s">
        <v>6</v>
      </c>
      <c r="J500" s="2" t="s">
        <v>5</v>
      </c>
      <c r="K500" s="2" t="s">
        <v>5</v>
      </c>
      <c r="L500" s="2" t="s">
        <v>7</v>
      </c>
      <c r="M500" s="1" t="s">
        <v>6116</v>
      </c>
      <c r="N500" s="1" t="s">
        <v>6117</v>
      </c>
      <c r="O500" s="2" t="s">
        <v>601</v>
      </c>
      <c r="Q500" s="2" t="s">
        <v>11</v>
      </c>
      <c r="R500" s="2" t="s">
        <v>1325</v>
      </c>
      <c r="T500" s="2" t="s">
        <v>520</v>
      </c>
      <c r="U500" s="3">
        <v>0</v>
      </c>
      <c r="V500" s="3">
        <v>0</v>
      </c>
      <c r="W500" s="4" t="s">
        <v>2104</v>
      </c>
      <c r="X500" s="4" t="s">
        <v>2104</v>
      </c>
      <c r="Y500" s="4" t="s">
        <v>604</v>
      </c>
      <c r="Z500" s="4" t="s">
        <v>604</v>
      </c>
      <c r="AA500" s="3">
        <v>195</v>
      </c>
      <c r="AB500" s="3">
        <v>181</v>
      </c>
      <c r="AC500" s="3">
        <v>196</v>
      </c>
      <c r="AD500" s="3">
        <v>2</v>
      </c>
      <c r="AE500" s="3">
        <v>2</v>
      </c>
      <c r="AF500" s="3">
        <v>10</v>
      </c>
      <c r="AG500" s="3">
        <v>10</v>
      </c>
      <c r="AH500" s="3">
        <v>3</v>
      </c>
      <c r="AI500" s="3">
        <v>3</v>
      </c>
      <c r="AJ500" s="3">
        <v>2</v>
      </c>
      <c r="AK500" s="3">
        <v>2</v>
      </c>
      <c r="AL500" s="3">
        <v>5</v>
      </c>
      <c r="AM500" s="3">
        <v>5</v>
      </c>
      <c r="AN500" s="3">
        <v>0</v>
      </c>
      <c r="AO500" s="3">
        <v>0</v>
      </c>
      <c r="AP500" s="3">
        <v>0</v>
      </c>
      <c r="AQ500" s="3">
        <v>0</v>
      </c>
      <c r="AR500" s="2" t="s">
        <v>5</v>
      </c>
      <c r="AS500" s="2" t="s">
        <v>16</v>
      </c>
      <c r="AT500" s="5" t="str">
        <f>HYPERLINK("http://catalog.hathitrust.org/Record/002999760","HathiTrust Record")</f>
        <v>HathiTrust Record</v>
      </c>
      <c r="AU500" s="5" t="str">
        <f>HYPERLINK("https://creighton-primo.hosted.exlibrisgroup.com/primo-explore/search?tab=default_tab&amp;search_scope=EVERYTHING&amp;vid=01CRU&amp;lang=en_US&amp;offset=0&amp;query=any,contains,991000255919702656","Catalog Record")</f>
        <v>Catalog Record</v>
      </c>
      <c r="AV500" s="5" t="str">
        <f>HYPERLINK("http://www.worldcat.org/oclc/32807803","WorldCat Record")</f>
        <v>WorldCat Record</v>
      </c>
      <c r="AW500" s="2" t="s">
        <v>6118</v>
      </c>
      <c r="AX500" s="2" t="s">
        <v>6119</v>
      </c>
      <c r="AY500" s="2" t="s">
        <v>6120</v>
      </c>
      <c r="AZ500" s="2" t="s">
        <v>6120</v>
      </c>
      <c r="BA500" s="2" t="s">
        <v>6121</v>
      </c>
      <c r="BB500" s="2" t="s">
        <v>21</v>
      </c>
      <c r="BD500" s="2" t="s">
        <v>6122</v>
      </c>
      <c r="BE500" s="2" t="s">
        <v>6123</v>
      </c>
      <c r="BF500" s="2" t="s">
        <v>6124</v>
      </c>
    </row>
    <row r="501" spans="1:58" ht="41.25" customHeight="1" x14ac:dyDescent="0.25">
      <c r="A501" s="8" t="s">
        <v>5</v>
      </c>
      <c r="B501" s="1" t="s">
        <v>0</v>
      </c>
      <c r="C501" s="1" t="s">
        <v>1</v>
      </c>
      <c r="D501" s="1" t="s">
        <v>6125</v>
      </c>
      <c r="E501" s="1" t="s">
        <v>6126</v>
      </c>
      <c r="F501" s="1" t="s">
        <v>6127</v>
      </c>
      <c r="H501" s="2" t="s">
        <v>5</v>
      </c>
      <c r="I501" s="2" t="s">
        <v>6</v>
      </c>
      <c r="J501" s="2" t="s">
        <v>5</v>
      </c>
      <c r="K501" s="2" t="s">
        <v>16</v>
      </c>
      <c r="L501" s="2" t="s">
        <v>7</v>
      </c>
      <c r="M501" s="1" t="s">
        <v>6128</v>
      </c>
      <c r="N501" s="1" t="s">
        <v>6129</v>
      </c>
      <c r="O501" s="2" t="s">
        <v>1004</v>
      </c>
      <c r="Q501" s="2" t="s">
        <v>11</v>
      </c>
      <c r="R501" s="2" t="s">
        <v>78</v>
      </c>
      <c r="T501" s="2" t="s">
        <v>520</v>
      </c>
      <c r="U501" s="3">
        <v>7</v>
      </c>
      <c r="V501" s="3">
        <v>7</v>
      </c>
      <c r="W501" s="4" t="s">
        <v>5246</v>
      </c>
      <c r="X501" s="4" t="s">
        <v>5246</v>
      </c>
      <c r="Y501" s="4" t="s">
        <v>5159</v>
      </c>
      <c r="Z501" s="4" t="s">
        <v>5159</v>
      </c>
      <c r="AA501" s="3">
        <v>161</v>
      </c>
      <c r="AB501" s="3">
        <v>120</v>
      </c>
      <c r="AC501" s="3">
        <v>722</v>
      </c>
      <c r="AD501" s="3">
        <v>1</v>
      </c>
      <c r="AE501" s="3">
        <v>7</v>
      </c>
      <c r="AF501" s="3">
        <v>6</v>
      </c>
      <c r="AG501" s="3">
        <v>34</v>
      </c>
      <c r="AH501" s="3">
        <v>3</v>
      </c>
      <c r="AI501" s="3">
        <v>12</v>
      </c>
      <c r="AJ501" s="3">
        <v>1</v>
      </c>
      <c r="AK501" s="3">
        <v>7</v>
      </c>
      <c r="AL501" s="3">
        <v>4</v>
      </c>
      <c r="AM501" s="3">
        <v>14</v>
      </c>
      <c r="AN501" s="3">
        <v>0</v>
      </c>
      <c r="AO501" s="3">
        <v>6</v>
      </c>
      <c r="AP501" s="3">
        <v>0</v>
      </c>
      <c r="AQ501" s="3">
        <v>1</v>
      </c>
      <c r="AR501" s="2" t="s">
        <v>5</v>
      </c>
      <c r="AS501" s="2" t="s">
        <v>16</v>
      </c>
      <c r="AT501" s="5" t="str">
        <f>HYPERLINK("http://catalog.hathitrust.org/Record/004012991","HathiTrust Record")</f>
        <v>HathiTrust Record</v>
      </c>
      <c r="AU501" s="5" t="str">
        <f>HYPERLINK("https://creighton-primo.hosted.exlibrisgroup.com/primo-explore/search?tab=default_tab&amp;search_scope=EVERYTHING&amp;vid=01CRU&amp;lang=en_US&amp;offset=0&amp;query=any,contains,991001530809702656","Catalog Record")</f>
        <v>Catalog Record</v>
      </c>
      <c r="AV501" s="5" t="str">
        <f>HYPERLINK("http://www.worldcat.org/oclc/38121175","WorldCat Record")</f>
        <v>WorldCat Record</v>
      </c>
      <c r="AW501" s="2" t="s">
        <v>6130</v>
      </c>
      <c r="AX501" s="2" t="s">
        <v>6131</v>
      </c>
      <c r="AY501" s="2" t="s">
        <v>6132</v>
      </c>
      <c r="AZ501" s="2" t="s">
        <v>6132</v>
      </c>
      <c r="BA501" s="2" t="s">
        <v>6133</v>
      </c>
      <c r="BB501" s="2" t="s">
        <v>21</v>
      </c>
      <c r="BD501" s="2" t="s">
        <v>6134</v>
      </c>
      <c r="BE501" s="2" t="s">
        <v>6135</v>
      </c>
      <c r="BF501" s="2" t="s">
        <v>6136</v>
      </c>
    </row>
    <row r="502" spans="1:58" ht="41.25" customHeight="1" x14ac:dyDescent="0.25">
      <c r="A502" s="8" t="s">
        <v>5</v>
      </c>
      <c r="B502" s="1" t="s">
        <v>0</v>
      </c>
      <c r="C502" s="1" t="s">
        <v>1</v>
      </c>
      <c r="D502" s="1" t="s">
        <v>6137</v>
      </c>
      <c r="E502" s="1" t="s">
        <v>6138</v>
      </c>
      <c r="F502" s="1" t="s">
        <v>6139</v>
      </c>
      <c r="H502" s="2" t="s">
        <v>5</v>
      </c>
      <c r="I502" s="2" t="s">
        <v>6</v>
      </c>
      <c r="J502" s="2" t="s">
        <v>5</v>
      </c>
      <c r="K502" s="2" t="s">
        <v>5</v>
      </c>
      <c r="L502" s="2" t="s">
        <v>7</v>
      </c>
      <c r="M502" s="1" t="s">
        <v>6140</v>
      </c>
      <c r="N502" s="1" t="s">
        <v>2175</v>
      </c>
      <c r="O502" s="2" t="s">
        <v>382</v>
      </c>
      <c r="Q502" s="2" t="s">
        <v>11</v>
      </c>
      <c r="R502" s="2" t="s">
        <v>426</v>
      </c>
      <c r="T502" s="2" t="s">
        <v>520</v>
      </c>
      <c r="U502" s="3">
        <v>33</v>
      </c>
      <c r="V502" s="3">
        <v>33</v>
      </c>
      <c r="W502" s="4" t="s">
        <v>6141</v>
      </c>
      <c r="X502" s="4" t="s">
        <v>6141</v>
      </c>
      <c r="Y502" s="4" t="s">
        <v>168</v>
      </c>
      <c r="Z502" s="4" t="s">
        <v>168</v>
      </c>
      <c r="AA502" s="3">
        <v>202</v>
      </c>
      <c r="AB502" s="3">
        <v>171</v>
      </c>
      <c r="AC502" s="3">
        <v>215</v>
      </c>
      <c r="AD502" s="3">
        <v>2</v>
      </c>
      <c r="AE502" s="3">
        <v>2</v>
      </c>
      <c r="AF502" s="3">
        <v>5</v>
      </c>
      <c r="AG502" s="3">
        <v>6</v>
      </c>
      <c r="AH502" s="3">
        <v>1</v>
      </c>
      <c r="AI502" s="3">
        <v>1</v>
      </c>
      <c r="AJ502" s="3">
        <v>2</v>
      </c>
      <c r="AK502" s="3">
        <v>2</v>
      </c>
      <c r="AL502" s="3">
        <v>1</v>
      </c>
      <c r="AM502" s="3">
        <v>2</v>
      </c>
      <c r="AN502" s="3">
        <v>1</v>
      </c>
      <c r="AO502" s="3">
        <v>1</v>
      </c>
      <c r="AP502" s="3">
        <v>0</v>
      </c>
      <c r="AQ502" s="3">
        <v>0</v>
      </c>
      <c r="AR502" s="2" t="s">
        <v>5</v>
      </c>
      <c r="AS502" s="2" t="s">
        <v>16</v>
      </c>
      <c r="AT502" s="5" t="str">
        <f>HYPERLINK("http://catalog.hathitrust.org/Record/000578810","HathiTrust Record")</f>
        <v>HathiTrust Record</v>
      </c>
      <c r="AU502" s="5" t="str">
        <f>HYPERLINK("https://creighton-primo.hosted.exlibrisgroup.com/primo-explore/search?tab=default_tab&amp;search_scope=EVERYTHING&amp;vid=01CRU&amp;lang=en_US&amp;offset=0&amp;query=any,contains,991001045169702656","Catalog Record")</f>
        <v>Catalog Record</v>
      </c>
      <c r="AV502" s="5" t="str">
        <f>HYPERLINK("http://www.worldcat.org/oclc/12162593","WorldCat Record")</f>
        <v>WorldCat Record</v>
      </c>
      <c r="AW502" s="2" t="s">
        <v>6142</v>
      </c>
      <c r="AX502" s="2" t="s">
        <v>6143</v>
      </c>
      <c r="AY502" s="2" t="s">
        <v>6144</v>
      </c>
      <c r="AZ502" s="2" t="s">
        <v>6144</v>
      </c>
      <c r="BA502" s="2" t="s">
        <v>6145</v>
      </c>
      <c r="BB502" s="2" t="s">
        <v>21</v>
      </c>
      <c r="BD502" s="2" t="s">
        <v>6146</v>
      </c>
      <c r="BE502" s="2" t="s">
        <v>6147</v>
      </c>
      <c r="BF502" s="2" t="s">
        <v>6148</v>
      </c>
    </row>
    <row r="503" spans="1:58" ht="41.25" customHeight="1" x14ac:dyDescent="0.25">
      <c r="A503" s="8" t="s">
        <v>5</v>
      </c>
      <c r="B503" s="1" t="s">
        <v>0</v>
      </c>
      <c r="C503" s="1" t="s">
        <v>1</v>
      </c>
      <c r="D503" s="1" t="s">
        <v>6149</v>
      </c>
      <c r="E503" s="1" t="s">
        <v>6150</v>
      </c>
      <c r="F503" s="1" t="s">
        <v>6151</v>
      </c>
      <c r="H503" s="2" t="s">
        <v>5</v>
      </c>
      <c r="I503" s="2" t="s">
        <v>6</v>
      </c>
      <c r="J503" s="2" t="s">
        <v>5</v>
      </c>
      <c r="K503" s="2" t="s">
        <v>5</v>
      </c>
      <c r="L503" s="2" t="s">
        <v>7</v>
      </c>
      <c r="N503" s="1" t="s">
        <v>6152</v>
      </c>
      <c r="O503" s="2" t="s">
        <v>939</v>
      </c>
      <c r="Q503" s="2" t="s">
        <v>11</v>
      </c>
      <c r="R503" s="2" t="s">
        <v>426</v>
      </c>
      <c r="T503" s="2" t="s">
        <v>520</v>
      </c>
      <c r="U503" s="3">
        <v>111</v>
      </c>
      <c r="V503" s="3">
        <v>111</v>
      </c>
      <c r="W503" s="4" t="s">
        <v>6153</v>
      </c>
      <c r="X503" s="4" t="s">
        <v>6153</v>
      </c>
      <c r="Y503" s="4" t="s">
        <v>6154</v>
      </c>
      <c r="Z503" s="4" t="s">
        <v>6154</v>
      </c>
      <c r="AA503" s="3">
        <v>248</v>
      </c>
      <c r="AB503" s="3">
        <v>207</v>
      </c>
      <c r="AC503" s="3">
        <v>254</v>
      </c>
      <c r="AD503" s="3">
        <v>3</v>
      </c>
      <c r="AE503" s="3">
        <v>5</v>
      </c>
      <c r="AF503" s="3">
        <v>10</v>
      </c>
      <c r="AG503" s="3">
        <v>13</v>
      </c>
      <c r="AH503" s="3">
        <v>1</v>
      </c>
      <c r="AI503" s="3">
        <v>2</v>
      </c>
      <c r="AJ503" s="3">
        <v>2</v>
      </c>
      <c r="AK503" s="3">
        <v>3</v>
      </c>
      <c r="AL503" s="3">
        <v>6</v>
      </c>
      <c r="AM503" s="3">
        <v>7</v>
      </c>
      <c r="AN503" s="3">
        <v>2</v>
      </c>
      <c r="AO503" s="3">
        <v>3</v>
      </c>
      <c r="AP503" s="3">
        <v>0</v>
      </c>
      <c r="AQ503" s="3">
        <v>0</v>
      </c>
      <c r="AR503" s="2" t="s">
        <v>5</v>
      </c>
      <c r="AS503" s="2" t="s">
        <v>16</v>
      </c>
      <c r="AT503" s="5" t="str">
        <f>HYPERLINK("http://catalog.hathitrust.org/Record/000927956","HathiTrust Record")</f>
        <v>HathiTrust Record</v>
      </c>
      <c r="AU503" s="5" t="str">
        <f>HYPERLINK("https://creighton-primo.hosted.exlibrisgroup.com/primo-explore/search?tab=default_tab&amp;search_scope=EVERYTHING&amp;vid=01CRU&amp;lang=en_US&amp;offset=0&amp;query=any,contains,991001418729702656","Catalog Record")</f>
        <v>Catalog Record</v>
      </c>
      <c r="AV503" s="5" t="str">
        <f>HYPERLINK("http://www.worldcat.org/oclc/17618508","WorldCat Record")</f>
        <v>WorldCat Record</v>
      </c>
      <c r="AW503" s="2" t="s">
        <v>6155</v>
      </c>
      <c r="AX503" s="2" t="s">
        <v>6156</v>
      </c>
      <c r="AY503" s="2" t="s">
        <v>6157</v>
      </c>
      <c r="AZ503" s="2" t="s">
        <v>6157</v>
      </c>
      <c r="BA503" s="2" t="s">
        <v>6158</v>
      </c>
      <c r="BB503" s="2" t="s">
        <v>21</v>
      </c>
      <c r="BD503" s="2" t="s">
        <v>6159</v>
      </c>
      <c r="BE503" s="2" t="s">
        <v>6160</v>
      </c>
      <c r="BF503" s="2" t="s">
        <v>6161</v>
      </c>
    </row>
    <row r="504" spans="1:58" ht="41.25" customHeight="1" x14ac:dyDescent="0.25">
      <c r="A504" s="8" t="s">
        <v>5</v>
      </c>
      <c r="B504" s="1" t="s">
        <v>0</v>
      </c>
      <c r="C504" s="1" t="s">
        <v>1</v>
      </c>
      <c r="D504" s="1" t="s">
        <v>6162</v>
      </c>
      <c r="E504" s="1" t="s">
        <v>6163</v>
      </c>
      <c r="F504" s="1" t="s">
        <v>6164</v>
      </c>
      <c r="H504" s="2" t="s">
        <v>5</v>
      </c>
      <c r="I504" s="2" t="s">
        <v>6</v>
      </c>
      <c r="J504" s="2" t="s">
        <v>5</v>
      </c>
      <c r="K504" s="2" t="s">
        <v>16</v>
      </c>
      <c r="L504" s="2" t="s">
        <v>7</v>
      </c>
      <c r="N504" s="1" t="s">
        <v>6165</v>
      </c>
      <c r="O504" s="2" t="s">
        <v>1283</v>
      </c>
      <c r="P504" s="1" t="s">
        <v>211</v>
      </c>
      <c r="Q504" s="2" t="s">
        <v>11</v>
      </c>
      <c r="R504" s="2" t="s">
        <v>271</v>
      </c>
      <c r="S504" s="1" t="s">
        <v>6166</v>
      </c>
      <c r="T504" s="2" t="s">
        <v>520</v>
      </c>
      <c r="U504" s="3">
        <v>79</v>
      </c>
      <c r="V504" s="3">
        <v>79</v>
      </c>
      <c r="W504" s="4" t="s">
        <v>6167</v>
      </c>
      <c r="X504" s="4" t="s">
        <v>6167</v>
      </c>
      <c r="Y504" s="4" t="s">
        <v>6168</v>
      </c>
      <c r="Z504" s="4" t="s">
        <v>6168</v>
      </c>
      <c r="AA504" s="3">
        <v>322</v>
      </c>
      <c r="AB504" s="3">
        <v>259</v>
      </c>
      <c r="AC504" s="3">
        <v>920</v>
      </c>
      <c r="AD504" s="3">
        <v>3</v>
      </c>
      <c r="AE504" s="3">
        <v>6</v>
      </c>
      <c r="AF504" s="3">
        <v>13</v>
      </c>
      <c r="AG504" s="3">
        <v>31</v>
      </c>
      <c r="AH504" s="3">
        <v>5</v>
      </c>
      <c r="AI504" s="3">
        <v>14</v>
      </c>
      <c r="AJ504" s="3">
        <v>2</v>
      </c>
      <c r="AK504" s="3">
        <v>6</v>
      </c>
      <c r="AL504" s="3">
        <v>8</v>
      </c>
      <c r="AM504" s="3">
        <v>14</v>
      </c>
      <c r="AN504" s="3">
        <v>1</v>
      </c>
      <c r="AO504" s="3">
        <v>4</v>
      </c>
      <c r="AP504" s="3">
        <v>0</v>
      </c>
      <c r="AQ504" s="3">
        <v>0</v>
      </c>
      <c r="AR504" s="2" t="s">
        <v>5</v>
      </c>
      <c r="AS504" s="2" t="s">
        <v>16</v>
      </c>
      <c r="AT504" s="5" t="str">
        <f>HYPERLINK("http://catalog.hathitrust.org/Record/003148929","HathiTrust Record")</f>
        <v>HathiTrust Record</v>
      </c>
      <c r="AU504" s="5" t="str">
        <f>HYPERLINK("https://creighton-primo.hosted.exlibrisgroup.com/primo-explore/search?tab=default_tab&amp;search_scope=EVERYTHING&amp;vid=01CRU&amp;lang=en_US&amp;offset=0&amp;query=any,contains,991001060309702656","Catalog Record")</f>
        <v>Catalog Record</v>
      </c>
      <c r="AV504" s="5" t="str">
        <f>HYPERLINK("http://www.worldcat.org/oclc/36511846","WorldCat Record")</f>
        <v>WorldCat Record</v>
      </c>
      <c r="AW504" s="2" t="s">
        <v>6169</v>
      </c>
      <c r="AX504" s="2" t="s">
        <v>6170</v>
      </c>
      <c r="AY504" s="2" t="s">
        <v>6171</v>
      </c>
      <c r="AZ504" s="2" t="s">
        <v>6171</v>
      </c>
      <c r="BA504" s="2" t="s">
        <v>6172</v>
      </c>
      <c r="BB504" s="2" t="s">
        <v>21</v>
      </c>
      <c r="BD504" s="2" t="s">
        <v>6173</v>
      </c>
      <c r="BE504" s="2" t="s">
        <v>6174</v>
      </c>
      <c r="BF504" s="2" t="s">
        <v>6175</v>
      </c>
    </row>
    <row r="505" spans="1:58" ht="41.25" customHeight="1" x14ac:dyDescent="0.25">
      <c r="A505" s="8" t="s">
        <v>5</v>
      </c>
      <c r="B505" s="1" t="s">
        <v>0</v>
      </c>
      <c r="C505" s="1" t="s">
        <v>1</v>
      </c>
      <c r="D505" s="1" t="s">
        <v>6176</v>
      </c>
      <c r="E505" s="1" t="s">
        <v>6177</v>
      </c>
      <c r="F505" s="1" t="s">
        <v>6178</v>
      </c>
      <c r="H505" s="2" t="s">
        <v>5</v>
      </c>
      <c r="I505" s="2" t="s">
        <v>6</v>
      </c>
      <c r="J505" s="2" t="s">
        <v>5</v>
      </c>
      <c r="K505" s="2" t="s">
        <v>5</v>
      </c>
      <c r="L505" s="2" t="s">
        <v>7</v>
      </c>
      <c r="M505" s="1" t="s">
        <v>6179</v>
      </c>
      <c r="N505" s="1" t="s">
        <v>6180</v>
      </c>
      <c r="O505" s="2" t="s">
        <v>1339</v>
      </c>
      <c r="Q505" s="2" t="s">
        <v>11</v>
      </c>
      <c r="R505" s="2" t="s">
        <v>31</v>
      </c>
      <c r="S505" s="1" t="s">
        <v>6181</v>
      </c>
      <c r="T505" s="2" t="s">
        <v>520</v>
      </c>
      <c r="U505" s="3">
        <v>4</v>
      </c>
      <c r="V505" s="3">
        <v>4</v>
      </c>
      <c r="W505" s="4" t="s">
        <v>6182</v>
      </c>
      <c r="X505" s="4" t="s">
        <v>6182</v>
      </c>
      <c r="Y505" s="4" t="s">
        <v>1639</v>
      </c>
      <c r="Z505" s="4" t="s">
        <v>1639</v>
      </c>
      <c r="AA505" s="3">
        <v>65</v>
      </c>
      <c r="AB505" s="3">
        <v>64</v>
      </c>
      <c r="AC505" s="3">
        <v>64</v>
      </c>
      <c r="AD505" s="3">
        <v>1</v>
      </c>
      <c r="AE505" s="3">
        <v>1</v>
      </c>
      <c r="AF505" s="3">
        <v>2</v>
      </c>
      <c r="AG505" s="3">
        <v>2</v>
      </c>
      <c r="AH505" s="3">
        <v>0</v>
      </c>
      <c r="AI505" s="3">
        <v>0</v>
      </c>
      <c r="AJ505" s="3">
        <v>0</v>
      </c>
      <c r="AK505" s="3">
        <v>0</v>
      </c>
      <c r="AL505" s="3">
        <v>2</v>
      </c>
      <c r="AM505" s="3">
        <v>2</v>
      </c>
      <c r="AN505" s="3">
        <v>0</v>
      </c>
      <c r="AO505" s="3">
        <v>0</v>
      </c>
      <c r="AP505" s="3">
        <v>0</v>
      </c>
      <c r="AQ505" s="3">
        <v>0</v>
      </c>
      <c r="AR505" s="2" t="s">
        <v>5</v>
      </c>
      <c r="AS505" s="2" t="s">
        <v>5</v>
      </c>
      <c r="AU505" s="5" t="str">
        <f>HYPERLINK("https://creighton-primo.hosted.exlibrisgroup.com/primo-explore/search?tab=default_tab&amp;search_scope=EVERYTHING&amp;vid=01CRU&amp;lang=en_US&amp;offset=0&amp;query=any,contains,991001179559702656","Catalog Record")</f>
        <v>Catalog Record</v>
      </c>
      <c r="AV505" s="5" t="str">
        <f>HYPERLINK("http://www.worldcat.org/oclc/17604790","WorldCat Record")</f>
        <v>WorldCat Record</v>
      </c>
      <c r="AW505" s="2" t="s">
        <v>6183</v>
      </c>
      <c r="AX505" s="2" t="s">
        <v>6184</v>
      </c>
      <c r="AY505" s="2" t="s">
        <v>6185</v>
      </c>
      <c r="AZ505" s="2" t="s">
        <v>6185</v>
      </c>
      <c r="BA505" s="2" t="s">
        <v>6186</v>
      </c>
      <c r="BB505" s="2" t="s">
        <v>21</v>
      </c>
      <c r="BE505" s="2" t="s">
        <v>6187</v>
      </c>
      <c r="BF505" s="2" t="s">
        <v>6188</v>
      </c>
    </row>
    <row r="506" spans="1:58" ht="41.25" customHeight="1" x14ac:dyDescent="0.25">
      <c r="A506" s="8" t="s">
        <v>5</v>
      </c>
      <c r="B506" s="1" t="s">
        <v>0</v>
      </c>
      <c r="C506" s="1" t="s">
        <v>1</v>
      </c>
      <c r="D506" s="1" t="s">
        <v>6189</v>
      </c>
      <c r="E506" s="1" t="s">
        <v>6190</v>
      </c>
      <c r="F506" s="1" t="s">
        <v>6191</v>
      </c>
      <c r="H506" s="2" t="s">
        <v>5</v>
      </c>
      <c r="I506" s="2" t="s">
        <v>6</v>
      </c>
      <c r="J506" s="2" t="s">
        <v>5</v>
      </c>
      <c r="K506" s="2" t="s">
        <v>5</v>
      </c>
      <c r="L506" s="2" t="s">
        <v>6</v>
      </c>
      <c r="N506" s="1" t="s">
        <v>6192</v>
      </c>
      <c r="O506" s="2" t="s">
        <v>1391</v>
      </c>
      <c r="Q506" s="2" t="s">
        <v>11</v>
      </c>
      <c r="R506" s="2" t="s">
        <v>12</v>
      </c>
      <c r="T506" s="2" t="s">
        <v>520</v>
      </c>
      <c r="U506" s="3">
        <v>0</v>
      </c>
      <c r="V506" s="3">
        <v>0</v>
      </c>
      <c r="W506" s="4" t="s">
        <v>6193</v>
      </c>
      <c r="X506" s="4" t="s">
        <v>6193</v>
      </c>
      <c r="Y506" s="4" t="s">
        <v>6194</v>
      </c>
      <c r="Z506" s="4" t="s">
        <v>6194</v>
      </c>
      <c r="AA506" s="3">
        <v>396</v>
      </c>
      <c r="AB506" s="3">
        <v>330</v>
      </c>
      <c r="AC506" s="3">
        <v>1284</v>
      </c>
      <c r="AD506" s="3">
        <v>1</v>
      </c>
      <c r="AE506" s="3">
        <v>14</v>
      </c>
      <c r="AF506" s="3">
        <v>16</v>
      </c>
      <c r="AG506" s="3">
        <v>52</v>
      </c>
      <c r="AH506" s="3">
        <v>7</v>
      </c>
      <c r="AI506" s="3">
        <v>17</v>
      </c>
      <c r="AJ506" s="3">
        <v>3</v>
      </c>
      <c r="AK506" s="3">
        <v>11</v>
      </c>
      <c r="AL506" s="3">
        <v>11</v>
      </c>
      <c r="AM506" s="3">
        <v>20</v>
      </c>
      <c r="AN506" s="3">
        <v>0</v>
      </c>
      <c r="AO506" s="3">
        <v>12</v>
      </c>
      <c r="AP506" s="3">
        <v>0</v>
      </c>
      <c r="AQ506" s="3">
        <v>2</v>
      </c>
      <c r="AR506" s="2" t="s">
        <v>5</v>
      </c>
      <c r="AS506" s="2" t="s">
        <v>16</v>
      </c>
      <c r="AT506" s="5" t="str">
        <f>HYPERLINK("http://catalog.hathitrust.org/Record/004929813","HathiTrust Record")</f>
        <v>HathiTrust Record</v>
      </c>
      <c r="AU506" s="5" t="str">
        <f>HYPERLINK("https://creighton-primo.hosted.exlibrisgroup.com/primo-explore/search?tab=default_tab&amp;search_scope=EVERYTHING&amp;vid=01CRU&amp;lang=en_US&amp;offset=0&amp;query=any,contains,991001731979702656","Catalog Record")</f>
        <v>Catalog Record</v>
      </c>
      <c r="AV506" s="5" t="str">
        <f>HYPERLINK("http://www.worldcat.org/oclc/55990253","WorldCat Record")</f>
        <v>WorldCat Record</v>
      </c>
      <c r="AW506" s="2" t="s">
        <v>6195</v>
      </c>
      <c r="AX506" s="2" t="s">
        <v>6196</v>
      </c>
      <c r="AY506" s="2" t="s">
        <v>6197</v>
      </c>
      <c r="AZ506" s="2" t="s">
        <v>6197</v>
      </c>
      <c r="BA506" s="2" t="s">
        <v>6198</v>
      </c>
      <c r="BB506" s="2" t="s">
        <v>21</v>
      </c>
      <c r="BD506" s="2" t="s">
        <v>6199</v>
      </c>
      <c r="BE506" s="2" t="s">
        <v>6200</v>
      </c>
      <c r="BF506" s="2" t="s">
        <v>6201</v>
      </c>
    </row>
    <row r="507" spans="1:58" ht="41.25" customHeight="1" x14ac:dyDescent="0.25">
      <c r="A507" s="8" t="s">
        <v>5</v>
      </c>
      <c r="B507" s="1" t="s">
        <v>0</v>
      </c>
      <c r="C507" s="1" t="s">
        <v>1</v>
      </c>
      <c r="D507" s="1" t="s">
        <v>6202</v>
      </c>
      <c r="E507" s="1" t="s">
        <v>6203</v>
      </c>
      <c r="F507" s="1" t="s">
        <v>6204</v>
      </c>
      <c r="H507" s="2" t="s">
        <v>5</v>
      </c>
      <c r="I507" s="2" t="s">
        <v>6</v>
      </c>
      <c r="J507" s="2" t="s">
        <v>5</v>
      </c>
      <c r="K507" s="2" t="s">
        <v>5</v>
      </c>
      <c r="L507" s="2" t="s">
        <v>7</v>
      </c>
      <c r="N507" s="1" t="s">
        <v>299</v>
      </c>
      <c r="O507" s="2" t="s">
        <v>285</v>
      </c>
      <c r="Q507" s="2" t="s">
        <v>11</v>
      </c>
      <c r="R507" s="2" t="s">
        <v>12</v>
      </c>
      <c r="T507" s="2" t="s">
        <v>520</v>
      </c>
      <c r="U507" s="3">
        <v>2</v>
      </c>
      <c r="V507" s="3">
        <v>2</v>
      </c>
      <c r="W507" s="4" t="s">
        <v>4547</v>
      </c>
      <c r="X507" s="4" t="s">
        <v>4547</v>
      </c>
      <c r="Y507" s="4" t="s">
        <v>168</v>
      </c>
      <c r="Z507" s="4" t="s">
        <v>168</v>
      </c>
      <c r="AA507" s="3">
        <v>223</v>
      </c>
      <c r="AB507" s="3">
        <v>172</v>
      </c>
      <c r="AC507" s="3">
        <v>174</v>
      </c>
      <c r="AD507" s="3">
        <v>2</v>
      </c>
      <c r="AE507" s="3">
        <v>2</v>
      </c>
      <c r="AF507" s="3">
        <v>7</v>
      </c>
      <c r="AG507" s="3">
        <v>7</v>
      </c>
      <c r="AH507" s="3">
        <v>2</v>
      </c>
      <c r="AI507" s="3">
        <v>2</v>
      </c>
      <c r="AJ507" s="3">
        <v>2</v>
      </c>
      <c r="AK507" s="3">
        <v>2</v>
      </c>
      <c r="AL507" s="3">
        <v>3</v>
      </c>
      <c r="AM507" s="3">
        <v>3</v>
      </c>
      <c r="AN507" s="3">
        <v>1</v>
      </c>
      <c r="AO507" s="3">
        <v>1</v>
      </c>
      <c r="AP507" s="3">
        <v>0</v>
      </c>
      <c r="AQ507" s="3">
        <v>0</v>
      </c>
      <c r="AR507" s="2" t="s">
        <v>5</v>
      </c>
      <c r="AS507" s="2" t="s">
        <v>5</v>
      </c>
      <c r="AU507" s="5" t="str">
        <f>HYPERLINK("https://creighton-primo.hosted.exlibrisgroup.com/primo-explore/search?tab=default_tab&amp;search_scope=EVERYTHING&amp;vid=01CRU&amp;lang=en_US&amp;offset=0&amp;query=any,contains,991001045269702656","Catalog Record")</f>
        <v>Catalog Record</v>
      </c>
      <c r="AV507" s="5" t="str">
        <f>HYPERLINK("http://www.worldcat.org/oclc/4497198","WorldCat Record")</f>
        <v>WorldCat Record</v>
      </c>
      <c r="AW507" s="2" t="s">
        <v>6205</v>
      </c>
      <c r="AX507" s="2" t="s">
        <v>6206</v>
      </c>
      <c r="AY507" s="2" t="s">
        <v>6207</v>
      </c>
      <c r="AZ507" s="2" t="s">
        <v>6207</v>
      </c>
      <c r="BA507" s="2" t="s">
        <v>6208</v>
      </c>
      <c r="BB507" s="2" t="s">
        <v>21</v>
      </c>
      <c r="BD507" s="2" t="s">
        <v>6209</v>
      </c>
      <c r="BE507" s="2" t="s">
        <v>6210</v>
      </c>
      <c r="BF507" s="2" t="s">
        <v>6211</v>
      </c>
    </row>
    <row r="508" spans="1:58" ht="41.25" customHeight="1" x14ac:dyDescent="0.25">
      <c r="A508" s="8" t="s">
        <v>5</v>
      </c>
      <c r="B508" s="1" t="s">
        <v>0</v>
      </c>
      <c r="C508" s="1" t="s">
        <v>1</v>
      </c>
      <c r="D508" s="1" t="s">
        <v>6212</v>
      </c>
      <c r="E508" s="1" t="s">
        <v>6213</v>
      </c>
      <c r="F508" s="1" t="s">
        <v>6214</v>
      </c>
      <c r="H508" s="2" t="s">
        <v>5</v>
      </c>
      <c r="I508" s="2" t="s">
        <v>6</v>
      </c>
      <c r="J508" s="2" t="s">
        <v>5</v>
      </c>
      <c r="K508" s="2" t="s">
        <v>5</v>
      </c>
      <c r="L508" s="2" t="s">
        <v>6</v>
      </c>
      <c r="M508" s="1" t="s">
        <v>6215</v>
      </c>
      <c r="N508" s="1" t="s">
        <v>5941</v>
      </c>
      <c r="O508" s="2" t="s">
        <v>1378</v>
      </c>
      <c r="Q508" s="2" t="s">
        <v>11</v>
      </c>
      <c r="R508" s="2" t="s">
        <v>1019</v>
      </c>
      <c r="T508" s="2" t="s">
        <v>520</v>
      </c>
      <c r="U508" s="3">
        <v>5</v>
      </c>
      <c r="V508" s="3">
        <v>5</v>
      </c>
      <c r="W508" s="4" t="s">
        <v>1196</v>
      </c>
      <c r="X508" s="4" t="s">
        <v>1196</v>
      </c>
      <c r="Y508" s="4" t="s">
        <v>1006</v>
      </c>
      <c r="Z508" s="4" t="s">
        <v>1006</v>
      </c>
      <c r="AA508" s="3">
        <v>269</v>
      </c>
      <c r="AB508" s="3">
        <v>178</v>
      </c>
      <c r="AC508" s="3">
        <v>961</v>
      </c>
      <c r="AD508" s="3">
        <v>1</v>
      </c>
      <c r="AE508" s="3">
        <v>14</v>
      </c>
      <c r="AF508" s="3">
        <v>10</v>
      </c>
      <c r="AG508" s="3">
        <v>39</v>
      </c>
      <c r="AH508" s="3">
        <v>4</v>
      </c>
      <c r="AI508" s="3">
        <v>12</v>
      </c>
      <c r="AJ508" s="3">
        <v>2</v>
      </c>
      <c r="AK508" s="3">
        <v>7</v>
      </c>
      <c r="AL508" s="3">
        <v>7</v>
      </c>
      <c r="AM508" s="3">
        <v>15</v>
      </c>
      <c r="AN508" s="3">
        <v>0</v>
      </c>
      <c r="AO508" s="3">
        <v>12</v>
      </c>
      <c r="AP508" s="3">
        <v>0</v>
      </c>
      <c r="AQ508" s="3">
        <v>1</v>
      </c>
      <c r="AR508" s="2" t="s">
        <v>5</v>
      </c>
      <c r="AS508" s="2" t="s">
        <v>16</v>
      </c>
      <c r="AT508" s="5" t="str">
        <f>HYPERLINK("http://catalog.hathitrust.org/Record/004540747","HathiTrust Record")</f>
        <v>HathiTrust Record</v>
      </c>
      <c r="AU508" s="5" t="str">
        <f>HYPERLINK("https://creighton-primo.hosted.exlibrisgroup.com/primo-explore/search?tab=default_tab&amp;search_scope=EVERYTHING&amp;vid=01CRU&amp;lang=en_US&amp;offset=0&amp;query=any,contains,991001441159702656","Catalog Record")</f>
        <v>Catalog Record</v>
      </c>
      <c r="AV508" s="5" t="str">
        <f>HYPERLINK("http://www.worldcat.org/oclc/37947196","WorldCat Record")</f>
        <v>WorldCat Record</v>
      </c>
      <c r="AW508" s="2" t="s">
        <v>6216</v>
      </c>
      <c r="AX508" s="2" t="s">
        <v>6217</v>
      </c>
      <c r="AY508" s="2" t="s">
        <v>6218</v>
      </c>
      <c r="AZ508" s="2" t="s">
        <v>6218</v>
      </c>
      <c r="BA508" s="2" t="s">
        <v>6219</v>
      </c>
      <c r="BB508" s="2" t="s">
        <v>21</v>
      </c>
      <c r="BD508" s="2" t="s">
        <v>6220</v>
      </c>
      <c r="BE508" s="2" t="s">
        <v>6221</v>
      </c>
      <c r="BF508" s="2" t="s">
        <v>6222</v>
      </c>
    </row>
    <row r="509" spans="1:58" ht="41.25" customHeight="1" x14ac:dyDescent="0.25">
      <c r="A509" s="8" t="s">
        <v>5</v>
      </c>
      <c r="B509" s="1" t="s">
        <v>0</v>
      </c>
      <c r="C509" s="1" t="s">
        <v>1</v>
      </c>
      <c r="D509" s="1" t="s">
        <v>6223</v>
      </c>
      <c r="E509" s="1" t="s">
        <v>6224</v>
      </c>
      <c r="F509" s="1" t="s">
        <v>6225</v>
      </c>
      <c r="H509" s="2" t="s">
        <v>5</v>
      </c>
      <c r="I509" s="2" t="s">
        <v>6</v>
      </c>
      <c r="J509" s="2" t="s">
        <v>5</v>
      </c>
      <c r="K509" s="2" t="s">
        <v>5</v>
      </c>
      <c r="L509" s="2" t="s">
        <v>7</v>
      </c>
      <c r="M509" s="1" t="s">
        <v>6226</v>
      </c>
      <c r="N509" s="1" t="s">
        <v>6227</v>
      </c>
      <c r="O509" s="2" t="s">
        <v>136</v>
      </c>
      <c r="Q509" s="2" t="s">
        <v>11</v>
      </c>
      <c r="R509" s="2" t="s">
        <v>426</v>
      </c>
      <c r="T509" s="2" t="s">
        <v>520</v>
      </c>
      <c r="U509" s="3">
        <v>26</v>
      </c>
      <c r="V509" s="3">
        <v>26</v>
      </c>
      <c r="W509" s="4" t="s">
        <v>6228</v>
      </c>
      <c r="X509" s="4" t="s">
        <v>6228</v>
      </c>
      <c r="Y509" s="4" t="s">
        <v>6229</v>
      </c>
      <c r="Z509" s="4" t="s">
        <v>6229</v>
      </c>
      <c r="AA509" s="3">
        <v>274</v>
      </c>
      <c r="AB509" s="3">
        <v>211</v>
      </c>
      <c r="AC509" s="3">
        <v>218</v>
      </c>
      <c r="AD509" s="3">
        <v>1</v>
      </c>
      <c r="AE509" s="3">
        <v>1</v>
      </c>
      <c r="AF509" s="3">
        <v>12</v>
      </c>
      <c r="AG509" s="3">
        <v>12</v>
      </c>
      <c r="AH509" s="3">
        <v>5</v>
      </c>
      <c r="AI509" s="3">
        <v>5</v>
      </c>
      <c r="AJ509" s="3">
        <v>3</v>
      </c>
      <c r="AK509" s="3">
        <v>3</v>
      </c>
      <c r="AL509" s="3">
        <v>9</v>
      </c>
      <c r="AM509" s="3">
        <v>9</v>
      </c>
      <c r="AN509" s="3">
        <v>0</v>
      </c>
      <c r="AO509" s="3">
        <v>0</v>
      </c>
      <c r="AP509" s="3">
        <v>0</v>
      </c>
      <c r="AQ509" s="3">
        <v>0</v>
      </c>
      <c r="AR509" s="2" t="s">
        <v>5</v>
      </c>
      <c r="AS509" s="2" t="s">
        <v>16</v>
      </c>
      <c r="AT509" s="5" t="str">
        <f>HYPERLINK("http://catalog.hathitrust.org/Record/002233435","HathiTrust Record")</f>
        <v>HathiTrust Record</v>
      </c>
      <c r="AU509" s="5" t="str">
        <f>HYPERLINK("https://creighton-primo.hosted.exlibrisgroup.com/primo-explore/search?tab=default_tab&amp;search_scope=EVERYTHING&amp;vid=01CRU&amp;lang=en_US&amp;offset=0&amp;query=any,contains,991000823729702656","Catalog Record")</f>
        <v>Catalog Record</v>
      </c>
      <c r="AV509" s="5" t="str">
        <f>HYPERLINK("http://www.worldcat.org/oclc/21482261","WorldCat Record")</f>
        <v>WorldCat Record</v>
      </c>
      <c r="AW509" s="2" t="s">
        <v>6230</v>
      </c>
      <c r="AX509" s="2" t="s">
        <v>6231</v>
      </c>
      <c r="AY509" s="2" t="s">
        <v>6232</v>
      </c>
      <c r="AZ509" s="2" t="s">
        <v>6232</v>
      </c>
      <c r="BA509" s="2" t="s">
        <v>6233</v>
      </c>
      <c r="BB509" s="2" t="s">
        <v>21</v>
      </c>
      <c r="BD509" s="2" t="s">
        <v>6234</v>
      </c>
      <c r="BE509" s="2" t="s">
        <v>6235</v>
      </c>
      <c r="BF509" s="2" t="s">
        <v>6236</v>
      </c>
    </row>
    <row r="510" spans="1:58" ht="41.25" customHeight="1" x14ac:dyDescent="0.25">
      <c r="A510" s="8" t="s">
        <v>5</v>
      </c>
      <c r="B510" s="1" t="s">
        <v>0</v>
      </c>
      <c r="C510" s="1" t="s">
        <v>1</v>
      </c>
      <c r="D510" s="1" t="s">
        <v>6237</v>
      </c>
      <c r="E510" s="1" t="s">
        <v>6238</v>
      </c>
      <c r="F510" s="1" t="s">
        <v>6239</v>
      </c>
      <c r="H510" s="2" t="s">
        <v>5</v>
      </c>
      <c r="I510" s="2" t="s">
        <v>6</v>
      </c>
      <c r="J510" s="2" t="s">
        <v>5</v>
      </c>
      <c r="K510" s="2" t="s">
        <v>5</v>
      </c>
      <c r="L510" s="2" t="s">
        <v>7</v>
      </c>
      <c r="M510" s="1" t="s">
        <v>6240</v>
      </c>
      <c r="N510" s="1" t="s">
        <v>3819</v>
      </c>
      <c r="O510" s="2" t="s">
        <v>989</v>
      </c>
      <c r="Q510" s="2" t="s">
        <v>11</v>
      </c>
      <c r="R510" s="2" t="s">
        <v>426</v>
      </c>
      <c r="T510" s="2" t="s">
        <v>520</v>
      </c>
      <c r="U510" s="3">
        <v>22</v>
      </c>
      <c r="V510" s="3">
        <v>22</v>
      </c>
      <c r="W510" s="4" t="s">
        <v>1021</v>
      </c>
      <c r="X510" s="4" t="s">
        <v>1021</v>
      </c>
      <c r="Y510" s="4" t="s">
        <v>6241</v>
      </c>
      <c r="Z510" s="4" t="s">
        <v>6241</v>
      </c>
      <c r="AA510" s="3">
        <v>280</v>
      </c>
      <c r="AB510" s="3">
        <v>212</v>
      </c>
      <c r="AC510" s="3">
        <v>219</v>
      </c>
      <c r="AD510" s="3">
        <v>2</v>
      </c>
      <c r="AE510" s="3">
        <v>2</v>
      </c>
      <c r="AF510" s="3">
        <v>13</v>
      </c>
      <c r="AG510" s="3">
        <v>13</v>
      </c>
      <c r="AH510" s="3">
        <v>5</v>
      </c>
      <c r="AI510" s="3">
        <v>5</v>
      </c>
      <c r="AJ510" s="3">
        <v>4</v>
      </c>
      <c r="AK510" s="3">
        <v>4</v>
      </c>
      <c r="AL510" s="3">
        <v>7</v>
      </c>
      <c r="AM510" s="3">
        <v>7</v>
      </c>
      <c r="AN510" s="3">
        <v>1</v>
      </c>
      <c r="AO510" s="3">
        <v>1</v>
      </c>
      <c r="AP510" s="3">
        <v>0</v>
      </c>
      <c r="AQ510" s="3">
        <v>0</v>
      </c>
      <c r="AR510" s="2" t="s">
        <v>5</v>
      </c>
      <c r="AS510" s="2" t="s">
        <v>16</v>
      </c>
      <c r="AT510" s="5" t="str">
        <f>HYPERLINK("http://catalog.hathitrust.org/Record/001947483","HathiTrust Record")</f>
        <v>HathiTrust Record</v>
      </c>
      <c r="AU510" s="5" t="str">
        <f>HYPERLINK("https://creighton-primo.hosted.exlibrisgroup.com/primo-explore/search?tab=default_tab&amp;search_scope=EVERYTHING&amp;vid=01CRU&amp;lang=en_US&amp;offset=0&amp;query=any,contains,991001453279702656","Catalog Record")</f>
        <v>Catalog Record</v>
      </c>
      <c r="AV510" s="5" t="str">
        <f>HYPERLINK("http://www.worldcat.org/oclc/20894537","WorldCat Record")</f>
        <v>WorldCat Record</v>
      </c>
      <c r="AW510" s="2" t="s">
        <v>6242</v>
      </c>
      <c r="AX510" s="2" t="s">
        <v>6243</v>
      </c>
      <c r="AY510" s="2" t="s">
        <v>6244</v>
      </c>
      <c r="AZ510" s="2" t="s">
        <v>6244</v>
      </c>
      <c r="BA510" s="2" t="s">
        <v>6245</v>
      </c>
      <c r="BB510" s="2" t="s">
        <v>21</v>
      </c>
      <c r="BD510" s="2" t="s">
        <v>6246</v>
      </c>
      <c r="BE510" s="2" t="s">
        <v>6247</v>
      </c>
      <c r="BF510" s="2" t="s">
        <v>6248</v>
      </c>
    </row>
    <row r="511" spans="1:58" ht="41.25" customHeight="1" x14ac:dyDescent="0.25">
      <c r="A511" s="8" t="s">
        <v>5</v>
      </c>
      <c r="B511" s="1" t="s">
        <v>0</v>
      </c>
      <c r="C511" s="1" t="s">
        <v>1</v>
      </c>
      <c r="D511" s="1" t="s">
        <v>6249</v>
      </c>
      <c r="E511" s="1" t="s">
        <v>6250</v>
      </c>
      <c r="F511" s="1" t="s">
        <v>6251</v>
      </c>
      <c r="H511" s="2" t="s">
        <v>5</v>
      </c>
      <c r="I511" s="2" t="s">
        <v>974</v>
      </c>
      <c r="J511" s="2" t="s">
        <v>16</v>
      </c>
      <c r="K511" s="2" t="s">
        <v>5</v>
      </c>
      <c r="L511" s="2" t="s">
        <v>7</v>
      </c>
      <c r="M511" s="1" t="s">
        <v>5891</v>
      </c>
      <c r="N511" s="1" t="s">
        <v>3892</v>
      </c>
      <c r="O511" s="2" t="s">
        <v>1195</v>
      </c>
      <c r="P511" s="1" t="s">
        <v>211</v>
      </c>
      <c r="Q511" s="2" t="s">
        <v>11</v>
      </c>
      <c r="R511" s="2" t="s">
        <v>271</v>
      </c>
      <c r="S511" s="1" t="s">
        <v>6252</v>
      </c>
      <c r="T511" s="2" t="s">
        <v>520</v>
      </c>
      <c r="U511" s="3">
        <v>1</v>
      </c>
      <c r="V511" s="3">
        <v>2</v>
      </c>
      <c r="W511" s="4" t="s">
        <v>6253</v>
      </c>
      <c r="X511" s="4" t="s">
        <v>6253</v>
      </c>
      <c r="Y511" s="4" t="s">
        <v>6254</v>
      </c>
      <c r="Z511" s="4" t="s">
        <v>6254</v>
      </c>
      <c r="AA511" s="3">
        <v>274</v>
      </c>
      <c r="AB511" s="3">
        <v>236</v>
      </c>
      <c r="AC511" s="3">
        <v>358</v>
      </c>
      <c r="AD511" s="3">
        <v>2</v>
      </c>
      <c r="AE511" s="3">
        <v>4</v>
      </c>
      <c r="AF511" s="3">
        <v>9</v>
      </c>
      <c r="AG511" s="3">
        <v>20</v>
      </c>
      <c r="AH511" s="3">
        <v>3</v>
      </c>
      <c r="AI511" s="3">
        <v>8</v>
      </c>
      <c r="AJ511" s="3">
        <v>3</v>
      </c>
      <c r="AK511" s="3">
        <v>5</v>
      </c>
      <c r="AL511" s="3">
        <v>3</v>
      </c>
      <c r="AM511" s="3">
        <v>8</v>
      </c>
      <c r="AN511" s="3">
        <v>1</v>
      </c>
      <c r="AO511" s="3">
        <v>3</v>
      </c>
      <c r="AP511" s="3">
        <v>0</v>
      </c>
      <c r="AQ511" s="3">
        <v>0</v>
      </c>
      <c r="AR511" s="2" t="s">
        <v>5</v>
      </c>
      <c r="AS511" s="2" t="s">
        <v>16</v>
      </c>
      <c r="AT511" s="5" t="str">
        <f>HYPERLINK("http://catalog.hathitrust.org/Record/003509304","HathiTrust Record")</f>
        <v>HathiTrust Record</v>
      </c>
      <c r="AU511" s="5" t="str">
        <f>HYPERLINK("https://creighton-primo.hosted.exlibrisgroup.com/primo-explore/search?tab=default_tab&amp;search_scope=EVERYTHING&amp;vid=01CRU&amp;lang=en_US&amp;offset=0&amp;query=any,contains,991000295839702656","Catalog Record")</f>
        <v>Catalog Record</v>
      </c>
      <c r="AV511" s="5" t="str">
        <f>HYPERLINK("http://www.worldcat.org/oclc/43599088","WorldCat Record")</f>
        <v>WorldCat Record</v>
      </c>
      <c r="AW511" s="2" t="s">
        <v>6255</v>
      </c>
      <c r="AX511" s="2" t="s">
        <v>6256</v>
      </c>
      <c r="AY511" s="2" t="s">
        <v>6257</v>
      </c>
      <c r="AZ511" s="2" t="s">
        <v>6257</v>
      </c>
      <c r="BA511" s="2" t="s">
        <v>6258</v>
      </c>
      <c r="BB511" s="2" t="s">
        <v>21</v>
      </c>
      <c r="BD511" s="2" t="s">
        <v>6259</v>
      </c>
      <c r="BE511" s="2" t="s">
        <v>6260</v>
      </c>
      <c r="BF511" s="2" t="s">
        <v>6261</v>
      </c>
    </row>
    <row r="512" spans="1:58" ht="41.25" customHeight="1" x14ac:dyDescent="0.25">
      <c r="A512" s="8" t="s">
        <v>5</v>
      </c>
      <c r="B512" s="1" t="s">
        <v>0</v>
      </c>
      <c r="C512" s="1" t="s">
        <v>1</v>
      </c>
      <c r="D512" s="1" t="s">
        <v>6262</v>
      </c>
      <c r="E512" s="1" t="s">
        <v>6263</v>
      </c>
      <c r="F512" s="1" t="s">
        <v>6264</v>
      </c>
      <c r="H512" s="2" t="s">
        <v>5</v>
      </c>
      <c r="I512" s="2" t="s">
        <v>6</v>
      </c>
      <c r="J512" s="2" t="s">
        <v>5</v>
      </c>
      <c r="K512" s="2" t="s">
        <v>16</v>
      </c>
      <c r="L512" s="2" t="s">
        <v>974</v>
      </c>
      <c r="M512" s="1" t="s">
        <v>6265</v>
      </c>
      <c r="N512" s="1" t="s">
        <v>5056</v>
      </c>
      <c r="O512" s="2" t="s">
        <v>1378</v>
      </c>
      <c r="P512" s="1" t="s">
        <v>901</v>
      </c>
      <c r="Q512" s="2" t="s">
        <v>11</v>
      </c>
      <c r="R512" s="2" t="s">
        <v>3356</v>
      </c>
      <c r="T512" s="2" t="s">
        <v>520</v>
      </c>
      <c r="U512" s="3">
        <v>3</v>
      </c>
      <c r="V512" s="3">
        <v>3</v>
      </c>
      <c r="W512" s="4" t="s">
        <v>6266</v>
      </c>
      <c r="X512" s="4" t="s">
        <v>6266</v>
      </c>
      <c r="Y512" s="4" t="s">
        <v>5219</v>
      </c>
      <c r="Z512" s="4" t="s">
        <v>5219</v>
      </c>
      <c r="AA512" s="3">
        <v>206</v>
      </c>
      <c r="AB512" s="3">
        <v>145</v>
      </c>
      <c r="AC512" s="3">
        <v>703</v>
      </c>
      <c r="AD512" s="3">
        <v>1</v>
      </c>
      <c r="AE512" s="3">
        <v>3</v>
      </c>
      <c r="AF512" s="3">
        <v>6</v>
      </c>
      <c r="AG512" s="3">
        <v>28</v>
      </c>
      <c r="AH512" s="3">
        <v>1</v>
      </c>
      <c r="AI512" s="3">
        <v>10</v>
      </c>
      <c r="AJ512" s="3">
        <v>2</v>
      </c>
      <c r="AK512" s="3">
        <v>8</v>
      </c>
      <c r="AL512" s="3">
        <v>3</v>
      </c>
      <c r="AM512" s="3">
        <v>15</v>
      </c>
      <c r="AN512" s="3">
        <v>0</v>
      </c>
      <c r="AO512" s="3">
        <v>1</v>
      </c>
      <c r="AP512" s="3">
        <v>0</v>
      </c>
      <c r="AQ512" s="3">
        <v>0</v>
      </c>
      <c r="AR512" s="2" t="s">
        <v>5</v>
      </c>
      <c r="AS512" s="2" t="s">
        <v>16</v>
      </c>
      <c r="AT512" s="5" t="str">
        <f>HYPERLINK("http://catalog.hathitrust.org/Record/003962426","HathiTrust Record")</f>
        <v>HathiTrust Record</v>
      </c>
      <c r="AU512" s="5" t="str">
        <f>HYPERLINK("https://creighton-primo.hosted.exlibrisgroup.com/primo-explore/search?tab=default_tab&amp;search_scope=EVERYTHING&amp;vid=01CRU&amp;lang=en_US&amp;offset=0&amp;query=any,contains,991001572949702656","Catalog Record")</f>
        <v>Catalog Record</v>
      </c>
      <c r="AV512" s="5" t="str">
        <f>HYPERLINK("http://www.worldcat.org/oclc/37553768","WorldCat Record")</f>
        <v>WorldCat Record</v>
      </c>
      <c r="AW512" s="2" t="s">
        <v>6267</v>
      </c>
      <c r="AX512" s="2" t="s">
        <v>6268</v>
      </c>
      <c r="AY512" s="2" t="s">
        <v>6269</v>
      </c>
      <c r="AZ512" s="2" t="s">
        <v>6269</v>
      </c>
      <c r="BA512" s="2" t="s">
        <v>6270</v>
      </c>
      <c r="BB512" s="2" t="s">
        <v>21</v>
      </c>
      <c r="BD512" s="2" t="s">
        <v>6271</v>
      </c>
      <c r="BE512" s="2" t="s">
        <v>6272</v>
      </c>
      <c r="BF512" s="2" t="s">
        <v>6273</v>
      </c>
    </row>
    <row r="513" spans="1:58" ht="41.25" customHeight="1" x14ac:dyDescent="0.25">
      <c r="A513" s="8" t="s">
        <v>5</v>
      </c>
      <c r="B513" s="1" t="s">
        <v>0</v>
      </c>
      <c r="C513" s="1" t="s">
        <v>1</v>
      </c>
      <c r="D513" s="1" t="s">
        <v>6274</v>
      </c>
      <c r="E513" s="1" t="s">
        <v>6275</v>
      </c>
      <c r="F513" s="1" t="s">
        <v>6264</v>
      </c>
      <c r="H513" s="2" t="s">
        <v>5</v>
      </c>
      <c r="I513" s="2" t="s">
        <v>6</v>
      </c>
      <c r="J513" s="2" t="s">
        <v>5</v>
      </c>
      <c r="K513" s="2" t="s">
        <v>16</v>
      </c>
      <c r="L513" s="2" t="s">
        <v>974</v>
      </c>
      <c r="M513" s="1" t="s">
        <v>6265</v>
      </c>
      <c r="N513" s="1" t="s">
        <v>6276</v>
      </c>
      <c r="O513" s="2" t="s">
        <v>4990</v>
      </c>
      <c r="P513" s="1" t="s">
        <v>1208</v>
      </c>
      <c r="Q513" s="2" t="s">
        <v>11</v>
      </c>
      <c r="R513" s="2" t="s">
        <v>229</v>
      </c>
      <c r="T513" s="2" t="s">
        <v>520</v>
      </c>
      <c r="U513" s="3">
        <v>2</v>
      </c>
      <c r="V513" s="3">
        <v>2</v>
      </c>
      <c r="W513" s="4" t="s">
        <v>6277</v>
      </c>
      <c r="X513" s="4" t="s">
        <v>6277</v>
      </c>
      <c r="Y513" s="4" t="s">
        <v>5105</v>
      </c>
      <c r="Z513" s="4" t="s">
        <v>5105</v>
      </c>
      <c r="AA513" s="3">
        <v>325</v>
      </c>
      <c r="AB513" s="3">
        <v>245</v>
      </c>
      <c r="AC513" s="3">
        <v>703</v>
      </c>
      <c r="AD513" s="3">
        <v>1</v>
      </c>
      <c r="AE513" s="3">
        <v>3</v>
      </c>
      <c r="AF513" s="3">
        <v>10</v>
      </c>
      <c r="AG513" s="3">
        <v>28</v>
      </c>
      <c r="AH513" s="3">
        <v>4</v>
      </c>
      <c r="AI513" s="3">
        <v>10</v>
      </c>
      <c r="AJ513" s="3">
        <v>1</v>
      </c>
      <c r="AK513" s="3">
        <v>8</v>
      </c>
      <c r="AL513" s="3">
        <v>6</v>
      </c>
      <c r="AM513" s="3">
        <v>15</v>
      </c>
      <c r="AN513" s="3">
        <v>0</v>
      </c>
      <c r="AO513" s="3">
        <v>1</v>
      </c>
      <c r="AP513" s="3">
        <v>0</v>
      </c>
      <c r="AQ513" s="3">
        <v>0</v>
      </c>
      <c r="AR513" s="2" t="s">
        <v>5</v>
      </c>
      <c r="AS513" s="2" t="s">
        <v>16</v>
      </c>
      <c r="AT513" s="5" t="str">
        <f>HYPERLINK("http://catalog.hathitrust.org/Record/004206060","HathiTrust Record")</f>
        <v>HathiTrust Record</v>
      </c>
      <c r="AU513" s="5" t="str">
        <f>HYPERLINK("https://creighton-primo.hosted.exlibrisgroup.com/primo-explore/search?tab=default_tab&amp;search_scope=EVERYTHING&amp;vid=01CRU&amp;lang=en_US&amp;offset=0&amp;query=any,contains,991001711199702656","Catalog Record")</f>
        <v>Catalog Record</v>
      </c>
      <c r="AV513" s="5" t="str">
        <f>HYPERLINK("http://www.worldcat.org/oclc/47013919","WorldCat Record")</f>
        <v>WorldCat Record</v>
      </c>
      <c r="AW513" s="2" t="s">
        <v>6267</v>
      </c>
      <c r="AX513" s="2" t="s">
        <v>6278</v>
      </c>
      <c r="AY513" s="2" t="s">
        <v>6279</v>
      </c>
      <c r="AZ513" s="2" t="s">
        <v>6279</v>
      </c>
      <c r="BA513" s="2" t="s">
        <v>6280</v>
      </c>
      <c r="BB513" s="2" t="s">
        <v>21</v>
      </c>
      <c r="BD513" s="2" t="s">
        <v>6281</v>
      </c>
      <c r="BE513" s="2" t="s">
        <v>6282</v>
      </c>
      <c r="BF513" s="2" t="s">
        <v>6283</v>
      </c>
    </row>
    <row r="514" spans="1:58" ht="41.25" customHeight="1" x14ac:dyDescent="0.25">
      <c r="A514" s="8" t="s">
        <v>5</v>
      </c>
      <c r="B514" s="1" t="s">
        <v>0</v>
      </c>
      <c r="C514" s="1" t="s">
        <v>1</v>
      </c>
      <c r="D514" s="1" t="s">
        <v>6284</v>
      </c>
      <c r="E514" s="1" t="s">
        <v>6285</v>
      </c>
      <c r="F514" s="1" t="s">
        <v>6286</v>
      </c>
      <c r="H514" s="2" t="s">
        <v>5</v>
      </c>
      <c r="I514" s="2" t="s">
        <v>6</v>
      </c>
      <c r="J514" s="2" t="s">
        <v>5</v>
      </c>
      <c r="K514" s="2" t="s">
        <v>5</v>
      </c>
      <c r="L514" s="2" t="s">
        <v>7</v>
      </c>
      <c r="N514" s="1" t="s">
        <v>1282</v>
      </c>
      <c r="O514" s="2" t="s">
        <v>1283</v>
      </c>
      <c r="Q514" s="2" t="s">
        <v>11</v>
      </c>
      <c r="R514" s="2" t="s">
        <v>31</v>
      </c>
      <c r="T514" s="2" t="s">
        <v>520</v>
      </c>
      <c r="U514" s="3">
        <v>6</v>
      </c>
      <c r="V514" s="3">
        <v>6</v>
      </c>
      <c r="W514" s="4" t="s">
        <v>6287</v>
      </c>
      <c r="X514" s="4" t="s">
        <v>6287</v>
      </c>
      <c r="Y514" s="4" t="s">
        <v>6288</v>
      </c>
      <c r="Z514" s="4" t="s">
        <v>6288</v>
      </c>
      <c r="AA514" s="3">
        <v>220</v>
      </c>
      <c r="AB514" s="3">
        <v>179</v>
      </c>
      <c r="AC514" s="3">
        <v>187</v>
      </c>
      <c r="AD514" s="3">
        <v>3</v>
      </c>
      <c r="AE514" s="3">
        <v>3</v>
      </c>
      <c r="AF514" s="3">
        <v>8</v>
      </c>
      <c r="AG514" s="3">
        <v>8</v>
      </c>
      <c r="AH514" s="3">
        <v>3</v>
      </c>
      <c r="AI514" s="3">
        <v>3</v>
      </c>
      <c r="AJ514" s="3">
        <v>1</v>
      </c>
      <c r="AK514" s="3">
        <v>1</v>
      </c>
      <c r="AL514" s="3">
        <v>5</v>
      </c>
      <c r="AM514" s="3">
        <v>5</v>
      </c>
      <c r="AN514" s="3">
        <v>1</v>
      </c>
      <c r="AO514" s="3">
        <v>1</v>
      </c>
      <c r="AP514" s="3">
        <v>0</v>
      </c>
      <c r="AQ514" s="3">
        <v>0</v>
      </c>
      <c r="AR514" s="2" t="s">
        <v>5</v>
      </c>
      <c r="AS514" s="2" t="s">
        <v>16</v>
      </c>
      <c r="AT514" s="5" t="str">
        <f>HYPERLINK("http://catalog.hathitrust.org/Record/003142416","HathiTrust Record")</f>
        <v>HathiTrust Record</v>
      </c>
      <c r="AU514" s="5" t="str">
        <f>HYPERLINK("https://creighton-primo.hosted.exlibrisgroup.com/primo-explore/search?tab=default_tab&amp;search_scope=EVERYTHING&amp;vid=01CRU&amp;lang=en_US&amp;offset=0&amp;query=any,contains,991001568769702656","Catalog Record")</f>
        <v>Catalog Record</v>
      </c>
      <c r="AV514" s="5" t="str">
        <f>HYPERLINK("http://www.worldcat.org/oclc/36051975","WorldCat Record")</f>
        <v>WorldCat Record</v>
      </c>
      <c r="AW514" s="2" t="s">
        <v>6289</v>
      </c>
      <c r="AX514" s="2" t="s">
        <v>6290</v>
      </c>
      <c r="AY514" s="2" t="s">
        <v>6291</v>
      </c>
      <c r="AZ514" s="2" t="s">
        <v>6291</v>
      </c>
      <c r="BA514" s="2" t="s">
        <v>6292</v>
      </c>
      <c r="BB514" s="2" t="s">
        <v>21</v>
      </c>
      <c r="BD514" s="2" t="s">
        <v>6293</v>
      </c>
      <c r="BE514" s="2" t="s">
        <v>6294</v>
      </c>
      <c r="BF514" s="2" t="s">
        <v>6295</v>
      </c>
    </row>
    <row r="515" spans="1:58" ht="41.25" customHeight="1" x14ac:dyDescent="0.25">
      <c r="A515" s="8" t="s">
        <v>5</v>
      </c>
      <c r="B515" s="1" t="s">
        <v>0</v>
      </c>
      <c r="C515" s="1" t="s">
        <v>1</v>
      </c>
      <c r="D515" s="1" t="s">
        <v>6296</v>
      </c>
      <c r="E515" s="1" t="s">
        <v>6297</v>
      </c>
      <c r="F515" s="1" t="s">
        <v>6298</v>
      </c>
      <c r="H515" s="2" t="s">
        <v>5</v>
      </c>
      <c r="I515" s="2" t="s">
        <v>6</v>
      </c>
      <c r="J515" s="2" t="s">
        <v>5</v>
      </c>
      <c r="K515" s="2" t="s">
        <v>5</v>
      </c>
      <c r="L515" s="2" t="s">
        <v>7</v>
      </c>
      <c r="N515" s="1" t="s">
        <v>6299</v>
      </c>
      <c r="O515" s="2" t="s">
        <v>1887</v>
      </c>
      <c r="Q515" s="2" t="s">
        <v>11</v>
      </c>
      <c r="R515" s="2" t="s">
        <v>1019</v>
      </c>
      <c r="T515" s="2" t="s">
        <v>520</v>
      </c>
      <c r="U515" s="3">
        <v>8</v>
      </c>
      <c r="V515" s="3">
        <v>8</v>
      </c>
      <c r="W515" s="4" t="s">
        <v>6300</v>
      </c>
      <c r="X515" s="4" t="s">
        <v>6300</v>
      </c>
      <c r="Y515" s="4" t="s">
        <v>6301</v>
      </c>
      <c r="Z515" s="4" t="s">
        <v>6301</v>
      </c>
      <c r="AA515" s="3">
        <v>276</v>
      </c>
      <c r="AB515" s="3">
        <v>195</v>
      </c>
      <c r="AC515" s="3">
        <v>202</v>
      </c>
      <c r="AD515" s="3">
        <v>1</v>
      </c>
      <c r="AE515" s="3">
        <v>1</v>
      </c>
      <c r="AF515" s="3">
        <v>8</v>
      </c>
      <c r="AG515" s="3">
        <v>8</v>
      </c>
      <c r="AH515" s="3">
        <v>4</v>
      </c>
      <c r="AI515" s="3">
        <v>4</v>
      </c>
      <c r="AJ515" s="3">
        <v>1</v>
      </c>
      <c r="AK515" s="3">
        <v>1</v>
      </c>
      <c r="AL515" s="3">
        <v>6</v>
      </c>
      <c r="AM515" s="3">
        <v>6</v>
      </c>
      <c r="AN515" s="3">
        <v>0</v>
      </c>
      <c r="AO515" s="3">
        <v>0</v>
      </c>
      <c r="AP515" s="3">
        <v>0</v>
      </c>
      <c r="AQ515" s="3">
        <v>0</v>
      </c>
      <c r="AR515" s="2" t="s">
        <v>5</v>
      </c>
      <c r="AS515" s="2" t="s">
        <v>16</v>
      </c>
      <c r="AT515" s="5" t="str">
        <f>HYPERLINK("http://catalog.hathitrust.org/Record/002640605","HathiTrust Record")</f>
        <v>HathiTrust Record</v>
      </c>
      <c r="AU515" s="5" t="str">
        <f>HYPERLINK("https://creighton-primo.hosted.exlibrisgroup.com/primo-explore/search?tab=default_tab&amp;search_scope=EVERYTHING&amp;vid=01CRU&amp;lang=en_US&amp;offset=0&amp;query=any,contains,991001343439702656","Catalog Record")</f>
        <v>Catalog Record</v>
      </c>
      <c r="AV515" s="5" t="str">
        <f>HYPERLINK("http://www.worldcat.org/oclc/26401133","WorldCat Record")</f>
        <v>WorldCat Record</v>
      </c>
      <c r="AW515" s="2" t="s">
        <v>6302</v>
      </c>
      <c r="AX515" s="2" t="s">
        <v>6303</v>
      </c>
      <c r="AY515" s="2" t="s">
        <v>6304</v>
      </c>
      <c r="AZ515" s="2" t="s">
        <v>6304</v>
      </c>
      <c r="BA515" s="2" t="s">
        <v>6305</v>
      </c>
      <c r="BB515" s="2" t="s">
        <v>21</v>
      </c>
      <c r="BD515" s="2" t="s">
        <v>6306</v>
      </c>
      <c r="BE515" s="2" t="s">
        <v>6307</v>
      </c>
      <c r="BF515" s="2" t="s">
        <v>6308</v>
      </c>
    </row>
    <row r="516" spans="1:58" ht="41.25" customHeight="1" x14ac:dyDescent="0.25">
      <c r="A516" s="8" t="s">
        <v>5</v>
      </c>
      <c r="B516" s="1" t="s">
        <v>0</v>
      </c>
      <c r="C516" s="1" t="s">
        <v>1</v>
      </c>
      <c r="D516" s="1" t="s">
        <v>6309</v>
      </c>
      <c r="E516" s="1" t="s">
        <v>6310</v>
      </c>
      <c r="F516" s="1" t="s">
        <v>6311</v>
      </c>
      <c r="H516" s="2" t="s">
        <v>5</v>
      </c>
      <c r="I516" s="2" t="s">
        <v>6</v>
      </c>
      <c r="J516" s="2" t="s">
        <v>5</v>
      </c>
      <c r="K516" s="2" t="s">
        <v>5</v>
      </c>
      <c r="L516" s="2" t="s">
        <v>7</v>
      </c>
      <c r="N516" s="1" t="s">
        <v>6312</v>
      </c>
      <c r="O516" s="2" t="s">
        <v>1102</v>
      </c>
      <c r="Q516" s="2" t="s">
        <v>11</v>
      </c>
      <c r="R516" s="2" t="s">
        <v>426</v>
      </c>
      <c r="T516" s="2" t="s">
        <v>520</v>
      </c>
      <c r="U516" s="3">
        <v>36</v>
      </c>
      <c r="V516" s="3">
        <v>36</v>
      </c>
      <c r="W516" s="4" t="s">
        <v>6313</v>
      </c>
      <c r="X516" s="4" t="s">
        <v>6313</v>
      </c>
      <c r="Y516" s="4" t="s">
        <v>168</v>
      </c>
      <c r="Z516" s="4" t="s">
        <v>168</v>
      </c>
      <c r="AA516" s="3">
        <v>238</v>
      </c>
      <c r="AB516" s="3">
        <v>197</v>
      </c>
      <c r="AC516" s="3">
        <v>199</v>
      </c>
      <c r="AD516" s="3">
        <v>2</v>
      </c>
      <c r="AE516" s="3">
        <v>2</v>
      </c>
      <c r="AF516" s="3">
        <v>7</v>
      </c>
      <c r="AG516" s="3">
        <v>7</v>
      </c>
      <c r="AH516" s="3">
        <v>3</v>
      </c>
      <c r="AI516" s="3">
        <v>3</v>
      </c>
      <c r="AJ516" s="3">
        <v>1</v>
      </c>
      <c r="AK516" s="3">
        <v>1</v>
      </c>
      <c r="AL516" s="3">
        <v>4</v>
      </c>
      <c r="AM516" s="3">
        <v>4</v>
      </c>
      <c r="AN516" s="3">
        <v>0</v>
      </c>
      <c r="AO516" s="3">
        <v>0</v>
      </c>
      <c r="AP516" s="3">
        <v>0</v>
      </c>
      <c r="AQ516" s="3">
        <v>0</v>
      </c>
      <c r="AR516" s="2" t="s">
        <v>5</v>
      </c>
      <c r="AS516" s="2" t="s">
        <v>16</v>
      </c>
      <c r="AT516" s="5" t="str">
        <f>HYPERLINK("http://catalog.hathitrust.org/Record/000397832","HathiTrust Record")</f>
        <v>HathiTrust Record</v>
      </c>
      <c r="AU516" s="5" t="str">
        <f>HYPERLINK("https://creighton-primo.hosted.exlibrisgroup.com/primo-explore/search?tab=default_tab&amp;search_scope=EVERYTHING&amp;vid=01CRU&amp;lang=en_US&amp;offset=0&amp;query=any,contains,991001045399702656","Catalog Record")</f>
        <v>Catalog Record</v>
      </c>
      <c r="AV516" s="5" t="str">
        <f>HYPERLINK("http://www.worldcat.org/oclc/13525738","WorldCat Record")</f>
        <v>WorldCat Record</v>
      </c>
      <c r="AW516" s="2" t="s">
        <v>6314</v>
      </c>
      <c r="AX516" s="2" t="s">
        <v>6315</v>
      </c>
      <c r="AY516" s="2" t="s">
        <v>6316</v>
      </c>
      <c r="AZ516" s="2" t="s">
        <v>6316</v>
      </c>
      <c r="BA516" s="2" t="s">
        <v>6317</v>
      </c>
      <c r="BB516" s="2" t="s">
        <v>21</v>
      </c>
      <c r="BD516" s="2" t="s">
        <v>6318</v>
      </c>
      <c r="BE516" s="2" t="s">
        <v>6319</v>
      </c>
      <c r="BF516" s="2" t="s">
        <v>6320</v>
      </c>
    </row>
    <row r="517" spans="1:58" ht="41.25" customHeight="1" x14ac:dyDescent="0.25">
      <c r="A517" s="8" t="s">
        <v>5</v>
      </c>
      <c r="B517" s="1" t="s">
        <v>0</v>
      </c>
      <c r="C517" s="1" t="s">
        <v>1</v>
      </c>
      <c r="D517" s="1" t="s">
        <v>6321</v>
      </c>
      <c r="E517" s="1" t="s">
        <v>6322</v>
      </c>
      <c r="F517" s="1" t="s">
        <v>6323</v>
      </c>
      <c r="H517" s="2" t="s">
        <v>5</v>
      </c>
      <c r="I517" s="2" t="s">
        <v>6</v>
      </c>
      <c r="J517" s="2" t="s">
        <v>5</v>
      </c>
      <c r="K517" s="2" t="s">
        <v>5</v>
      </c>
      <c r="L517" s="2" t="s">
        <v>7</v>
      </c>
      <c r="M517" s="1" t="s">
        <v>6324</v>
      </c>
      <c r="N517" s="1" t="s">
        <v>6325</v>
      </c>
      <c r="O517" s="2" t="s">
        <v>1102</v>
      </c>
      <c r="Q517" s="2" t="s">
        <v>11</v>
      </c>
      <c r="R517" s="2" t="s">
        <v>3356</v>
      </c>
      <c r="T517" s="2" t="s">
        <v>520</v>
      </c>
      <c r="U517" s="3">
        <v>21</v>
      </c>
      <c r="V517" s="3">
        <v>21</v>
      </c>
      <c r="W517" s="4" t="s">
        <v>1196</v>
      </c>
      <c r="X517" s="4" t="s">
        <v>1196</v>
      </c>
      <c r="Y517" s="4" t="s">
        <v>33</v>
      </c>
      <c r="Z517" s="4" t="s">
        <v>33</v>
      </c>
      <c r="AA517" s="3">
        <v>245</v>
      </c>
      <c r="AB517" s="3">
        <v>197</v>
      </c>
      <c r="AC517" s="3">
        <v>204</v>
      </c>
      <c r="AD517" s="3">
        <v>1</v>
      </c>
      <c r="AE517" s="3">
        <v>1</v>
      </c>
      <c r="AF517" s="3">
        <v>8</v>
      </c>
      <c r="AG517" s="3">
        <v>8</v>
      </c>
      <c r="AH517" s="3">
        <v>3</v>
      </c>
      <c r="AI517" s="3">
        <v>3</v>
      </c>
      <c r="AJ517" s="3">
        <v>1</v>
      </c>
      <c r="AK517" s="3">
        <v>1</v>
      </c>
      <c r="AL517" s="3">
        <v>4</v>
      </c>
      <c r="AM517" s="3">
        <v>4</v>
      </c>
      <c r="AN517" s="3">
        <v>0</v>
      </c>
      <c r="AO517" s="3">
        <v>0</v>
      </c>
      <c r="AP517" s="3">
        <v>0</v>
      </c>
      <c r="AQ517" s="3">
        <v>0</v>
      </c>
      <c r="AR517" s="2" t="s">
        <v>5</v>
      </c>
      <c r="AS517" s="2" t="s">
        <v>16</v>
      </c>
      <c r="AT517" s="5" t="str">
        <f>HYPERLINK("http://catalog.hathitrust.org/Record/000400241","HathiTrust Record")</f>
        <v>HathiTrust Record</v>
      </c>
      <c r="AU517" s="5" t="str">
        <f>HYPERLINK("https://creighton-primo.hosted.exlibrisgroup.com/primo-explore/search?tab=default_tab&amp;search_scope=EVERYTHING&amp;vid=01CRU&amp;lang=en_US&amp;offset=0&amp;query=any,contains,991000739569702656","Catalog Record")</f>
        <v>Catalog Record</v>
      </c>
      <c r="AV517" s="5" t="str">
        <f>HYPERLINK("http://www.worldcat.org/oclc/12314389","WorldCat Record")</f>
        <v>WorldCat Record</v>
      </c>
      <c r="AW517" s="2" t="s">
        <v>6326</v>
      </c>
      <c r="AX517" s="2" t="s">
        <v>6327</v>
      </c>
      <c r="AY517" s="2" t="s">
        <v>6328</v>
      </c>
      <c r="AZ517" s="2" t="s">
        <v>6328</v>
      </c>
      <c r="BA517" s="2" t="s">
        <v>6329</v>
      </c>
      <c r="BB517" s="2" t="s">
        <v>21</v>
      </c>
      <c r="BD517" s="2" t="s">
        <v>6330</v>
      </c>
      <c r="BE517" s="2" t="s">
        <v>6331</v>
      </c>
      <c r="BF517" s="2" t="s">
        <v>6332</v>
      </c>
    </row>
    <row r="518" spans="1:58" ht="41.25" customHeight="1" x14ac:dyDescent="0.25">
      <c r="A518" s="8" t="s">
        <v>5</v>
      </c>
      <c r="B518" s="1" t="s">
        <v>0</v>
      </c>
      <c r="C518" s="1" t="s">
        <v>1</v>
      </c>
      <c r="D518" s="1" t="s">
        <v>6333</v>
      </c>
      <c r="E518" s="1" t="s">
        <v>6334</v>
      </c>
      <c r="F518" s="1" t="s">
        <v>6335</v>
      </c>
      <c r="H518" s="2" t="s">
        <v>5</v>
      </c>
      <c r="I518" s="2" t="s">
        <v>6</v>
      </c>
      <c r="J518" s="2" t="s">
        <v>5</v>
      </c>
      <c r="K518" s="2" t="s">
        <v>16</v>
      </c>
      <c r="L518" s="2" t="s">
        <v>7</v>
      </c>
      <c r="M518" s="1" t="s">
        <v>6336</v>
      </c>
      <c r="N518" s="1" t="s">
        <v>6337</v>
      </c>
      <c r="O518" s="2" t="s">
        <v>1283</v>
      </c>
      <c r="P518" s="1" t="s">
        <v>1208</v>
      </c>
      <c r="Q518" s="2" t="s">
        <v>11</v>
      </c>
      <c r="R518" s="2" t="s">
        <v>78</v>
      </c>
      <c r="T518" s="2" t="s">
        <v>520</v>
      </c>
      <c r="U518" s="3">
        <v>67</v>
      </c>
      <c r="V518" s="3">
        <v>67</v>
      </c>
      <c r="W518" s="4" t="s">
        <v>6338</v>
      </c>
      <c r="X518" s="4" t="s">
        <v>6338</v>
      </c>
      <c r="Y518" s="4" t="s">
        <v>1286</v>
      </c>
      <c r="Z518" s="4" t="s">
        <v>1286</v>
      </c>
      <c r="AA518" s="3">
        <v>321</v>
      </c>
      <c r="AB518" s="3">
        <v>231</v>
      </c>
      <c r="AC518" s="3">
        <v>748</v>
      </c>
      <c r="AD518" s="3">
        <v>1</v>
      </c>
      <c r="AE518" s="3">
        <v>5</v>
      </c>
      <c r="AF518" s="3">
        <v>6</v>
      </c>
      <c r="AG518" s="3">
        <v>24</v>
      </c>
      <c r="AH518" s="3">
        <v>3</v>
      </c>
      <c r="AI518" s="3">
        <v>11</v>
      </c>
      <c r="AJ518" s="3">
        <v>0</v>
      </c>
      <c r="AK518" s="3">
        <v>3</v>
      </c>
      <c r="AL518" s="3">
        <v>4</v>
      </c>
      <c r="AM518" s="3">
        <v>11</v>
      </c>
      <c r="AN518" s="3">
        <v>0</v>
      </c>
      <c r="AO518" s="3">
        <v>3</v>
      </c>
      <c r="AP518" s="3">
        <v>0</v>
      </c>
      <c r="AQ518" s="3">
        <v>0</v>
      </c>
      <c r="AR518" s="2" t="s">
        <v>5</v>
      </c>
      <c r="AS518" s="2" t="s">
        <v>16</v>
      </c>
      <c r="AT518" s="5" t="str">
        <f>HYPERLINK("http://catalog.hathitrust.org/Record/003108545","HathiTrust Record")</f>
        <v>HathiTrust Record</v>
      </c>
      <c r="AU518" s="5" t="str">
        <f>HYPERLINK("https://creighton-primo.hosted.exlibrisgroup.com/primo-explore/search?tab=default_tab&amp;search_scope=EVERYTHING&amp;vid=01CRU&amp;lang=en_US&amp;offset=0&amp;query=any,contains,991000839239702656","Catalog Record")</f>
        <v>Catalog Record</v>
      </c>
      <c r="AV518" s="5" t="str">
        <f>HYPERLINK("http://www.worldcat.org/oclc/34958875","WorldCat Record")</f>
        <v>WorldCat Record</v>
      </c>
      <c r="AW518" s="2" t="s">
        <v>6339</v>
      </c>
      <c r="AX518" s="2" t="s">
        <v>6340</v>
      </c>
      <c r="AY518" s="2" t="s">
        <v>6341</v>
      </c>
      <c r="AZ518" s="2" t="s">
        <v>6341</v>
      </c>
      <c r="BA518" s="2" t="s">
        <v>6342</v>
      </c>
      <c r="BB518" s="2" t="s">
        <v>21</v>
      </c>
      <c r="BD518" s="2" t="s">
        <v>6343</v>
      </c>
      <c r="BE518" s="2" t="s">
        <v>6344</v>
      </c>
      <c r="BF518" s="2" t="s">
        <v>6345</v>
      </c>
    </row>
    <row r="519" spans="1:58" ht="41.25" customHeight="1" x14ac:dyDescent="0.25">
      <c r="A519" s="8" t="s">
        <v>5</v>
      </c>
      <c r="B519" s="1" t="s">
        <v>0</v>
      </c>
      <c r="C519" s="1" t="s">
        <v>1</v>
      </c>
      <c r="D519" s="1" t="s">
        <v>6346</v>
      </c>
      <c r="E519" s="1" t="s">
        <v>6347</v>
      </c>
      <c r="F519" s="1" t="s">
        <v>6348</v>
      </c>
      <c r="H519" s="2" t="s">
        <v>5</v>
      </c>
      <c r="I519" s="2" t="s">
        <v>6</v>
      </c>
      <c r="J519" s="2" t="s">
        <v>5</v>
      </c>
      <c r="K519" s="2" t="s">
        <v>16</v>
      </c>
      <c r="L519" s="2" t="s">
        <v>7</v>
      </c>
      <c r="M519" s="1" t="s">
        <v>6336</v>
      </c>
      <c r="N519" s="1" t="s">
        <v>6349</v>
      </c>
      <c r="O519" s="2" t="s">
        <v>107</v>
      </c>
      <c r="P519" s="1" t="s">
        <v>63</v>
      </c>
      <c r="Q519" s="2" t="s">
        <v>11</v>
      </c>
      <c r="R519" s="2" t="s">
        <v>78</v>
      </c>
      <c r="T519" s="2" t="s">
        <v>520</v>
      </c>
      <c r="U519" s="3">
        <v>2</v>
      </c>
      <c r="V519" s="3">
        <v>2</v>
      </c>
      <c r="W519" s="4" t="s">
        <v>6350</v>
      </c>
      <c r="X519" s="4" t="s">
        <v>6350</v>
      </c>
      <c r="Y519" s="4" t="s">
        <v>6351</v>
      </c>
      <c r="Z519" s="4" t="s">
        <v>6351</v>
      </c>
      <c r="AA519" s="3">
        <v>519</v>
      </c>
      <c r="AB519" s="3">
        <v>364</v>
      </c>
      <c r="AC519" s="3">
        <v>748</v>
      </c>
      <c r="AD519" s="3">
        <v>3</v>
      </c>
      <c r="AE519" s="3">
        <v>5</v>
      </c>
      <c r="AF519" s="3">
        <v>11</v>
      </c>
      <c r="AG519" s="3">
        <v>24</v>
      </c>
      <c r="AH519" s="3">
        <v>5</v>
      </c>
      <c r="AI519" s="3">
        <v>11</v>
      </c>
      <c r="AJ519" s="3">
        <v>0</v>
      </c>
      <c r="AK519" s="3">
        <v>3</v>
      </c>
      <c r="AL519" s="3">
        <v>6</v>
      </c>
      <c r="AM519" s="3">
        <v>11</v>
      </c>
      <c r="AN519" s="3">
        <v>2</v>
      </c>
      <c r="AO519" s="3">
        <v>3</v>
      </c>
      <c r="AP519" s="3">
        <v>0</v>
      </c>
      <c r="AQ519" s="3">
        <v>0</v>
      </c>
      <c r="AR519" s="2" t="s">
        <v>5</v>
      </c>
      <c r="AS519" s="2" t="s">
        <v>5</v>
      </c>
      <c r="AU519" s="5" t="str">
        <f>HYPERLINK("https://creighton-primo.hosted.exlibrisgroup.com/primo-explore/search?tab=default_tab&amp;search_scope=EVERYTHING&amp;vid=01CRU&amp;lang=en_US&amp;offset=0&amp;query=any,contains,991001735649702656","Catalog Record")</f>
        <v>Catalog Record</v>
      </c>
      <c r="AV519" s="5" t="str">
        <f>HYPERLINK("http://www.worldcat.org/oclc/57123679","WorldCat Record")</f>
        <v>WorldCat Record</v>
      </c>
      <c r="AW519" s="2" t="s">
        <v>6339</v>
      </c>
      <c r="AX519" s="2" t="s">
        <v>6352</v>
      </c>
      <c r="AY519" s="2" t="s">
        <v>6353</v>
      </c>
      <c r="AZ519" s="2" t="s">
        <v>6353</v>
      </c>
      <c r="BA519" s="2" t="s">
        <v>6354</v>
      </c>
      <c r="BB519" s="2" t="s">
        <v>21</v>
      </c>
      <c r="BD519" s="2" t="s">
        <v>6355</v>
      </c>
      <c r="BE519" s="2" t="s">
        <v>6356</v>
      </c>
      <c r="BF519" s="2" t="s">
        <v>6357</v>
      </c>
    </row>
    <row r="520" spans="1:58" ht="41.25" customHeight="1" x14ac:dyDescent="0.25">
      <c r="A520" s="8" t="s">
        <v>5</v>
      </c>
      <c r="B520" s="1" t="s">
        <v>0</v>
      </c>
      <c r="C520" s="1" t="s">
        <v>1</v>
      </c>
      <c r="D520" s="1" t="s">
        <v>6358</v>
      </c>
      <c r="E520" s="1" t="s">
        <v>6359</v>
      </c>
      <c r="F520" s="1" t="s">
        <v>6360</v>
      </c>
      <c r="H520" s="2" t="s">
        <v>5</v>
      </c>
      <c r="I520" s="2" t="s">
        <v>6</v>
      </c>
      <c r="J520" s="2" t="s">
        <v>5</v>
      </c>
      <c r="K520" s="2" t="s">
        <v>16</v>
      </c>
      <c r="L520" s="2" t="s">
        <v>7</v>
      </c>
      <c r="M520" s="1" t="s">
        <v>6336</v>
      </c>
      <c r="N520" s="1" t="s">
        <v>1365</v>
      </c>
      <c r="O520" s="2" t="s">
        <v>601</v>
      </c>
      <c r="P520" s="1" t="s">
        <v>1284</v>
      </c>
      <c r="Q520" s="2" t="s">
        <v>11</v>
      </c>
      <c r="R520" s="2" t="s">
        <v>78</v>
      </c>
      <c r="T520" s="2" t="s">
        <v>520</v>
      </c>
      <c r="U520" s="3">
        <v>17</v>
      </c>
      <c r="V520" s="3">
        <v>17</v>
      </c>
      <c r="W520" s="4" t="s">
        <v>6361</v>
      </c>
      <c r="X520" s="4" t="s">
        <v>6361</v>
      </c>
      <c r="Y520" s="4" t="s">
        <v>6362</v>
      </c>
      <c r="Z520" s="4" t="s">
        <v>6362</v>
      </c>
      <c r="AA520" s="3">
        <v>357</v>
      </c>
      <c r="AB520" s="3">
        <v>229</v>
      </c>
      <c r="AC520" s="3">
        <v>785</v>
      </c>
      <c r="AD520" s="3">
        <v>2</v>
      </c>
      <c r="AE520" s="3">
        <v>8</v>
      </c>
      <c r="AF520" s="3">
        <v>8</v>
      </c>
      <c r="AG520" s="3">
        <v>25</v>
      </c>
      <c r="AH520" s="3">
        <v>3</v>
      </c>
      <c r="AI520" s="3">
        <v>10</v>
      </c>
      <c r="AJ520" s="3">
        <v>0</v>
      </c>
      <c r="AK520" s="3">
        <v>3</v>
      </c>
      <c r="AL520" s="3">
        <v>6</v>
      </c>
      <c r="AM520" s="3">
        <v>12</v>
      </c>
      <c r="AN520" s="3">
        <v>1</v>
      </c>
      <c r="AO520" s="3">
        <v>5</v>
      </c>
      <c r="AP520" s="3">
        <v>0</v>
      </c>
      <c r="AQ520" s="3">
        <v>0</v>
      </c>
      <c r="AR520" s="2" t="s">
        <v>5</v>
      </c>
      <c r="AS520" s="2" t="s">
        <v>16</v>
      </c>
      <c r="AT520" s="5" t="str">
        <f>HYPERLINK("http://catalog.hathitrust.org/Record/002910379","HathiTrust Record")</f>
        <v>HathiTrust Record</v>
      </c>
      <c r="AU520" s="5" t="str">
        <f>HYPERLINK("https://creighton-primo.hosted.exlibrisgroup.com/primo-explore/search?tab=default_tab&amp;search_scope=EVERYTHING&amp;vid=01CRU&amp;lang=en_US&amp;offset=0&amp;query=any,contains,991000685579702656","Catalog Record")</f>
        <v>Catalog Record</v>
      </c>
      <c r="AV520" s="5" t="str">
        <f>HYPERLINK("http://www.worldcat.org/oclc/30894274","WorldCat Record")</f>
        <v>WorldCat Record</v>
      </c>
      <c r="AW520" s="2" t="s">
        <v>6363</v>
      </c>
      <c r="AX520" s="2" t="s">
        <v>6364</v>
      </c>
      <c r="AY520" s="2" t="s">
        <v>6365</v>
      </c>
      <c r="AZ520" s="2" t="s">
        <v>6365</v>
      </c>
      <c r="BA520" s="2" t="s">
        <v>6366</v>
      </c>
      <c r="BB520" s="2" t="s">
        <v>21</v>
      </c>
      <c r="BD520" s="2" t="s">
        <v>6367</v>
      </c>
      <c r="BE520" s="2" t="s">
        <v>6368</v>
      </c>
      <c r="BF520" s="2" t="s">
        <v>6369</v>
      </c>
    </row>
    <row r="521" spans="1:58" ht="41.25" customHeight="1" x14ac:dyDescent="0.25">
      <c r="A521" s="8" t="s">
        <v>5</v>
      </c>
      <c r="B521" s="1" t="s">
        <v>0</v>
      </c>
      <c r="C521" s="1" t="s">
        <v>1</v>
      </c>
      <c r="D521" s="1" t="s">
        <v>6370</v>
      </c>
      <c r="E521" s="1" t="s">
        <v>6371</v>
      </c>
      <c r="F521" s="1" t="s">
        <v>6372</v>
      </c>
      <c r="G521" s="2" t="s">
        <v>2942</v>
      </c>
      <c r="H521" s="2" t="s">
        <v>5</v>
      </c>
      <c r="I521" s="2" t="s">
        <v>6</v>
      </c>
      <c r="J521" s="2" t="s">
        <v>5</v>
      </c>
      <c r="K521" s="2" t="s">
        <v>5</v>
      </c>
      <c r="L521" s="2" t="s">
        <v>7</v>
      </c>
      <c r="M521" s="1" t="s">
        <v>6336</v>
      </c>
      <c r="N521" s="1" t="s">
        <v>1365</v>
      </c>
      <c r="O521" s="2" t="s">
        <v>601</v>
      </c>
      <c r="Q521" s="2" t="s">
        <v>11</v>
      </c>
      <c r="R521" s="2" t="s">
        <v>426</v>
      </c>
      <c r="T521" s="2" t="s">
        <v>520</v>
      </c>
      <c r="U521" s="3">
        <v>4</v>
      </c>
      <c r="V521" s="3">
        <v>4</v>
      </c>
      <c r="W521" s="4" t="s">
        <v>6373</v>
      </c>
      <c r="X521" s="4" t="s">
        <v>6373</v>
      </c>
      <c r="Y521" s="4" t="s">
        <v>6374</v>
      </c>
      <c r="Z521" s="4" t="s">
        <v>6374</v>
      </c>
      <c r="AA521" s="3">
        <v>43</v>
      </c>
      <c r="AB521" s="3">
        <v>26</v>
      </c>
      <c r="AC521" s="3">
        <v>26</v>
      </c>
      <c r="AD521" s="3">
        <v>1</v>
      </c>
      <c r="AE521" s="3">
        <v>1</v>
      </c>
      <c r="AF521" s="3">
        <v>0</v>
      </c>
      <c r="AG521" s="3">
        <v>0</v>
      </c>
      <c r="AH521" s="3">
        <v>0</v>
      </c>
      <c r="AI521" s="3">
        <v>0</v>
      </c>
      <c r="AJ521" s="3">
        <v>0</v>
      </c>
      <c r="AK521" s="3">
        <v>0</v>
      </c>
      <c r="AL521" s="3">
        <v>0</v>
      </c>
      <c r="AM521" s="3">
        <v>0</v>
      </c>
      <c r="AN521" s="3">
        <v>0</v>
      </c>
      <c r="AO521" s="3">
        <v>0</v>
      </c>
      <c r="AP521" s="3">
        <v>0</v>
      </c>
      <c r="AQ521" s="3">
        <v>0</v>
      </c>
      <c r="AR521" s="2" t="s">
        <v>5</v>
      </c>
      <c r="AS521" s="2" t="s">
        <v>5</v>
      </c>
      <c r="AU521" s="5" t="str">
        <f>HYPERLINK("https://creighton-primo.hosted.exlibrisgroup.com/primo-explore/search?tab=default_tab&amp;search_scope=EVERYTHING&amp;vid=01CRU&amp;lang=en_US&amp;offset=0&amp;query=any,contains,991000848979702656","Catalog Record")</f>
        <v>Catalog Record</v>
      </c>
      <c r="AV521" s="5" t="str">
        <f>HYPERLINK("http://www.worldcat.org/oclc/32052703","WorldCat Record")</f>
        <v>WorldCat Record</v>
      </c>
      <c r="AW521" s="2" t="s">
        <v>6375</v>
      </c>
      <c r="AX521" s="2" t="s">
        <v>6376</v>
      </c>
      <c r="AY521" s="2" t="s">
        <v>6377</v>
      </c>
      <c r="AZ521" s="2" t="s">
        <v>6377</v>
      </c>
      <c r="BA521" s="2" t="s">
        <v>6378</v>
      </c>
      <c r="BB521" s="2" t="s">
        <v>21</v>
      </c>
      <c r="BD521" s="2" t="s">
        <v>6379</v>
      </c>
      <c r="BE521" s="2" t="s">
        <v>6380</v>
      </c>
      <c r="BF521" s="2" t="s">
        <v>6381</v>
      </c>
    </row>
    <row r="522" spans="1:58" ht="41.25" customHeight="1" x14ac:dyDescent="0.25">
      <c r="A522" s="8" t="s">
        <v>5</v>
      </c>
      <c r="B522" s="1" t="s">
        <v>0</v>
      </c>
      <c r="C522" s="1" t="s">
        <v>1</v>
      </c>
      <c r="D522" s="1" t="s">
        <v>6382</v>
      </c>
      <c r="E522" s="1" t="s">
        <v>6383</v>
      </c>
      <c r="F522" s="1" t="s">
        <v>6360</v>
      </c>
      <c r="H522" s="2" t="s">
        <v>5</v>
      </c>
      <c r="I522" s="2" t="s">
        <v>6</v>
      </c>
      <c r="J522" s="2" t="s">
        <v>5</v>
      </c>
      <c r="K522" s="2" t="s">
        <v>16</v>
      </c>
      <c r="L522" s="2" t="s">
        <v>7</v>
      </c>
      <c r="M522" s="1" t="s">
        <v>6336</v>
      </c>
      <c r="N522" s="1" t="s">
        <v>6384</v>
      </c>
      <c r="O522" s="2" t="s">
        <v>1004</v>
      </c>
      <c r="P522" s="1" t="s">
        <v>63</v>
      </c>
      <c r="Q522" s="2" t="s">
        <v>11</v>
      </c>
      <c r="R522" s="2" t="s">
        <v>78</v>
      </c>
      <c r="T522" s="2" t="s">
        <v>520</v>
      </c>
      <c r="U522" s="3">
        <v>8</v>
      </c>
      <c r="V522" s="3">
        <v>8</v>
      </c>
      <c r="W522" s="4" t="s">
        <v>6385</v>
      </c>
      <c r="X522" s="4" t="s">
        <v>6385</v>
      </c>
      <c r="Y522" s="4" t="s">
        <v>6386</v>
      </c>
      <c r="Z522" s="4" t="s">
        <v>6386</v>
      </c>
      <c r="AA522" s="3">
        <v>399</v>
      </c>
      <c r="AB522" s="3">
        <v>261</v>
      </c>
      <c r="AC522" s="3">
        <v>785</v>
      </c>
      <c r="AD522" s="3">
        <v>1</v>
      </c>
      <c r="AE522" s="3">
        <v>8</v>
      </c>
      <c r="AF522" s="3">
        <v>5</v>
      </c>
      <c r="AG522" s="3">
        <v>25</v>
      </c>
      <c r="AH522" s="3">
        <v>0</v>
      </c>
      <c r="AI522" s="3">
        <v>10</v>
      </c>
      <c r="AJ522" s="3">
        <v>1</v>
      </c>
      <c r="AK522" s="3">
        <v>3</v>
      </c>
      <c r="AL522" s="3">
        <v>4</v>
      </c>
      <c r="AM522" s="3">
        <v>12</v>
      </c>
      <c r="AN522" s="3">
        <v>0</v>
      </c>
      <c r="AO522" s="3">
        <v>5</v>
      </c>
      <c r="AP522" s="3">
        <v>0</v>
      </c>
      <c r="AQ522" s="3">
        <v>0</v>
      </c>
      <c r="AR522" s="2" t="s">
        <v>5</v>
      </c>
      <c r="AS522" s="2" t="s">
        <v>16</v>
      </c>
      <c r="AT522" s="5" t="str">
        <f>HYPERLINK("http://catalog.hathitrust.org/Record/004011574","HathiTrust Record")</f>
        <v>HathiTrust Record</v>
      </c>
      <c r="AU522" s="5" t="str">
        <f>HYPERLINK("https://creighton-primo.hosted.exlibrisgroup.com/primo-explore/search?tab=default_tab&amp;search_scope=EVERYTHING&amp;vid=01CRU&amp;lang=en_US&amp;offset=0&amp;query=any,contains,991001806579702656","Catalog Record")</f>
        <v>Catalog Record</v>
      </c>
      <c r="AV522" s="5" t="str">
        <f>HYPERLINK("http://www.worldcat.org/oclc/39655929","WorldCat Record")</f>
        <v>WorldCat Record</v>
      </c>
      <c r="AW522" s="2" t="s">
        <v>6363</v>
      </c>
      <c r="AX522" s="2" t="s">
        <v>6387</v>
      </c>
      <c r="AY522" s="2" t="s">
        <v>6388</v>
      </c>
      <c r="AZ522" s="2" t="s">
        <v>6388</v>
      </c>
      <c r="BA522" s="2" t="s">
        <v>6389</v>
      </c>
      <c r="BB522" s="2" t="s">
        <v>21</v>
      </c>
      <c r="BD522" s="2" t="s">
        <v>6390</v>
      </c>
      <c r="BE522" s="2" t="s">
        <v>6391</v>
      </c>
      <c r="BF522" s="2" t="s">
        <v>6392</v>
      </c>
    </row>
    <row r="523" spans="1:58" ht="41.25" customHeight="1" x14ac:dyDescent="0.25">
      <c r="A523" s="8" t="s">
        <v>5</v>
      </c>
      <c r="B523" s="1" t="s">
        <v>0</v>
      </c>
      <c r="C523" s="1" t="s">
        <v>1</v>
      </c>
      <c r="D523" s="1" t="s">
        <v>6393</v>
      </c>
      <c r="E523" s="1" t="s">
        <v>6394</v>
      </c>
      <c r="F523" s="1" t="s">
        <v>6395</v>
      </c>
      <c r="H523" s="2" t="s">
        <v>5</v>
      </c>
      <c r="I523" s="2" t="s">
        <v>6</v>
      </c>
      <c r="J523" s="2" t="s">
        <v>5</v>
      </c>
      <c r="K523" s="2" t="s">
        <v>16</v>
      </c>
      <c r="L523" s="2" t="s">
        <v>7</v>
      </c>
      <c r="M523" s="1" t="s">
        <v>6336</v>
      </c>
      <c r="N523" s="1" t="s">
        <v>1390</v>
      </c>
      <c r="O523" s="2" t="s">
        <v>1391</v>
      </c>
      <c r="P523" s="1" t="s">
        <v>108</v>
      </c>
      <c r="Q523" s="2" t="s">
        <v>11</v>
      </c>
      <c r="R523" s="2" t="s">
        <v>78</v>
      </c>
      <c r="T523" s="2" t="s">
        <v>520</v>
      </c>
      <c r="U523" s="3">
        <v>4</v>
      </c>
      <c r="V523" s="3">
        <v>4</v>
      </c>
      <c r="W523" s="4" t="s">
        <v>6396</v>
      </c>
      <c r="X523" s="4" t="s">
        <v>6396</v>
      </c>
      <c r="Y523" s="4" t="s">
        <v>6397</v>
      </c>
      <c r="Z523" s="4" t="s">
        <v>6397</v>
      </c>
      <c r="AA523" s="3">
        <v>473</v>
      </c>
      <c r="AB523" s="3">
        <v>297</v>
      </c>
      <c r="AC523" s="3">
        <v>785</v>
      </c>
      <c r="AD523" s="3">
        <v>3</v>
      </c>
      <c r="AE523" s="3">
        <v>8</v>
      </c>
      <c r="AF523" s="3">
        <v>12</v>
      </c>
      <c r="AG523" s="3">
        <v>25</v>
      </c>
      <c r="AH523" s="3">
        <v>2</v>
      </c>
      <c r="AI523" s="3">
        <v>10</v>
      </c>
      <c r="AJ523" s="3">
        <v>1</v>
      </c>
      <c r="AK523" s="3">
        <v>3</v>
      </c>
      <c r="AL523" s="3">
        <v>8</v>
      </c>
      <c r="AM523" s="3">
        <v>12</v>
      </c>
      <c r="AN523" s="3">
        <v>2</v>
      </c>
      <c r="AO523" s="3">
        <v>5</v>
      </c>
      <c r="AP523" s="3">
        <v>0</v>
      </c>
      <c r="AQ523" s="3">
        <v>0</v>
      </c>
      <c r="AR523" s="2" t="s">
        <v>5</v>
      </c>
      <c r="AS523" s="2" t="s">
        <v>5</v>
      </c>
      <c r="AU523" s="5" t="str">
        <f>HYPERLINK("https://creighton-primo.hosted.exlibrisgroup.com/primo-explore/search?tab=default_tab&amp;search_scope=EVERYTHING&amp;vid=01CRU&amp;lang=en_US&amp;offset=0&amp;query=any,contains,991000462279702656","Catalog Record")</f>
        <v>Catalog Record</v>
      </c>
      <c r="AV523" s="5" t="str">
        <f>HYPERLINK("http://www.worldcat.org/oclc/51304384","WorldCat Record")</f>
        <v>WorldCat Record</v>
      </c>
      <c r="AW523" s="2" t="s">
        <v>6363</v>
      </c>
      <c r="AX523" s="2" t="s">
        <v>6398</v>
      </c>
      <c r="AY523" s="2" t="s">
        <v>6399</v>
      </c>
      <c r="AZ523" s="2" t="s">
        <v>6399</v>
      </c>
      <c r="BA523" s="2" t="s">
        <v>6400</v>
      </c>
      <c r="BB523" s="2" t="s">
        <v>21</v>
      </c>
      <c r="BD523" s="2" t="s">
        <v>6401</v>
      </c>
      <c r="BE523" s="2" t="s">
        <v>6402</v>
      </c>
      <c r="BF523" s="2" t="s">
        <v>6403</v>
      </c>
    </row>
    <row r="524" spans="1:58" ht="41.25" customHeight="1" x14ac:dyDescent="0.25">
      <c r="A524" s="8" t="s">
        <v>5</v>
      </c>
      <c r="B524" s="1" t="s">
        <v>0</v>
      </c>
      <c r="C524" s="1" t="s">
        <v>1</v>
      </c>
      <c r="D524" s="1" t="s">
        <v>6404</v>
      </c>
      <c r="E524" s="1" t="s">
        <v>6405</v>
      </c>
      <c r="F524" s="1" t="s">
        <v>6406</v>
      </c>
      <c r="H524" s="2" t="s">
        <v>5</v>
      </c>
      <c r="I524" s="2" t="s">
        <v>6</v>
      </c>
      <c r="J524" s="2" t="s">
        <v>5</v>
      </c>
      <c r="K524" s="2" t="s">
        <v>16</v>
      </c>
      <c r="L524" s="2" t="s">
        <v>7</v>
      </c>
      <c r="M524" s="1" t="s">
        <v>6407</v>
      </c>
      <c r="N524" s="1" t="s">
        <v>6408</v>
      </c>
      <c r="O524" s="2" t="s">
        <v>228</v>
      </c>
      <c r="P524" s="1" t="s">
        <v>1208</v>
      </c>
      <c r="Q524" s="2" t="s">
        <v>11</v>
      </c>
      <c r="R524" s="2" t="s">
        <v>426</v>
      </c>
      <c r="T524" s="2" t="s">
        <v>520</v>
      </c>
      <c r="U524" s="3">
        <v>5</v>
      </c>
      <c r="V524" s="3">
        <v>5</v>
      </c>
      <c r="W524" s="4" t="s">
        <v>6409</v>
      </c>
      <c r="X524" s="4" t="s">
        <v>6409</v>
      </c>
      <c r="Y524" s="4" t="s">
        <v>329</v>
      </c>
      <c r="Z524" s="4" t="s">
        <v>329</v>
      </c>
      <c r="AA524" s="3">
        <v>264</v>
      </c>
      <c r="AB524" s="3">
        <v>200</v>
      </c>
      <c r="AC524" s="3">
        <v>330</v>
      </c>
      <c r="AD524" s="3">
        <v>2</v>
      </c>
      <c r="AE524" s="3">
        <v>5</v>
      </c>
      <c r="AF524" s="3">
        <v>7</v>
      </c>
      <c r="AG524" s="3">
        <v>16</v>
      </c>
      <c r="AH524" s="3">
        <v>4</v>
      </c>
      <c r="AI524" s="3">
        <v>5</v>
      </c>
      <c r="AJ524" s="3">
        <v>1</v>
      </c>
      <c r="AK524" s="3">
        <v>3</v>
      </c>
      <c r="AL524" s="3">
        <v>2</v>
      </c>
      <c r="AM524" s="3">
        <v>7</v>
      </c>
      <c r="AN524" s="3">
        <v>0</v>
      </c>
      <c r="AO524" s="3">
        <v>3</v>
      </c>
      <c r="AP524" s="3">
        <v>0</v>
      </c>
      <c r="AQ524" s="3">
        <v>0</v>
      </c>
      <c r="AR524" s="2" t="s">
        <v>5</v>
      </c>
      <c r="AS524" s="2" t="s">
        <v>16</v>
      </c>
      <c r="AT524" s="5" t="str">
        <f>HYPERLINK("http://catalog.hathitrust.org/Record/000230323","HathiTrust Record")</f>
        <v>HathiTrust Record</v>
      </c>
      <c r="AU524" s="5" t="str">
        <f>HYPERLINK("https://creighton-primo.hosted.exlibrisgroup.com/primo-explore/search?tab=default_tab&amp;search_scope=EVERYTHING&amp;vid=01CRU&amp;lang=en_US&amp;offset=0&amp;query=any,contains,991000739759702656","Catalog Record")</f>
        <v>Catalog Record</v>
      </c>
      <c r="AV524" s="5" t="str">
        <f>HYPERLINK("http://www.worldcat.org/oclc/7946521","WorldCat Record")</f>
        <v>WorldCat Record</v>
      </c>
      <c r="AW524" s="2" t="s">
        <v>6410</v>
      </c>
      <c r="AX524" s="2" t="s">
        <v>6411</v>
      </c>
      <c r="AY524" s="2" t="s">
        <v>6412</v>
      </c>
      <c r="AZ524" s="2" t="s">
        <v>6412</v>
      </c>
      <c r="BA524" s="2" t="s">
        <v>6413</v>
      </c>
      <c r="BB524" s="2" t="s">
        <v>21</v>
      </c>
      <c r="BD524" s="2" t="s">
        <v>6414</v>
      </c>
      <c r="BE524" s="2" t="s">
        <v>6415</v>
      </c>
      <c r="BF524" s="2" t="s">
        <v>6416</v>
      </c>
    </row>
    <row r="525" spans="1:58" ht="41.25" customHeight="1" x14ac:dyDescent="0.25">
      <c r="A525" s="8" t="s">
        <v>5</v>
      </c>
      <c r="B525" s="1" t="s">
        <v>0</v>
      </c>
      <c r="C525" s="1" t="s">
        <v>1</v>
      </c>
      <c r="D525" s="1" t="s">
        <v>6417</v>
      </c>
      <c r="E525" s="1" t="s">
        <v>6418</v>
      </c>
      <c r="F525" s="1" t="s">
        <v>6419</v>
      </c>
      <c r="H525" s="2" t="s">
        <v>5</v>
      </c>
      <c r="I525" s="2" t="s">
        <v>6</v>
      </c>
      <c r="J525" s="2" t="s">
        <v>5</v>
      </c>
      <c r="K525" s="2" t="s">
        <v>5</v>
      </c>
      <c r="L525" s="2" t="s">
        <v>6</v>
      </c>
      <c r="N525" s="1" t="s">
        <v>6420</v>
      </c>
      <c r="O525" s="2" t="s">
        <v>210</v>
      </c>
      <c r="Q525" s="2" t="s">
        <v>11</v>
      </c>
      <c r="R525" s="2" t="s">
        <v>1019</v>
      </c>
      <c r="T525" s="2" t="s">
        <v>520</v>
      </c>
      <c r="U525" s="3">
        <v>17</v>
      </c>
      <c r="V525" s="3">
        <v>17</v>
      </c>
      <c r="W525" s="4" t="s">
        <v>6421</v>
      </c>
      <c r="X525" s="4" t="s">
        <v>6421</v>
      </c>
      <c r="Y525" s="4" t="s">
        <v>6301</v>
      </c>
      <c r="Z525" s="4" t="s">
        <v>6301</v>
      </c>
      <c r="AA525" s="3">
        <v>326</v>
      </c>
      <c r="AB525" s="3">
        <v>186</v>
      </c>
      <c r="AC525" s="3">
        <v>1124</v>
      </c>
      <c r="AD525" s="3">
        <v>1</v>
      </c>
      <c r="AE525" s="3">
        <v>13</v>
      </c>
      <c r="AF525" s="3">
        <v>13</v>
      </c>
      <c r="AG525" s="3">
        <v>47</v>
      </c>
      <c r="AH525" s="3">
        <v>4</v>
      </c>
      <c r="AI525" s="3">
        <v>15</v>
      </c>
      <c r="AJ525" s="3">
        <v>3</v>
      </c>
      <c r="AK525" s="3">
        <v>10</v>
      </c>
      <c r="AL525" s="3">
        <v>12</v>
      </c>
      <c r="AM525" s="3">
        <v>19</v>
      </c>
      <c r="AN525" s="3">
        <v>0</v>
      </c>
      <c r="AO525" s="3">
        <v>11</v>
      </c>
      <c r="AP525" s="3">
        <v>0</v>
      </c>
      <c r="AQ525" s="3">
        <v>2</v>
      </c>
      <c r="AR525" s="2" t="s">
        <v>5</v>
      </c>
      <c r="AS525" s="2" t="s">
        <v>16</v>
      </c>
      <c r="AT525" s="5" t="str">
        <f>HYPERLINK("http://catalog.hathitrust.org/Record/002568960","HathiTrust Record")</f>
        <v>HathiTrust Record</v>
      </c>
      <c r="AU525" s="5" t="str">
        <f>HYPERLINK("https://creighton-primo.hosted.exlibrisgroup.com/primo-explore/search?tab=default_tab&amp;search_scope=EVERYTHING&amp;vid=01CRU&amp;lang=en_US&amp;offset=0&amp;query=any,contains,991001342649702656","Catalog Record")</f>
        <v>Catalog Record</v>
      </c>
      <c r="AV525" s="5" t="str">
        <f>HYPERLINK("http://www.worldcat.org/oclc/26097683","WorldCat Record")</f>
        <v>WorldCat Record</v>
      </c>
      <c r="AW525" s="2" t="s">
        <v>6422</v>
      </c>
      <c r="AX525" s="2" t="s">
        <v>6423</v>
      </c>
      <c r="AY525" s="2" t="s">
        <v>6424</v>
      </c>
      <c r="AZ525" s="2" t="s">
        <v>6424</v>
      </c>
      <c r="BA525" s="2" t="s">
        <v>6425</v>
      </c>
      <c r="BB525" s="2" t="s">
        <v>21</v>
      </c>
      <c r="BD525" s="2" t="s">
        <v>6426</v>
      </c>
      <c r="BE525" s="2" t="s">
        <v>6427</v>
      </c>
      <c r="BF525" s="2" t="s">
        <v>6428</v>
      </c>
    </row>
    <row r="526" spans="1:58" ht="41.25" customHeight="1" x14ac:dyDescent="0.25">
      <c r="A526" s="8" t="s">
        <v>5</v>
      </c>
      <c r="B526" s="1" t="s">
        <v>0</v>
      </c>
      <c r="C526" s="1" t="s">
        <v>1</v>
      </c>
      <c r="D526" s="1" t="s">
        <v>6429</v>
      </c>
      <c r="E526" s="1" t="s">
        <v>6430</v>
      </c>
      <c r="F526" s="1" t="s">
        <v>6431</v>
      </c>
      <c r="H526" s="2" t="s">
        <v>5</v>
      </c>
      <c r="I526" s="2" t="s">
        <v>6</v>
      </c>
      <c r="J526" s="2" t="s">
        <v>5</v>
      </c>
      <c r="K526" s="2" t="s">
        <v>5</v>
      </c>
      <c r="L526" s="2" t="s">
        <v>7</v>
      </c>
      <c r="N526" s="1" t="s">
        <v>6432</v>
      </c>
      <c r="O526" s="2" t="s">
        <v>382</v>
      </c>
      <c r="Q526" s="2" t="s">
        <v>11</v>
      </c>
      <c r="R526" s="2" t="s">
        <v>93</v>
      </c>
      <c r="T526" s="2" t="s">
        <v>520</v>
      </c>
      <c r="U526" s="3">
        <v>23</v>
      </c>
      <c r="V526" s="3">
        <v>23</v>
      </c>
      <c r="W526" s="4" t="s">
        <v>6433</v>
      </c>
      <c r="X526" s="4" t="s">
        <v>6433</v>
      </c>
      <c r="Y526" s="4" t="s">
        <v>168</v>
      </c>
      <c r="Z526" s="4" t="s">
        <v>168</v>
      </c>
      <c r="AA526" s="3">
        <v>354</v>
      </c>
      <c r="AB526" s="3">
        <v>279</v>
      </c>
      <c r="AC526" s="3">
        <v>294</v>
      </c>
      <c r="AD526" s="3">
        <v>3</v>
      </c>
      <c r="AE526" s="3">
        <v>3</v>
      </c>
      <c r="AF526" s="3">
        <v>13</v>
      </c>
      <c r="AG526" s="3">
        <v>15</v>
      </c>
      <c r="AH526" s="3">
        <v>6</v>
      </c>
      <c r="AI526" s="3">
        <v>8</v>
      </c>
      <c r="AJ526" s="3">
        <v>2</v>
      </c>
      <c r="AK526" s="3">
        <v>2</v>
      </c>
      <c r="AL526" s="3">
        <v>6</v>
      </c>
      <c r="AM526" s="3">
        <v>6</v>
      </c>
      <c r="AN526" s="3">
        <v>2</v>
      </c>
      <c r="AO526" s="3">
        <v>2</v>
      </c>
      <c r="AP526" s="3">
        <v>0</v>
      </c>
      <c r="AQ526" s="3">
        <v>0</v>
      </c>
      <c r="AR526" s="2" t="s">
        <v>5</v>
      </c>
      <c r="AS526" s="2" t="s">
        <v>16</v>
      </c>
      <c r="AT526" s="5" t="str">
        <f>HYPERLINK("http://catalog.hathitrust.org/Record/000562018","HathiTrust Record")</f>
        <v>HathiTrust Record</v>
      </c>
      <c r="AU526" s="5" t="str">
        <f>HYPERLINK("https://creighton-primo.hosted.exlibrisgroup.com/primo-explore/search?tab=default_tab&amp;search_scope=EVERYTHING&amp;vid=01CRU&amp;lang=en_US&amp;offset=0&amp;query=any,contains,991001045509702656","Catalog Record")</f>
        <v>Catalog Record</v>
      </c>
      <c r="AV526" s="5" t="str">
        <f>HYPERLINK("http://www.worldcat.org/oclc/10780707","WorldCat Record")</f>
        <v>WorldCat Record</v>
      </c>
      <c r="AW526" s="2" t="s">
        <v>6434</v>
      </c>
      <c r="AX526" s="2" t="s">
        <v>6435</v>
      </c>
      <c r="AY526" s="2" t="s">
        <v>6436</v>
      </c>
      <c r="AZ526" s="2" t="s">
        <v>6436</v>
      </c>
      <c r="BA526" s="2" t="s">
        <v>6437</v>
      </c>
      <c r="BB526" s="2" t="s">
        <v>21</v>
      </c>
      <c r="BD526" s="2" t="s">
        <v>6438</v>
      </c>
      <c r="BE526" s="2" t="s">
        <v>6439</v>
      </c>
      <c r="BF526" s="2" t="s">
        <v>6440</v>
      </c>
    </row>
    <row r="527" spans="1:58" ht="41.25" customHeight="1" x14ac:dyDescent="0.25">
      <c r="A527" s="8" t="s">
        <v>5</v>
      </c>
      <c r="B527" s="1" t="s">
        <v>0</v>
      </c>
      <c r="C527" s="1" t="s">
        <v>1</v>
      </c>
      <c r="D527" s="1" t="s">
        <v>6441</v>
      </c>
      <c r="E527" s="1" t="s">
        <v>6442</v>
      </c>
      <c r="F527" s="1" t="s">
        <v>6443</v>
      </c>
      <c r="H527" s="2" t="s">
        <v>5</v>
      </c>
      <c r="I527" s="2" t="s">
        <v>6</v>
      </c>
      <c r="J527" s="2" t="s">
        <v>5</v>
      </c>
      <c r="K527" s="2" t="s">
        <v>5</v>
      </c>
      <c r="L527" s="2" t="s">
        <v>7</v>
      </c>
      <c r="N527" s="1" t="s">
        <v>1310</v>
      </c>
      <c r="O527" s="2" t="s">
        <v>354</v>
      </c>
      <c r="Q527" s="2" t="s">
        <v>11</v>
      </c>
      <c r="R527" s="2" t="s">
        <v>426</v>
      </c>
      <c r="T527" s="2" t="s">
        <v>520</v>
      </c>
      <c r="U527" s="3">
        <v>11</v>
      </c>
      <c r="V527" s="3">
        <v>11</v>
      </c>
      <c r="W527" s="4" t="s">
        <v>6444</v>
      </c>
      <c r="X527" s="4" t="s">
        <v>6444</v>
      </c>
      <c r="Y527" s="4" t="s">
        <v>168</v>
      </c>
      <c r="Z527" s="4" t="s">
        <v>168</v>
      </c>
      <c r="AA527" s="3">
        <v>204</v>
      </c>
      <c r="AB527" s="3">
        <v>146</v>
      </c>
      <c r="AC527" s="3">
        <v>149</v>
      </c>
      <c r="AD527" s="3">
        <v>1</v>
      </c>
      <c r="AE527" s="3">
        <v>1</v>
      </c>
      <c r="AF527" s="3">
        <v>3</v>
      </c>
      <c r="AG527" s="3">
        <v>3</v>
      </c>
      <c r="AH527" s="3">
        <v>0</v>
      </c>
      <c r="AI527" s="3">
        <v>0</v>
      </c>
      <c r="AJ527" s="3">
        <v>1</v>
      </c>
      <c r="AK527" s="3">
        <v>1</v>
      </c>
      <c r="AL527" s="3">
        <v>2</v>
      </c>
      <c r="AM527" s="3">
        <v>2</v>
      </c>
      <c r="AN527" s="3">
        <v>0</v>
      </c>
      <c r="AO527" s="3">
        <v>0</v>
      </c>
      <c r="AP527" s="3">
        <v>0</v>
      </c>
      <c r="AQ527" s="3">
        <v>0</v>
      </c>
      <c r="AR527" s="2" t="s">
        <v>5</v>
      </c>
      <c r="AS527" s="2" t="s">
        <v>16</v>
      </c>
      <c r="AT527" s="5" t="str">
        <f>HYPERLINK("http://catalog.hathitrust.org/Record/000729639","HathiTrust Record")</f>
        <v>HathiTrust Record</v>
      </c>
      <c r="AU527" s="5" t="str">
        <f>HYPERLINK("https://creighton-primo.hosted.exlibrisgroup.com/primo-explore/search?tab=default_tab&amp;search_scope=EVERYTHING&amp;vid=01CRU&amp;lang=en_US&amp;offset=0&amp;query=any,contains,991001045589702656","Catalog Record")</f>
        <v>Catalog Record</v>
      </c>
      <c r="AV527" s="5" t="str">
        <f>HYPERLINK("http://www.worldcat.org/oclc/6486875","WorldCat Record")</f>
        <v>WorldCat Record</v>
      </c>
      <c r="AW527" s="2" t="s">
        <v>6445</v>
      </c>
      <c r="AX527" s="2" t="s">
        <v>6446</v>
      </c>
      <c r="AY527" s="2" t="s">
        <v>6447</v>
      </c>
      <c r="AZ527" s="2" t="s">
        <v>6447</v>
      </c>
      <c r="BA527" s="2" t="s">
        <v>6448</v>
      </c>
      <c r="BB527" s="2" t="s">
        <v>21</v>
      </c>
      <c r="BD527" s="2" t="s">
        <v>6449</v>
      </c>
      <c r="BE527" s="2" t="s">
        <v>6450</v>
      </c>
      <c r="BF527" s="2" t="s">
        <v>6451</v>
      </c>
    </row>
    <row r="528" spans="1:58" ht="41.25" customHeight="1" x14ac:dyDescent="0.25">
      <c r="A528" s="8" t="s">
        <v>5</v>
      </c>
      <c r="B528" s="1" t="s">
        <v>0</v>
      </c>
      <c r="C528" s="1" t="s">
        <v>1</v>
      </c>
      <c r="D528" s="1" t="s">
        <v>6452</v>
      </c>
      <c r="E528" s="1" t="s">
        <v>6453</v>
      </c>
      <c r="F528" s="1" t="s">
        <v>6454</v>
      </c>
      <c r="H528" s="2" t="s">
        <v>5</v>
      </c>
      <c r="I528" s="2" t="s">
        <v>6</v>
      </c>
      <c r="J528" s="2" t="s">
        <v>5</v>
      </c>
      <c r="K528" s="2" t="s">
        <v>5</v>
      </c>
      <c r="L528" s="2" t="s">
        <v>7</v>
      </c>
      <c r="N528" s="1" t="s">
        <v>6455</v>
      </c>
      <c r="O528" s="2" t="s">
        <v>393</v>
      </c>
      <c r="Q528" s="2" t="s">
        <v>11</v>
      </c>
      <c r="R528" s="2" t="s">
        <v>426</v>
      </c>
      <c r="S528" s="1" t="s">
        <v>3264</v>
      </c>
      <c r="T528" s="2" t="s">
        <v>520</v>
      </c>
      <c r="U528" s="3">
        <v>13</v>
      </c>
      <c r="V528" s="3">
        <v>13</v>
      </c>
      <c r="W528" s="4" t="s">
        <v>6456</v>
      </c>
      <c r="X528" s="4" t="s">
        <v>6456</v>
      </c>
      <c r="Y528" s="4" t="s">
        <v>168</v>
      </c>
      <c r="Z528" s="4" t="s">
        <v>168</v>
      </c>
      <c r="AA528" s="3">
        <v>228</v>
      </c>
      <c r="AB528" s="3">
        <v>170</v>
      </c>
      <c r="AC528" s="3">
        <v>177</v>
      </c>
      <c r="AD528" s="3">
        <v>3</v>
      </c>
      <c r="AE528" s="3">
        <v>3</v>
      </c>
      <c r="AF528" s="3">
        <v>8</v>
      </c>
      <c r="AG528" s="3">
        <v>8</v>
      </c>
      <c r="AH528" s="3">
        <v>1</v>
      </c>
      <c r="AI528" s="3">
        <v>1</v>
      </c>
      <c r="AJ528" s="3">
        <v>2</v>
      </c>
      <c r="AK528" s="3">
        <v>2</v>
      </c>
      <c r="AL528" s="3">
        <v>4</v>
      </c>
      <c r="AM528" s="3">
        <v>4</v>
      </c>
      <c r="AN528" s="3">
        <v>2</v>
      </c>
      <c r="AO528" s="3">
        <v>2</v>
      </c>
      <c r="AP528" s="3">
        <v>0</v>
      </c>
      <c r="AQ528" s="3">
        <v>0</v>
      </c>
      <c r="AR528" s="2" t="s">
        <v>5</v>
      </c>
      <c r="AS528" s="2" t="s">
        <v>16</v>
      </c>
      <c r="AT528" s="5" t="str">
        <f>HYPERLINK("http://catalog.hathitrust.org/Record/000767237","HathiTrust Record")</f>
        <v>HathiTrust Record</v>
      </c>
      <c r="AU528" s="5" t="str">
        <f>HYPERLINK("https://creighton-primo.hosted.exlibrisgroup.com/primo-explore/search?tab=default_tab&amp;search_scope=EVERYTHING&amp;vid=01CRU&amp;lang=en_US&amp;offset=0&amp;query=any,contains,991001045549702656","Catalog Record")</f>
        <v>Catalog Record</v>
      </c>
      <c r="AV528" s="5" t="str">
        <f>HYPERLINK("http://www.worldcat.org/oclc/6789670","WorldCat Record")</f>
        <v>WorldCat Record</v>
      </c>
      <c r="AW528" s="2" t="s">
        <v>6457</v>
      </c>
      <c r="AX528" s="2" t="s">
        <v>6458</v>
      </c>
      <c r="AY528" s="2" t="s">
        <v>6459</v>
      </c>
      <c r="AZ528" s="2" t="s">
        <v>6459</v>
      </c>
      <c r="BA528" s="2" t="s">
        <v>6460</v>
      </c>
      <c r="BB528" s="2" t="s">
        <v>21</v>
      </c>
      <c r="BD528" s="2" t="s">
        <v>6461</v>
      </c>
      <c r="BE528" s="2" t="s">
        <v>6462</v>
      </c>
      <c r="BF528" s="2" t="s">
        <v>6463</v>
      </c>
    </row>
    <row r="529" spans="1:58" ht="41.25" customHeight="1" x14ac:dyDescent="0.25">
      <c r="A529" s="8" t="s">
        <v>5</v>
      </c>
      <c r="B529" s="1" t="s">
        <v>0</v>
      </c>
      <c r="C529" s="1" t="s">
        <v>1</v>
      </c>
      <c r="D529" s="1" t="s">
        <v>6464</v>
      </c>
      <c r="E529" s="1" t="s">
        <v>6465</v>
      </c>
      <c r="F529" s="1" t="s">
        <v>6466</v>
      </c>
      <c r="H529" s="2" t="s">
        <v>5</v>
      </c>
      <c r="I529" s="2" t="s">
        <v>6</v>
      </c>
      <c r="J529" s="2" t="s">
        <v>5</v>
      </c>
      <c r="K529" s="2" t="s">
        <v>5</v>
      </c>
      <c r="L529" s="2" t="s">
        <v>7</v>
      </c>
      <c r="M529" s="1" t="s">
        <v>6467</v>
      </c>
      <c r="N529" s="1" t="s">
        <v>6468</v>
      </c>
      <c r="O529" s="2" t="s">
        <v>872</v>
      </c>
      <c r="Q529" s="2" t="s">
        <v>11</v>
      </c>
      <c r="R529" s="2" t="s">
        <v>426</v>
      </c>
      <c r="T529" s="2" t="s">
        <v>520</v>
      </c>
      <c r="U529" s="3">
        <v>36</v>
      </c>
      <c r="V529" s="3">
        <v>36</v>
      </c>
      <c r="W529" s="4" t="s">
        <v>6469</v>
      </c>
      <c r="X529" s="4" t="s">
        <v>6469</v>
      </c>
      <c r="Y529" s="4" t="s">
        <v>6470</v>
      </c>
      <c r="Z529" s="4" t="s">
        <v>6470</v>
      </c>
      <c r="AA529" s="3">
        <v>252</v>
      </c>
      <c r="AB529" s="3">
        <v>177</v>
      </c>
      <c r="AC529" s="3">
        <v>179</v>
      </c>
      <c r="AD529" s="3">
        <v>3</v>
      </c>
      <c r="AE529" s="3">
        <v>3</v>
      </c>
      <c r="AF529" s="3">
        <v>8</v>
      </c>
      <c r="AG529" s="3">
        <v>8</v>
      </c>
      <c r="AH529" s="3">
        <v>3</v>
      </c>
      <c r="AI529" s="3">
        <v>3</v>
      </c>
      <c r="AJ529" s="3">
        <v>1</v>
      </c>
      <c r="AK529" s="3">
        <v>1</v>
      </c>
      <c r="AL529" s="3">
        <v>3</v>
      </c>
      <c r="AM529" s="3">
        <v>3</v>
      </c>
      <c r="AN529" s="3">
        <v>2</v>
      </c>
      <c r="AO529" s="3">
        <v>2</v>
      </c>
      <c r="AP529" s="3">
        <v>0</v>
      </c>
      <c r="AQ529" s="3">
        <v>0</v>
      </c>
      <c r="AR529" s="2" t="s">
        <v>5</v>
      </c>
      <c r="AS529" s="2" t="s">
        <v>16</v>
      </c>
      <c r="AT529" s="5" t="str">
        <f>HYPERLINK("http://catalog.hathitrust.org/Record/001103270","HathiTrust Record")</f>
        <v>HathiTrust Record</v>
      </c>
      <c r="AU529" s="5" t="str">
        <f>HYPERLINK("https://creighton-primo.hosted.exlibrisgroup.com/primo-explore/search?tab=default_tab&amp;search_scope=EVERYTHING&amp;vid=01CRU&amp;lang=en_US&amp;offset=0&amp;query=any,contains,991001310809702656","Catalog Record")</f>
        <v>Catalog Record</v>
      </c>
      <c r="AV529" s="5" t="str">
        <f>HYPERLINK("http://www.worldcat.org/oclc/18833804","WorldCat Record")</f>
        <v>WorldCat Record</v>
      </c>
      <c r="AW529" s="2" t="s">
        <v>6471</v>
      </c>
      <c r="AX529" s="2" t="s">
        <v>6472</v>
      </c>
      <c r="AY529" s="2" t="s">
        <v>6473</v>
      </c>
      <c r="AZ529" s="2" t="s">
        <v>6473</v>
      </c>
      <c r="BA529" s="2" t="s">
        <v>6474</v>
      </c>
      <c r="BB529" s="2" t="s">
        <v>21</v>
      </c>
      <c r="BD529" s="2" t="s">
        <v>6475</v>
      </c>
      <c r="BE529" s="2" t="s">
        <v>6476</v>
      </c>
      <c r="BF529" s="2" t="s">
        <v>6477</v>
      </c>
    </row>
    <row r="530" spans="1:58" ht="41.25" customHeight="1" x14ac:dyDescent="0.25">
      <c r="A530" s="8" t="s">
        <v>5</v>
      </c>
      <c r="B530" s="1" t="s">
        <v>0</v>
      </c>
      <c r="C530" s="1" t="s">
        <v>1</v>
      </c>
      <c r="D530" s="1" t="s">
        <v>6478</v>
      </c>
      <c r="E530" s="1" t="s">
        <v>6479</v>
      </c>
      <c r="F530" s="1" t="s">
        <v>6480</v>
      </c>
      <c r="H530" s="2" t="s">
        <v>5</v>
      </c>
      <c r="I530" s="2" t="s">
        <v>6</v>
      </c>
      <c r="J530" s="2" t="s">
        <v>5</v>
      </c>
      <c r="K530" s="2" t="s">
        <v>5</v>
      </c>
      <c r="L530" s="2" t="s">
        <v>7</v>
      </c>
      <c r="M530" s="1" t="s">
        <v>544</v>
      </c>
      <c r="N530" s="1" t="s">
        <v>6481</v>
      </c>
      <c r="O530" s="2" t="s">
        <v>2713</v>
      </c>
      <c r="Q530" s="2" t="s">
        <v>11</v>
      </c>
      <c r="R530" s="2" t="s">
        <v>78</v>
      </c>
      <c r="S530" s="1" t="s">
        <v>6482</v>
      </c>
      <c r="T530" s="2" t="s">
        <v>520</v>
      </c>
      <c r="U530" s="3">
        <v>14</v>
      </c>
      <c r="V530" s="3">
        <v>14</v>
      </c>
      <c r="W530" s="4" t="s">
        <v>547</v>
      </c>
      <c r="X530" s="4" t="s">
        <v>547</v>
      </c>
      <c r="Y530" s="4" t="s">
        <v>183</v>
      </c>
      <c r="Z530" s="4" t="s">
        <v>183</v>
      </c>
      <c r="AA530" s="3">
        <v>471</v>
      </c>
      <c r="AB530" s="3">
        <v>406</v>
      </c>
      <c r="AC530" s="3">
        <v>468</v>
      </c>
      <c r="AD530" s="3">
        <v>5</v>
      </c>
      <c r="AE530" s="3">
        <v>6</v>
      </c>
      <c r="AF530" s="3">
        <v>25</v>
      </c>
      <c r="AG530" s="3">
        <v>28</v>
      </c>
      <c r="AH530" s="3">
        <v>10</v>
      </c>
      <c r="AI530" s="3">
        <v>11</v>
      </c>
      <c r="AJ530" s="3">
        <v>4</v>
      </c>
      <c r="AK530" s="3">
        <v>4</v>
      </c>
      <c r="AL530" s="3">
        <v>13</v>
      </c>
      <c r="AM530" s="3">
        <v>14</v>
      </c>
      <c r="AN530" s="3">
        <v>4</v>
      </c>
      <c r="AO530" s="3">
        <v>5</v>
      </c>
      <c r="AP530" s="3">
        <v>0</v>
      </c>
      <c r="AQ530" s="3">
        <v>0</v>
      </c>
      <c r="AR530" s="2" t="s">
        <v>5</v>
      </c>
      <c r="AS530" s="2" t="s">
        <v>16</v>
      </c>
      <c r="AT530" s="5" t="str">
        <f>HYPERLINK("http://catalog.hathitrust.org/Record/001574330","HathiTrust Record")</f>
        <v>HathiTrust Record</v>
      </c>
      <c r="AU530" s="5" t="str">
        <f>HYPERLINK("https://creighton-primo.hosted.exlibrisgroup.com/primo-explore/search?tab=default_tab&amp;search_scope=EVERYTHING&amp;vid=01CRU&amp;lang=en_US&amp;offset=0&amp;query=any,contains,991001045639702656","Catalog Record")</f>
        <v>Catalog Record</v>
      </c>
      <c r="AV530" s="5" t="str">
        <f>HYPERLINK("http://www.worldcat.org/oclc/66304","WorldCat Record")</f>
        <v>WorldCat Record</v>
      </c>
      <c r="AW530" s="2" t="s">
        <v>6483</v>
      </c>
      <c r="AX530" s="2" t="s">
        <v>6484</v>
      </c>
      <c r="AY530" s="2" t="s">
        <v>6485</v>
      </c>
      <c r="AZ530" s="2" t="s">
        <v>6485</v>
      </c>
      <c r="BA530" s="2" t="s">
        <v>6486</v>
      </c>
      <c r="BB530" s="2" t="s">
        <v>21</v>
      </c>
      <c r="BE530" s="2" t="s">
        <v>6487</v>
      </c>
      <c r="BF530" s="2" t="s">
        <v>6488</v>
      </c>
    </row>
    <row r="531" spans="1:58" ht="41.25" customHeight="1" x14ac:dyDescent="0.25">
      <c r="A531" s="8" t="s">
        <v>5</v>
      </c>
      <c r="B531" s="1" t="s">
        <v>0</v>
      </c>
      <c r="C531" s="1" t="s">
        <v>1</v>
      </c>
      <c r="D531" s="1" t="s">
        <v>6489</v>
      </c>
      <c r="E531" s="1" t="s">
        <v>6490</v>
      </c>
      <c r="F531" s="1" t="s">
        <v>6491</v>
      </c>
      <c r="H531" s="2" t="s">
        <v>5</v>
      </c>
      <c r="I531" s="2" t="s">
        <v>6</v>
      </c>
      <c r="J531" s="2" t="s">
        <v>5</v>
      </c>
      <c r="K531" s="2" t="s">
        <v>5</v>
      </c>
      <c r="L531" s="2" t="s">
        <v>7</v>
      </c>
      <c r="M531" s="1" t="s">
        <v>6492</v>
      </c>
      <c r="N531" s="1" t="s">
        <v>6493</v>
      </c>
      <c r="O531" s="2" t="s">
        <v>888</v>
      </c>
      <c r="Q531" s="2" t="s">
        <v>11</v>
      </c>
      <c r="R531" s="2" t="s">
        <v>271</v>
      </c>
      <c r="T531" s="2" t="s">
        <v>520</v>
      </c>
      <c r="U531" s="3">
        <v>17</v>
      </c>
      <c r="V531" s="3">
        <v>17</v>
      </c>
      <c r="W531" s="4" t="s">
        <v>6494</v>
      </c>
      <c r="X531" s="4" t="s">
        <v>6494</v>
      </c>
      <c r="Y531" s="4" t="s">
        <v>168</v>
      </c>
      <c r="Z531" s="4" t="s">
        <v>168</v>
      </c>
      <c r="AA531" s="3">
        <v>202</v>
      </c>
      <c r="AB531" s="3">
        <v>154</v>
      </c>
      <c r="AC531" s="3">
        <v>156</v>
      </c>
      <c r="AD531" s="3">
        <v>1</v>
      </c>
      <c r="AE531" s="3">
        <v>1</v>
      </c>
      <c r="AF531" s="3">
        <v>3</v>
      </c>
      <c r="AG531" s="3">
        <v>3</v>
      </c>
      <c r="AH531" s="3">
        <v>1</v>
      </c>
      <c r="AI531" s="3">
        <v>1</v>
      </c>
      <c r="AJ531" s="3">
        <v>0</v>
      </c>
      <c r="AK531" s="3">
        <v>0</v>
      </c>
      <c r="AL531" s="3">
        <v>2</v>
      </c>
      <c r="AM531" s="3">
        <v>2</v>
      </c>
      <c r="AN531" s="3">
        <v>0</v>
      </c>
      <c r="AO531" s="3">
        <v>0</v>
      </c>
      <c r="AP531" s="3">
        <v>0</v>
      </c>
      <c r="AQ531" s="3">
        <v>0</v>
      </c>
      <c r="AR531" s="2" t="s">
        <v>5</v>
      </c>
      <c r="AS531" s="2" t="s">
        <v>16</v>
      </c>
      <c r="AT531" s="5" t="str">
        <f>HYPERLINK("http://catalog.hathitrust.org/Record/000286787","HathiTrust Record")</f>
        <v>HathiTrust Record</v>
      </c>
      <c r="AU531" s="5" t="str">
        <f>HYPERLINK("https://creighton-primo.hosted.exlibrisgroup.com/primo-explore/search?tab=default_tab&amp;search_scope=EVERYTHING&amp;vid=01CRU&amp;lang=en_US&amp;offset=0&amp;query=any,contains,991001045679702656","Catalog Record")</f>
        <v>Catalog Record</v>
      </c>
      <c r="AV531" s="5" t="str">
        <f>HYPERLINK("http://www.worldcat.org/oclc/10674851","WorldCat Record")</f>
        <v>WorldCat Record</v>
      </c>
      <c r="AW531" s="2" t="s">
        <v>6495</v>
      </c>
      <c r="AX531" s="2" t="s">
        <v>6496</v>
      </c>
      <c r="AY531" s="2" t="s">
        <v>6497</v>
      </c>
      <c r="AZ531" s="2" t="s">
        <v>6497</v>
      </c>
      <c r="BA531" s="2" t="s">
        <v>6498</v>
      </c>
      <c r="BB531" s="2" t="s">
        <v>21</v>
      </c>
      <c r="BD531" s="2" t="s">
        <v>6499</v>
      </c>
      <c r="BE531" s="2" t="s">
        <v>6500</v>
      </c>
      <c r="BF531" s="2" t="s">
        <v>6501</v>
      </c>
    </row>
    <row r="532" spans="1:58" ht="41.25" customHeight="1" x14ac:dyDescent="0.25">
      <c r="A532" s="8" t="s">
        <v>5</v>
      </c>
      <c r="B532" s="1" t="s">
        <v>0</v>
      </c>
      <c r="C532" s="1" t="s">
        <v>1</v>
      </c>
      <c r="D532" s="1" t="s">
        <v>6502</v>
      </c>
      <c r="E532" s="1" t="s">
        <v>6503</v>
      </c>
      <c r="F532" s="1" t="s">
        <v>6504</v>
      </c>
      <c r="H532" s="2" t="s">
        <v>5</v>
      </c>
      <c r="I532" s="2" t="s">
        <v>6</v>
      </c>
      <c r="J532" s="2" t="s">
        <v>5</v>
      </c>
      <c r="K532" s="2" t="s">
        <v>5</v>
      </c>
      <c r="L532" s="2" t="s">
        <v>7</v>
      </c>
      <c r="M532" s="1" t="s">
        <v>6505</v>
      </c>
      <c r="N532" s="1" t="s">
        <v>6408</v>
      </c>
      <c r="O532" s="2" t="s">
        <v>228</v>
      </c>
      <c r="P532" s="1" t="s">
        <v>211</v>
      </c>
      <c r="Q532" s="2" t="s">
        <v>11</v>
      </c>
      <c r="R532" s="2" t="s">
        <v>426</v>
      </c>
      <c r="T532" s="2" t="s">
        <v>520</v>
      </c>
      <c r="U532" s="3">
        <v>10</v>
      </c>
      <c r="V532" s="3">
        <v>10</v>
      </c>
      <c r="W532" s="4" t="s">
        <v>6506</v>
      </c>
      <c r="X532" s="4" t="s">
        <v>6506</v>
      </c>
      <c r="Y532" s="4" t="s">
        <v>168</v>
      </c>
      <c r="Z532" s="4" t="s">
        <v>168</v>
      </c>
      <c r="AA532" s="3">
        <v>213</v>
      </c>
      <c r="AB532" s="3">
        <v>157</v>
      </c>
      <c r="AC532" s="3">
        <v>259</v>
      </c>
      <c r="AD532" s="3">
        <v>2</v>
      </c>
      <c r="AE532" s="3">
        <v>4</v>
      </c>
      <c r="AF532" s="3">
        <v>6</v>
      </c>
      <c r="AG532" s="3">
        <v>14</v>
      </c>
      <c r="AH532" s="3">
        <v>4</v>
      </c>
      <c r="AI532" s="3">
        <v>6</v>
      </c>
      <c r="AJ532" s="3">
        <v>0</v>
      </c>
      <c r="AK532" s="3">
        <v>1</v>
      </c>
      <c r="AL532" s="3">
        <v>3</v>
      </c>
      <c r="AM532" s="3">
        <v>6</v>
      </c>
      <c r="AN532" s="3">
        <v>0</v>
      </c>
      <c r="AO532" s="3">
        <v>2</v>
      </c>
      <c r="AP532" s="3">
        <v>0</v>
      </c>
      <c r="AQ532" s="3">
        <v>0</v>
      </c>
      <c r="AR532" s="2" t="s">
        <v>5</v>
      </c>
      <c r="AS532" s="2" t="s">
        <v>16</v>
      </c>
      <c r="AT532" s="5" t="str">
        <f>HYPERLINK("http://catalog.hathitrust.org/Record/000230579","HathiTrust Record")</f>
        <v>HathiTrust Record</v>
      </c>
      <c r="AU532" s="5" t="str">
        <f>HYPERLINK("https://creighton-primo.hosted.exlibrisgroup.com/primo-explore/search?tab=default_tab&amp;search_scope=EVERYTHING&amp;vid=01CRU&amp;lang=en_US&amp;offset=0&amp;query=any,contains,991001045709702656","Catalog Record")</f>
        <v>Catalog Record</v>
      </c>
      <c r="AV532" s="5" t="str">
        <f>HYPERLINK("http://www.worldcat.org/oclc/7998968","WorldCat Record")</f>
        <v>WorldCat Record</v>
      </c>
      <c r="AW532" s="2" t="s">
        <v>6507</v>
      </c>
      <c r="AX532" s="2" t="s">
        <v>6508</v>
      </c>
      <c r="AY532" s="2" t="s">
        <v>6509</v>
      </c>
      <c r="AZ532" s="2" t="s">
        <v>6509</v>
      </c>
      <c r="BA532" s="2" t="s">
        <v>6510</v>
      </c>
      <c r="BB532" s="2" t="s">
        <v>21</v>
      </c>
      <c r="BD532" s="2" t="s">
        <v>6511</v>
      </c>
      <c r="BE532" s="2" t="s">
        <v>6512</v>
      </c>
      <c r="BF532" s="2" t="s">
        <v>6513</v>
      </c>
    </row>
    <row r="533" spans="1:58" ht="41.25" customHeight="1" x14ac:dyDescent="0.25">
      <c r="A533" s="8" t="s">
        <v>5</v>
      </c>
      <c r="B533" s="1" t="s">
        <v>0</v>
      </c>
      <c r="C533" s="1" t="s">
        <v>1</v>
      </c>
      <c r="D533" s="1" t="s">
        <v>6514</v>
      </c>
      <c r="E533" s="1" t="s">
        <v>6515</v>
      </c>
      <c r="F533" s="1" t="s">
        <v>6516</v>
      </c>
      <c r="H533" s="2" t="s">
        <v>5</v>
      </c>
      <c r="I533" s="2" t="s">
        <v>6</v>
      </c>
      <c r="J533" s="2" t="s">
        <v>5</v>
      </c>
      <c r="K533" s="2" t="s">
        <v>5</v>
      </c>
      <c r="L533" s="2" t="s">
        <v>7</v>
      </c>
      <c r="M533" s="1" t="s">
        <v>6505</v>
      </c>
      <c r="N533" s="1" t="s">
        <v>6517</v>
      </c>
      <c r="O533" s="2" t="s">
        <v>1339</v>
      </c>
      <c r="P533" s="1" t="s">
        <v>901</v>
      </c>
      <c r="Q533" s="2" t="s">
        <v>11</v>
      </c>
      <c r="R533" s="2" t="s">
        <v>426</v>
      </c>
      <c r="T533" s="2" t="s">
        <v>520</v>
      </c>
      <c r="U533" s="3">
        <v>5</v>
      </c>
      <c r="V533" s="3">
        <v>5</v>
      </c>
      <c r="W533" s="4" t="s">
        <v>6518</v>
      </c>
      <c r="X533" s="4" t="s">
        <v>6518</v>
      </c>
      <c r="Y533" s="4" t="s">
        <v>33</v>
      </c>
      <c r="Z533" s="4" t="s">
        <v>33</v>
      </c>
      <c r="AA533" s="3">
        <v>256</v>
      </c>
      <c r="AB533" s="3">
        <v>150</v>
      </c>
      <c r="AC533" s="3">
        <v>155</v>
      </c>
      <c r="AD533" s="3">
        <v>2</v>
      </c>
      <c r="AE533" s="3">
        <v>2</v>
      </c>
      <c r="AF533" s="3">
        <v>6</v>
      </c>
      <c r="AG533" s="3">
        <v>6</v>
      </c>
      <c r="AH533" s="3">
        <v>1</v>
      </c>
      <c r="AI533" s="3">
        <v>1</v>
      </c>
      <c r="AJ533" s="3">
        <v>1</v>
      </c>
      <c r="AK533" s="3">
        <v>1</v>
      </c>
      <c r="AL533" s="3">
        <v>6</v>
      </c>
      <c r="AM533" s="3">
        <v>6</v>
      </c>
      <c r="AN533" s="3">
        <v>0</v>
      </c>
      <c r="AO533" s="3">
        <v>0</v>
      </c>
      <c r="AP533" s="3">
        <v>0</v>
      </c>
      <c r="AQ533" s="3">
        <v>0</v>
      </c>
      <c r="AR533" s="2" t="s">
        <v>5</v>
      </c>
      <c r="AS533" s="2" t="s">
        <v>16</v>
      </c>
      <c r="AT533" s="5" t="str">
        <f>HYPERLINK("http://catalog.hathitrust.org/Record/000810757","HathiTrust Record")</f>
        <v>HathiTrust Record</v>
      </c>
      <c r="AU533" s="5" t="str">
        <f>HYPERLINK("https://creighton-primo.hosted.exlibrisgroup.com/primo-explore/search?tab=default_tab&amp;search_scope=EVERYTHING&amp;vid=01CRU&amp;lang=en_US&amp;offset=0&amp;query=any,contains,991000739489702656","Catalog Record")</f>
        <v>Catalog Record</v>
      </c>
      <c r="AV533" s="5" t="str">
        <f>HYPERLINK("http://www.worldcat.org/oclc/14818308","WorldCat Record")</f>
        <v>WorldCat Record</v>
      </c>
      <c r="AW533" s="2" t="s">
        <v>6519</v>
      </c>
      <c r="AX533" s="2" t="s">
        <v>6520</v>
      </c>
      <c r="AY533" s="2" t="s">
        <v>6521</v>
      </c>
      <c r="AZ533" s="2" t="s">
        <v>6521</v>
      </c>
      <c r="BA533" s="2" t="s">
        <v>6522</v>
      </c>
      <c r="BB533" s="2" t="s">
        <v>21</v>
      </c>
      <c r="BD533" s="2" t="s">
        <v>6523</v>
      </c>
      <c r="BE533" s="2" t="s">
        <v>6524</v>
      </c>
      <c r="BF533" s="2" t="s">
        <v>6525</v>
      </c>
    </row>
    <row r="534" spans="1:58" ht="41.25" customHeight="1" x14ac:dyDescent="0.25">
      <c r="A534" s="8" t="s">
        <v>5</v>
      </c>
      <c r="B534" s="1" t="s">
        <v>0</v>
      </c>
      <c r="C534" s="1" t="s">
        <v>1</v>
      </c>
      <c r="D534" s="1" t="s">
        <v>6526</v>
      </c>
      <c r="E534" s="1" t="s">
        <v>6527</v>
      </c>
      <c r="F534" s="1" t="s">
        <v>6528</v>
      </c>
      <c r="H534" s="2" t="s">
        <v>5</v>
      </c>
      <c r="I534" s="2" t="s">
        <v>6</v>
      </c>
      <c r="J534" s="2" t="s">
        <v>5</v>
      </c>
      <c r="K534" s="2" t="s">
        <v>16</v>
      </c>
      <c r="L534" s="2" t="s">
        <v>7</v>
      </c>
      <c r="N534" s="1" t="s">
        <v>6529</v>
      </c>
      <c r="O534" s="2" t="s">
        <v>888</v>
      </c>
      <c r="P534" s="1" t="s">
        <v>6530</v>
      </c>
      <c r="Q534" s="2" t="s">
        <v>11</v>
      </c>
      <c r="R534" s="2" t="s">
        <v>426</v>
      </c>
      <c r="T534" s="2" t="s">
        <v>520</v>
      </c>
      <c r="U534" s="3">
        <v>2</v>
      </c>
      <c r="V534" s="3">
        <v>2</v>
      </c>
      <c r="W534" s="4" t="s">
        <v>6531</v>
      </c>
      <c r="X534" s="4" t="s">
        <v>6531</v>
      </c>
      <c r="Y534" s="4" t="s">
        <v>6532</v>
      </c>
      <c r="Z534" s="4" t="s">
        <v>6532</v>
      </c>
      <c r="AA534" s="3">
        <v>232</v>
      </c>
      <c r="AB534" s="3">
        <v>192</v>
      </c>
      <c r="AC534" s="3">
        <v>272</v>
      </c>
      <c r="AD534" s="3">
        <v>2</v>
      </c>
      <c r="AE534" s="3">
        <v>4</v>
      </c>
      <c r="AF534" s="3">
        <v>4</v>
      </c>
      <c r="AG534" s="3">
        <v>11</v>
      </c>
      <c r="AH534" s="3">
        <v>2</v>
      </c>
      <c r="AI534" s="3">
        <v>5</v>
      </c>
      <c r="AJ534" s="3">
        <v>0</v>
      </c>
      <c r="AK534" s="3">
        <v>2</v>
      </c>
      <c r="AL534" s="3">
        <v>2</v>
      </c>
      <c r="AM534" s="3">
        <v>4</v>
      </c>
      <c r="AN534" s="3">
        <v>0</v>
      </c>
      <c r="AO534" s="3">
        <v>1</v>
      </c>
      <c r="AP534" s="3">
        <v>0</v>
      </c>
      <c r="AQ534" s="3">
        <v>0</v>
      </c>
      <c r="AR534" s="2" t="s">
        <v>5</v>
      </c>
      <c r="AS534" s="2" t="s">
        <v>16</v>
      </c>
      <c r="AT534" s="5" t="str">
        <f>HYPERLINK("http://catalog.hathitrust.org/Record/000282988","HathiTrust Record")</f>
        <v>HathiTrust Record</v>
      </c>
      <c r="AU534" s="5" t="str">
        <f>HYPERLINK("https://creighton-primo.hosted.exlibrisgroup.com/primo-explore/search?tab=default_tab&amp;search_scope=EVERYTHING&amp;vid=01CRU&amp;lang=en_US&amp;offset=0&amp;query=any,contains,991000739389702656","Catalog Record")</f>
        <v>Catalog Record</v>
      </c>
      <c r="AV534" s="5" t="str">
        <f>HYPERLINK("http://www.worldcat.org/oclc/9683417","WorldCat Record")</f>
        <v>WorldCat Record</v>
      </c>
      <c r="AW534" s="2" t="s">
        <v>6533</v>
      </c>
      <c r="AX534" s="2" t="s">
        <v>6534</v>
      </c>
      <c r="AY534" s="2" t="s">
        <v>6535</v>
      </c>
      <c r="AZ534" s="2" t="s">
        <v>6535</v>
      </c>
      <c r="BA534" s="2" t="s">
        <v>6536</v>
      </c>
      <c r="BB534" s="2" t="s">
        <v>21</v>
      </c>
      <c r="BD534" s="2" t="s">
        <v>6537</v>
      </c>
      <c r="BE534" s="2" t="s">
        <v>6538</v>
      </c>
      <c r="BF534" s="2" t="s">
        <v>6539</v>
      </c>
    </row>
    <row r="535" spans="1:58" ht="41.25" customHeight="1" x14ac:dyDescent="0.25">
      <c r="A535" s="8" t="s">
        <v>5</v>
      </c>
      <c r="B535" s="1" t="s">
        <v>0</v>
      </c>
      <c r="C535" s="1" t="s">
        <v>1</v>
      </c>
      <c r="D535" s="1" t="s">
        <v>6540</v>
      </c>
      <c r="E535" s="1" t="s">
        <v>6541</v>
      </c>
      <c r="F535" s="1" t="s">
        <v>6542</v>
      </c>
      <c r="H535" s="2" t="s">
        <v>5</v>
      </c>
      <c r="I535" s="2" t="s">
        <v>6</v>
      </c>
      <c r="J535" s="2" t="s">
        <v>5</v>
      </c>
      <c r="K535" s="2" t="s">
        <v>5</v>
      </c>
      <c r="L535" s="2" t="s">
        <v>7</v>
      </c>
      <c r="N535" s="1" t="s">
        <v>6543</v>
      </c>
      <c r="O535" s="2" t="s">
        <v>872</v>
      </c>
      <c r="Q535" s="2" t="s">
        <v>11</v>
      </c>
      <c r="R535" s="2" t="s">
        <v>78</v>
      </c>
      <c r="T535" s="2" t="s">
        <v>520</v>
      </c>
      <c r="U535" s="3">
        <v>5</v>
      </c>
      <c r="V535" s="3">
        <v>5</v>
      </c>
      <c r="W535" s="4" t="s">
        <v>6544</v>
      </c>
      <c r="X535" s="4" t="s">
        <v>6544</v>
      </c>
      <c r="Y535" s="4" t="s">
        <v>6545</v>
      </c>
      <c r="Z535" s="4" t="s">
        <v>6545</v>
      </c>
      <c r="AA535" s="3">
        <v>278</v>
      </c>
      <c r="AB535" s="3">
        <v>214</v>
      </c>
      <c r="AC535" s="3">
        <v>221</v>
      </c>
      <c r="AD535" s="3">
        <v>1</v>
      </c>
      <c r="AE535" s="3">
        <v>1</v>
      </c>
      <c r="AF535" s="3">
        <v>9</v>
      </c>
      <c r="AG535" s="3">
        <v>9</v>
      </c>
      <c r="AH535" s="3">
        <v>2</v>
      </c>
      <c r="AI535" s="3">
        <v>2</v>
      </c>
      <c r="AJ535" s="3">
        <v>3</v>
      </c>
      <c r="AK535" s="3">
        <v>3</v>
      </c>
      <c r="AL535" s="3">
        <v>6</v>
      </c>
      <c r="AM535" s="3">
        <v>6</v>
      </c>
      <c r="AN535" s="3">
        <v>0</v>
      </c>
      <c r="AO535" s="3">
        <v>0</v>
      </c>
      <c r="AP535" s="3">
        <v>0</v>
      </c>
      <c r="AQ535" s="3">
        <v>0</v>
      </c>
      <c r="AR535" s="2" t="s">
        <v>5</v>
      </c>
      <c r="AS535" s="2" t="s">
        <v>16</v>
      </c>
      <c r="AT535" s="5" t="str">
        <f>HYPERLINK("http://catalog.hathitrust.org/Record/001550688","HathiTrust Record")</f>
        <v>HathiTrust Record</v>
      </c>
      <c r="AU535" s="5" t="str">
        <f>HYPERLINK("https://creighton-primo.hosted.exlibrisgroup.com/primo-explore/search?tab=default_tab&amp;search_scope=EVERYTHING&amp;vid=01CRU&amp;lang=en_US&amp;offset=0&amp;query=any,contains,991001378879702656","Catalog Record")</f>
        <v>Catalog Record</v>
      </c>
      <c r="AV535" s="5" t="str">
        <f>HYPERLINK("http://www.worldcat.org/oclc/19325399","WorldCat Record")</f>
        <v>WorldCat Record</v>
      </c>
      <c r="AW535" s="2" t="s">
        <v>6546</v>
      </c>
      <c r="AX535" s="2" t="s">
        <v>6547</v>
      </c>
      <c r="AY535" s="2" t="s">
        <v>6548</v>
      </c>
      <c r="AZ535" s="2" t="s">
        <v>6548</v>
      </c>
      <c r="BA535" s="2" t="s">
        <v>6549</v>
      </c>
      <c r="BB535" s="2" t="s">
        <v>21</v>
      </c>
      <c r="BD535" s="2" t="s">
        <v>6550</v>
      </c>
      <c r="BE535" s="2" t="s">
        <v>6551</v>
      </c>
      <c r="BF535" s="2" t="s">
        <v>6552</v>
      </c>
    </row>
    <row r="536" spans="1:58" ht="41.25" customHeight="1" x14ac:dyDescent="0.25">
      <c r="A536" s="8" t="s">
        <v>5</v>
      </c>
      <c r="B536" s="1" t="s">
        <v>0</v>
      </c>
      <c r="C536" s="1" t="s">
        <v>1</v>
      </c>
      <c r="D536" s="1" t="s">
        <v>6553</v>
      </c>
      <c r="E536" s="1" t="s">
        <v>6554</v>
      </c>
      <c r="F536" s="1" t="s">
        <v>6555</v>
      </c>
      <c r="H536" s="2" t="s">
        <v>5</v>
      </c>
      <c r="I536" s="2" t="s">
        <v>6</v>
      </c>
      <c r="J536" s="2" t="s">
        <v>5</v>
      </c>
      <c r="K536" s="2" t="s">
        <v>5</v>
      </c>
      <c r="L536" s="2" t="s">
        <v>7</v>
      </c>
      <c r="M536" s="1" t="s">
        <v>6556</v>
      </c>
      <c r="N536" s="1" t="s">
        <v>1390</v>
      </c>
      <c r="O536" s="2" t="s">
        <v>1391</v>
      </c>
      <c r="Q536" s="2" t="s">
        <v>11</v>
      </c>
      <c r="R536" s="2" t="s">
        <v>78</v>
      </c>
      <c r="T536" s="2" t="s">
        <v>520</v>
      </c>
      <c r="U536" s="3">
        <v>4</v>
      </c>
      <c r="V536" s="3">
        <v>4</v>
      </c>
      <c r="W536" s="4" t="s">
        <v>6557</v>
      </c>
      <c r="X536" s="4" t="s">
        <v>6557</v>
      </c>
      <c r="Y536" s="4" t="s">
        <v>6558</v>
      </c>
      <c r="Z536" s="4" t="s">
        <v>6558</v>
      </c>
      <c r="AA536" s="3">
        <v>307</v>
      </c>
      <c r="AB536" s="3">
        <v>220</v>
      </c>
      <c r="AC536" s="3">
        <v>220</v>
      </c>
      <c r="AD536" s="3">
        <v>1</v>
      </c>
      <c r="AE536" s="3">
        <v>1</v>
      </c>
      <c r="AF536" s="3">
        <v>10</v>
      </c>
      <c r="AG536" s="3">
        <v>10</v>
      </c>
      <c r="AH536" s="3">
        <v>4</v>
      </c>
      <c r="AI536" s="3">
        <v>4</v>
      </c>
      <c r="AJ536" s="3">
        <v>0</v>
      </c>
      <c r="AK536" s="3">
        <v>0</v>
      </c>
      <c r="AL536" s="3">
        <v>7</v>
      </c>
      <c r="AM536" s="3">
        <v>7</v>
      </c>
      <c r="AN536" s="3">
        <v>0</v>
      </c>
      <c r="AO536" s="3">
        <v>0</v>
      </c>
      <c r="AP536" s="3">
        <v>0</v>
      </c>
      <c r="AQ536" s="3">
        <v>0</v>
      </c>
      <c r="AR536" s="2" t="s">
        <v>5</v>
      </c>
      <c r="AS536" s="2" t="s">
        <v>5</v>
      </c>
      <c r="AU536" s="5" t="str">
        <f>HYPERLINK("https://creighton-primo.hosted.exlibrisgroup.com/primo-explore/search?tab=default_tab&amp;search_scope=EVERYTHING&amp;vid=01CRU&amp;lang=en_US&amp;offset=0&amp;query=any,contains,991000366489702656","Catalog Record")</f>
        <v>Catalog Record</v>
      </c>
      <c r="AV536" s="5" t="str">
        <f>HYPERLINK("http://www.worldcat.org/oclc/52041429","WorldCat Record")</f>
        <v>WorldCat Record</v>
      </c>
      <c r="AW536" s="2" t="s">
        <v>6559</v>
      </c>
      <c r="AX536" s="2" t="s">
        <v>6560</v>
      </c>
      <c r="AY536" s="2" t="s">
        <v>6561</v>
      </c>
      <c r="AZ536" s="2" t="s">
        <v>6561</v>
      </c>
      <c r="BA536" s="2" t="s">
        <v>6562</v>
      </c>
      <c r="BB536" s="2" t="s">
        <v>21</v>
      </c>
      <c r="BD536" s="2" t="s">
        <v>6563</v>
      </c>
      <c r="BE536" s="2" t="s">
        <v>6564</v>
      </c>
      <c r="BF536" s="2" t="s">
        <v>6565</v>
      </c>
    </row>
    <row r="537" spans="1:58" ht="41.25" customHeight="1" x14ac:dyDescent="0.25">
      <c r="A537" s="8" t="s">
        <v>5</v>
      </c>
      <c r="B537" s="1" t="s">
        <v>0</v>
      </c>
      <c r="C537" s="1" t="s">
        <v>1</v>
      </c>
      <c r="D537" s="1" t="s">
        <v>6566</v>
      </c>
      <c r="E537" s="1" t="s">
        <v>6567</v>
      </c>
      <c r="F537" s="1" t="s">
        <v>6568</v>
      </c>
      <c r="H537" s="2" t="s">
        <v>5</v>
      </c>
      <c r="I537" s="2" t="s">
        <v>6</v>
      </c>
      <c r="J537" s="2" t="s">
        <v>5</v>
      </c>
      <c r="K537" s="2" t="s">
        <v>16</v>
      </c>
      <c r="L537" s="2" t="s">
        <v>7</v>
      </c>
      <c r="M537" s="1" t="s">
        <v>6569</v>
      </c>
      <c r="N537" s="1" t="s">
        <v>6570</v>
      </c>
      <c r="O537" s="2" t="s">
        <v>1046</v>
      </c>
      <c r="P537" s="1" t="s">
        <v>901</v>
      </c>
      <c r="Q537" s="2" t="s">
        <v>11</v>
      </c>
      <c r="R537" s="2" t="s">
        <v>78</v>
      </c>
      <c r="T537" s="2" t="s">
        <v>520</v>
      </c>
      <c r="U537" s="3">
        <v>1</v>
      </c>
      <c r="V537" s="3">
        <v>1</v>
      </c>
      <c r="W537" s="4" t="s">
        <v>2152</v>
      </c>
      <c r="X537" s="4" t="s">
        <v>2152</v>
      </c>
      <c r="Y537" s="4" t="s">
        <v>6571</v>
      </c>
      <c r="Z537" s="4" t="s">
        <v>6571</v>
      </c>
      <c r="AA537" s="3">
        <v>340</v>
      </c>
      <c r="AB537" s="3">
        <v>214</v>
      </c>
      <c r="AC537" s="3">
        <v>632</v>
      </c>
      <c r="AD537" s="3">
        <v>3</v>
      </c>
      <c r="AE537" s="3">
        <v>3</v>
      </c>
      <c r="AF537" s="3">
        <v>9</v>
      </c>
      <c r="AG537" s="3">
        <v>27</v>
      </c>
      <c r="AH537" s="3">
        <v>4</v>
      </c>
      <c r="AI537" s="3">
        <v>9</v>
      </c>
      <c r="AJ537" s="3">
        <v>0</v>
      </c>
      <c r="AK537" s="3">
        <v>6</v>
      </c>
      <c r="AL537" s="3">
        <v>5</v>
      </c>
      <c r="AM537" s="3">
        <v>14</v>
      </c>
      <c r="AN537" s="3">
        <v>2</v>
      </c>
      <c r="AO537" s="3">
        <v>2</v>
      </c>
      <c r="AP537" s="3">
        <v>0</v>
      </c>
      <c r="AQ537" s="3">
        <v>0</v>
      </c>
      <c r="AR537" s="2" t="s">
        <v>5</v>
      </c>
      <c r="AS537" s="2" t="s">
        <v>5</v>
      </c>
      <c r="AU537" s="5" t="str">
        <f>HYPERLINK("https://creighton-primo.hosted.exlibrisgroup.com/primo-explore/search?tab=default_tab&amp;search_scope=EVERYTHING&amp;vid=01CRU&amp;lang=en_US&amp;offset=0&amp;query=any,contains,991000349649702656","Catalog Record")</f>
        <v>Catalog Record</v>
      </c>
      <c r="AV537" s="5" t="str">
        <f>HYPERLINK("http://www.worldcat.org/oclc/49679624","WorldCat Record")</f>
        <v>WorldCat Record</v>
      </c>
      <c r="AW537" s="2" t="s">
        <v>6572</v>
      </c>
      <c r="AX537" s="2" t="s">
        <v>6573</v>
      </c>
      <c r="AY537" s="2" t="s">
        <v>6574</v>
      </c>
      <c r="AZ537" s="2" t="s">
        <v>6574</v>
      </c>
      <c r="BA537" s="2" t="s">
        <v>6575</v>
      </c>
      <c r="BB537" s="2" t="s">
        <v>21</v>
      </c>
      <c r="BD537" s="2" t="s">
        <v>6576</v>
      </c>
      <c r="BE537" s="2" t="s">
        <v>6577</v>
      </c>
      <c r="BF537" s="2" t="s">
        <v>6578</v>
      </c>
    </row>
    <row r="538" spans="1:58" ht="41.25" customHeight="1" x14ac:dyDescent="0.25">
      <c r="A538" s="8" t="s">
        <v>5</v>
      </c>
      <c r="B538" s="1" t="s">
        <v>0</v>
      </c>
      <c r="C538" s="1" t="s">
        <v>1</v>
      </c>
      <c r="D538" s="1" t="s">
        <v>6579</v>
      </c>
      <c r="E538" s="1" t="s">
        <v>6580</v>
      </c>
      <c r="F538" s="1" t="s">
        <v>6581</v>
      </c>
      <c r="H538" s="2" t="s">
        <v>5</v>
      </c>
      <c r="I538" s="2" t="s">
        <v>6</v>
      </c>
      <c r="J538" s="2" t="s">
        <v>5</v>
      </c>
      <c r="K538" s="2" t="s">
        <v>5</v>
      </c>
      <c r="L538" s="2" t="s">
        <v>7</v>
      </c>
      <c r="M538" s="1" t="s">
        <v>6582</v>
      </c>
      <c r="N538" s="1" t="s">
        <v>6583</v>
      </c>
      <c r="O538" s="2" t="s">
        <v>1824</v>
      </c>
      <c r="Q538" s="2" t="s">
        <v>11</v>
      </c>
      <c r="R538" s="2" t="s">
        <v>12</v>
      </c>
      <c r="S538" s="1" t="s">
        <v>6584</v>
      </c>
      <c r="T538" s="2" t="s">
        <v>520</v>
      </c>
      <c r="U538" s="3">
        <v>3</v>
      </c>
      <c r="V538" s="3">
        <v>3</v>
      </c>
      <c r="W538" s="4" t="s">
        <v>2788</v>
      </c>
      <c r="X538" s="4" t="s">
        <v>2788</v>
      </c>
      <c r="Y538" s="4" t="s">
        <v>2579</v>
      </c>
      <c r="Z538" s="4" t="s">
        <v>2579</v>
      </c>
      <c r="AA538" s="3">
        <v>52</v>
      </c>
      <c r="AB538" s="3">
        <v>48</v>
      </c>
      <c r="AC538" s="3">
        <v>48</v>
      </c>
      <c r="AD538" s="3">
        <v>1</v>
      </c>
      <c r="AE538" s="3">
        <v>1</v>
      </c>
      <c r="AF538" s="3">
        <v>1</v>
      </c>
      <c r="AG538" s="3">
        <v>1</v>
      </c>
      <c r="AH538" s="3">
        <v>0</v>
      </c>
      <c r="AI538" s="3">
        <v>0</v>
      </c>
      <c r="AJ538" s="3">
        <v>0</v>
      </c>
      <c r="AK538" s="3">
        <v>0</v>
      </c>
      <c r="AL538" s="3">
        <v>1</v>
      </c>
      <c r="AM538" s="3">
        <v>1</v>
      </c>
      <c r="AN538" s="3">
        <v>0</v>
      </c>
      <c r="AO538" s="3">
        <v>0</v>
      </c>
      <c r="AP538" s="3">
        <v>0</v>
      </c>
      <c r="AQ538" s="3">
        <v>0</v>
      </c>
      <c r="AR538" s="2" t="s">
        <v>5</v>
      </c>
      <c r="AS538" s="2" t="s">
        <v>5</v>
      </c>
      <c r="AU538" s="5" t="str">
        <f>HYPERLINK("https://creighton-primo.hosted.exlibrisgroup.com/primo-explore/search?tab=default_tab&amp;search_scope=EVERYTHING&amp;vid=01CRU&amp;lang=en_US&amp;offset=0&amp;query=any,contains,991001362549702656","Catalog Record")</f>
        <v>Catalog Record</v>
      </c>
      <c r="AV538" s="5" t="str">
        <f>HYPERLINK("http://www.worldcat.org/oclc/1268967","WorldCat Record")</f>
        <v>WorldCat Record</v>
      </c>
      <c r="AW538" s="2" t="s">
        <v>6585</v>
      </c>
      <c r="AX538" s="2" t="s">
        <v>6586</v>
      </c>
      <c r="AY538" s="2" t="s">
        <v>6587</v>
      </c>
      <c r="AZ538" s="2" t="s">
        <v>6587</v>
      </c>
      <c r="BA538" s="2" t="s">
        <v>6588</v>
      </c>
      <c r="BB538" s="2" t="s">
        <v>21</v>
      </c>
      <c r="BE538" s="2" t="s">
        <v>6589</v>
      </c>
      <c r="BF538" s="2" t="s">
        <v>6590</v>
      </c>
    </row>
    <row r="539" spans="1:58" ht="41.25" customHeight="1" x14ac:dyDescent="0.25">
      <c r="A539" s="8" t="s">
        <v>5</v>
      </c>
      <c r="B539" s="1" t="s">
        <v>0</v>
      </c>
      <c r="C539" s="1" t="s">
        <v>1</v>
      </c>
      <c r="D539" s="1" t="s">
        <v>6591</v>
      </c>
      <c r="E539" s="1" t="s">
        <v>6592</v>
      </c>
      <c r="F539" s="1" t="s">
        <v>6593</v>
      </c>
      <c r="H539" s="2" t="s">
        <v>5</v>
      </c>
      <c r="I539" s="2" t="s">
        <v>6</v>
      </c>
      <c r="J539" s="2" t="s">
        <v>5</v>
      </c>
      <c r="K539" s="2" t="s">
        <v>5</v>
      </c>
      <c r="L539" s="2" t="s">
        <v>7</v>
      </c>
      <c r="N539" s="1" t="s">
        <v>6594</v>
      </c>
      <c r="O539" s="2" t="s">
        <v>734</v>
      </c>
      <c r="Q539" s="2" t="s">
        <v>11</v>
      </c>
      <c r="R539" s="2" t="s">
        <v>12</v>
      </c>
      <c r="S539" s="1" t="s">
        <v>6595</v>
      </c>
      <c r="T539" s="2" t="s">
        <v>520</v>
      </c>
      <c r="U539" s="3">
        <v>30</v>
      </c>
      <c r="V539" s="3">
        <v>30</v>
      </c>
      <c r="W539" s="4" t="s">
        <v>6596</v>
      </c>
      <c r="X539" s="4" t="s">
        <v>6596</v>
      </c>
      <c r="Y539" s="4" t="s">
        <v>6597</v>
      </c>
      <c r="Z539" s="4" t="s">
        <v>6597</v>
      </c>
      <c r="AA539" s="3">
        <v>213</v>
      </c>
      <c r="AB539" s="3">
        <v>160</v>
      </c>
      <c r="AC539" s="3">
        <v>165</v>
      </c>
      <c r="AD539" s="3">
        <v>1</v>
      </c>
      <c r="AE539" s="3">
        <v>1</v>
      </c>
      <c r="AF539" s="3">
        <v>3</v>
      </c>
      <c r="AG539" s="3">
        <v>3</v>
      </c>
      <c r="AH539" s="3">
        <v>1</v>
      </c>
      <c r="AI539" s="3">
        <v>1</v>
      </c>
      <c r="AJ539" s="3">
        <v>0</v>
      </c>
      <c r="AK539" s="3">
        <v>0</v>
      </c>
      <c r="AL539" s="3">
        <v>2</v>
      </c>
      <c r="AM539" s="3">
        <v>2</v>
      </c>
      <c r="AN539" s="3">
        <v>0</v>
      </c>
      <c r="AO539" s="3">
        <v>0</v>
      </c>
      <c r="AP539" s="3">
        <v>0</v>
      </c>
      <c r="AQ539" s="3">
        <v>0</v>
      </c>
      <c r="AR539" s="2" t="s">
        <v>5</v>
      </c>
      <c r="AS539" s="2" t="s">
        <v>16</v>
      </c>
      <c r="AT539" s="5" t="str">
        <f>HYPERLINK("http://catalog.hathitrust.org/Record/004413616","HathiTrust Record")</f>
        <v>HathiTrust Record</v>
      </c>
      <c r="AU539" s="5" t="str">
        <f>HYPERLINK("https://creighton-primo.hosted.exlibrisgroup.com/primo-explore/search?tab=default_tab&amp;search_scope=EVERYTHING&amp;vid=01CRU&amp;lang=en_US&amp;offset=0&amp;query=any,contains,991001181979702656","Catalog Record")</f>
        <v>Catalog Record</v>
      </c>
      <c r="AV539" s="5" t="str">
        <f>HYPERLINK("http://www.worldcat.org/oclc/8785972","WorldCat Record")</f>
        <v>WorldCat Record</v>
      </c>
      <c r="AW539" s="2" t="s">
        <v>6598</v>
      </c>
      <c r="AX539" s="2" t="s">
        <v>6599</v>
      </c>
      <c r="AY539" s="2" t="s">
        <v>6600</v>
      </c>
      <c r="AZ539" s="2" t="s">
        <v>6600</v>
      </c>
      <c r="BA539" s="2" t="s">
        <v>6601</v>
      </c>
      <c r="BB539" s="2" t="s">
        <v>21</v>
      </c>
      <c r="BD539" s="2" t="s">
        <v>6602</v>
      </c>
      <c r="BE539" s="2" t="s">
        <v>6603</v>
      </c>
      <c r="BF539" s="2" t="s">
        <v>6604</v>
      </c>
    </row>
    <row r="540" spans="1:58" ht="41.25" customHeight="1" x14ac:dyDescent="0.25">
      <c r="A540" s="8" t="s">
        <v>5</v>
      </c>
      <c r="B540" s="1" t="s">
        <v>0</v>
      </c>
      <c r="C540" s="1" t="s">
        <v>1</v>
      </c>
      <c r="D540" s="1" t="s">
        <v>6605</v>
      </c>
      <c r="E540" s="1" t="s">
        <v>6606</v>
      </c>
      <c r="F540" s="1" t="s">
        <v>6607</v>
      </c>
      <c r="H540" s="2" t="s">
        <v>5</v>
      </c>
      <c r="I540" s="2" t="s">
        <v>6</v>
      </c>
      <c r="J540" s="2" t="s">
        <v>5</v>
      </c>
      <c r="K540" s="2" t="s">
        <v>5</v>
      </c>
      <c r="L540" s="2" t="s">
        <v>7</v>
      </c>
      <c r="N540" s="1" t="s">
        <v>871</v>
      </c>
      <c r="O540" s="2" t="s">
        <v>872</v>
      </c>
      <c r="Q540" s="2" t="s">
        <v>11</v>
      </c>
      <c r="R540" s="2" t="s">
        <v>12</v>
      </c>
      <c r="S540" s="1" t="s">
        <v>6608</v>
      </c>
      <c r="T540" s="2" t="s">
        <v>520</v>
      </c>
      <c r="U540" s="3">
        <v>26</v>
      </c>
      <c r="V540" s="3">
        <v>26</v>
      </c>
      <c r="W540" s="4" t="s">
        <v>6609</v>
      </c>
      <c r="X540" s="4" t="s">
        <v>6609</v>
      </c>
      <c r="Y540" s="4" t="s">
        <v>6610</v>
      </c>
      <c r="Z540" s="4" t="s">
        <v>6610</v>
      </c>
      <c r="AA540" s="3">
        <v>255</v>
      </c>
      <c r="AB540" s="3">
        <v>213</v>
      </c>
      <c r="AC540" s="3">
        <v>220</v>
      </c>
      <c r="AD540" s="3">
        <v>2</v>
      </c>
      <c r="AE540" s="3">
        <v>2</v>
      </c>
      <c r="AF540" s="3">
        <v>14</v>
      </c>
      <c r="AG540" s="3">
        <v>14</v>
      </c>
      <c r="AH540" s="3">
        <v>5</v>
      </c>
      <c r="AI540" s="3">
        <v>5</v>
      </c>
      <c r="AJ540" s="3">
        <v>4</v>
      </c>
      <c r="AK540" s="3">
        <v>4</v>
      </c>
      <c r="AL540" s="3">
        <v>7</v>
      </c>
      <c r="AM540" s="3">
        <v>7</v>
      </c>
      <c r="AN540" s="3">
        <v>0</v>
      </c>
      <c r="AO540" s="3">
        <v>0</v>
      </c>
      <c r="AP540" s="3">
        <v>0</v>
      </c>
      <c r="AQ540" s="3">
        <v>0</v>
      </c>
      <c r="AR540" s="2" t="s">
        <v>5</v>
      </c>
      <c r="AS540" s="2" t="s">
        <v>16</v>
      </c>
      <c r="AT540" s="5" t="str">
        <f>HYPERLINK("http://catalog.hathitrust.org/Record/002506883","HathiTrust Record")</f>
        <v>HathiTrust Record</v>
      </c>
      <c r="AU540" s="5" t="str">
        <f>HYPERLINK("https://creighton-primo.hosted.exlibrisgroup.com/primo-explore/search?tab=default_tab&amp;search_scope=EVERYTHING&amp;vid=01CRU&amp;lang=en_US&amp;offset=0&amp;query=any,contains,991001313619702656","Catalog Record")</f>
        <v>Catalog Record</v>
      </c>
      <c r="AV540" s="5" t="str">
        <f>HYPERLINK("http://www.worldcat.org/oclc/22547127","WorldCat Record")</f>
        <v>WorldCat Record</v>
      </c>
      <c r="AW540" s="2" t="s">
        <v>6611</v>
      </c>
      <c r="AX540" s="2" t="s">
        <v>6612</v>
      </c>
      <c r="AY540" s="2" t="s">
        <v>6613</v>
      </c>
      <c r="AZ540" s="2" t="s">
        <v>6613</v>
      </c>
      <c r="BA540" s="2" t="s">
        <v>6614</v>
      </c>
      <c r="BB540" s="2" t="s">
        <v>21</v>
      </c>
      <c r="BD540" s="2" t="s">
        <v>6615</v>
      </c>
      <c r="BE540" s="2" t="s">
        <v>6616</v>
      </c>
      <c r="BF540" s="2" t="s">
        <v>6617</v>
      </c>
    </row>
    <row r="541" spans="1:58" ht="41.25" customHeight="1" x14ac:dyDescent="0.25">
      <c r="A541" s="8" t="s">
        <v>5</v>
      </c>
      <c r="B541" s="1" t="s">
        <v>0</v>
      </c>
      <c r="C541" s="1" t="s">
        <v>1</v>
      </c>
      <c r="D541" s="1" t="s">
        <v>6618</v>
      </c>
      <c r="E541" s="1" t="s">
        <v>6619</v>
      </c>
      <c r="F541" s="1" t="s">
        <v>6620</v>
      </c>
      <c r="H541" s="2" t="s">
        <v>5</v>
      </c>
      <c r="I541" s="2" t="s">
        <v>6</v>
      </c>
      <c r="J541" s="2" t="s">
        <v>5</v>
      </c>
      <c r="K541" s="2" t="s">
        <v>5</v>
      </c>
      <c r="L541" s="2" t="s">
        <v>7</v>
      </c>
      <c r="M541" s="1" t="s">
        <v>6621</v>
      </c>
      <c r="N541" s="1" t="s">
        <v>6622</v>
      </c>
      <c r="O541" s="2" t="s">
        <v>888</v>
      </c>
      <c r="Q541" s="2" t="s">
        <v>11</v>
      </c>
      <c r="R541" s="2" t="s">
        <v>426</v>
      </c>
      <c r="T541" s="2" t="s">
        <v>520</v>
      </c>
      <c r="U541" s="3">
        <v>23</v>
      </c>
      <c r="V541" s="3">
        <v>23</v>
      </c>
      <c r="W541" s="4" t="s">
        <v>6338</v>
      </c>
      <c r="X541" s="4" t="s">
        <v>6338</v>
      </c>
      <c r="Y541" s="4" t="s">
        <v>168</v>
      </c>
      <c r="Z541" s="4" t="s">
        <v>168</v>
      </c>
      <c r="AA541" s="3">
        <v>219</v>
      </c>
      <c r="AB541" s="3">
        <v>185</v>
      </c>
      <c r="AC541" s="3">
        <v>192</v>
      </c>
      <c r="AD541" s="3">
        <v>1</v>
      </c>
      <c r="AE541" s="3">
        <v>1</v>
      </c>
      <c r="AF541" s="3">
        <v>7</v>
      </c>
      <c r="AG541" s="3">
        <v>7</v>
      </c>
      <c r="AH541" s="3">
        <v>1</v>
      </c>
      <c r="AI541" s="3">
        <v>1</v>
      </c>
      <c r="AJ541" s="3">
        <v>3</v>
      </c>
      <c r="AK541" s="3">
        <v>3</v>
      </c>
      <c r="AL541" s="3">
        <v>4</v>
      </c>
      <c r="AM541" s="3">
        <v>4</v>
      </c>
      <c r="AN541" s="3">
        <v>0</v>
      </c>
      <c r="AO541" s="3">
        <v>0</v>
      </c>
      <c r="AP541" s="3">
        <v>0</v>
      </c>
      <c r="AQ541" s="3">
        <v>0</v>
      </c>
      <c r="AR541" s="2" t="s">
        <v>5</v>
      </c>
      <c r="AS541" s="2" t="s">
        <v>16</v>
      </c>
      <c r="AT541" s="5" t="str">
        <f>HYPERLINK("http://catalog.hathitrust.org/Record/000209834","HathiTrust Record")</f>
        <v>HathiTrust Record</v>
      </c>
      <c r="AU541" s="5" t="str">
        <f>HYPERLINK("https://creighton-primo.hosted.exlibrisgroup.com/primo-explore/search?tab=default_tab&amp;search_scope=EVERYTHING&amp;vid=01CRU&amp;lang=en_US&amp;offset=0&amp;query=any,contains,991001044489702656","Catalog Record")</f>
        <v>Catalog Record</v>
      </c>
      <c r="AV541" s="5" t="str">
        <f>HYPERLINK("http://www.worldcat.org/oclc/10299788","WorldCat Record")</f>
        <v>WorldCat Record</v>
      </c>
      <c r="AW541" s="2" t="s">
        <v>6623</v>
      </c>
      <c r="AX541" s="2" t="s">
        <v>6624</v>
      </c>
      <c r="AY541" s="2" t="s">
        <v>6625</v>
      </c>
      <c r="AZ541" s="2" t="s">
        <v>6625</v>
      </c>
      <c r="BA541" s="2" t="s">
        <v>6626</v>
      </c>
      <c r="BB541" s="2" t="s">
        <v>21</v>
      </c>
      <c r="BD541" s="2" t="s">
        <v>6627</v>
      </c>
      <c r="BE541" s="2" t="s">
        <v>6628</v>
      </c>
      <c r="BF541" s="2" t="s">
        <v>6629</v>
      </c>
    </row>
    <row r="542" spans="1:58" ht="41.25" customHeight="1" x14ac:dyDescent="0.25">
      <c r="A542" s="8" t="s">
        <v>5</v>
      </c>
      <c r="B542" s="1" t="s">
        <v>0</v>
      </c>
      <c r="C542" s="1" t="s">
        <v>1</v>
      </c>
      <c r="D542" s="1" t="s">
        <v>6630</v>
      </c>
      <c r="E542" s="1" t="s">
        <v>6631</v>
      </c>
      <c r="F542" s="1" t="s">
        <v>6632</v>
      </c>
      <c r="H542" s="2" t="s">
        <v>5</v>
      </c>
      <c r="I542" s="2" t="s">
        <v>6</v>
      </c>
      <c r="J542" s="2" t="s">
        <v>5</v>
      </c>
      <c r="K542" s="2" t="s">
        <v>5</v>
      </c>
      <c r="L542" s="2" t="s">
        <v>7</v>
      </c>
      <c r="M542" s="1" t="s">
        <v>6633</v>
      </c>
      <c r="N542" s="1" t="s">
        <v>6634</v>
      </c>
      <c r="O542" s="2" t="s">
        <v>393</v>
      </c>
      <c r="Q542" s="2" t="s">
        <v>11</v>
      </c>
      <c r="R542" s="2" t="s">
        <v>426</v>
      </c>
      <c r="T542" s="2" t="s">
        <v>520</v>
      </c>
      <c r="U542" s="3">
        <v>20</v>
      </c>
      <c r="V542" s="3">
        <v>20</v>
      </c>
      <c r="W542" s="4" t="s">
        <v>6054</v>
      </c>
      <c r="X542" s="4" t="s">
        <v>6054</v>
      </c>
      <c r="Y542" s="4" t="s">
        <v>33</v>
      </c>
      <c r="Z542" s="4" t="s">
        <v>33</v>
      </c>
      <c r="AA542" s="3">
        <v>243</v>
      </c>
      <c r="AB542" s="3">
        <v>194</v>
      </c>
      <c r="AC542" s="3">
        <v>196</v>
      </c>
      <c r="AD542" s="3">
        <v>2</v>
      </c>
      <c r="AE542" s="3">
        <v>2</v>
      </c>
      <c r="AF542" s="3">
        <v>9</v>
      </c>
      <c r="AG542" s="3">
        <v>9</v>
      </c>
      <c r="AH542" s="3">
        <v>3</v>
      </c>
      <c r="AI542" s="3">
        <v>3</v>
      </c>
      <c r="AJ542" s="3">
        <v>2</v>
      </c>
      <c r="AK542" s="3">
        <v>2</v>
      </c>
      <c r="AL542" s="3">
        <v>4</v>
      </c>
      <c r="AM542" s="3">
        <v>4</v>
      </c>
      <c r="AN542" s="3">
        <v>1</v>
      </c>
      <c r="AO542" s="3">
        <v>1</v>
      </c>
      <c r="AP542" s="3">
        <v>0</v>
      </c>
      <c r="AQ542" s="3">
        <v>0</v>
      </c>
      <c r="AR542" s="2" t="s">
        <v>5</v>
      </c>
      <c r="AS542" s="2" t="s">
        <v>16</v>
      </c>
      <c r="AT542" s="5" t="str">
        <f>HYPERLINK("http://catalog.hathitrust.org/Record/000099265","HathiTrust Record")</f>
        <v>HathiTrust Record</v>
      </c>
      <c r="AU542" s="5" t="str">
        <f>HYPERLINK("https://creighton-primo.hosted.exlibrisgroup.com/primo-explore/search?tab=default_tab&amp;search_scope=EVERYTHING&amp;vid=01CRU&amp;lang=en_US&amp;offset=0&amp;query=any,contains,991000739279702656","Catalog Record")</f>
        <v>Catalog Record</v>
      </c>
      <c r="AV542" s="5" t="str">
        <f>HYPERLINK("http://www.worldcat.org/oclc/6532273","WorldCat Record")</f>
        <v>WorldCat Record</v>
      </c>
      <c r="AW542" s="2" t="s">
        <v>6635</v>
      </c>
      <c r="AX542" s="2" t="s">
        <v>6636</v>
      </c>
      <c r="AY542" s="2" t="s">
        <v>6637</v>
      </c>
      <c r="AZ542" s="2" t="s">
        <v>6637</v>
      </c>
      <c r="BA542" s="2" t="s">
        <v>6638</v>
      </c>
      <c r="BB542" s="2" t="s">
        <v>21</v>
      </c>
      <c r="BD542" s="2" t="s">
        <v>6639</v>
      </c>
      <c r="BE542" s="2" t="s">
        <v>6640</v>
      </c>
      <c r="BF542" s="2" t="s">
        <v>6641</v>
      </c>
    </row>
    <row r="543" spans="1:58" ht="41.25" customHeight="1" x14ac:dyDescent="0.25">
      <c r="A543" s="8" t="s">
        <v>5</v>
      </c>
      <c r="B543" s="1" t="s">
        <v>0</v>
      </c>
      <c r="C543" s="1" t="s">
        <v>1</v>
      </c>
      <c r="D543" s="1" t="s">
        <v>6642</v>
      </c>
      <c r="E543" s="1" t="s">
        <v>6643</v>
      </c>
      <c r="F543" s="1" t="s">
        <v>6644</v>
      </c>
      <c r="H543" s="2" t="s">
        <v>5</v>
      </c>
      <c r="I543" s="2" t="s">
        <v>6</v>
      </c>
      <c r="J543" s="2" t="s">
        <v>5</v>
      </c>
      <c r="K543" s="2" t="s">
        <v>5</v>
      </c>
      <c r="L543" s="2" t="s">
        <v>7</v>
      </c>
      <c r="M543" s="1" t="s">
        <v>6645</v>
      </c>
      <c r="N543" s="1" t="s">
        <v>6646</v>
      </c>
      <c r="O543" s="2" t="s">
        <v>939</v>
      </c>
      <c r="Q543" s="2" t="s">
        <v>11</v>
      </c>
      <c r="R543" s="2" t="s">
        <v>93</v>
      </c>
      <c r="T543" s="2" t="s">
        <v>520</v>
      </c>
      <c r="U543" s="3">
        <v>16</v>
      </c>
      <c r="V543" s="3">
        <v>16</v>
      </c>
      <c r="W543" s="4" t="s">
        <v>6557</v>
      </c>
      <c r="X543" s="4" t="s">
        <v>6557</v>
      </c>
      <c r="Y543" s="4" t="s">
        <v>6647</v>
      </c>
      <c r="Z543" s="4" t="s">
        <v>6647</v>
      </c>
      <c r="AA543" s="3">
        <v>49</v>
      </c>
      <c r="AB543" s="3">
        <v>29</v>
      </c>
      <c r="AC543" s="3">
        <v>31</v>
      </c>
      <c r="AD543" s="3">
        <v>2</v>
      </c>
      <c r="AE543" s="3">
        <v>2</v>
      </c>
      <c r="AF543" s="3">
        <v>3</v>
      </c>
      <c r="AG543" s="3">
        <v>3</v>
      </c>
      <c r="AH543" s="3">
        <v>0</v>
      </c>
      <c r="AI543" s="3">
        <v>0</v>
      </c>
      <c r="AJ543" s="3">
        <v>1</v>
      </c>
      <c r="AK543" s="3">
        <v>1</v>
      </c>
      <c r="AL543" s="3">
        <v>2</v>
      </c>
      <c r="AM543" s="3">
        <v>2</v>
      </c>
      <c r="AN543" s="3">
        <v>0</v>
      </c>
      <c r="AO543" s="3">
        <v>0</v>
      </c>
      <c r="AP543" s="3">
        <v>0</v>
      </c>
      <c r="AQ543" s="3">
        <v>0</v>
      </c>
      <c r="AR543" s="2" t="s">
        <v>5</v>
      </c>
      <c r="AS543" s="2" t="s">
        <v>16</v>
      </c>
      <c r="AT543" s="5" t="str">
        <f>HYPERLINK("http://catalog.hathitrust.org/Record/004432040","HathiTrust Record")</f>
        <v>HathiTrust Record</v>
      </c>
      <c r="AU543" s="5" t="str">
        <f>HYPERLINK("https://creighton-primo.hosted.exlibrisgroup.com/primo-explore/search?tab=default_tab&amp;search_scope=EVERYTHING&amp;vid=01CRU&amp;lang=en_US&amp;offset=0&amp;query=any,contains,991001417259702656","Catalog Record")</f>
        <v>Catalog Record</v>
      </c>
      <c r="AV543" s="5" t="str">
        <f>HYPERLINK("http://www.worldcat.org/oclc/17289132","WorldCat Record")</f>
        <v>WorldCat Record</v>
      </c>
      <c r="AW543" s="2" t="s">
        <v>6648</v>
      </c>
      <c r="AX543" s="2" t="s">
        <v>6649</v>
      </c>
      <c r="AY543" s="2" t="s">
        <v>6650</v>
      </c>
      <c r="AZ543" s="2" t="s">
        <v>6650</v>
      </c>
      <c r="BA543" s="2" t="s">
        <v>6651</v>
      </c>
      <c r="BB543" s="2" t="s">
        <v>21</v>
      </c>
      <c r="BD543" s="2" t="s">
        <v>6652</v>
      </c>
      <c r="BE543" s="2" t="s">
        <v>6653</v>
      </c>
      <c r="BF543" s="2" t="s">
        <v>6654</v>
      </c>
    </row>
    <row r="544" spans="1:58" ht="41.25" customHeight="1" x14ac:dyDescent="0.25">
      <c r="A544" s="8" t="s">
        <v>5</v>
      </c>
      <c r="B544" s="1" t="s">
        <v>0</v>
      </c>
      <c r="C544" s="1" t="s">
        <v>1</v>
      </c>
      <c r="D544" s="1" t="s">
        <v>6655</v>
      </c>
      <c r="E544" s="1" t="s">
        <v>6656</v>
      </c>
      <c r="F544" s="1" t="s">
        <v>6657</v>
      </c>
      <c r="H544" s="2" t="s">
        <v>5</v>
      </c>
      <c r="I544" s="2" t="s">
        <v>6</v>
      </c>
      <c r="J544" s="2" t="s">
        <v>5</v>
      </c>
      <c r="K544" s="2" t="s">
        <v>5</v>
      </c>
      <c r="L544" s="2" t="s">
        <v>7</v>
      </c>
      <c r="M544" s="1" t="s">
        <v>6658</v>
      </c>
      <c r="N544" s="1" t="s">
        <v>6659</v>
      </c>
      <c r="O544" s="2" t="s">
        <v>546</v>
      </c>
      <c r="Q544" s="2" t="s">
        <v>11</v>
      </c>
      <c r="R544" s="2" t="s">
        <v>6660</v>
      </c>
      <c r="T544" s="2" t="s">
        <v>520</v>
      </c>
      <c r="U544" s="3">
        <v>1</v>
      </c>
      <c r="V544" s="3">
        <v>1</v>
      </c>
      <c r="W544" s="4" t="s">
        <v>6661</v>
      </c>
      <c r="X544" s="4" t="s">
        <v>6661</v>
      </c>
      <c r="Y544" s="4" t="s">
        <v>6662</v>
      </c>
      <c r="Z544" s="4" t="s">
        <v>6662</v>
      </c>
      <c r="AA544" s="3">
        <v>59</v>
      </c>
      <c r="AB544" s="3">
        <v>53</v>
      </c>
      <c r="AC544" s="3">
        <v>53</v>
      </c>
      <c r="AD544" s="3">
        <v>1</v>
      </c>
      <c r="AE544" s="3">
        <v>1</v>
      </c>
      <c r="AF544" s="3">
        <v>0</v>
      </c>
      <c r="AG544" s="3">
        <v>0</v>
      </c>
      <c r="AH544" s="3">
        <v>0</v>
      </c>
      <c r="AI544" s="3">
        <v>0</v>
      </c>
      <c r="AJ544" s="3">
        <v>0</v>
      </c>
      <c r="AK544" s="3">
        <v>0</v>
      </c>
      <c r="AL544" s="3">
        <v>0</v>
      </c>
      <c r="AM544" s="3">
        <v>0</v>
      </c>
      <c r="AN544" s="3">
        <v>0</v>
      </c>
      <c r="AO544" s="3">
        <v>0</v>
      </c>
      <c r="AP544" s="3">
        <v>0</v>
      </c>
      <c r="AQ544" s="3">
        <v>0</v>
      </c>
      <c r="AR544" s="2" t="s">
        <v>5</v>
      </c>
      <c r="AS544" s="2" t="s">
        <v>5</v>
      </c>
      <c r="AU544" s="5" t="str">
        <f>HYPERLINK("https://creighton-primo.hosted.exlibrisgroup.com/primo-explore/search?tab=default_tab&amp;search_scope=EVERYTHING&amp;vid=01CRU&amp;lang=en_US&amp;offset=0&amp;query=any,contains,991001562959702656","Catalog Record")</f>
        <v>Catalog Record</v>
      </c>
      <c r="AV544" s="5" t="str">
        <f>HYPERLINK("http://www.worldcat.org/oclc/31770497","WorldCat Record")</f>
        <v>WorldCat Record</v>
      </c>
      <c r="AW544" s="2" t="s">
        <v>6663</v>
      </c>
      <c r="AX544" s="2" t="s">
        <v>6664</v>
      </c>
      <c r="AY544" s="2" t="s">
        <v>6665</v>
      </c>
      <c r="AZ544" s="2" t="s">
        <v>6665</v>
      </c>
      <c r="BA544" s="2" t="s">
        <v>6666</v>
      </c>
      <c r="BB544" s="2" t="s">
        <v>21</v>
      </c>
      <c r="BD544" s="2" t="s">
        <v>6667</v>
      </c>
      <c r="BE544" s="2" t="s">
        <v>6668</v>
      </c>
      <c r="BF544" s="2" t="s">
        <v>6669</v>
      </c>
    </row>
    <row r="545" spans="1:58" ht="41.25" customHeight="1" x14ac:dyDescent="0.25">
      <c r="A545" s="8" t="s">
        <v>5</v>
      </c>
      <c r="B545" s="1" t="s">
        <v>0</v>
      </c>
      <c r="C545" s="1" t="s">
        <v>1</v>
      </c>
      <c r="D545" s="1" t="s">
        <v>6670</v>
      </c>
      <c r="E545" s="1" t="s">
        <v>6671</v>
      </c>
      <c r="F545" s="1" t="s">
        <v>6672</v>
      </c>
      <c r="H545" s="2" t="s">
        <v>5</v>
      </c>
      <c r="I545" s="2" t="s">
        <v>6</v>
      </c>
      <c r="J545" s="2" t="s">
        <v>5</v>
      </c>
      <c r="K545" s="2" t="s">
        <v>5</v>
      </c>
      <c r="L545" s="2" t="s">
        <v>7</v>
      </c>
      <c r="N545" s="1" t="s">
        <v>1588</v>
      </c>
      <c r="O545" s="2" t="s">
        <v>1102</v>
      </c>
      <c r="Q545" s="2" t="s">
        <v>11</v>
      </c>
      <c r="R545" s="2" t="s">
        <v>426</v>
      </c>
      <c r="S545" s="1" t="s">
        <v>6673</v>
      </c>
      <c r="T545" s="2" t="s">
        <v>520</v>
      </c>
      <c r="U545" s="3">
        <v>6</v>
      </c>
      <c r="V545" s="3">
        <v>6</v>
      </c>
      <c r="W545" s="4" t="s">
        <v>3968</v>
      </c>
      <c r="X545" s="4" t="s">
        <v>3968</v>
      </c>
      <c r="Y545" s="4" t="s">
        <v>736</v>
      </c>
      <c r="Z545" s="4" t="s">
        <v>736</v>
      </c>
      <c r="AA545" s="3">
        <v>204</v>
      </c>
      <c r="AB545" s="3">
        <v>185</v>
      </c>
      <c r="AC545" s="3">
        <v>192</v>
      </c>
      <c r="AD545" s="3">
        <v>3</v>
      </c>
      <c r="AE545" s="3">
        <v>3</v>
      </c>
      <c r="AF545" s="3">
        <v>12</v>
      </c>
      <c r="AG545" s="3">
        <v>12</v>
      </c>
      <c r="AH545" s="3">
        <v>4</v>
      </c>
      <c r="AI545" s="3">
        <v>4</v>
      </c>
      <c r="AJ545" s="3">
        <v>3</v>
      </c>
      <c r="AK545" s="3">
        <v>3</v>
      </c>
      <c r="AL545" s="3">
        <v>5</v>
      </c>
      <c r="AM545" s="3">
        <v>5</v>
      </c>
      <c r="AN545" s="3">
        <v>1</v>
      </c>
      <c r="AO545" s="3">
        <v>1</v>
      </c>
      <c r="AP545" s="3">
        <v>0</v>
      </c>
      <c r="AQ545" s="3">
        <v>0</v>
      </c>
      <c r="AR545" s="2" t="s">
        <v>5</v>
      </c>
      <c r="AS545" s="2" t="s">
        <v>16</v>
      </c>
      <c r="AT545" s="5" t="str">
        <f>HYPERLINK("http://catalog.hathitrust.org/Record/002506682","HathiTrust Record")</f>
        <v>HathiTrust Record</v>
      </c>
      <c r="AU545" s="5" t="str">
        <f>HYPERLINK("https://creighton-primo.hosted.exlibrisgroup.com/primo-explore/search?tab=default_tab&amp;search_scope=EVERYTHING&amp;vid=01CRU&amp;lang=en_US&amp;offset=0&amp;query=any,contains,991001390469702656","Catalog Record")</f>
        <v>Catalog Record</v>
      </c>
      <c r="AV545" s="5" t="str">
        <f>HYPERLINK("http://www.worldcat.org/oclc/15116807","WorldCat Record")</f>
        <v>WorldCat Record</v>
      </c>
      <c r="AW545" s="2" t="s">
        <v>6674</v>
      </c>
      <c r="AX545" s="2" t="s">
        <v>6675</v>
      </c>
      <c r="AY545" s="2" t="s">
        <v>6676</v>
      </c>
      <c r="AZ545" s="2" t="s">
        <v>6676</v>
      </c>
      <c r="BA545" s="2" t="s">
        <v>6677</v>
      </c>
      <c r="BB545" s="2" t="s">
        <v>21</v>
      </c>
      <c r="BD545" s="2" t="s">
        <v>6678</v>
      </c>
      <c r="BE545" s="2" t="s">
        <v>6679</v>
      </c>
      <c r="BF545" s="2" t="s">
        <v>6680</v>
      </c>
    </row>
    <row r="546" spans="1:58" ht="41.25" customHeight="1" x14ac:dyDescent="0.25">
      <c r="A546" s="8" t="s">
        <v>5</v>
      </c>
      <c r="B546" s="1" t="s">
        <v>0</v>
      </c>
      <c r="C546" s="1" t="s">
        <v>1</v>
      </c>
      <c r="D546" s="1" t="s">
        <v>6681</v>
      </c>
      <c r="E546" s="1" t="s">
        <v>6682</v>
      </c>
      <c r="F546" s="1" t="s">
        <v>6683</v>
      </c>
      <c r="H546" s="2" t="s">
        <v>5</v>
      </c>
      <c r="I546" s="2" t="s">
        <v>6</v>
      </c>
      <c r="J546" s="2" t="s">
        <v>5</v>
      </c>
      <c r="K546" s="2" t="s">
        <v>5</v>
      </c>
      <c r="L546" s="2" t="s">
        <v>7</v>
      </c>
      <c r="M546" s="1" t="s">
        <v>6684</v>
      </c>
      <c r="N546" s="1" t="s">
        <v>6685</v>
      </c>
      <c r="O546" s="2" t="s">
        <v>285</v>
      </c>
      <c r="Q546" s="2" t="s">
        <v>11</v>
      </c>
      <c r="R546" s="2" t="s">
        <v>93</v>
      </c>
      <c r="S546" s="1" t="s">
        <v>6686</v>
      </c>
      <c r="T546" s="2" t="s">
        <v>520</v>
      </c>
      <c r="U546" s="3">
        <v>1</v>
      </c>
      <c r="V546" s="3">
        <v>1</v>
      </c>
      <c r="W546" s="4" t="s">
        <v>6687</v>
      </c>
      <c r="X546" s="4" t="s">
        <v>6687</v>
      </c>
      <c r="Y546" s="4" t="s">
        <v>168</v>
      </c>
      <c r="Z546" s="4" t="s">
        <v>168</v>
      </c>
      <c r="AA546" s="3">
        <v>65</v>
      </c>
      <c r="AB546" s="3">
        <v>59</v>
      </c>
      <c r="AC546" s="3">
        <v>60</v>
      </c>
      <c r="AD546" s="3">
        <v>2</v>
      </c>
      <c r="AE546" s="3">
        <v>2</v>
      </c>
      <c r="AF546" s="3">
        <v>3</v>
      </c>
      <c r="AG546" s="3">
        <v>3</v>
      </c>
      <c r="AH546" s="3">
        <v>0</v>
      </c>
      <c r="AI546" s="3">
        <v>0</v>
      </c>
      <c r="AJ546" s="3">
        <v>1</v>
      </c>
      <c r="AK546" s="3">
        <v>1</v>
      </c>
      <c r="AL546" s="3">
        <v>2</v>
      </c>
      <c r="AM546" s="3">
        <v>2</v>
      </c>
      <c r="AN546" s="3">
        <v>0</v>
      </c>
      <c r="AO546" s="3">
        <v>0</v>
      </c>
      <c r="AP546" s="3">
        <v>0</v>
      </c>
      <c r="AQ546" s="3">
        <v>0</v>
      </c>
      <c r="AR546" s="2" t="s">
        <v>5</v>
      </c>
      <c r="AS546" s="2" t="s">
        <v>5</v>
      </c>
      <c r="AU546" s="5" t="str">
        <f>HYPERLINK("https://creighton-primo.hosted.exlibrisgroup.com/primo-explore/search?tab=default_tab&amp;search_scope=EVERYTHING&amp;vid=01CRU&amp;lang=en_US&amp;offset=0&amp;query=any,contains,991001044599702656","Catalog Record")</f>
        <v>Catalog Record</v>
      </c>
      <c r="AV546" s="5" t="str">
        <f>HYPERLINK("http://www.worldcat.org/oclc/5172971","WorldCat Record")</f>
        <v>WorldCat Record</v>
      </c>
      <c r="AW546" s="2" t="s">
        <v>6688</v>
      </c>
      <c r="AX546" s="2" t="s">
        <v>6689</v>
      </c>
      <c r="AY546" s="2" t="s">
        <v>6690</v>
      </c>
      <c r="AZ546" s="2" t="s">
        <v>6690</v>
      </c>
      <c r="BA546" s="2" t="s">
        <v>6691</v>
      </c>
      <c r="BB546" s="2" t="s">
        <v>21</v>
      </c>
      <c r="BE546" s="2" t="s">
        <v>6692</v>
      </c>
      <c r="BF546" s="2" t="s">
        <v>6693</v>
      </c>
    </row>
    <row r="547" spans="1:58" ht="41.25" customHeight="1" x14ac:dyDescent="0.25">
      <c r="A547" s="8" t="s">
        <v>5</v>
      </c>
      <c r="B547" s="1" t="s">
        <v>0</v>
      </c>
      <c r="C547" s="1" t="s">
        <v>1</v>
      </c>
      <c r="D547" s="1" t="s">
        <v>6694</v>
      </c>
      <c r="E547" s="1" t="s">
        <v>6695</v>
      </c>
      <c r="F547" s="1" t="s">
        <v>6696</v>
      </c>
      <c r="H547" s="2" t="s">
        <v>5</v>
      </c>
      <c r="I547" s="2" t="s">
        <v>6</v>
      </c>
      <c r="J547" s="2" t="s">
        <v>5</v>
      </c>
      <c r="K547" s="2" t="s">
        <v>5</v>
      </c>
      <c r="L547" s="2" t="s">
        <v>7</v>
      </c>
      <c r="N547" s="1" t="s">
        <v>6697</v>
      </c>
      <c r="O547" s="2" t="s">
        <v>393</v>
      </c>
      <c r="Q547" s="2" t="s">
        <v>11</v>
      </c>
      <c r="R547" s="2" t="s">
        <v>426</v>
      </c>
      <c r="S547" s="1" t="s">
        <v>6698</v>
      </c>
      <c r="T547" s="2" t="s">
        <v>520</v>
      </c>
      <c r="U547" s="3">
        <v>1</v>
      </c>
      <c r="V547" s="3">
        <v>1</v>
      </c>
      <c r="W547" s="4" t="s">
        <v>6687</v>
      </c>
      <c r="X547" s="4" t="s">
        <v>6687</v>
      </c>
      <c r="Y547" s="4" t="s">
        <v>1223</v>
      </c>
      <c r="Z547" s="4" t="s">
        <v>1223</v>
      </c>
      <c r="AA547" s="3">
        <v>69</v>
      </c>
      <c r="AB547" s="3">
        <v>62</v>
      </c>
      <c r="AC547" s="3">
        <v>64</v>
      </c>
      <c r="AD547" s="3">
        <v>1</v>
      </c>
      <c r="AE547" s="3">
        <v>1</v>
      </c>
      <c r="AF547" s="3">
        <v>1</v>
      </c>
      <c r="AG547" s="3">
        <v>1</v>
      </c>
      <c r="AH547" s="3">
        <v>0</v>
      </c>
      <c r="AI547" s="3">
        <v>0</v>
      </c>
      <c r="AJ547" s="3">
        <v>0</v>
      </c>
      <c r="AK547" s="3">
        <v>0</v>
      </c>
      <c r="AL547" s="3">
        <v>1</v>
      </c>
      <c r="AM547" s="3">
        <v>1</v>
      </c>
      <c r="AN547" s="3">
        <v>0</v>
      </c>
      <c r="AO547" s="3">
        <v>0</v>
      </c>
      <c r="AP547" s="3">
        <v>0</v>
      </c>
      <c r="AQ547" s="3">
        <v>0</v>
      </c>
      <c r="AR547" s="2" t="s">
        <v>5</v>
      </c>
      <c r="AS547" s="2" t="s">
        <v>16</v>
      </c>
      <c r="AT547" s="5" t="str">
        <f>HYPERLINK("http://catalog.hathitrust.org/Record/001548809","HathiTrust Record")</f>
        <v>HathiTrust Record</v>
      </c>
      <c r="AU547" s="5" t="str">
        <f>HYPERLINK("https://creighton-primo.hosted.exlibrisgroup.com/primo-explore/search?tab=default_tab&amp;search_scope=EVERYTHING&amp;vid=01CRU&amp;lang=en_US&amp;offset=0&amp;query=any,contains,991001388969702656","Catalog Record")</f>
        <v>Catalog Record</v>
      </c>
      <c r="AV547" s="5" t="str">
        <f>HYPERLINK("http://www.worldcat.org/oclc/7776372","WorldCat Record")</f>
        <v>WorldCat Record</v>
      </c>
      <c r="AW547" s="2" t="s">
        <v>6699</v>
      </c>
      <c r="AX547" s="2" t="s">
        <v>6700</v>
      </c>
      <c r="AY547" s="2" t="s">
        <v>6701</v>
      </c>
      <c r="AZ547" s="2" t="s">
        <v>6701</v>
      </c>
      <c r="BA547" s="2" t="s">
        <v>6702</v>
      </c>
      <c r="BB547" s="2" t="s">
        <v>21</v>
      </c>
      <c r="BE547" s="2" t="s">
        <v>6703</v>
      </c>
      <c r="BF547" s="2" t="s">
        <v>6704</v>
      </c>
    </row>
    <row r="548" spans="1:58" ht="41.25" customHeight="1" x14ac:dyDescent="0.25">
      <c r="A548" s="8" t="s">
        <v>5</v>
      </c>
      <c r="B548" s="1" t="s">
        <v>0</v>
      </c>
      <c r="C548" s="1" t="s">
        <v>1</v>
      </c>
      <c r="D548" s="1" t="s">
        <v>6705</v>
      </c>
      <c r="E548" s="1" t="s">
        <v>6706</v>
      </c>
      <c r="F548" s="1" t="s">
        <v>6707</v>
      </c>
      <c r="H548" s="2" t="s">
        <v>5</v>
      </c>
      <c r="I548" s="2" t="s">
        <v>6</v>
      </c>
      <c r="J548" s="2" t="s">
        <v>5</v>
      </c>
      <c r="K548" s="2" t="s">
        <v>5</v>
      </c>
      <c r="L548" s="2" t="s">
        <v>7</v>
      </c>
      <c r="N548" s="1" t="s">
        <v>1403</v>
      </c>
      <c r="O548" s="2" t="s">
        <v>285</v>
      </c>
      <c r="Q548" s="2" t="s">
        <v>11</v>
      </c>
      <c r="R548" s="2" t="s">
        <v>12</v>
      </c>
      <c r="S548" s="1" t="s">
        <v>6708</v>
      </c>
      <c r="T548" s="2" t="s">
        <v>520</v>
      </c>
      <c r="U548" s="3">
        <v>1</v>
      </c>
      <c r="V548" s="3">
        <v>1</v>
      </c>
      <c r="W548" s="4" t="s">
        <v>3195</v>
      </c>
      <c r="X548" s="4" t="s">
        <v>3195</v>
      </c>
      <c r="Y548" s="4" t="s">
        <v>1578</v>
      </c>
      <c r="Z548" s="4" t="s">
        <v>1578</v>
      </c>
      <c r="AA548" s="3">
        <v>91</v>
      </c>
      <c r="AB548" s="3">
        <v>79</v>
      </c>
      <c r="AC548" s="3">
        <v>81</v>
      </c>
      <c r="AD548" s="3">
        <v>1</v>
      </c>
      <c r="AE548" s="3">
        <v>1</v>
      </c>
      <c r="AF548" s="3">
        <v>2</v>
      </c>
      <c r="AG548" s="3">
        <v>2</v>
      </c>
      <c r="AH548" s="3">
        <v>0</v>
      </c>
      <c r="AI548" s="3">
        <v>0</v>
      </c>
      <c r="AJ548" s="3">
        <v>0</v>
      </c>
      <c r="AK548" s="3">
        <v>0</v>
      </c>
      <c r="AL548" s="3">
        <v>2</v>
      </c>
      <c r="AM548" s="3">
        <v>2</v>
      </c>
      <c r="AN548" s="3">
        <v>0</v>
      </c>
      <c r="AO548" s="3">
        <v>0</v>
      </c>
      <c r="AP548" s="3">
        <v>0</v>
      </c>
      <c r="AQ548" s="3">
        <v>0</v>
      </c>
      <c r="AR548" s="2" t="s">
        <v>5</v>
      </c>
      <c r="AS548" s="2" t="s">
        <v>16</v>
      </c>
      <c r="AT548" s="5" t="str">
        <f>HYPERLINK("http://catalog.hathitrust.org/Record/000746531","HathiTrust Record")</f>
        <v>HathiTrust Record</v>
      </c>
      <c r="AU548" s="5" t="str">
        <f>HYPERLINK("https://creighton-primo.hosted.exlibrisgroup.com/primo-explore/search?tab=default_tab&amp;search_scope=EVERYTHING&amp;vid=01CRU&amp;lang=en_US&amp;offset=0&amp;query=any,contains,991001379069702656","Catalog Record")</f>
        <v>Catalog Record</v>
      </c>
      <c r="AV548" s="5" t="str">
        <f>HYPERLINK("http://www.worldcat.org/oclc/6127862","WorldCat Record")</f>
        <v>WorldCat Record</v>
      </c>
      <c r="AW548" s="2" t="s">
        <v>6709</v>
      </c>
      <c r="AX548" s="2" t="s">
        <v>6710</v>
      </c>
      <c r="AY548" s="2" t="s">
        <v>6711</v>
      </c>
      <c r="AZ548" s="2" t="s">
        <v>6711</v>
      </c>
      <c r="BA548" s="2" t="s">
        <v>6712</v>
      </c>
      <c r="BB548" s="2" t="s">
        <v>21</v>
      </c>
      <c r="BE548" s="2" t="s">
        <v>6713</v>
      </c>
      <c r="BF548" s="2" t="s">
        <v>6714</v>
      </c>
    </row>
    <row r="549" spans="1:58" ht="41.25" customHeight="1" x14ac:dyDescent="0.25">
      <c r="A549" s="8" t="s">
        <v>5</v>
      </c>
      <c r="B549" s="1" t="s">
        <v>0</v>
      </c>
      <c r="C549" s="1" t="s">
        <v>1</v>
      </c>
      <c r="D549" s="1" t="s">
        <v>6715</v>
      </c>
      <c r="E549" s="1" t="s">
        <v>6716</v>
      </c>
      <c r="F549" s="1" t="s">
        <v>6717</v>
      </c>
      <c r="H549" s="2" t="s">
        <v>5</v>
      </c>
      <c r="I549" s="2" t="s">
        <v>6</v>
      </c>
      <c r="J549" s="2" t="s">
        <v>5</v>
      </c>
      <c r="K549" s="2" t="s">
        <v>5</v>
      </c>
      <c r="L549" s="2" t="s">
        <v>7</v>
      </c>
      <c r="N549" s="1" t="s">
        <v>1220</v>
      </c>
      <c r="O549" s="2" t="s">
        <v>10</v>
      </c>
      <c r="Q549" s="2" t="s">
        <v>11</v>
      </c>
      <c r="R549" s="2" t="s">
        <v>12</v>
      </c>
      <c r="S549" s="1" t="s">
        <v>6718</v>
      </c>
      <c r="T549" s="2" t="s">
        <v>520</v>
      </c>
      <c r="U549" s="3">
        <v>4</v>
      </c>
      <c r="V549" s="3">
        <v>4</v>
      </c>
      <c r="W549" s="4" t="s">
        <v>1924</v>
      </c>
      <c r="X549" s="4" t="s">
        <v>1924</v>
      </c>
      <c r="Y549" s="4" t="s">
        <v>1444</v>
      </c>
      <c r="Z549" s="4" t="s">
        <v>1444</v>
      </c>
      <c r="AA549" s="3">
        <v>94</v>
      </c>
      <c r="AB549" s="3">
        <v>82</v>
      </c>
      <c r="AC549" s="3">
        <v>84</v>
      </c>
      <c r="AD549" s="3">
        <v>1</v>
      </c>
      <c r="AE549" s="3">
        <v>1</v>
      </c>
      <c r="AF549" s="3">
        <v>1</v>
      </c>
      <c r="AG549" s="3">
        <v>1</v>
      </c>
      <c r="AH549" s="3">
        <v>0</v>
      </c>
      <c r="AI549" s="3">
        <v>0</v>
      </c>
      <c r="AJ549" s="3">
        <v>0</v>
      </c>
      <c r="AK549" s="3">
        <v>0</v>
      </c>
      <c r="AL549" s="3">
        <v>1</v>
      </c>
      <c r="AM549" s="3">
        <v>1</v>
      </c>
      <c r="AN549" s="3">
        <v>0</v>
      </c>
      <c r="AO549" s="3">
        <v>0</v>
      </c>
      <c r="AP549" s="3">
        <v>0</v>
      </c>
      <c r="AQ549" s="3">
        <v>0</v>
      </c>
      <c r="AR549" s="2" t="s">
        <v>5</v>
      </c>
      <c r="AS549" s="2" t="s">
        <v>16</v>
      </c>
      <c r="AT549" s="5" t="str">
        <f>HYPERLINK("http://catalog.hathitrust.org/Record/000254834","HathiTrust Record")</f>
        <v>HathiTrust Record</v>
      </c>
      <c r="AU549" s="5" t="str">
        <f>HYPERLINK("https://creighton-primo.hosted.exlibrisgroup.com/primo-explore/search?tab=default_tab&amp;search_scope=EVERYTHING&amp;vid=01CRU&amp;lang=en_US&amp;offset=0&amp;query=any,contains,991001516499702656","Catalog Record")</f>
        <v>Catalog Record</v>
      </c>
      <c r="AV549" s="5" t="str">
        <f>HYPERLINK("http://www.worldcat.org/oclc/4468339","WorldCat Record")</f>
        <v>WorldCat Record</v>
      </c>
      <c r="AW549" s="2" t="s">
        <v>6719</v>
      </c>
      <c r="AX549" s="2" t="s">
        <v>6720</v>
      </c>
      <c r="AY549" s="2" t="s">
        <v>6721</v>
      </c>
      <c r="AZ549" s="2" t="s">
        <v>6721</v>
      </c>
      <c r="BA549" s="2" t="s">
        <v>6722</v>
      </c>
      <c r="BB549" s="2" t="s">
        <v>21</v>
      </c>
      <c r="BE549" s="2" t="s">
        <v>6723</v>
      </c>
      <c r="BF549" s="2" t="s">
        <v>6724</v>
      </c>
    </row>
    <row r="550" spans="1:58" ht="41.25" customHeight="1" x14ac:dyDescent="0.25">
      <c r="A550" s="8" t="s">
        <v>5</v>
      </c>
      <c r="B550" s="1" t="s">
        <v>0</v>
      </c>
      <c r="C550" s="1" t="s">
        <v>1</v>
      </c>
      <c r="D550" s="1" t="s">
        <v>6725</v>
      </c>
      <c r="E550" s="1" t="s">
        <v>6726</v>
      </c>
      <c r="F550" s="1" t="s">
        <v>6727</v>
      </c>
      <c r="H550" s="2" t="s">
        <v>5</v>
      </c>
      <c r="I550" s="2" t="s">
        <v>6</v>
      </c>
      <c r="J550" s="2" t="s">
        <v>5</v>
      </c>
      <c r="K550" s="2" t="s">
        <v>5</v>
      </c>
      <c r="L550" s="2" t="s">
        <v>7</v>
      </c>
      <c r="N550" s="1" t="s">
        <v>2334</v>
      </c>
      <c r="O550" s="2" t="s">
        <v>1339</v>
      </c>
      <c r="Q550" s="2" t="s">
        <v>11</v>
      </c>
      <c r="R550" s="2" t="s">
        <v>12</v>
      </c>
      <c r="S550" s="1" t="s">
        <v>6728</v>
      </c>
      <c r="T550" s="2" t="s">
        <v>520</v>
      </c>
      <c r="U550" s="3">
        <v>3</v>
      </c>
      <c r="V550" s="3">
        <v>3</v>
      </c>
      <c r="W550" s="4" t="s">
        <v>6729</v>
      </c>
      <c r="X550" s="4" t="s">
        <v>6729</v>
      </c>
      <c r="Y550" s="4" t="s">
        <v>5477</v>
      </c>
      <c r="Z550" s="4" t="s">
        <v>5477</v>
      </c>
      <c r="AA550" s="3">
        <v>158</v>
      </c>
      <c r="AB550" s="3">
        <v>142</v>
      </c>
      <c r="AC550" s="3">
        <v>154</v>
      </c>
      <c r="AD550" s="3">
        <v>2</v>
      </c>
      <c r="AE550" s="3">
        <v>2</v>
      </c>
      <c r="AF550" s="3">
        <v>6</v>
      </c>
      <c r="AG550" s="3">
        <v>6</v>
      </c>
      <c r="AH550" s="3">
        <v>2</v>
      </c>
      <c r="AI550" s="3">
        <v>2</v>
      </c>
      <c r="AJ550" s="3">
        <v>1</v>
      </c>
      <c r="AK550" s="3">
        <v>1</v>
      </c>
      <c r="AL550" s="3">
        <v>4</v>
      </c>
      <c r="AM550" s="3">
        <v>4</v>
      </c>
      <c r="AN550" s="3">
        <v>0</v>
      </c>
      <c r="AO550" s="3">
        <v>0</v>
      </c>
      <c r="AP550" s="3">
        <v>0</v>
      </c>
      <c r="AQ550" s="3">
        <v>0</v>
      </c>
      <c r="AR550" s="2" t="s">
        <v>5</v>
      </c>
      <c r="AS550" s="2" t="s">
        <v>5</v>
      </c>
      <c r="AU550" s="5" t="str">
        <f>HYPERLINK("https://creighton-primo.hosted.exlibrisgroup.com/primo-explore/search?tab=default_tab&amp;search_scope=EVERYTHING&amp;vid=01CRU&amp;lang=en_US&amp;offset=0&amp;query=any,contains,991001536319702656","Catalog Record")</f>
        <v>Catalog Record</v>
      </c>
      <c r="AV550" s="5" t="str">
        <f>HYPERLINK("http://www.worldcat.org/oclc/17209382","WorldCat Record")</f>
        <v>WorldCat Record</v>
      </c>
      <c r="AW550" s="2" t="s">
        <v>6730</v>
      </c>
      <c r="AX550" s="2" t="s">
        <v>6731</v>
      </c>
      <c r="AY550" s="2" t="s">
        <v>6732</v>
      </c>
      <c r="AZ550" s="2" t="s">
        <v>6732</v>
      </c>
      <c r="BA550" s="2" t="s">
        <v>6733</v>
      </c>
      <c r="BB550" s="2" t="s">
        <v>21</v>
      </c>
      <c r="BD550" s="2" t="s">
        <v>6734</v>
      </c>
      <c r="BE550" s="2" t="s">
        <v>6735</v>
      </c>
      <c r="BF550" s="2" t="s">
        <v>6736</v>
      </c>
    </row>
    <row r="551" spans="1:58" ht="41.25" customHeight="1" x14ac:dyDescent="0.25">
      <c r="A551" s="8" t="s">
        <v>5</v>
      </c>
      <c r="B551" s="1" t="s">
        <v>0</v>
      </c>
      <c r="C551" s="1" t="s">
        <v>1</v>
      </c>
      <c r="D551" s="1" t="s">
        <v>6737</v>
      </c>
      <c r="E551" s="1" t="s">
        <v>6738</v>
      </c>
      <c r="F551" s="1" t="s">
        <v>6739</v>
      </c>
      <c r="H551" s="2" t="s">
        <v>5</v>
      </c>
      <c r="I551" s="2" t="s">
        <v>6</v>
      </c>
      <c r="J551" s="2" t="s">
        <v>5</v>
      </c>
      <c r="K551" s="2" t="s">
        <v>5</v>
      </c>
      <c r="L551" s="2" t="s">
        <v>7</v>
      </c>
      <c r="M551" s="1" t="s">
        <v>6740</v>
      </c>
      <c r="N551" s="1" t="s">
        <v>6741</v>
      </c>
      <c r="O551" s="2" t="s">
        <v>888</v>
      </c>
      <c r="Q551" s="2" t="s">
        <v>11</v>
      </c>
      <c r="R551" s="2" t="s">
        <v>93</v>
      </c>
      <c r="T551" s="2" t="s">
        <v>520</v>
      </c>
      <c r="U551" s="3">
        <v>15</v>
      </c>
      <c r="V551" s="3">
        <v>15</v>
      </c>
      <c r="W551" s="4" t="s">
        <v>6742</v>
      </c>
      <c r="X551" s="4" t="s">
        <v>6742</v>
      </c>
      <c r="Y551" s="4" t="s">
        <v>168</v>
      </c>
      <c r="Z551" s="4" t="s">
        <v>168</v>
      </c>
      <c r="AA551" s="3">
        <v>234</v>
      </c>
      <c r="AB551" s="3">
        <v>179</v>
      </c>
      <c r="AC551" s="3">
        <v>197</v>
      </c>
      <c r="AD551" s="3">
        <v>1</v>
      </c>
      <c r="AE551" s="3">
        <v>1</v>
      </c>
      <c r="AF551" s="3">
        <v>6</v>
      </c>
      <c r="AG551" s="3">
        <v>6</v>
      </c>
      <c r="AH551" s="3">
        <v>2</v>
      </c>
      <c r="AI551" s="3">
        <v>2</v>
      </c>
      <c r="AJ551" s="3">
        <v>1</v>
      </c>
      <c r="AK551" s="3">
        <v>1</v>
      </c>
      <c r="AL551" s="3">
        <v>4</v>
      </c>
      <c r="AM551" s="3">
        <v>4</v>
      </c>
      <c r="AN551" s="3">
        <v>0</v>
      </c>
      <c r="AO551" s="3">
        <v>0</v>
      </c>
      <c r="AP551" s="3">
        <v>0</v>
      </c>
      <c r="AQ551" s="3">
        <v>0</v>
      </c>
      <c r="AR551" s="2" t="s">
        <v>5</v>
      </c>
      <c r="AS551" s="2" t="s">
        <v>16</v>
      </c>
      <c r="AT551" s="5" t="str">
        <f>HYPERLINK("http://catalog.hathitrust.org/Record/000291044","HathiTrust Record")</f>
        <v>HathiTrust Record</v>
      </c>
      <c r="AU551" s="5" t="str">
        <f>HYPERLINK("https://creighton-primo.hosted.exlibrisgroup.com/primo-explore/search?tab=default_tab&amp;search_scope=EVERYTHING&amp;vid=01CRU&amp;lang=en_US&amp;offset=0&amp;query=any,contains,991001044669702656","Catalog Record")</f>
        <v>Catalog Record</v>
      </c>
      <c r="AV551" s="5" t="str">
        <f>HYPERLINK("http://www.worldcat.org/oclc/10777940","WorldCat Record")</f>
        <v>WorldCat Record</v>
      </c>
      <c r="AW551" s="2" t="s">
        <v>6743</v>
      </c>
      <c r="AX551" s="2" t="s">
        <v>6744</v>
      </c>
      <c r="AY551" s="2" t="s">
        <v>6745</v>
      </c>
      <c r="AZ551" s="2" t="s">
        <v>6745</v>
      </c>
      <c r="BA551" s="2" t="s">
        <v>6746</v>
      </c>
      <c r="BB551" s="2" t="s">
        <v>21</v>
      </c>
      <c r="BD551" s="2" t="s">
        <v>6747</v>
      </c>
      <c r="BE551" s="2" t="s">
        <v>6748</v>
      </c>
      <c r="BF551" s="2" t="s">
        <v>6749</v>
      </c>
    </row>
    <row r="552" spans="1:58" ht="41.25" customHeight="1" x14ac:dyDescent="0.25">
      <c r="A552" s="8" t="s">
        <v>5</v>
      </c>
      <c r="B552" s="1" t="s">
        <v>0</v>
      </c>
      <c r="C552" s="1" t="s">
        <v>1</v>
      </c>
      <c r="D552" s="1" t="s">
        <v>6750</v>
      </c>
      <c r="E552" s="1" t="s">
        <v>6751</v>
      </c>
      <c r="F552" s="1" t="s">
        <v>6752</v>
      </c>
      <c r="H552" s="2" t="s">
        <v>5</v>
      </c>
      <c r="I552" s="2" t="s">
        <v>6</v>
      </c>
      <c r="J552" s="2" t="s">
        <v>5</v>
      </c>
      <c r="K552" s="2" t="s">
        <v>5</v>
      </c>
      <c r="L552" s="2" t="s">
        <v>7</v>
      </c>
      <c r="N552" s="1" t="s">
        <v>6753</v>
      </c>
      <c r="O552" s="2" t="s">
        <v>210</v>
      </c>
      <c r="Q552" s="2" t="s">
        <v>11</v>
      </c>
      <c r="R552" s="2" t="s">
        <v>31</v>
      </c>
      <c r="T552" s="2" t="s">
        <v>520</v>
      </c>
      <c r="U552" s="3">
        <v>0</v>
      </c>
      <c r="V552" s="3">
        <v>0</v>
      </c>
      <c r="W552" s="4" t="s">
        <v>903</v>
      </c>
      <c r="X552" s="4" t="s">
        <v>903</v>
      </c>
      <c r="Y552" s="4" t="s">
        <v>604</v>
      </c>
      <c r="Z552" s="4" t="s">
        <v>604</v>
      </c>
      <c r="AA552" s="3">
        <v>124</v>
      </c>
      <c r="AB552" s="3">
        <v>114</v>
      </c>
      <c r="AC552" s="3">
        <v>125</v>
      </c>
      <c r="AD552" s="3">
        <v>2</v>
      </c>
      <c r="AE552" s="3">
        <v>2</v>
      </c>
      <c r="AF552" s="3">
        <v>5</v>
      </c>
      <c r="AG552" s="3">
        <v>5</v>
      </c>
      <c r="AH552" s="3">
        <v>1</v>
      </c>
      <c r="AI552" s="3">
        <v>1</v>
      </c>
      <c r="AJ552" s="3">
        <v>2</v>
      </c>
      <c r="AK552" s="3">
        <v>2</v>
      </c>
      <c r="AL552" s="3">
        <v>3</v>
      </c>
      <c r="AM552" s="3">
        <v>3</v>
      </c>
      <c r="AN552" s="3">
        <v>0</v>
      </c>
      <c r="AO552" s="3">
        <v>0</v>
      </c>
      <c r="AP552" s="3">
        <v>0</v>
      </c>
      <c r="AQ552" s="3">
        <v>0</v>
      </c>
      <c r="AR552" s="2" t="s">
        <v>5</v>
      </c>
      <c r="AS552" s="2" t="s">
        <v>16</v>
      </c>
      <c r="AT552" s="5" t="str">
        <f>HYPERLINK("http://catalog.hathitrust.org/Record/002556260","HathiTrust Record")</f>
        <v>HathiTrust Record</v>
      </c>
      <c r="AU552" s="5" t="str">
        <f>HYPERLINK("https://creighton-primo.hosted.exlibrisgroup.com/primo-explore/search?tab=default_tab&amp;search_scope=EVERYTHING&amp;vid=01CRU&amp;lang=en_US&amp;offset=0&amp;query=any,contains,991000232709702656","Catalog Record")</f>
        <v>Catalog Record</v>
      </c>
      <c r="AV552" s="5" t="str">
        <f>HYPERLINK("http://www.worldcat.org/oclc/25245842","WorldCat Record")</f>
        <v>WorldCat Record</v>
      </c>
      <c r="AW552" s="2" t="s">
        <v>6754</v>
      </c>
      <c r="AX552" s="2" t="s">
        <v>6755</v>
      </c>
      <c r="AY552" s="2" t="s">
        <v>6756</v>
      </c>
      <c r="AZ552" s="2" t="s">
        <v>6756</v>
      </c>
      <c r="BA552" s="2" t="s">
        <v>6757</v>
      </c>
      <c r="BB552" s="2" t="s">
        <v>21</v>
      </c>
      <c r="BD552" s="2" t="s">
        <v>6758</v>
      </c>
      <c r="BE552" s="2" t="s">
        <v>6759</v>
      </c>
      <c r="BF552" s="2" t="s">
        <v>6760</v>
      </c>
    </row>
    <row r="553" spans="1:58" ht="41.25" customHeight="1" x14ac:dyDescent="0.25">
      <c r="A553" s="8" t="s">
        <v>5</v>
      </c>
      <c r="B553" s="1" t="s">
        <v>0</v>
      </c>
      <c r="C553" s="1" t="s">
        <v>1</v>
      </c>
      <c r="D553" s="1" t="s">
        <v>6761</v>
      </c>
      <c r="E553" s="1" t="s">
        <v>6762</v>
      </c>
      <c r="F553" s="1" t="s">
        <v>6763</v>
      </c>
      <c r="H553" s="2" t="s">
        <v>5</v>
      </c>
      <c r="I553" s="2" t="s">
        <v>6</v>
      </c>
      <c r="J553" s="2" t="s">
        <v>5</v>
      </c>
      <c r="K553" s="2" t="s">
        <v>5</v>
      </c>
      <c r="L553" s="2" t="s">
        <v>7</v>
      </c>
      <c r="N553" s="1" t="s">
        <v>6764</v>
      </c>
      <c r="O553" s="2" t="s">
        <v>601</v>
      </c>
      <c r="Q553" s="2" t="s">
        <v>11</v>
      </c>
      <c r="R553" s="2" t="s">
        <v>1325</v>
      </c>
      <c r="S553" s="1" t="s">
        <v>6765</v>
      </c>
      <c r="T553" s="2" t="s">
        <v>520</v>
      </c>
      <c r="U553" s="3">
        <v>1</v>
      </c>
      <c r="V553" s="3">
        <v>1</v>
      </c>
      <c r="W553" s="4" t="s">
        <v>6766</v>
      </c>
      <c r="X553" s="4" t="s">
        <v>6766</v>
      </c>
      <c r="Y553" s="4" t="s">
        <v>604</v>
      </c>
      <c r="Z553" s="4" t="s">
        <v>604</v>
      </c>
      <c r="AA553" s="3">
        <v>128</v>
      </c>
      <c r="AB553" s="3">
        <v>120</v>
      </c>
      <c r="AC553" s="3">
        <v>122</v>
      </c>
      <c r="AD553" s="3">
        <v>2</v>
      </c>
      <c r="AE553" s="3">
        <v>2</v>
      </c>
      <c r="AF553" s="3">
        <v>7</v>
      </c>
      <c r="AG553" s="3">
        <v>7</v>
      </c>
      <c r="AH553" s="3">
        <v>2</v>
      </c>
      <c r="AI553" s="3">
        <v>2</v>
      </c>
      <c r="AJ553" s="3">
        <v>2</v>
      </c>
      <c r="AK553" s="3">
        <v>2</v>
      </c>
      <c r="AL553" s="3">
        <v>4</v>
      </c>
      <c r="AM553" s="3">
        <v>4</v>
      </c>
      <c r="AN553" s="3">
        <v>0</v>
      </c>
      <c r="AO553" s="3">
        <v>0</v>
      </c>
      <c r="AP553" s="3">
        <v>0</v>
      </c>
      <c r="AQ553" s="3">
        <v>0</v>
      </c>
      <c r="AR553" s="2" t="s">
        <v>5</v>
      </c>
      <c r="AS553" s="2" t="s">
        <v>16</v>
      </c>
      <c r="AT553" s="5" t="str">
        <f>HYPERLINK("http://catalog.hathitrust.org/Record/003027935","HathiTrust Record")</f>
        <v>HathiTrust Record</v>
      </c>
      <c r="AU553" s="5" t="str">
        <f>HYPERLINK("https://creighton-primo.hosted.exlibrisgroup.com/primo-explore/search?tab=default_tab&amp;search_scope=EVERYTHING&amp;vid=01CRU&amp;lang=en_US&amp;offset=0&amp;query=any,contains,991000257019702656","Catalog Record")</f>
        <v>Catalog Record</v>
      </c>
      <c r="AV553" s="5" t="str">
        <f>HYPERLINK("http://www.worldcat.org/oclc/33054868","WorldCat Record")</f>
        <v>WorldCat Record</v>
      </c>
      <c r="AW553" s="2" t="s">
        <v>6767</v>
      </c>
      <c r="AX553" s="2" t="s">
        <v>6768</v>
      </c>
      <c r="AY553" s="2" t="s">
        <v>6769</v>
      </c>
      <c r="AZ553" s="2" t="s">
        <v>6769</v>
      </c>
      <c r="BA553" s="2" t="s">
        <v>6770</v>
      </c>
      <c r="BB553" s="2" t="s">
        <v>21</v>
      </c>
      <c r="BD553" s="2" t="s">
        <v>6771</v>
      </c>
      <c r="BE553" s="2" t="s">
        <v>6772</v>
      </c>
      <c r="BF553" s="2" t="s">
        <v>6773</v>
      </c>
    </row>
    <row r="554" spans="1:58" ht="41.25" customHeight="1" x14ac:dyDescent="0.25">
      <c r="A554" s="8" t="s">
        <v>5</v>
      </c>
      <c r="B554" s="1" t="s">
        <v>0</v>
      </c>
      <c r="C554" s="1" t="s">
        <v>1</v>
      </c>
      <c r="D554" s="1" t="s">
        <v>6774</v>
      </c>
      <c r="E554" s="1" t="s">
        <v>6775</v>
      </c>
      <c r="F554" s="1" t="s">
        <v>6776</v>
      </c>
      <c r="H554" s="2" t="s">
        <v>5</v>
      </c>
      <c r="I554" s="2" t="s">
        <v>6</v>
      </c>
      <c r="J554" s="2" t="s">
        <v>5</v>
      </c>
      <c r="K554" s="2" t="s">
        <v>5</v>
      </c>
      <c r="L554" s="2" t="s">
        <v>7</v>
      </c>
      <c r="M554" s="1" t="s">
        <v>6777</v>
      </c>
      <c r="N554" s="1" t="s">
        <v>6778</v>
      </c>
      <c r="O554" s="2" t="s">
        <v>1060</v>
      </c>
      <c r="P554" s="1" t="s">
        <v>901</v>
      </c>
      <c r="Q554" s="2" t="s">
        <v>11</v>
      </c>
      <c r="R554" s="2" t="s">
        <v>229</v>
      </c>
      <c r="T554" s="2" t="s">
        <v>520</v>
      </c>
      <c r="U554" s="3">
        <v>4</v>
      </c>
      <c r="V554" s="3">
        <v>4</v>
      </c>
      <c r="W554" s="4" t="s">
        <v>6779</v>
      </c>
      <c r="X554" s="4" t="s">
        <v>6779</v>
      </c>
      <c r="Y554" s="4" t="s">
        <v>6780</v>
      </c>
      <c r="Z554" s="4" t="s">
        <v>6780</v>
      </c>
      <c r="AA554" s="3">
        <v>299</v>
      </c>
      <c r="AB554" s="3">
        <v>220</v>
      </c>
      <c r="AC554" s="3">
        <v>699</v>
      </c>
      <c r="AD554" s="3">
        <v>1</v>
      </c>
      <c r="AE554" s="3">
        <v>2</v>
      </c>
      <c r="AF554" s="3">
        <v>7</v>
      </c>
      <c r="AG554" s="3">
        <v>23</v>
      </c>
      <c r="AH554" s="3">
        <v>2</v>
      </c>
      <c r="AI554" s="3">
        <v>7</v>
      </c>
      <c r="AJ554" s="3">
        <v>2</v>
      </c>
      <c r="AK554" s="3">
        <v>7</v>
      </c>
      <c r="AL554" s="3">
        <v>6</v>
      </c>
      <c r="AM554" s="3">
        <v>12</v>
      </c>
      <c r="AN554" s="3">
        <v>0</v>
      </c>
      <c r="AO554" s="3">
        <v>1</v>
      </c>
      <c r="AP554" s="3">
        <v>0</v>
      </c>
      <c r="AQ554" s="3">
        <v>0</v>
      </c>
      <c r="AR554" s="2" t="s">
        <v>5</v>
      </c>
      <c r="AS554" s="2" t="s">
        <v>16</v>
      </c>
      <c r="AT554" s="5" t="str">
        <f>HYPERLINK("http://catalog.hathitrust.org/Record/004908460","HathiTrust Record")</f>
        <v>HathiTrust Record</v>
      </c>
      <c r="AU554" s="5" t="str">
        <f>HYPERLINK("https://creighton-primo.hosted.exlibrisgroup.com/primo-explore/search?tab=default_tab&amp;search_scope=EVERYTHING&amp;vid=01CRU&amp;lang=en_US&amp;offset=0&amp;query=any,contains,991001736399702656","Catalog Record")</f>
        <v>Catalog Record</v>
      </c>
      <c r="AV554" s="5" t="str">
        <f>HYPERLINK("http://www.worldcat.org/oclc/54906877","WorldCat Record")</f>
        <v>WorldCat Record</v>
      </c>
      <c r="AW554" s="2" t="s">
        <v>6781</v>
      </c>
      <c r="AX554" s="2" t="s">
        <v>6782</v>
      </c>
      <c r="AY554" s="2" t="s">
        <v>6783</v>
      </c>
      <c r="AZ554" s="2" t="s">
        <v>6783</v>
      </c>
      <c r="BA554" s="2" t="s">
        <v>6784</v>
      </c>
      <c r="BB554" s="2" t="s">
        <v>21</v>
      </c>
      <c r="BD554" s="2" t="s">
        <v>6785</v>
      </c>
      <c r="BE554" s="2" t="s">
        <v>6786</v>
      </c>
      <c r="BF554" s="2" t="s">
        <v>6787</v>
      </c>
    </row>
    <row r="555" spans="1:58" ht="41.25" customHeight="1" x14ac:dyDescent="0.25">
      <c r="A555" s="8" t="s">
        <v>5</v>
      </c>
      <c r="B555" s="1" t="s">
        <v>0</v>
      </c>
      <c r="C555" s="1" t="s">
        <v>1</v>
      </c>
      <c r="D555" s="1" t="s">
        <v>6788</v>
      </c>
      <c r="E555" s="1" t="s">
        <v>6789</v>
      </c>
      <c r="F555" s="1" t="s">
        <v>6790</v>
      </c>
      <c r="H555" s="2" t="s">
        <v>5</v>
      </c>
      <c r="I555" s="2" t="s">
        <v>6</v>
      </c>
      <c r="J555" s="2" t="s">
        <v>5</v>
      </c>
      <c r="K555" s="2" t="s">
        <v>5</v>
      </c>
      <c r="L555" s="2" t="s">
        <v>7</v>
      </c>
      <c r="M555" s="1" t="s">
        <v>6791</v>
      </c>
      <c r="N555" s="1" t="s">
        <v>6792</v>
      </c>
      <c r="O555" s="2" t="s">
        <v>1391</v>
      </c>
      <c r="Q555" s="2" t="s">
        <v>11</v>
      </c>
      <c r="R555" s="2" t="s">
        <v>12</v>
      </c>
      <c r="S555" s="1" t="s">
        <v>6793</v>
      </c>
      <c r="T555" s="2" t="s">
        <v>520</v>
      </c>
      <c r="U555" s="3">
        <v>1</v>
      </c>
      <c r="V555" s="3">
        <v>1</v>
      </c>
      <c r="W555" s="4" t="s">
        <v>6794</v>
      </c>
      <c r="X555" s="4" t="s">
        <v>6794</v>
      </c>
      <c r="Y555" s="4" t="s">
        <v>5006</v>
      </c>
      <c r="Z555" s="4" t="s">
        <v>5006</v>
      </c>
      <c r="AA555" s="3">
        <v>206</v>
      </c>
      <c r="AB555" s="3">
        <v>146</v>
      </c>
      <c r="AC555" s="3">
        <v>177</v>
      </c>
      <c r="AD555" s="3">
        <v>1</v>
      </c>
      <c r="AE555" s="3">
        <v>1</v>
      </c>
      <c r="AF555" s="3">
        <v>5</v>
      </c>
      <c r="AG555" s="3">
        <v>7</v>
      </c>
      <c r="AH555" s="3">
        <v>1</v>
      </c>
      <c r="AI555" s="3">
        <v>2</v>
      </c>
      <c r="AJ555" s="3">
        <v>2</v>
      </c>
      <c r="AK555" s="3">
        <v>3</v>
      </c>
      <c r="AL555" s="3">
        <v>2</v>
      </c>
      <c r="AM555" s="3">
        <v>3</v>
      </c>
      <c r="AN555" s="3">
        <v>0</v>
      </c>
      <c r="AO555" s="3">
        <v>0</v>
      </c>
      <c r="AP555" s="3">
        <v>0</v>
      </c>
      <c r="AQ555" s="3">
        <v>0</v>
      </c>
      <c r="AR555" s="2" t="s">
        <v>5</v>
      </c>
      <c r="AS555" s="2" t="s">
        <v>5</v>
      </c>
      <c r="AU555" s="5" t="str">
        <f>HYPERLINK("https://creighton-primo.hosted.exlibrisgroup.com/primo-explore/search?tab=default_tab&amp;search_scope=EVERYTHING&amp;vid=01CRU&amp;lang=en_US&amp;offset=0&amp;query=any,contains,991000398579702656","Catalog Record")</f>
        <v>Catalog Record</v>
      </c>
      <c r="AV555" s="5" t="str">
        <f>HYPERLINK("http://www.worldcat.org/oclc/52813807","WorldCat Record")</f>
        <v>WorldCat Record</v>
      </c>
      <c r="AW555" s="2" t="s">
        <v>6795</v>
      </c>
      <c r="AX555" s="2" t="s">
        <v>6796</v>
      </c>
      <c r="AY555" s="2" t="s">
        <v>6797</v>
      </c>
      <c r="AZ555" s="2" t="s">
        <v>6797</v>
      </c>
      <c r="BA555" s="2" t="s">
        <v>6798</v>
      </c>
      <c r="BB555" s="2" t="s">
        <v>21</v>
      </c>
      <c r="BD555" s="2" t="s">
        <v>6799</v>
      </c>
      <c r="BE555" s="2" t="s">
        <v>6800</v>
      </c>
      <c r="BF555" s="2" t="s">
        <v>6801</v>
      </c>
    </row>
    <row r="556" spans="1:58" ht="41.25" customHeight="1" x14ac:dyDescent="0.25">
      <c r="A556" s="8" t="s">
        <v>5</v>
      </c>
      <c r="B556" s="1" t="s">
        <v>0</v>
      </c>
      <c r="C556" s="1" t="s">
        <v>1</v>
      </c>
      <c r="D556" s="1" t="s">
        <v>6802</v>
      </c>
      <c r="E556" s="1" t="s">
        <v>6803</v>
      </c>
      <c r="F556" s="1" t="s">
        <v>6804</v>
      </c>
      <c r="H556" s="2" t="s">
        <v>5</v>
      </c>
      <c r="I556" s="2" t="s">
        <v>6</v>
      </c>
      <c r="J556" s="2" t="s">
        <v>5</v>
      </c>
      <c r="K556" s="2" t="s">
        <v>5</v>
      </c>
      <c r="L556" s="2" t="s">
        <v>7</v>
      </c>
      <c r="N556" s="1" t="s">
        <v>2689</v>
      </c>
      <c r="O556" s="2" t="s">
        <v>989</v>
      </c>
      <c r="Q556" s="2" t="s">
        <v>11</v>
      </c>
      <c r="R556" s="2" t="s">
        <v>1140</v>
      </c>
      <c r="S556" s="1" t="s">
        <v>6805</v>
      </c>
      <c r="T556" s="2" t="s">
        <v>520</v>
      </c>
      <c r="U556" s="3">
        <v>11</v>
      </c>
      <c r="V556" s="3">
        <v>11</v>
      </c>
      <c r="W556" s="4" t="s">
        <v>6742</v>
      </c>
      <c r="X556" s="4" t="s">
        <v>6742</v>
      </c>
      <c r="Y556" s="4" t="s">
        <v>6806</v>
      </c>
      <c r="Z556" s="4" t="s">
        <v>6806</v>
      </c>
      <c r="AA556" s="3">
        <v>35</v>
      </c>
      <c r="AB556" s="3">
        <v>28</v>
      </c>
      <c r="AC556" s="3">
        <v>28</v>
      </c>
      <c r="AD556" s="3">
        <v>1</v>
      </c>
      <c r="AE556" s="3">
        <v>1</v>
      </c>
      <c r="AF556" s="3">
        <v>1</v>
      </c>
      <c r="AG556" s="3">
        <v>1</v>
      </c>
      <c r="AH556" s="3">
        <v>1</v>
      </c>
      <c r="AI556" s="3">
        <v>1</v>
      </c>
      <c r="AJ556" s="3">
        <v>0</v>
      </c>
      <c r="AK556" s="3">
        <v>0</v>
      </c>
      <c r="AL556" s="3">
        <v>1</v>
      </c>
      <c r="AM556" s="3">
        <v>1</v>
      </c>
      <c r="AN556" s="3">
        <v>0</v>
      </c>
      <c r="AO556" s="3">
        <v>0</v>
      </c>
      <c r="AP556" s="3">
        <v>0</v>
      </c>
      <c r="AQ556" s="3">
        <v>0</v>
      </c>
      <c r="AR556" s="2" t="s">
        <v>5</v>
      </c>
      <c r="AS556" s="2" t="s">
        <v>5</v>
      </c>
      <c r="AU556" s="5" t="str">
        <f>HYPERLINK("https://creighton-primo.hosted.exlibrisgroup.com/primo-explore/search?tab=default_tab&amp;search_scope=EVERYTHING&amp;vid=01CRU&amp;lang=en_US&amp;offset=0&amp;query=any,contains,991001035169702656","Catalog Record")</f>
        <v>Catalog Record</v>
      </c>
      <c r="AV556" s="5" t="str">
        <f>HYPERLINK("http://www.worldcat.org/oclc/22399737","WorldCat Record")</f>
        <v>WorldCat Record</v>
      </c>
      <c r="AW556" s="2" t="s">
        <v>6807</v>
      </c>
      <c r="AX556" s="2" t="s">
        <v>6808</v>
      </c>
      <c r="AY556" s="2" t="s">
        <v>6809</v>
      </c>
      <c r="AZ556" s="2" t="s">
        <v>6809</v>
      </c>
      <c r="BA556" s="2" t="s">
        <v>6810</v>
      </c>
      <c r="BB556" s="2" t="s">
        <v>21</v>
      </c>
      <c r="BD556" s="2" t="s">
        <v>6811</v>
      </c>
      <c r="BE556" s="2" t="s">
        <v>6812</v>
      </c>
      <c r="BF556" s="2" t="s">
        <v>6813</v>
      </c>
    </row>
    <row r="557" spans="1:58" ht="41.25" customHeight="1" x14ac:dyDescent="0.25">
      <c r="A557" s="8" t="s">
        <v>5</v>
      </c>
      <c r="B557" s="1" t="s">
        <v>0</v>
      </c>
      <c r="C557" s="1" t="s">
        <v>1</v>
      </c>
      <c r="D557" s="1" t="s">
        <v>6814</v>
      </c>
      <c r="E557" s="1" t="s">
        <v>6815</v>
      </c>
      <c r="F557" s="1" t="s">
        <v>6816</v>
      </c>
      <c r="H557" s="2" t="s">
        <v>5</v>
      </c>
      <c r="I557" s="2" t="s">
        <v>6</v>
      </c>
      <c r="J557" s="2" t="s">
        <v>5</v>
      </c>
      <c r="K557" s="2" t="s">
        <v>5</v>
      </c>
      <c r="L557" s="2" t="s">
        <v>7</v>
      </c>
      <c r="M557" s="1" t="s">
        <v>6817</v>
      </c>
      <c r="N557" s="1" t="s">
        <v>1729</v>
      </c>
      <c r="O557" s="2" t="s">
        <v>1378</v>
      </c>
      <c r="P557" s="1" t="s">
        <v>6818</v>
      </c>
      <c r="Q557" s="2" t="s">
        <v>11</v>
      </c>
      <c r="R557" s="2" t="s">
        <v>78</v>
      </c>
      <c r="T557" s="2" t="s">
        <v>520</v>
      </c>
      <c r="U557" s="3">
        <v>8</v>
      </c>
      <c r="V557" s="3">
        <v>8</v>
      </c>
      <c r="W557" s="4" t="s">
        <v>6819</v>
      </c>
      <c r="X557" s="4" t="s">
        <v>6819</v>
      </c>
      <c r="Y557" s="4" t="s">
        <v>4259</v>
      </c>
      <c r="Z557" s="4" t="s">
        <v>4259</v>
      </c>
      <c r="AA557" s="3">
        <v>160</v>
      </c>
      <c r="AB557" s="3">
        <v>116</v>
      </c>
      <c r="AC557" s="3">
        <v>380</v>
      </c>
      <c r="AD557" s="3">
        <v>1</v>
      </c>
      <c r="AE557" s="3">
        <v>1</v>
      </c>
      <c r="AF557" s="3">
        <v>2</v>
      </c>
      <c r="AG557" s="3">
        <v>11</v>
      </c>
      <c r="AH557" s="3">
        <v>1</v>
      </c>
      <c r="AI557" s="3">
        <v>5</v>
      </c>
      <c r="AJ557" s="3">
        <v>0</v>
      </c>
      <c r="AK557" s="3">
        <v>1</v>
      </c>
      <c r="AL557" s="3">
        <v>1</v>
      </c>
      <c r="AM557" s="3">
        <v>8</v>
      </c>
      <c r="AN557" s="3">
        <v>0</v>
      </c>
      <c r="AO557" s="3">
        <v>0</v>
      </c>
      <c r="AP557" s="3">
        <v>0</v>
      </c>
      <c r="AQ557" s="3">
        <v>0</v>
      </c>
      <c r="AR557" s="2" t="s">
        <v>5</v>
      </c>
      <c r="AS557" s="2" t="s">
        <v>16</v>
      </c>
      <c r="AT557" s="5" t="str">
        <f>HYPERLINK("http://catalog.hathitrust.org/Record/003970997","HathiTrust Record")</f>
        <v>HathiTrust Record</v>
      </c>
      <c r="AU557" s="5" t="str">
        <f>HYPERLINK("https://creighton-primo.hosted.exlibrisgroup.com/primo-explore/search?tab=default_tab&amp;search_scope=EVERYTHING&amp;vid=01CRU&amp;lang=en_US&amp;offset=0&amp;query=any,contains,991001572049702656","Catalog Record")</f>
        <v>Catalog Record</v>
      </c>
      <c r="AV557" s="5" t="str">
        <f>HYPERLINK("http://www.worldcat.org/oclc/38017012","WorldCat Record")</f>
        <v>WorldCat Record</v>
      </c>
      <c r="AW557" s="2" t="s">
        <v>6820</v>
      </c>
      <c r="AX557" s="2" t="s">
        <v>6821</v>
      </c>
      <c r="AY557" s="2" t="s">
        <v>6822</v>
      </c>
      <c r="AZ557" s="2" t="s">
        <v>6822</v>
      </c>
      <c r="BA557" s="2" t="s">
        <v>6823</v>
      </c>
      <c r="BB557" s="2" t="s">
        <v>21</v>
      </c>
      <c r="BD557" s="2" t="s">
        <v>6824</v>
      </c>
      <c r="BE557" s="2" t="s">
        <v>6825</v>
      </c>
      <c r="BF557" s="2" t="s">
        <v>6826</v>
      </c>
    </row>
    <row r="558" spans="1:58" ht="41.25" customHeight="1" x14ac:dyDescent="0.25">
      <c r="A558" s="8" t="s">
        <v>5</v>
      </c>
      <c r="B558" s="1" t="s">
        <v>0</v>
      </c>
      <c r="C558" s="1" t="s">
        <v>1</v>
      </c>
      <c r="D558" s="1" t="s">
        <v>6827</v>
      </c>
      <c r="E558" s="1" t="s">
        <v>6828</v>
      </c>
      <c r="F558" s="1" t="s">
        <v>6829</v>
      </c>
      <c r="H558" s="2" t="s">
        <v>5</v>
      </c>
      <c r="I558" s="2" t="s">
        <v>6</v>
      </c>
      <c r="J558" s="2" t="s">
        <v>5</v>
      </c>
      <c r="K558" s="2" t="s">
        <v>5</v>
      </c>
      <c r="L558" s="2" t="s">
        <v>7</v>
      </c>
      <c r="N558" s="1" t="s">
        <v>6830</v>
      </c>
      <c r="O558" s="2" t="s">
        <v>1378</v>
      </c>
      <c r="Q558" s="2" t="s">
        <v>11</v>
      </c>
      <c r="R558" s="2" t="s">
        <v>12</v>
      </c>
      <c r="S558" s="1" t="s">
        <v>6831</v>
      </c>
      <c r="T558" s="2" t="s">
        <v>520</v>
      </c>
      <c r="U558" s="3">
        <v>17</v>
      </c>
      <c r="V558" s="3">
        <v>17</v>
      </c>
      <c r="W558" s="4" t="s">
        <v>6766</v>
      </c>
      <c r="X558" s="4" t="s">
        <v>6766</v>
      </c>
      <c r="Y558" s="4" t="s">
        <v>6832</v>
      </c>
      <c r="Z558" s="4" t="s">
        <v>6832</v>
      </c>
      <c r="AA558" s="3">
        <v>129</v>
      </c>
      <c r="AB558" s="3">
        <v>89</v>
      </c>
      <c r="AC558" s="3">
        <v>118</v>
      </c>
      <c r="AD558" s="3">
        <v>2</v>
      </c>
      <c r="AE558" s="3">
        <v>2</v>
      </c>
      <c r="AF558" s="3">
        <v>7</v>
      </c>
      <c r="AG558" s="3">
        <v>8</v>
      </c>
      <c r="AH558" s="3">
        <v>2</v>
      </c>
      <c r="AI558" s="3">
        <v>2</v>
      </c>
      <c r="AJ558" s="3">
        <v>2</v>
      </c>
      <c r="AK558" s="3">
        <v>2</v>
      </c>
      <c r="AL558" s="3">
        <v>3</v>
      </c>
      <c r="AM558" s="3">
        <v>4</v>
      </c>
      <c r="AN558" s="3">
        <v>1</v>
      </c>
      <c r="AO558" s="3">
        <v>1</v>
      </c>
      <c r="AP558" s="3">
        <v>0</v>
      </c>
      <c r="AQ558" s="3">
        <v>0</v>
      </c>
      <c r="AR558" s="2" t="s">
        <v>5</v>
      </c>
      <c r="AS558" s="2" t="s">
        <v>16</v>
      </c>
      <c r="AT558" s="5" t="str">
        <f>HYPERLINK("http://catalog.hathitrust.org/Record/003968768","HathiTrust Record")</f>
        <v>HathiTrust Record</v>
      </c>
      <c r="AU558" s="5" t="str">
        <f>HYPERLINK("https://creighton-primo.hosted.exlibrisgroup.com/primo-explore/search?tab=default_tab&amp;search_scope=EVERYTHING&amp;vid=01CRU&amp;lang=en_US&amp;offset=0&amp;query=any,contains,991001306129702656","Catalog Record")</f>
        <v>Catalog Record</v>
      </c>
      <c r="AV558" s="5" t="str">
        <f>HYPERLINK("http://www.worldcat.org/oclc/36682360","WorldCat Record")</f>
        <v>WorldCat Record</v>
      </c>
      <c r="AW558" s="2" t="s">
        <v>6833</v>
      </c>
      <c r="AX558" s="2" t="s">
        <v>6834</v>
      </c>
      <c r="AY558" s="2" t="s">
        <v>6835</v>
      </c>
      <c r="AZ558" s="2" t="s">
        <v>6835</v>
      </c>
      <c r="BA558" s="2" t="s">
        <v>6836</v>
      </c>
      <c r="BB558" s="2" t="s">
        <v>21</v>
      </c>
      <c r="BD558" s="2" t="s">
        <v>6837</v>
      </c>
      <c r="BE558" s="2" t="s">
        <v>6838</v>
      </c>
      <c r="BF558" s="2" t="s">
        <v>6839</v>
      </c>
    </row>
    <row r="559" spans="1:58" ht="41.25" customHeight="1" x14ac:dyDescent="0.25">
      <c r="A559" s="8" t="s">
        <v>5</v>
      </c>
      <c r="B559" s="1" t="s">
        <v>0</v>
      </c>
      <c r="C559" s="1" t="s">
        <v>1</v>
      </c>
      <c r="D559" s="1" t="s">
        <v>6840</v>
      </c>
      <c r="E559" s="1" t="s">
        <v>6841</v>
      </c>
      <c r="F559" s="1" t="s">
        <v>6842</v>
      </c>
      <c r="H559" s="2" t="s">
        <v>5</v>
      </c>
      <c r="I559" s="2" t="s">
        <v>6</v>
      </c>
      <c r="J559" s="2" t="s">
        <v>5</v>
      </c>
      <c r="K559" s="2" t="s">
        <v>5</v>
      </c>
      <c r="L559" s="2" t="s">
        <v>7</v>
      </c>
      <c r="N559" s="1" t="s">
        <v>1808</v>
      </c>
      <c r="O559" s="2" t="s">
        <v>939</v>
      </c>
      <c r="Q559" s="2" t="s">
        <v>11</v>
      </c>
      <c r="R559" s="2" t="s">
        <v>12</v>
      </c>
      <c r="S559" s="1" t="s">
        <v>6843</v>
      </c>
      <c r="T559" s="2" t="s">
        <v>520</v>
      </c>
      <c r="U559" s="3">
        <v>7</v>
      </c>
      <c r="V559" s="3">
        <v>7</v>
      </c>
      <c r="W559" s="4" t="s">
        <v>6844</v>
      </c>
      <c r="X559" s="4" t="s">
        <v>6844</v>
      </c>
      <c r="Y559" s="4" t="s">
        <v>6845</v>
      </c>
      <c r="Z559" s="4" t="s">
        <v>6845</v>
      </c>
      <c r="AA559" s="3">
        <v>167</v>
      </c>
      <c r="AB559" s="3">
        <v>134</v>
      </c>
      <c r="AC559" s="3">
        <v>136</v>
      </c>
      <c r="AD559" s="3">
        <v>2</v>
      </c>
      <c r="AE559" s="3">
        <v>2</v>
      </c>
      <c r="AF559" s="3">
        <v>7</v>
      </c>
      <c r="AG559" s="3">
        <v>7</v>
      </c>
      <c r="AH559" s="3">
        <v>1</v>
      </c>
      <c r="AI559" s="3">
        <v>1</v>
      </c>
      <c r="AJ559" s="3">
        <v>2</v>
      </c>
      <c r="AK559" s="3">
        <v>2</v>
      </c>
      <c r="AL559" s="3">
        <v>4</v>
      </c>
      <c r="AM559" s="3">
        <v>4</v>
      </c>
      <c r="AN559" s="3">
        <v>0</v>
      </c>
      <c r="AO559" s="3">
        <v>0</v>
      </c>
      <c r="AP559" s="3">
        <v>0</v>
      </c>
      <c r="AQ559" s="3">
        <v>0</v>
      </c>
      <c r="AR559" s="2" t="s">
        <v>5</v>
      </c>
      <c r="AS559" s="2" t="s">
        <v>16</v>
      </c>
      <c r="AT559" s="5" t="str">
        <f>HYPERLINK("http://catalog.hathitrust.org/Record/002506715","HathiTrust Record")</f>
        <v>HathiTrust Record</v>
      </c>
      <c r="AU559" s="5" t="str">
        <f>HYPERLINK("https://creighton-primo.hosted.exlibrisgroup.com/primo-explore/search?tab=default_tab&amp;search_scope=EVERYTHING&amp;vid=01CRU&amp;lang=en_US&amp;offset=0&amp;query=any,contains,991001414979702656","Catalog Record")</f>
        <v>Catalog Record</v>
      </c>
      <c r="AV559" s="5" t="str">
        <f>HYPERLINK("http://www.worldcat.org/oclc/18001524","WorldCat Record")</f>
        <v>WorldCat Record</v>
      </c>
      <c r="AW559" s="2" t="s">
        <v>6846</v>
      </c>
      <c r="AX559" s="2" t="s">
        <v>6847</v>
      </c>
      <c r="AY559" s="2" t="s">
        <v>6848</v>
      </c>
      <c r="AZ559" s="2" t="s">
        <v>6848</v>
      </c>
      <c r="BA559" s="2" t="s">
        <v>6849</v>
      </c>
      <c r="BB559" s="2" t="s">
        <v>21</v>
      </c>
      <c r="BD559" s="2" t="s">
        <v>6850</v>
      </c>
      <c r="BE559" s="2" t="s">
        <v>6851</v>
      </c>
      <c r="BF559" s="2" t="s">
        <v>6852</v>
      </c>
    </row>
    <row r="560" spans="1:58" ht="41.25" customHeight="1" x14ac:dyDescent="0.25">
      <c r="A560" s="8" t="s">
        <v>5</v>
      </c>
      <c r="B560" s="1" t="s">
        <v>0</v>
      </c>
      <c r="C560" s="1" t="s">
        <v>1</v>
      </c>
      <c r="D560" s="1" t="s">
        <v>6853</v>
      </c>
      <c r="E560" s="1" t="s">
        <v>6854</v>
      </c>
      <c r="F560" s="1" t="s">
        <v>6855</v>
      </c>
      <c r="H560" s="2" t="s">
        <v>5</v>
      </c>
      <c r="I560" s="2" t="s">
        <v>6</v>
      </c>
      <c r="J560" s="2" t="s">
        <v>5</v>
      </c>
      <c r="K560" s="2" t="s">
        <v>5</v>
      </c>
      <c r="L560" s="2" t="s">
        <v>7</v>
      </c>
      <c r="M560" s="1" t="s">
        <v>6856</v>
      </c>
      <c r="N560" s="1" t="s">
        <v>2334</v>
      </c>
      <c r="O560" s="2" t="s">
        <v>1339</v>
      </c>
      <c r="Q560" s="2" t="s">
        <v>11</v>
      </c>
      <c r="R560" s="2" t="s">
        <v>12</v>
      </c>
      <c r="S560" s="1" t="s">
        <v>6857</v>
      </c>
      <c r="T560" s="2" t="s">
        <v>520</v>
      </c>
      <c r="U560" s="3">
        <v>6</v>
      </c>
      <c r="V560" s="3">
        <v>6</v>
      </c>
      <c r="W560" s="4" t="s">
        <v>6844</v>
      </c>
      <c r="X560" s="4" t="s">
        <v>6844</v>
      </c>
      <c r="Y560" s="4" t="s">
        <v>522</v>
      </c>
      <c r="Z560" s="4" t="s">
        <v>522</v>
      </c>
      <c r="AA560" s="3">
        <v>173</v>
      </c>
      <c r="AB560" s="3">
        <v>144</v>
      </c>
      <c r="AC560" s="3">
        <v>144</v>
      </c>
      <c r="AD560" s="3">
        <v>2</v>
      </c>
      <c r="AE560" s="3">
        <v>2</v>
      </c>
      <c r="AF560" s="3">
        <v>6</v>
      </c>
      <c r="AG560" s="3">
        <v>6</v>
      </c>
      <c r="AH560" s="3">
        <v>1</v>
      </c>
      <c r="AI560" s="3">
        <v>1</v>
      </c>
      <c r="AJ560" s="3">
        <v>1</v>
      </c>
      <c r="AK560" s="3">
        <v>1</v>
      </c>
      <c r="AL560" s="3">
        <v>4</v>
      </c>
      <c r="AM560" s="3">
        <v>4</v>
      </c>
      <c r="AN560" s="3">
        <v>0</v>
      </c>
      <c r="AO560" s="3">
        <v>0</v>
      </c>
      <c r="AP560" s="3">
        <v>0</v>
      </c>
      <c r="AQ560" s="3">
        <v>0</v>
      </c>
      <c r="AR560" s="2" t="s">
        <v>5</v>
      </c>
      <c r="AS560" s="2" t="s">
        <v>5</v>
      </c>
      <c r="AU560" s="5" t="str">
        <f>HYPERLINK("https://creighton-primo.hosted.exlibrisgroup.com/primo-explore/search?tab=default_tab&amp;search_scope=EVERYTHING&amp;vid=01CRU&amp;lang=en_US&amp;offset=0&amp;query=any,contains,991001202239702656","Catalog Record")</f>
        <v>Catalog Record</v>
      </c>
      <c r="AV560" s="5" t="str">
        <f>HYPERLINK("http://www.worldcat.org/oclc/15914144","WorldCat Record")</f>
        <v>WorldCat Record</v>
      </c>
      <c r="AW560" s="2" t="s">
        <v>6858</v>
      </c>
      <c r="AX560" s="2" t="s">
        <v>6859</v>
      </c>
      <c r="AY560" s="2" t="s">
        <v>6860</v>
      </c>
      <c r="AZ560" s="2" t="s">
        <v>6860</v>
      </c>
      <c r="BA560" s="2" t="s">
        <v>6861</v>
      </c>
      <c r="BB560" s="2" t="s">
        <v>21</v>
      </c>
      <c r="BD560" s="2" t="s">
        <v>6862</v>
      </c>
      <c r="BE560" s="2" t="s">
        <v>6863</v>
      </c>
      <c r="BF560" s="2" t="s">
        <v>6864</v>
      </c>
    </row>
    <row r="561" spans="1:58" ht="41.25" customHeight="1" x14ac:dyDescent="0.25">
      <c r="A561" s="8" t="s">
        <v>5</v>
      </c>
      <c r="B561" s="1" t="s">
        <v>0</v>
      </c>
      <c r="C561" s="1" t="s">
        <v>1</v>
      </c>
      <c r="D561" s="1" t="s">
        <v>6865</v>
      </c>
      <c r="E561" s="1" t="s">
        <v>6866</v>
      </c>
      <c r="F561" s="1" t="s">
        <v>6867</v>
      </c>
      <c r="H561" s="2" t="s">
        <v>5</v>
      </c>
      <c r="I561" s="2" t="s">
        <v>6</v>
      </c>
      <c r="J561" s="2" t="s">
        <v>5</v>
      </c>
      <c r="K561" s="2" t="s">
        <v>5</v>
      </c>
      <c r="L561" s="2" t="s">
        <v>7</v>
      </c>
      <c r="M561" s="1" t="s">
        <v>6868</v>
      </c>
      <c r="N561" s="1" t="s">
        <v>6869</v>
      </c>
      <c r="O561" s="2" t="s">
        <v>546</v>
      </c>
      <c r="Q561" s="2" t="s">
        <v>11</v>
      </c>
      <c r="R561" s="2" t="s">
        <v>1325</v>
      </c>
      <c r="S561" s="1" t="s">
        <v>6870</v>
      </c>
      <c r="T561" s="2" t="s">
        <v>520</v>
      </c>
      <c r="U561" s="3">
        <v>0</v>
      </c>
      <c r="V561" s="3">
        <v>0</v>
      </c>
      <c r="W561" s="4" t="s">
        <v>3968</v>
      </c>
      <c r="X561" s="4" t="s">
        <v>3968</v>
      </c>
      <c r="Y561" s="4" t="s">
        <v>604</v>
      </c>
      <c r="Z561" s="4" t="s">
        <v>604</v>
      </c>
      <c r="AA561" s="3">
        <v>112</v>
      </c>
      <c r="AB561" s="3">
        <v>104</v>
      </c>
      <c r="AC561" s="3">
        <v>115</v>
      </c>
      <c r="AD561" s="3">
        <v>2</v>
      </c>
      <c r="AE561" s="3">
        <v>2</v>
      </c>
      <c r="AF561" s="3">
        <v>7</v>
      </c>
      <c r="AG561" s="3">
        <v>7</v>
      </c>
      <c r="AH561" s="3">
        <v>1</v>
      </c>
      <c r="AI561" s="3">
        <v>1</v>
      </c>
      <c r="AJ561" s="3">
        <v>4</v>
      </c>
      <c r="AK561" s="3">
        <v>4</v>
      </c>
      <c r="AL561" s="3">
        <v>3</v>
      </c>
      <c r="AM561" s="3">
        <v>3</v>
      </c>
      <c r="AN561" s="3">
        <v>0</v>
      </c>
      <c r="AO561" s="3">
        <v>0</v>
      </c>
      <c r="AP561" s="3">
        <v>0</v>
      </c>
      <c r="AQ561" s="3">
        <v>0</v>
      </c>
      <c r="AR561" s="2" t="s">
        <v>5</v>
      </c>
      <c r="AS561" s="2" t="s">
        <v>16</v>
      </c>
      <c r="AT561" s="5" t="str">
        <f>HYPERLINK("http://catalog.hathitrust.org/Record/002954584","HathiTrust Record")</f>
        <v>HathiTrust Record</v>
      </c>
      <c r="AU561" s="5" t="str">
        <f>HYPERLINK("https://creighton-primo.hosted.exlibrisgroup.com/primo-explore/search?tab=default_tab&amp;search_scope=EVERYTHING&amp;vid=01CRU&amp;lang=en_US&amp;offset=0&amp;query=any,contains,991000250479702656","Catalog Record")</f>
        <v>Catalog Record</v>
      </c>
      <c r="AV561" s="5" t="str">
        <f>HYPERLINK("http://www.worldcat.org/oclc/30988775","WorldCat Record")</f>
        <v>WorldCat Record</v>
      </c>
      <c r="AW561" s="2" t="s">
        <v>6871</v>
      </c>
      <c r="AX561" s="2" t="s">
        <v>6872</v>
      </c>
      <c r="AY561" s="2" t="s">
        <v>6873</v>
      </c>
      <c r="AZ561" s="2" t="s">
        <v>6873</v>
      </c>
      <c r="BA561" s="2" t="s">
        <v>6874</v>
      </c>
      <c r="BB561" s="2" t="s">
        <v>21</v>
      </c>
      <c r="BD561" s="2" t="s">
        <v>6875</v>
      </c>
      <c r="BE561" s="2" t="s">
        <v>6876</v>
      </c>
      <c r="BF561" s="2" t="s">
        <v>6877</v>
      </c>
    </row>
    <row r="562" spans="1:58" ht="41.25" customHeight="1" x14ac:dyDescent="0.25">
      <c r="A562" s="8" t="s">
        <v>5</v>
      </c>
      <c r="B562" s="1" t="s">
        <v>0</v>
      </c>
      <c r="C562" s="1" t="s">
        <v>1</v>
      </c>
      <c r="D562" s="1" t="s">
        <v>6878</v>
      </c>
      <c r="E562" s="1" t="s">
        <v>6879</v>
      </c>
      <c r="F562" s="1" t="s">
        <v>6880</v>
      </c>
      <c r="H562" s="2" t="s">
        <v>5</v>
      </c>
      <c r="I562" s="2" t="s">
        <v>6</v>
      </c>
      <c r="J562" s="2" t="s">
        <v>5</v>
      </c>
      <c r="K562" s="2" t="s">
        <v>5</v>
      </c>
      <c r="L562" s="2" t="s">
        <v>7</v>
      </c>
      <c r="N562" s="1" t="s">
        <v>6881</v>
      </c>
      <c r="O562" s="2" t="s">
        <v>601</v>
      </c>
      <c r="Q562" s="2" t="s">
        <v>11</v>
      </c>
      <c r="R562" s="2" t="s">
        <v>1325</v>
      </c>
      <c r="S562" s="1" t="s">
        <v>6882</v>
      </c>
      <c r="T562" s="2" t="s">
        <v>520</v>
      </c>
      <c r="U562" s="3">
        <v>0</v>
      </c>
      <c r="V562" s="3">
        <v>0</v>
      </c>
      <c r="W562" s="4" t="s">
        <v>3968</v>
      </c>
      <c r="X562" s="4" t="s">
        <v>3968</v>
      </c>
      <c r="Y562" s="4" t="s">
        <v>604</v>
      </c>
      <c r="Z562" s="4" t="s">
        <v>604</v>
      </c>
      <c r="AA562" s="3">
        <v>185</v>
      </c>
      <c r="AB562" s="3">
        <v>177</v>
      </c>
      <c r="AC562" s="3">
        <v>179</v>
      </c>
      <c r="AD562" s="3">
        <v>2</v>
      </c>
      <c r="AE562" s="3">
        <v>2</v>
      </c>
      <c r="AF562" s="3">
        <v>8</v>
      </c>
      <c r="AG562" s="3">
        <v>8</v>
      </c>
      <c r="AH562" s="3">
        <v>3</v>
      </c>
      <c r="AI562" s="3">
        <v>3</v>
      </c>
      <c r="AJ562" s="3">
        <v>2</v>
      </c>
      <c r="AK562" s="3">
        <v>2</v>
      </c>
      <c r="AL562" s="3">
        <v>4</v>
      </c>
      <c r="AM562" s="3">
        <v>4</v>
      </c>
      <c r="AN562" s="3">
        <v>0</v>
      </c>
      <c r="AO562" s="3">
        <v>0</v>
      </c>
      <c r="AP562" s="3">
        <v>0</v>
      </c>
      <c r="AQ562" s="3">
        <v>0</v>
      </c>
      <c r="AR562" s="2" t="s">
        <v>5</v>
      </c>
      <c r="AS562" s="2" t="s">
        <v>16</v>
      </c>
      <c r="AT562" s="5" t="str">
        <f>HYPERLINK("http://catalog.hathitrust.org/Record/002984289","HathiTrust Record")</f>
        <v>HathiTrust Record</v>
      </c>
      <c r="AU562" s="5" t="str">
        <f>HYPERLINK("https://creighton-primo.hosted.exlibrisgroup.com/primo-explore/search?tab=default_tab&amp;search_scope=EVERYTHING&amp;vid=01CRU&amp;lang=en_US&amp;offset=0&amp;query=any,contains,991000254069702656","Catalog Record")</f>
        <v>Catalog Record</v>
      </c>
      <c r="AV562" s="5" t="str">
        <f>HYPERLINK("http://www.worldcat.org/oclc/32372101","WorldCat Record")</f>
        <v>WorldCat Record</v>
      </c>
      <c r="AW562" s="2" t="s">
        <v>6883</v>
      </c>
      <c r="AX562" s="2" t="s">
        <v>6884</v>
      </c>
      <c r="AY562" s="2" t="s">
        <v>6885</v>
      </c>
      <c r="AZ562" s="2" t="s">
        <v>6885</v>
      </c>
      <c r="BA562" s="2" t="s">
        <v>6886</v>
      </c>
      <c r="BB562" s="2" t="s">
        <v>21</v>
      </c>
      <c r="BE562" s="2" t="s">
        <v>6887</v>
      </c>
      <c r="BF562" s="2" t="s">
        <v>6888</v>
      </c>
    </row>
    <row r="563" spans="1:58" ht="41.25" customHeight="1" x14ac:dyDescent="0.25">
      <c r="A563" s="8" t="s">
        <v>5</v>
      </c>
      <c r="B563" s="1" t="s">
        <v>0</v>
      </c>
      <c r="C563" s="1" t="s">
        <v>1</v>
      </c>
      <c r="D563" s="1" t="s">
        <v>6889</v>
      </c>
      <c r="E563" s="1" t="s">
        <v>6890</v>
      </c>
      <c r="F563" s="1" t="s">
        <v>6891</v>
      </c>
      <c r="H563" s="2" t="s">
        <v>5</v>
      </c>
      <c r="I563" s="2" t="s">
        <v>6</v>
      </c>
      <c r="J563" s="2" t="s">
        <v>5</v>
      </c>
      <c r="K563" s="2" t="s">
        <v>16</v>
      </c>
      <c r="L563" s="2" t="s">
        <v>7</v>
      </c>
      <c r="M563" s="1" t="s">
        <v>6892</v>
      </c>
      <c r="N563" s="1" t="s">
        <v>6893</v>
      </c>
      <c r="O563" s="2" t="s">
        <v>1046</v>
      </c>
      <c r="P563" s="1" t="s">
        <v>211</v>
      </c>
      <c r="Q563" s="2" t="s">
        <v>11</v>
      </c>
      <c r="R563" s="2" t="s">
        <v>78</v>
      </c>
      <c r="T563" s="2" t="s">
        <v>520</v>
      </c>
      <c r="U563" s="3">
        <v>3</v>
      </c>
      <c r="V563" s="3">
        <v>3</v>
      </c>
      <c r="W563" s="4" t="s">
        <v>6894</v>
      </c>
      <c r="X563" s="4" t="s">
        <v>6894</v>
      </c>
      <c r="Y563" s="4" t="s">
        <v>6895</v>
      </c>
      <c r="Z563" s="4" t="s">
        <v>6895</v>
      </c>
      <c r="AA563" s="3">
        <v>259</v>
      </c>
      <c r="AB563" s="3">
        <v>175</v>
      </c>
      <c r="AC563" s="3">
        <v>565</v>
      </c>
      <c r="AD563" s="3">
        <v>1</v>
      </c>
      <c r="AE563" s="3">
        <v>3</v>
      </c>
      <c r="AF563" s="3">
        <v>3</v>
      </c>
      <c r="AG563" s="3">
        <v>17</v>
      </c>
      <c r="AH563" s="3">
        <v>1</v>
      </c>
      <c r="AI563" s="3">
        <v>6</v>
      </c>
      <c r="AJ563" s="3">
        <v>0</v>
      </c>
      <c r="AK563" s="3">
        <v>2</v>
      </c>
      <c r="AL563" s="3">
        <v>2</v>
      </c>
      <c r="AM563" s="3">
        <v>10</v>
      </c>
      <c r="AN563" s="3">
        <v>0</v>
      </c>
      <c r="AO563" s="3">
        <v>2</v>
      </c>
      <c r="AP563" s="3">
        <v>0</v>
      </c>
      <c r="AQ563" s="3">
        <v>0</v>
      </c>
      <c r="AR563" s="2" t="s">
        <v>5</v>
      </c>
      <c r="AS563" s="2" t="s">
        <v>5</v>
      </c>
      <c r="AU563" s="5" t="str">
        <f>HYPERLINK("https://creighton-primo.hosted.exlibrisgroup.com/primo-explore/search?tab=default_tab&amp;search_scope=EVERYTHING&amp;vid=01CRU&amp;lang=en_US&amp;offset=0&amp;query=any,contains,991001722149702656","Catalog Record")</f>
        <v>Catalog Record</v>
      </c>
      <c r="AV563" s="5" t="str">
        <f>HYPERLINK("http://www.worldcat.org/oclc/51009591","WorldCat Record")</f>
        <v>WorldCat Record</v>
      </c>
      <c r="AW563" s="2" t="s">
        <v>6896</v>
      </c>
      <c r="AX563" s="2" t="s">
        <v>6897</v>
      </c>
      <c r="AY563" s="2" t="s">
        <v>6898</v>
      </c>
      <c r="AZ563" s="2" t="s">
        <v>6898</v>
      </c>
      <c r="BA563" s="2" t="s">
        <v>6899</v>
      </c>
      <c r="BB563" s="2" t="s">
        <v>21</v>
      </c>
      <c r="BD563" s="2" t="s">
        <v>6900</v>
      </c>
      <c r="BE563" s="2" t="s">
        <v>6901</v>
      </c>
      <c r="BF563" s="2" t="s">
        <v>6902</v>
      </c>
    </row>
    <row r="564" spans="1:58" ht="41.25" customHeight="1" x14ac:dyDescent="0.25">
      <c r="A564" s="8" t="s">
        <v>5</v>
      </c>
      <c r="B564" s="1" t="s">
        <v>0</v>
      </c>
      <c r="C564" s="1" t="s">
        <v>1</v>
      </c>
      <c r="D564" s="1" t="s">
        <v>6903</v>
      </c>
      <c r="E564" s="1" t="s">
        <v>6904</v>
      </c>
      <c r="F564" s="1" t="s">
        <v>6905</v>
      </c>
      <c r="H564" s="2" t="s">
        <v>5</v>
      </c>
      <c r="I564" s="2" t="s">
        <v>6</v>
      </c>
      <c r="J564" s="2" t="s">
        <v>5</v>
      </c>
      <c r="K564" s="2" t="s">
        <v>5</v>
      </c>
      <c r="L564" s="2" t="s">
        <v>7</v>
      </c>
      <c r="M564" s="1" t="s">
        <v>6906</v>
      </c>
      <c r="N564" s="1" t="s">
        <v>6907</v>
      </c>
      <c r="O564" s="2" t="s">
        <v>1887</v>
      </c>
      <c r="Q564" s="2" t="s">
        <v>11</v>
      </c>
      <c r="R564" s="2" t="s">
        <v>1325</v>
      </c>
      <c r="S564" s="1" t="s">
        <v>6908</v>
      </c>
      <c r="T564" s="2" t="s">
        <v>520</v>
      </c>
      <c r="U564" s="3">
        <v>0</v>
      </c>
      <c r="V564" s="3">
        <v>0</v>
      </c>
      <c r="W564" s="4" t="s">
        <v>3968</v>
      </c>
      <c r="X564" s="4" t="s">
        <v>3968</v>
      </c>
      <c r="Y564" s="4" t="s">
        <v>604</v>
      </c>
      <c r="Z564" s="4" t="s">
        <v>604</v>
      </c>
      <c r="AA564" s="3">
        <v>151</v>
      </c>
      <c r="AB564" s="3">
        <v>137</v>
      </c>
      <c r="AC564" s="3">
        <v>141</v>
      </c>
      <c r="AD564" s="3">
        <v>2</v>
      </c>
      <c r="AE564" s="3">
        <v>2</v>
      </c>
      <c r="AF564" s="3">
        <v>7</v>
      </c>
      <c r="AG564" s="3">
        <v>7</v>
      </c>
      <c r="AH564" s="3">
        <v>2</v>
      </c>
      <c r="AI564" s="3">
        <v>2</v>
      </c>
      <c r="AJ564" s="3">
        <v>2</v>
      </c>
      <c r="AK564" s="3">
        <v>2</v>
      </c>
      <c r="AL564" s="3">
        <v>4</v>
      </c>
      <c r="AM564" s="3">
        <v>4</v>
      </c>
      <c r="AN564" s="3">
        <v>0</v>
      </c>
      <c r="AO564" s="3">
        <v>0</v>
      </c>
      <c r="AP564" s="3">
        <v>0</v>
      </c>
      <c r="AQ564" s="3">
        <v>0</v>
      </c>
      <c r="AR564" s="2" t="s">
        <v>5</v>
      </c>
      <c r="AS564" s="2" t="s">
        <v>16</v>
      </c>
      <c r="AT564" s="5" t="str">
        <f>HYPERLINK("http://catalog.hathitrust.org/Record/002905322","HathiTrust Record")</f>
        <v>HathiTrust Record</v>
      </c>
      <c r="AU564" s="5" t="str">
        <f>HYPERLINK("https://creighton-primo.hosted.exlibrisgroup.com/primo-explore/search?tab=default_tab&amp;search_scope=EVERYTHING&amp;vid=01CRU&amp;lang=en_US&amp;offset=0&amp;query=any,contains,991000243879702656","Catalog Record")</f>
        <v>Catalog Record</v>
      </c>
      <c r="AV564" s="5" t="str">
        <f>HYPERLINK("http://www.worldcat.org/oclc/28951395","WorldCat Record")</f>
        <v>WorldCat Record</v>
      </c>
      <c r="AW564" s="2" t="s">
        <v>6909</v>
      </c>
      <c r="AX564" s="2" t="s">
        <v>6910</v>
      </c>
      <c r="AY564" s="2" t="s">
        <v>6911</v>
      </c>
      <c r="AZ564" s="2" t="s">
        <v>6911</v>
      </c>
      <c r="BA564" s="2" t="s">
        <v>6912</v>
      </c>
      <c r="BB564" s="2" t="s">
        <v>21</v>
      </c>
      <c r="BD564" s="2" t="s">
        <v>6913</v>
      </c>
      <c r="BE564" s="2" t="s">
        <v>6914</v>
      </c>
      <c r="BF564" s="2" t="s">
        <v>6915</v>
      </c>
    </row>
    <row r="565" spans="1:58" ht="41.25" customHeight="1" x14ac:dyDescent="0.25">
      <c r="A565" s="8" t="s">
        <v>5</v>
      </c>
      <c r="B565" s="1" t="s">
        <v>0</v>
      </c>
      <c r="C565" s="1" t="s">
        <v>1</v>
      </c>
      <c r="D565" s="1" t="s">
        <v>6916</v>
      </c>
      <c r="E565" s="1" t="s">
        <v>6917</v>
      </c>
      <c r="F565" s="1" t="s">
        <v>6918</v>
      </c>
      <c r="H565" s="2" t="s">
        <v>5</v>
      </c>
      <c r="I565" s="2" t="s">
        <v>6</v>
      </c>
      <c r="J565" s="2" t="s">
        <v>5</v>
      </c>
      <c r="K565" s="2" t="s">
        <v>5</v>
      </c>
      <c r="L565" s="2" t="s">
        <v>7</v>
      </c>
      <c r="N565" s="1" t="s">
        <v>6919</v>
      </c>
      <c r="O565" s="2" t="s">
        <v>1863</v>
      </c>
      <c r="Q565" s="2" t="s">
        <v>11</v>
      </c>
      <c r="R565" s="2" t="s">
        <v>1325</v>
      </c>
      <c r="S565" s="1" t="s">
        <v>6920</v>
      </c>
      <c r="T565" s="2" t="s">
        <v>520</v>
      </c>
      <c r="U565" s="3">
        <v>1</v>
      </c>
      <c r="V565" s="3">
        <v>1</v>
      </c>
      <c r="W565" s="4" t="s">
        <v>6921</v>
      </c>
      <c r="X565" s="4" t="s">
        <v>6921</v>
      </c>
      <c r="Y565" s="4" t="s">
        <v>6922</v>
      </c>
      <c r="Z565" s="4" t="s">
        <v>6922</v>
      </c>
      <c r="AA565" s="3">
        <v>238</v>
      </c>
      <c r="AB565" s="3">
        <v>224</v>
      </c>
      <c r="AC565" s="3">
        <v>231</v>
      </c>
      <c r="AD565" s="3">
        <v>2</v>
      </c>
      <c r="AE565" s="3">
        <v>2</v>
      </c>
      <c r="AF565" s="3">
        <v>7</v>
      </c>
      <c r="AG565" s="3">
        <v>7</v>
      </c>
      <c r="AH565" s="3">
        <v>3</v>
      </c>
      <c r="AI565" s="3">
        <v>3</v>
      </c>
      <c r="AJ565" s="3">
        <v>1</v>
      </c>
      <c r="AK565" s="3">
        <v>1</v>
      </c>
      <c r="AL565" s="3">
        <v>4</v>
      </c>
      <c r="AM565" s="3">
        <v>4</v>
      </c>
      <c r="AN565" s="3">
        <v>0</v>
      </c>
      <c r="AO565" s="3">
        <v>0</v>
      </c>
      <c r="AP565" s="3">
        <v>0</v>
      </c>
      <c r="AQ565" s="3">
        <v>0</v>
      </c>
      <c r="AR565" s="2" t="s">
        <v>5</v>
      </c>
      <c r="AS565" s="2" t="s">
        <v>16</v>
      </c>
      <c r="AT565" s="5" t="str">
        <f>HYPERLINK("http://catalog.hathitrust.org/Record/003595460","HathiTrust Record")</f>
        <v>HathiTrust Record</v>
      </c>
      <c r="AU565" s="5" t="str">
        <f>HYPERLINK("https://creighton-primo.hosted.exlibrisgroup.com/primo-explore/search?tab=default_tab&amp;search_scope=EVERYTHING&amp;vid=01CRU&amp;lang=en_US&amp;offset=0&amp;query=any,contains,991000296899702656","Catalog Record")</f>
        <v>Catalog Record</v>
      </c>
      <c r="AV565" s="5" t="str">
        <f>HYPERLINK("http://www.worldcat.org/oclc/47839007","WorldCat Record")</f>
        <v>WorldCat Record</v>
      </c>
      <c r="AW565" s="2" t="s">
        <v>6923</v>
      </c>
      <c r="AX565" s="2" t="s">
        <v>6924</v>
      </c>
      <c r="AY565" s="2" t="s">
        <v>6925</v>
      </c>
      <c r="AZ565" s="2" t="s">
        <v>6925</v>
      </c>
      <c r="BA565" s="2" t="s">
        <v>6926</v>
      </c>
      <c r="BB565" s="2" t="s">
        <v>21</v>
      </c>
      <c r="BD565" s="2" t="s">
        <v>6927</v>
      </c>
      <c r="BE565" s="2" t="s">
        <v>6928</v>
      </c>
      <c r="BF565" s="2" t="s">
        <v>6929</v>
      </c>
    </row>
    <row r="566" spans="1:58" ht="41.25" customHeight="1" x14ac:dyDescent="0.25">
      <c r="A566" s="8" t="s">
        <v>5</v>
      </c>
      <c r="B566" s="1" t="s">
        <v>0</v>
      </c>
      <c r="C566" s="1" t="s">
        <v>1</v>
      </c>
      <c r="D566" s="1" t="s">
        <v>6930</v>
      </c>
      <c r="E566" s="1" t="s">
        <v>6931</v>
      </c>
      <c r="F566" s="1" t="s">
        <v>6932</v>
      </c>
      <c r="H566" s="2" t="s">
        <v>5</v>
      </c>
      <c r="I566" s="2" t="s">
        <v>6</v>
      </c>
      <c r="J566" s="2" t="s">
        <v>5</v>
      </c>
      <c r="K566" s="2" t="s">
        <v>5</v>
      </c>
      <c r="L566" s="2" t="s">
        <v>7</v>
      </c>
      <c r="N566" s="1" t="s">
        <v>6933</v>
      </c>
      <c r="O566" s="2" t="s">
        <v>285</v>
      </c>
      <c r="Q566" s="2" t="s">
        <v>11</v>
      </c>
      <c r="R566" s="2" t="s">
        <v>426</v>
      </c>
      <c r="S566" s="1" t="s">
        <v>6934</v>
      </c>
      <c r="T566" s="2" t="s">
        <v>520</v>
      </c>
      <c r="U566" s="3">
        <v>0</v>
      </c>
      <c r="V566" s="3">
        <v>0</v>
      </c>
      <c r="W566" s="4" t="s">
        <v>3968</v>
      </c>
      <c r="X566" s="4" t="s">
        <v>3968</v>
      </c>
      <c r="Y566" s="4" t="s">
        <v>604</v>
      </c>
      <c r="Z566" s="4" t="s">
        <v>604</v>
      </c>
      <c r="AA566" s="3">
        <v>36</v>
      </c>
      <c r="AB566" s="3">
        <v>35</v>
      </c>
      <c r="AC566" s="3">
        <v>38</v>
      </c>
      <c r="AD566" s="3">
        <v>1</v>
      </c>
      <c r="AE566" s="3">
        <v>1</v>
      </c>
      <c r="AF566" s="3">
        <v>1</v>
      </c>
      <c r="AG566" s="3">
        <v>1</v>
      </c>
      <c r="AH566" s="3">
        <v>0</v>
      </c>
      <c r="AI566" s="3">
        <v>0</v>
      </c>
      <c r="AJ566" s="3">
        <v>0</v>
      </c>
      <c r="AK566" s="3">
        <v>0</v>
      </c>
      <c r="AL566" s="3">
        <v>1</v>
      </c>
      <c r="AM566" s="3">
        <v>1</v>
      </c>
      <c r="AN566" s="3">
        <v>0</v>
      </c>
      <c r="AO566" s="3">
        <v>0</v>
      </c>
      <c r="AP566" s="3">
        <v>0</v>
      </c>
      <c r="AQ566" s="3">
        <v>0</v>
      </c>
      <c r="AR566" s="2" t="s">
        <v>5</v>
      </c>
      <c r="AS566" s="2" t="s">
        <v>16</v>
      </c>
      <c r="AT566" s="5" t="str">
        <f>HYPERLINK("http://catalog.hathitrust.org/Record/000106513","HathiTrust Record")</f>
        <v>HathiTrust Record</v>
      </c>
      <c r="AU566" s="5" t="str">
        <f>HYPERLINK("https://creighton-primo.hosted.exlibrisgroup.com/primo-explore/search?tab=default_tab&amp;search_scope=EVERYTHING&amp;vid=01CRU&amp;lang=en_US&amp;offset=0&amp;query=any,contains,991000179649702656","Catalog Record")</f>
        <v>Catalog Record</v>
      </c>
      <c r="AV566" s="5" t="str">
        <f>HYPERLINK("http://www.worldcat.org/oclc/6329834","WorldCat Record")</f>
        <v>WorldCat Record</v>
      </c>
      <c r="AW566" s="2" t="s">
        <v>6935</v>
      </c>
      <c r="AX566" s="2" t="s">
        <v>6936</v>
      </c>
      <c r="AY566" s="2" t="s">
        <v>6937</v>
      </c>
      <c r="AZ566" s="2" t="s">
        <v>6937</v>
      </c>
      <c r="BA566" s="2" t="s">
        <v>6938</v>
      </c>
      <c r="BB566" s="2" t="s">
        <v>21</v>
      </c>
      <c r="BE566" s="2" t="s">
        <v>6939</v>
      </c>
      <c r="BF566" s="2" t="s">
        <v>6940</v>
      </c>
    </row>
    <row r="567" spans="1:58" ht="41.25" customHeight="1" x14ac:dyDescent="0.25">
      <c r="A567" s="8" t="s">
        <v>5</v>
      </c>
      <c r="B567" s="1" t="s">
        <v>0</v>
      </c>
      <c r="C567" s="1" t="s">
        <v>1</v>
      </c>
      <c r="D567" s="1" t="s">
        <v>6941</v>
      </c>
      <c r="E567" s="1" t="s">
        <v>6942</v>
      </c>
      <c r="F567" s="1" t="s">
        <v>6943</v>
      </c>
      <c r="H567" s="2" t="s">
        <v>5</v>
      </c>
      <c r="I567" s="2" t="s">
        <v>6</v>
      </c>
      <c r="J567" s="2" t="s">
        <v>5</v>
      </c>
      <c r="K567" s="2" t="s">
        <v>5</v>
      </c>
      <c r="L567" s="2" t="s">
        <v>7</v>
      </c>
      <c r="M567" s="1" t="s">
        <v>6944</v>
      </c>
      <c r="N567" s="1" t="s">
        <v>1403</v>
      </c>
      <c r="O567" s="2" t="s">
        <v>285</v>
      </c>
      <c r="Q567" s="2" t="s">
        <v>11</v>
      </c>
      <c r="R567" s="2" t="s">
        <v>93</v>
      </c>
      <c r="S567" s="1" t="s">
        <v>6945</v>
      </c>
      <c r="T567" s="2" t="s">
        <v>520</v>
      </c>
      <c r="U567" s="3">
        <v>6</v>
      </c>
      <c r="V567" s="3">
        <v>6</v>
      </c>
      <c r="W567" s="4" t="s">
        <v>2072</v>
      </c>
      <c r="X567" s="4" t="s">
        <v>2072</v>
      </c>
      <c r="Y567" s="4" t="s">
        <v>1249</v>
      </c>
      <c r="Z567" s="4" t="s">
        <v>1249</v>
      </c>
      <c r="AA567" s="3">
        <v>88</v>
      </c>
      <c r="AB567" s="3">
        <v>75</v>
      </c>
      <c r="AC567" s="3">
        <v>75</v>
      </c>
      <c r="AD567" s="3">
        <v>2</v>
      </c>
      <c r="AE567" s="3">
        <v>2</v>
      </c>
      <c r="AF567" s="3">
        <v>2</v>
      </c>
      <c r="AG567" s="3">
        <v>2</v>
      </c>
      <c r="AH567" s="3">
        <v>0</v>
      </c>
      <c r="AI567" s="3">
        <v>0</v>
      </c>
      <c r="AJ567" s="3">
        <v>0</v>
      </c>
      <c r="AK567" s="3">
        <v>0</v>
      </c>
      <c r="AL567" s="3">
        <v>1</v>
      </c>
      <c r="AM567" s="3">
        <v>1</v>
      </c>
      <c r="AN567" s="3">
        <v>1</v>
      </c>
      <c r="AO567" s="3">
        <v>1</v>
      </c>
      <c r="AP567" s="3">
        <v>0</v>
      </c>
      <c r="AQ567" s="3">
        <v>0</v>
      </c>
      <c r="AR567" s="2" t="s">
        <v>5</v>
      </c>
      <c r="AS567" s="2" t="s">
        <v>5</v>
      </c>
      <c r="AU567" s="5" t="str">
        <f>HYPERLINK("https://creighton-primo.hosted.exlibrisgroup.com/primo-explore/search?tab=default_tab&amp;search_scope=EVERYTHING&amp;vid=01CRU&amp;lang=en_US&amp;offset=0&amp;query=any,contains,991001385749702656","Catalog Record")</f>
        <v>Catalog Record</v>
      </c>
      <c r="AV567" s="5" t="str">
        <f>HYPERLINK("http://www.worldcat.org/oclc/5739237","WorldCat Record")</f>
        <v>WorldCat Record</v>
      </c>
      <c r="AW567" s="2" t="s">
        <v>6946</v>
      </c>
      <c r="AX567" s="2" t="s">
        <v>6947</v>
      </c>
      <c r="AY567" s="2" t="s">
        <v>6948</v>
      </c>
      <c r="AZ567" s="2" t="s">
        <v>6948</v>
      </c>
      <c r="BA567" s="2" t="s">
        <v>6949</v>
      </c>
      <c r="BB567" s="2" t="s">
        <v>21</v>
      </c>
      <c r="BE567" s="2" t="s">
        <v>6950</v>
      </c>
      <c r="BF567" s="2" t="s">
        <v>6951</v>
      </c>
    </row>
    <row r="568" spans="1:58" ht="41.25" customHeight="1" x14ac:dyDescent="0.25">
      <c r="A568" s="8" t="s">
        <v>5</v>
      </c>
      <c r="B568" s="1" t="s">
        <v>0</v>
      </c>
      <c r="C568" s="1" t="s">
        <v>1</v>
      </c>
      <c r="D568" s="1" t="s">
        <v>6952</v>
      </c>
      <c r="E568" s="1" t="s">
        <v>6953</v>
      </c>
      <c r="F568" s="1" t="s">
        <v>6954</v>
      </c>
      <c r="H568" s="2" t="s">
        <v>5</v>
      </c>
      <c r="I568" s="2" t="s">
        <v>6</v>
      </c>
      <c r="J568" s="2" t="s">
        <v>5</v>
      </c>
      <c r="K568" s="2" t="s">
        <v>5</v>
      </c>
      <c r="L568" s="2" t="s">
        <v>7</v>
      </c>
      <c r="M568" s="1" t="s">
        <v>6955</v>
      </c>
      <c r="N568" s="1" t="s">
        <v>6956</v>
      </c>
      <c r="O568" s="2" t="s">
        <v>1283</v>
      </c>
      <c r="Q568" s="2" t="s">
        <v>11</v>
      </c>
      <c r="R568" s="2" t="s">
        <v>6660</v>
      </c>
      <c r="T568" s="2" t="s">
        <v>520</v>
      </c>
      <c r="U568" s="3">
        <v>4</v>
      </c>
      <c r="V568" s="3">
        <v>4</v>
      </c>
      <c r="W568" s="4" t="s">
        <v>6957</v>
      </c>
      <c r="X568" s="4" t="s">
        <v>6957</v>
      </c>
      <c r="Y568" s="4" t="s">
        <v>6957</v>
      </c>
      <c r="Z568" s="4" t="s">
        <v>6957</v>
      </c>
      <c r="AA568" s="3">
        <v>11</v>
      </c>
      <c r="AB568" s="3">
        <v>10</v>
      </c>
      <c r="AC568" s="3">
        <v>43</v>
      </c>
      <c r="AD568" s="3">
        <v>1</v>
      </c>
      <c r="AE568" s="3">
        <v>1</v>
      </c>
      <c r="AF568" s="3">
        <v>0</v>
      </c>
      <c r="AG568" s="3">
        <v>0</v>
      </c>
      <c r="AH568" s="3">
        <v>0</v>
      </c>
      <c r="AI568" s="3">
        <v>0</v>
      </c>
      <c r="AJ568" s="3">
        <v>0</v>
      </c>
      <c r="AK568" s="3">
        <v>0</v>
      </c>
      <c r="AL568" s="3">
        <v>0</v>
      </c>
      <c r="AM568" s="3">
        <v>0</v>
      </c>
      <c r="AN568" s="3">
        <v>0</v>
      </c>
      <c r="AO568" s="3">
        <v>0</v>
      </c>
      <c r="AP568" s="3">
        <v>0</v>
      </c>
      <c r="AQ568" s="3">
        <v>0</v>
      </c>
      <c r="AR568" s="2" t="s">
        <v>5</v>
      </c>
      <c r="AS568" s="2" t="s">
        <v>5</v>
      </c>
      <c r="AU568" s="5" t="str">
        <f>HYPERLINK("https://creighton-primo.hosted.exlibrisgroup.com/primo-explore/search?tab=default_tab&amp;search_scope=EVERYTHING&amp;vid=01CRU&amp;lang=en_US&amp;offset=0&amp;query=any,contains,991000783119702656","Catalog Record")</f>
        <v>Catalog Record</v>
      </c>
      <c r="AV568" s="5" t="str">
        <f>HYPERLINK("http://www.worldcat.org/oclc/40649655","WorldCat Record")</f>
        <v>WorldCat Record</v>
      </c>
      <c r="AW568" s="2" t="s">
        <v>6958</v>
      </c>
      <c r="AX568" s="2" t="s">
        <v>6959</v>
      </c>
      <c r="AY568" s="2" t="s">
        <v>6960</v>
      </c>
      <c r="AZ568" s="2" t="s">
        <v>6960</v>
      </c>
      <c r="BA568" s="2" t="s">
        <v>6961</v>
      </c>
      <c r="BB568" s="2" t="s">
        <v>21</v>
      </c>
      <c r="BD568" s="2" t="s">
        <v>6962</v>
      </c>
      <c r="BE568" s="2" t="s">
        <v>6963</v>
      </c>
      <c r="BF568" s="2" t="s">
        <v>6964</v>
      </c>
    </row>
    <row r="569" spans="1:58" ht="41.25" customHeight="1" x14ac:dyDescent="0.25">
      <c r="A569" s="8" t="s">
        <v>5</v>
      </c>
      <c r="B569" s="1" t="s">
        <v>0</v>
      </c>
      <c r="C569" s="1" t="s">
        <v>1</v>
      </c>
      <c r="D569" s="1" t="s">
        <v>6965</v>
      </c>
      <c r="E569" s="1" t="s">
        <v>6966</v>
      </c>
      <c r="F569" s="1" t="s">
        <v>6967</v>
      </c>
      <c r="H569" s="2" t="s">
        <v>5</v>
      </c>
      <c r="I569" s="2" t="s">
        <v>6</v>
      </c>
      <c r="J569" s="2" t="s">
        <v>5</v>
      </c>
      <c r="K569" s="2" t="s">
        <v>5</v>
      </c>
      <c r="L569" s="2" t="s">
        <v>7</v>
      </c>
      <c r="M569" s="1" t="s">
        <v>6968</v>
      </c>
      <c r="N569" s="1" t="s">
        <v>6969</v>
      </c>
      <c r="O569" s="2" t="s">
        <v>393</v>
      </c>
      <c r="P569" s="1" t="s">
        <v>355</v>
      </c>
      <c r="Q569" s="2" t="s">
        <v>11</v>
      </c>
      <c r="R569" s="2" t="s">
        <v>271</v>
      </c>
      <c r="T569" s="2" t="s">
        <v>520</v>
      </c>
      <c r="U569" s="3">
        <v>10</v>
      </c>
      <c r="V569" s="3">
        <v>10</v>
      </c>
      <c r="W569" s="4" t="s">
        <v>6970</v>
      </c>
      <c r="X569" s="4" t="s">
        <v>6970</v>
      </c>
      <c r="Y569" s="4" t="s">
        <v>6971</v>
      </c>
      <c r="Z569" s="4" t="s">
        <v>6971</v>
      </c>
      <c r="AA569" s="3">
        <v>120</v>
      </c>
      <c r="AB569" s="3">
        <v>111</v>
      </c>
      <c r="AC569" s="3">
        <v>111</v>
      </c>
      <c r="AD569" s="3">
        <v>1</v>
      </c>
      <c r="AE569" s="3">
        <v>1</v>
      </c>
      <c r="AF569" s="3">
        <v>2</v>
      </c>
      <c r="AG569" s="3">
        <v>2</v>
      </c>
      <c r="AH569" s="3">
        <v>1</v>
      </c>
      <c r="AI569" s="3">
        <v>1</v>
      </c>
      <c r="AJ569" s="3">
        <v>1</v>
      </c>
      <c r="AK569" s="3">
        <v>1</v>
      </c>
      <c r="AL569" s="3">
        <v>1</v>
      </c>
      <c r="AM569" s="3">
        <v>1</v>
      </c>
      <c r="AN569" s="3">
        <v>0</v>
      </c>
      <c r="AO569" s="3">
        <v>0</v>
      </c>
      <c r="AP569" s="3">
        <v>0</v>
      </c>
      <c r="AQ569" s="3">
        <v>0</v>
      </c>
      <c r="AR569" s="2" t="s">
        <v>5</v>
      </c>
      <c r="AS569" s="2" t="s">
        <v>5</v>
      </c>
      <c r="AU569" s="5" t="str">
        <f>HYPERLINK("https://creighton-primo.hosted.exlibrisgroup.com/primo-explore/search?tab=default_tab&amp;search_scope=EVERYTHING&amp;vid=01CRU&amp;lang=en_US&amp;offset=0&amp;query=any,contains,991001325729702656","Catalog Record")</f>
        <v>Catalog Record</v>
      </c>
      <c r="AV569" s="5" t="str">
        <f>HYPERLINK("http://www.worldcat.org/oclc/8475006","WorldCat Record")</f>
        <v>WorldCat Record</v>
      </c>
      <c r="AW569" s="2" t="s">
        <v>6972</v>
      </c>
      <c r="AX569" s="2" t="s">
        <v>6973</v>
      </c>
      <c r="AY569" s="2" t="s">
        <v>6974</v>
      </c>
      <c r="AZ569" s="2" t="s">
        <v>6974</v>
      </c>
      <c r="BA569" s="2" t="s">
        <v>6975</v>
      </c>
      <c r="BB569" s="2" t="s">
        <v>21</v>
      </c>
      <c r="BE569" s="2" t="s">
        <v>6976</v>
      </c>
      <c r="BF569" s="2" t="s">
        <v>6977</v>
      </c>
    </row>
    <row r="570" spans="1:58" ht="41.25" customHeight="1" x14ac:dyDescent="0.25">
      <c r="A570" s="8" t="s">
        <v>5</v>
      </c>
      <c r="B570" s="1" t="s">
        <v>0</v>
      </c>
      <c r="C570" s="1" t="s">
        <v>1</v>
      </c>
      <c r="D570" s="1" t="s">
        <v>6978</v>
      </c>
      <c r="E570" s="1" t="s">
        <v>6979</v>
      </c>
      <c r="F570" s="1" t="s">
        <v>6980</v>
      </c>
      <c r="G570" s="2" t="s">
        <v>6981</v>
      </c>
      <c r="H570" s="2" t="s">
        <v>5</v>
      </c>
      <c r="I570" s="2" t="s">
        <v>6</v>
      </c>
      <c r="J570" s="2" t="s">
        <v>5</v>
      </c>
      <c r="K570" s="2" t="s">
        <v>5</v>
      </c>
      <c r="L570" s="2" t="s">
        <v>7</v>
      </c>
      <c r="M570" s="1" t="s">
        <v>1769</v>
      </c>
      <c r="N570" s="1" t="s">
        <v>6982</v>
      </c>
      <c r="O570" s="2" t="s">
        <v>989</v>
      </c>
      <c r="Q570" s="2" t="s">
        <v>11</v>
      </c>
      <c r="R570" s="2" t="s">
        <v>6660</v>
      </c>
      <c r="S570" s="1" t="s">
        <v>6983</v>
      </c>
      <c r="T570" s="2" t="s">
        <v>520</v>
      </c>
      <c r="U570" s="3">
        <v>3</v>
      </c>
      <c r="V570" s="3">
        <v>3</v>
      </c>
      <c r="W570" s="4" t="s">
        <v>1615</v>
      </c>
      <c r="X570" s="4" t="s">
        <v>1615</v>
      </c>
      <c r="Y570" s="4" t="s">
        <v>604</v>
      </c>
      <c r="Z570" s="4" t="s">
        <v>604</v>
      </c>
      <c r="AA570" s="3">
        <v>32</v>
      </c>
      <c r="AB570" s="3">
        <v>31</v>
      </c>
      <c r="AC570" s="3">
        <v>33</v>
      </c>
      <c r="AD570" s="3">
        <v>2</v>
      </c>
      <c r="AE570" s="3">
        <v>2</v>
      </c>
      <c r="AF570" s="3">
        <v>1</v>
      </c>
      <c r="AG570" s="3">
        <v>1</v>
      </c>
      <c r="AH570" s="3">
        <v>0</v>
      </c>
      <c r="AI570" s="3">
        <v>0</v>
      </c>
      <c r="AJ570" s="3">
        <v>0</v>
      </c>
      <c r="AK570" s="3">
        <v>0</v>
      </c>
      <c r="AL570" s="3">
        <v>1</v>
      </c>
      <c r="AM570" s="3">
        <v>1</v>
      </c>
      <c r="AN570" s="3">
        <v>0</v>
      </c>
      <c r="AO570" s="3">
        <v>0</v>
      </c>
      <c r="AP570" s="3">
        <v>0</v>
      </c>
      <c r="AQ570" s="3">
        <v>0</v>
      </c>
      <c r="AR570" s="2" t="s">
        <v>5</v>
      </c>
      <c r="AS570" s="2" t="s">
        <v>16</v>
      </c>
      <c r="AT570" s="5" t="str">
        <f>HYPERLINK("http://catalog.hathitrust.org/Record/002205849","HathiTrust Record")</f>
        <v>HathiTrust Record</v>
      </c>
      <c r="AU570" s="5" t="str">
        <f>HYPERLINK("https://creighton-primo.hosted.exlibrisgroup.com/primo-explore/search?tab=default_tab&amp;search_scope=EVERYTHING&amp;vid=01CRU&amp;lang=en_US&amp;offset=0&amp;query=any,contains,991000222959702656","Catalog Record")</f>
        <v>Catalog Record</v>
      </c>
      <c r="AV570" s="5" t="str">
        <f>HYPERLINK("http://www.worldcat.org/oclc/21473519","WorldCat Record")</f>
        <v>WorldCat Record</v>
      </c>
      <c r="AW570" s="2" t="s">
        <v>6984</v>
      </c>
      <c r="AX570" s="2" t="s">
        <v>6985</v>
      </c>
      <c r="AY570" s="2" t="s">
        <v>6986</v>
      </c>
      <c r="AZ570" s="2" t="s">
        <v>6986</v>
      </c>
      <c r="BA570" s="2" t="s">
        <v>6987</v>
      </c>
      <c r="BB570" s="2" t="s">
        <v>21</v>
      </c>
      <c r="BD570" s="2" t="s">
        <v>6988</v>
      </c>
      <c r="BE570" s="2" t="s">
        <v>6989</v>
      </c>
      <c r="BF570" s="2" t="s">
        <v>6990</v>
      </c>
    </row>
    <row r="571" spans="1:58" ht="41.25" customHeight="1" x14ac:dyDescent="0.25">
      <c r="A571" s="8" t="s">
        <v>5</v>
      </c>
      <c r="B571" s="1" t="s">
        <v>0</v>
      </c>
      <c r="C571" s="1" t="s">
        <v>1</v>
      </c>
      <c r="D571" s="1" t="s">
        <v>6991</v>
      </c>
      <c r="E571" s="1" t="s">
        <v>6992</v>
      </c>
      <c r="F571" s="1" t="s">
        <v>6993</v>
      </c>
      <c r="G571" s="2" t="s">
        <v>6994</v>
      </c>
      <c r="H571" s="2" t="s">
        <v>5</v>
      </c>
      <c r="I571" s="2" t="s">
        <v>6</v>
      </c>
      <c r="J571" s="2" t="s">
        <v>5</v>
      </c>
      <c r="K571" s="2" t="s">
        <v>5</v>
      </c>
      <c r="L571" s="2" t="s">
        <v>7</v>
      </c>
      <c r="M571" s="1" t="s">
        <v>6995</v>
      </c>
      <c r="N571" s="1" t="s">
        <v>6996</v>
      </c>
      <c r="O571" s="2" t="s">
        <v>989</v>
      </c>
      <c r="Q571" s="2" t="s">
        <v>11</v>
      </c>
      <c r="R571" s="2" t="s">
        <v>6660</v>
      </c>
      <c r="S571" s="1" t="s">
        <v>6997</v>
      </c>
      <c r="T571" s="2" t="s">
        <v>520</v>
      </c>
      <c r="U571" s="3">
        <v>3</v>
      </c>
      <c r="V571" s="3">
        <v>3</v>
      </c>
      <c r="W571" s="4" t="s">
        <v>1615</v>
      </c>
      <c r="X571" s="4" t="s">
        <v>1615</v>
      </c>
      <c r="Y571" s="4" t="s">
        <v>604</v>
      </c>
      <c r="Z571" s="4" t="s">
        <v>604</v>
      </c>
      <c r="AA571" s="3">
        <v>16</v>
      </c>
      <c r="AB571" s="3">
        <v>14</v>
      </c>
      <c r="AC571" s="3">
        <v>36</v>
      </c>
      <c r="AD571" s="3">
        <v>1</v>
      </c>
      <c r="AE571" s="3">
        <v>2</v>
      </c>
      <c r="AF571" s="3">
        <v>1</v>
      </c>
      <c r="AG571" s="3">
        <v>2</v>
      </c>
      <c r="AH571" s="3">
        <v>0</v>
      </c>
      <c r="AI571" s="3">
        <v>0</v>
      </c>
      <c r="AJ571" s="3">
        <v>0</v>
      </c>
      <c r="AK571" s="3">
        <v>0</v>
      </c>
      <c r="AL571" s="3">
        <v>1</v>
      </c>
      <c r="AM571" s="3">
        <v>2</v>
      </c>
      <c r="AN571" s="3">
        <v>0</v>
      </c>
      <c r="AO571" s="3">
        <v>0</v>
      </c>
      <c r="AP571" s="3">
        <v>0</v>
      </c>
      <c r="AQ571" s="3">
        <v>0</v>
      </c>
      <c r="AR571" s="2" t="s">
        <v>5</v>
      </c>
      <c r="AS571" s="2" t="s">
        <v>5</v>
      </c>
      <c r="AU571" s="5" t="str">
        <f>HYPERLINK("https://creighton-primo.hosted.exlibrisgroup.com/primo-explore/search?tab=default_tab&amp;search_scope=EVERYTHING&amp;vid=01CRU&amp;lang=en_US&amp;offset=0&amp;query=any,contains,991000222919702656","Catalog Record")</f>
        <v>Catalog Record</v>
      </c>
      <c r="AV571" s="5" t="str">
        <f>HYPERLINK("http://www.worldcat.org/oclc/21532059","WorldCat Record")</f>
        <v>WorldCat Record</v>
      </c>
      <c r="AW571" s="2" t="s">
        <v>6998</v>
      </c>
      <c r="AX571" s="2" t="s">
        <v>6999</v>
      </c>
      <c r="AY571" s="2" t="s">
        <v>7000</v>
      </c>
      <c r="AZ571" s="2" t="s">
        <v>7000</v>
      </c>
      <c r="BA571" s="2" t="s">
        <v>7001</v>
      </c>
      <c r="BB571" s="2" t="s">
        <v>21</v>
      </c>
      <c r="BD571" s="2" t="s">
        <v>6988</v>
      </c>
      <c r="BE571" s="2" t="s">
        <v>7002</v>
      </c>
      <c r="BF571" s="2" t="s">
        <v>7003</v>
      </c>
    </row>
    <row r="572" spans="1:58" ht="41.25" customHeight="1" x14ac:dyDescent="0.25">
      <c r="A572" s="8" t="s">
        <v>5</v>
      </c>
      <c r="B572" s="1" t="s">
        <v>0</v>
      </c>
      <c r="C572" s="1" t="s">
        <v>1</v>
      </c>
      <c r="D572" s="1" t="s">
        <v>7004</v>
      </c>
      <c r="E572" s="1" t="s">
        <v>7005</v>
      </c>
      <c r="F572" s="1" t="s">
        <v>7006</v>
      </c>
      <c r="G572" s="2" t="s">
        <v>7007</v>
      </c>
      <c r="H572" s="2" t="s">
        <v>5</v>
      </c>
      <c r="I572" s="2" t="s">
        <v>6</v>
      </c>
      <c r="J572" s="2" t="s">
        <v>5</v>
      </c>
      <c r="K572" s="2" t="s">
        <v>5</v>
      </c>
      <c r="L572" s="2" t="s">
        <v>7</v>
      </c>
      <c r="M572" s="1" t="s">
        <v>7008</v>
      </c>
      <c r="N572" s="1" t="s">
        <v>7009</v>
      </c>
      <c r="O572" s="2" t="s">
        <v>989</v>
      </c>
      <c r="Q572" s="2" t="s">
        <v>11</v>
      </c>
      <c r="R572" s="2" t="s">
        <v>6660</v>
      </c>
      <c r="S572" s="1" t="s">
        <v>7010</v>
      </c>
      <c r="T572" s="2" t="s">
        <v>520</v>
      </c>
      <c r="U572" s="3">
        <v>3</v>
      </c>
      <c r="V572" s="3">
        <v>3</v>
      </c>
      <c r="W572" s="4" t="s">
        <v>1615</v>
      </c>
      <c r="X572" s="4" t="s">
        <v>1615</v>
      </c>
      <c r="Y572" s="4" t="s">
        <v>604</v>
      </c>
      <c r="Z572" s="4" t="s">
        <v>604</v>
      </c>
      <c r="AA572" s="3">
        <v>37</v>
      </c>
      <c r="AB572" s="3">
        <v>35</v>
      </c>
      <c r="AC572" s="3">
        <v>37</v>
      </c>
      <c r="AD572" s="3">
        <v>2</v>
      </c>
      <c r="AE572" s="3">
        <v>2</v>
      </c>
      <c r="AF572" s="3">
        <v>2</v>
      </c>
      <c r="AG572" s="3">
        <v>2</v>
      </c>
      <c r="AH572" s="3">
        <v>0</v>
      </c>
      <c r="AI572" s="3">
        <v>0</v>
      </c>
      <c r="AJ572" s="3">
        <v>0</v>
      </c>
      <c r="AK572" s="3">
        <v>0</v>
      </c>
      <c r="AL572" s="3">
        <v>2</v>
      </c>
      <c r="AM572" s="3">
        <v>2</v>
      </c>
      <c r="AN572" s="3">
        <v>0</v>
      </c>
      <c r="AO572" s="3">
        <v>0</v>
      </c>
      <c r="AP572" s="3">
        <v>0</v>
      </c>
      <c r="AQ572" s="3">
        <v>0</v>
      </c>
      <c r="AR572" s="2" t="s">
        <v>5</v>
      </c>
      <c r="AS572" s="2" t="s">
        <v>16</v>
      </c>
      <c r="AT572" s="5" t="str">
        <f>HYPERLINK("http://catalog.hathitrust.org/Record/002205851","HathiTrust Record")</f>
        <v>HathiTrust Record</v>
      </c>
      <c r="AU572" s="5" t="str">
        <f>HYPERLINK("https://creighton-primo.hosted.exlibrisgroup.com/primo-explore/search?tab=default_tab&amp;search_scope=EVERYTHING&amp;vid=01CRU&amp;lang=en_US&amp;offset=0&amp;query=any,contains,991000222989702656","Catalog Record")</f>
        <v>Catalog Record</v>
      </c>
      <c r="AV572" s="5" t="str">
        <f>HYPERLINK("http://www.worldcat.org/oclc/21532168","WorldCat Record")</f>
        <v>WorldCat Record</v>
      </c>
      <c r="AW572" s="2" t="s">
        <v>7011</v>
      </c>
      <c r="AX572" s="2" t="s">
        <v>7012</v>
      </c>
      <c r="AY572" s="2" t="s">
        <v>7013</v>
      </c>
      <c r="AZ572" s="2" t="s">
        <v>7013</v>
      </c>
      <c r="BA572" s="2" t="s">
        <v>7014</v>
      </c>
      <c r="BB572" s="2" t="s">
        <v>21</v>
      </c>
      <c r="BD572" s="2" t="s">
        <v>6988</v>
      </c>
      <c r="BE572" s="2" t="s">
        <v>7015</v>
      </c>
      <c r="BF572" s="2" t="s">
        <v>7016</v>
      </c>
    </row>
    <row r="573" spans="1:58" ht="41.25" customHeight="1" x14ac:dyDescent="0.25">
      <c r="A573" s="8" t="s">
        <v>5</v>
      </c>
      <c r="B573" s="1" t="s">
        <v>0</v>
      </c>
      <c r="C573" s="1" t="s">
        <v>1</v>
      </c>
      <c r="D573" s="1" t="s">
        <v>7017</v>
      </c>
      <c r="E573" s="1" t="s">
        <v>7018</v>
      </c>
      <c r="F573" s="1" t="s">
        <v>7019</v>
      </c>
      <c r="G573" s="2" t="s">
        <v>7020</v>
      </c>
      <c r="H573" s="2" t="s">
        <v>5</v>
      </c>
      <c r="I573" s="2" t="s">
        <v>6</v>
      </c>
      <c r="J573" s="2" t="s">
        <v>5</v>
      </c>
      <c r="K573" s="2" t="s">
        <v>5</v>
      </c>
      <c r="L573" s="2" t="s">
        <v>7</v>
      </c>
      <c r="M573" s="1" t="s">
        <v>7021</v>
      </c>
      <c r="N573" s="1" t="s">
        <v>7022</v>
      </c>
      <c r="O573" s="2" t="s">
        <v>989</v>
      </c>
      <c r="Q573" s="2" t="s">
        <v>11</v>
      </c>
      <c r="R573" s="2" t="s">
        <v>6660</v>
      </c>
      <c r="S573" s="1" t="s">
        <v>7023</v>
      </c>
      <c r="T573" s="2" t="s">
        <v>520</v>
      </c>
      <c r="U573" s="3">
        <v>3</v>
      </c>
      <c r="V573" s="3">
        <v>3</v>
      </c>
      <c r="W573" s="4" t="s">
        <v>1615</v>
      </c>
      <c r="X573" s="4" t="s">
        <v>1615</v>
      </c>
      <c r="Y573" s="4" t="s">
        <v>604</v>
      </c>
      <c r="Z573" s="4" t="s">
        <v>604</v>
      </c>
      <c r="AA573" s="3">
        <v>23</v>
      </c>
      <c r="AB573" s="3">
        <v>21</v>
      </c>
      <c r="AC573" s="3">
        <v>34</v>
      </c>
      <c r="AD573" s="3">
        <v>2</v>
      </c>
      <c r="AE573" s="3">
        <v>2</v>
      </c>
      <c r="AF573" s="3">
        <v>2</v>
      </c>
      <c r="AG573" s="3">
        <v>2</v>
      </c>
      <c r="AH573" s="3">
        <v>0</v>
      </c>
      <c r="AI573" s="3">
        <v>0</v>
      </c>
      <c r="AJ573" s="3">
        <v>0</v>
      </c>
      <c r="AK573" s="3">
        <v>0</v>
      </c>
      <c r="AL573" s="3">
        <v>2</v>
      </c>
      <c r="AM573" s="3">
        <v>2</v>
      </c>
      <c r="AN573" s="3">
        <v>0</v>
      </c>
      <c r="AO573" s="3">
        <v>0</v>
      </c>
      <c r="AP573" s="3">
        <v>0</v>
      </c>
      <c r="AQ573" s="3">
        <v>0</v>
      </c>
      <c r="AR573" s="2" t="s">
        <v>5</v>
      </c>
      <c r="AS573" s="2" t="s">
        <v>16</v>
      </c>
      <c r="AT573" s="5" t="str">
        <f>HYPERLINK("http://catalog.hathitrust.org/Record/002205852","HathiTrust Record")</f>
        <v>HathiTrust Record</v>
      </c>
      <c r="AU573" s="5" t="str">
        <f>HYPERLINK("https://creighton-primo.hosted.exlibrisgroup.com/primo-explore/search?tab=default_tab&amp;search_scope=EVERYTHING&amp;vid=01CRU&amp;lang=en_US&amp;offset=0&amp;query=any,contains,991000222179702656","Catalog Record")</f>
        <v>Catalog Record</v>
      </c>
      <c r="AV573" s="5" t="str">
        <f>HYPERLINK("http://www.worldcat.org/oclc/21473611","WorldCat Record")</f>
        <v>WorldCat Record</v>
      </c>
      <c r="AW573" s="2" t="s">
        <v>7024</v>
      </c>
      <c r="AX573" s="2" t="s">
        <v>7025</v>
      </c>
      <c r="AY573" s="2" t="s">
        <v>7026</v>
      </c>
      <c r="AZ573" s="2" t="s">
        <v>7026</v>
      </c>
      <c r="BA573" s="2" t="s">
        <v>7027</v>
      </c>
      <c r="BB573" s="2" t="s">
        <v>21</v>
      </c>
      <c r="BD573" s="2" t="s">
        <v>6988</v>
      </c>
      <c r="BE573" s="2" t="s">
        <v>7028</v>
      </c>
      <c r="BF573" s="2" t="s">
        <v>7029</v>
      </c>
    </row>
    <row r="574" spans="1:58" ht="41.25" customHeight="1" x14ac:dyDescent="0.25">
      <c r="A574" s="8" t="s">
        <v>5</v>
      </c>
      <c r="B574" s="1" t="s">
        <v>0</v>
      </c>
      <c r="C574" s="1" t="s">
        <v>1</v>
      </c>
      <c r="D574" s="1" t="s">
        <v>7030</v>
      </c>
      <c r="E574" s="1" t="s">
        <v>7031</v>
      </c>
      <c r="F574" s="1" t="s">
        <v>7032</v>
      </c>
      <c r="G574" s="2" t="s">
        <v>7033</v>
      </c>
      <c r="H574" s="2" t="s">
        <v>5</v>
      </c>
      <c r="I574" s="2" t="s">
        <v>6</v>
      </c>
      <c r="J574" s="2" t="s">
        <v>5</v>
      </c>
      <c r="K574" s="2" t="s">
        <v>5</v>
      </c>
      <c r="L574" s="2" t="s">
        <v>7</v>
      </c>
      <c r="M574" s="1" t="s">
        <v>7034</v>
      </c>
      <c r="N574" s="1" t="s">
        <v>7022</v>
      </c>
      <c r="O574" s="2" t="s">
        <v>989</v>
      </c>
      <c r="Q574" s="2" t="s">
        <v>11</v>
      </c>
      <c r="R574" s="2" t="s">
        <v>6660</v>
      </c>
      <c r="S574" s="1" t="s">
        <v>7035</v>
      </c>
      <c r="T574" s="2" t="s">
        <v>520</v>
      </c>
      <c r="U574" s="3">
        <v>3</v>
      </c>
      <c r="V574" s="3">
        <v>3</v>
      </c>
      <c r="W574" s="4" t="s">
        <v>1615</v>
      </c>
      <c r="X574" s="4" t="s">
        <v>1615</v>
      </c>
      <c r="Y574" s="4" t="s">
        <v>604</v>
      </c>
      <c r="Z574" s="4" t="s">
        <v>604</v>
      </c>
      <c r="AA574" s="3">
        <v>36</v>
      </c>
      <c r="AB574" s="3">
        <v>34</v>
      </c>
      <c r="AC574" s="3">
        <v>36</v>
      </c>
      <c r="AD574" s="3">
        <v>2</v>
      </c>
      <c r="AE574" s="3">
        <v>2</v>
      </c>
      <c r="AF574" s="3">
        <v>2</v>
      </c>
      <c r="AG574" s="3">
        <v>2</v>
      </c>
      <c r="AH574" s="3">
        <v>0</v>
      </c>
      <c r="AI574" s="3">
        <v>0</v>
      </c>
      <c r="AJ574" s="3">
        <v>0</v>
      </c>
      <c r="AK574" s="3">
        <v>0</v>
      </c>
      <c r="AL574" s="3">
        <v>2</v>
      </c>
      <c r="AM574" s="3">
        <v>2</v>
      </c>
      <c r="AN574" s="3">
        <v>0</v>
      </c>
      <c r="AO574" s="3">
        <v>0</v>
      </c>
      <c r="AP574" s="3">
        <v>0</v>
      </c>
      <c r="AQ574" s="3">
        <v>0</v>
      </c>
      <c r="AR574" s="2" t="s">
        <v>5</v>
      </c>
      <c r="AS574" s="2" t="s">
        <v>16</v>
      </c>
      <c r="AT574" s="5" t="str">
        <f>HYPERLINK("http://catalog.hathitrust.org/Record/002205853","HathiTrust Record")</f>
        <v>HathiTrust Record</v>
      </c>
      <c r="AU574" s="5" t="str">
        <f>HYPERLINK("https://creighton-primo.hosted.exlibrisgroup.com/primo-explore/search?tab=default_tab&amp;search_scope=EVERYTHING&amp;vid=01CRU&amp;lang=en_US&amp;offset=0&amp;query=any,contains,991000222219702656","Catalog Record")</f>
        <v>Catalog Record</v>
      </c>
      <c r="AV574" s="5" t="str">
        <f>HYPERLINK("http://www.worldcat.org/oclc/22240454","WorldCat Record")</f>
        <v>WorldCat Record</v>
      </c>
      <c r="AW574" s="2" t="s">
        <v>7036</v>
      </c>
      <c r="AX574" s="2" t="s">
        <v>7037</v>
      </c>
      <c r="AY574" s="2" t="s">
        <v>7038</v>
      </c>
      <c r="AZ574" s="2" t="s">
        <v>7038</v>
      </c>
      <c r="BA574" s="2" t="s">
        <v>7039</v>
      </c>
      <c r="BB574" s="2" t="s">
        <v>21</v>
      </c>
      <c r="BD574" s="2" t="s">
        <v>6988</v>
      </c>
      <c r="BE574" s="2" t="s">
        <v>7040</v>
      </c>
      <c r="BF574" s="2" t="s">
        <v>7041</v>
      </c>
    </row>
    <row r="575" spans="1:58" ht="41.25" customHeight="1" x14ac:dyDescent="0.25">
      <c r="A575" s="8" t="s">
        <v>5</v>
      </c>
      <c r="B575" s="1" t="s">
        <v>0</v>
      </c>
      <c r="C575" s="1" t="s">
        <v>1</v>
      </c>
      <c r="D575" s="1" t="s">
        <v>7042</v>
      </c>
      <c r="E575" s="1" t="s">
        <v>7043</v>
      </c>
      <c r="F575" s="1" t="s">
        <v>7044</v>
      </c>
      <c r="H575" s="2" t="s">
        <v>5</v>
      </c>
      <c r="I575" s="2" t="s">
        <v>6</v>
      </c>
      <c r="J575" s="2" t="s">
        <v>5</v>
      </c>
      <c r="K575" s="2" t="s">
        <v>16</v>
      </c>
      <c r="L575" s="2" t="s">
        <v>7</v>
      </c>
      <c r="M575" s="1" t="s">
        <v>7045</v>
      </c>
      <c r="N575" s="1" t="s">
        <v>1808</v>
      </c>
      <c r="O575" s="2" t="s">
        <v>939</v>
      </c>
      <c r="Q575" s="2" t="s">
        <v>11</v>
      </c>
      <c r="R575" s="2" t="s">
        <v>12</v>
      </c>
      <c r="S575" s="1" t="s">
        <v>7046</v>
      </c>
      <c r="T575" s="2" t="s">
        <v>520</v>
      </c>
      <c r="U575" s="3">
        <v>3</v>
      </c>
      <c r="V575" s="3">
        <v>3</v>
      </c>
      <c r="W575" s="4" t="s">
        <v>216</v>
      </c>
      <c r="X575" s="4" t="s">
        <v>216</v>
      </c>
      <c r="Y575" s="4" t="s">
        <v>6845</v>
      </c>
      <c r="Z575" s="4" t="s">
        <v>6845</v>
      </c>
      <c r="AA575" s="3">
        <v>214</v>
      </c>
      <c r="AB575" s="3">
        <v>192</v>
      </c>
      <c r="AC575" s="3">
        <v>323</v>
      </c>
      <c r="AD575" s="3">
        <v>3</v>
      </c>
      <c r="AE575" s="3">
        <v>3</v>
      </c>
      <c r="AF575" s="3">
        <v>9</v>
      </c>
      <c r="AG575" s="3">
        <v>14</v>
      </c>
      <c r="AH575" s="3">
        <v>2</v>
      </c>
      <c r="AI575" s="3">
        <v>5</v>
      </c>
      <c r="AJ575" s="3">
        <v>2</v>
      </c>
      <c r="AK575" s="3">
        <v>3</v>
      </c>
      <c r="AL575" s="3">
        <v>4</v>
      </c>
      <c r="AM575" s="3">
        <v>7</v>
      </c>
      <c r="AN575" s="3">
        <v>1</v>
      </c>
      <c r="AO575" s="3">
        <v>1</v>
      </c>
      <c r="AP575" s="3">
        <v>0</v>
      </c>
      <c r="AQ575" s="3">
        <v>0</v>
      </c>
      <c r="AR575" s="2" t="s">
        <v>5</v>
      </c>
      <c r="AS575" s="2" t="s">
        <v>16</v>
      </c>
      <c r="AT575" s="5" t="str">
        <f>HYPERLINK("http://catalog.hathitrust.org/Record/004412901","HathiTrust Record")</f>
        <v>HathiTrust Record</v>
      </c>
      <c r="AU575" s="5" t="str">
        <f>HYPERLINK("https://creighton-primo.hosted.exlibrisgroup.com/primo-explore/search?tab=default_tab&amp;search_scope=EVERYTHING&amp;vid=01CRU&amp;lang=en_US&amp;offset=0&amp;query=any,contains,991001414849702656","Catalog Record")</f>
        <v>Catalog Record</v>
      </c>
      <c r="AV575" s="5" t="str">
        <f>HYPERLINK("http://www.worldcat.org/oclc/19810858","WorldCat Record")</f>
        <v>WorldCat Record</v>
      </c>
      <c r="AW575" s="2" t="s">
        <v>7047</v>
      </c>
      <c r="AX575" s="2" t="s">
        <v>7048</v>
      </c>
      <c r="AY575" s="2" t="s">
        <v>7049</v>
      </c>
      <c r="AZ575" s="2" t="s">
        <v>7049</v>
      </c>
      <c r="BA575" s="2" t="s">
        <v>7050</v>
      </c>
      <c r="BB575" s="2" t="s">
        <v>21</v>
      </c>
      <c r="BD575" s="2" t="s">
        <v>7051</v>
      </c>
      <c r="BE575" s="2" t="s">
        <v>7052</v>
      </c>
      <c r="BF575" s="2" t="s">
        <v>7053</v>
      </c>
    </row>
    <row r="576" spans="1:58" ht="41.25" customHeight="1" x14ac:dyDescent="0.25">
      <c r="A576" s="8" t="s">
        <v>5</v>
      </c>
      <c r="B576" s="1" t="s">
        <v>0</v>
      </c>
      <c r="C576" s="1" t="s">
        <v>1</v>
      </c>
      <c r="D576" s="1" t="s">
        <v>7054</v>
      </c>
      <c r="E576" s="1" t="s">
        <v>7055</v>
      </c>
      <c r="F576" s="1" t="s">
        <v>7056</v>
      </c>
      <c r="H576" s="2" t="s">
        <v>5</v>
      </c>
      <c r="I576" s="2" t="s">
        <v>6</v>
      </c>
      <c r="J576" s="2" t="s">
        <v>5</v>
      </c>
      <c r="K576" s="2" t="s">
        <v>5</v>
      </c>
      <c r="L576" s="2" t="s">
        <v>7</v>
      </c>
      <c r="M576" s="1" t="s">
        <v>7057</v>
      </c>
      <c r="N576" s="1" t="s">
        <v>518</v>
      </c>
      <c r="O576" s="2" t="s">
        <v>393</v>
      </c>
      <c r="Q576" s="2" t="s">
        <v>11</v>
      </c>
      <c r="R576" s="2" t="s">
        <v>426</v>
      </c>
      <c r="S576" s="1" t="s">
        <v>7058</v>
      </c>
      <c r="T576" s="2" t="s">
        <v>520</v>
      </c>
      <c r="U576" s="3">
        <v>3</v>
      </c>
      <c r="V576" s="3">
        <v>3</v>
      </c>
      <c r="W576" s="4" t="s">
        <v>137</v>
      </c>
      <c r="X576" s="4" t="s">
        <v>137</v>
      </c>
      <c r="Y576" s="4" t="s">
        <v>1223</v>
      </c>
      <c r="Z576" s="4" t="s">
        <v>1223</v>
      </c>
      <c r="AA576" s="3">
        <v>109</v>
      </c>
      <c r="AB576" s="3">
        <v>95</v>
      </c>
      <c r="AC576" s="3">
        <v>97</v>
      </c>
      <c r="AD576" s="3">
        <v>1</v>
      </c>
      <c r="AE576" s="3">
        <v>1</v>
      </c>
      <c r="AF576" s="3">
        <v>4</v>
      </c>
      <c r="AG576" s="3">
        <v>4</v>
      </c>
      <c r="AH576" s="3">
        <v>2</v>
      </c>
      <c r="AI576" s="3">
        <v>2</v>
      </c>
      <c r="AJ576" s="3">
        <v>0</v>
      </c>
      <c r="AK576" s="3">
        <v>0</v>
      </c>
      <c r="AL576" s="3">
        <v>2</v>
      </c>
      <c r="AM576" s="3">
        <v>2</v>
      </c>
      <c r="AN576" s="3">
        <v>0</v>
      </c>
      <c r="AO576" s="3">
        <v>0</v>
      </c>
      <c r="AP576" s="3">
        <v>0</v>
      </c>
      <c r="AQ576" s="3">
        <v>0</v>
      </c>
      <c r="AR576" s="2" t="s">
        <v>5</v>
      </c>
      <c r="AS576" s="2" t="s">
        <v>16</v>
      </c>
      <c r="AT576" s="5" t="str">
        <f>HYPERLINK("http://catalog.hathitrust.org/Record/000779608","HathiTrust Record")</f>
        <v>HathiTrust Record</v>
      </c>
      <c r="AU576" s="5" t="str">
        <f>HYPERLINK("https://creighton-primo.hosted.exlibrisgroup.com/primo-explore/search?tab=default_tab&amp;search_scope=EVERYTHING&amp;vid=01CRU&amp;lang=en_US&amp;offset=0&amp;query=any,contains,991001389109702656","Catalog Record")</f>
        <v>Catalog Record</v>
      </c>
      <c r="AV576" s="5" t="str">
        <f>HYPERLINK("http://www.worldcat.org/oclc/8453547","WorldCat Record")</f>
        <v>WorldCat Record</v>
      </c>
      <c r="AW576" s="2" t="s">
        <v>7059</v>
      </c>
      <c r="AX576" s="2" t="s">
        <v>7060</v>
      </c>
      <c r="AY576" s="2" t="s">
        <v>7061</v>
      </c>
      <c r="AZ576" s="2" t="s">
        <v>7061</v>
      </c>
      <c r="BA576" s="2" t="s">
        <v>7062</v>
      </c>
      <c r="BB576" s="2" t="s">
        <v>21</v>
      </c>
      <c r="BE576" s="2" t="s">
        <v>7063</v>
      </c>
      <c r="BF576" s="2" t="s">
        <v>7064</v>
      </c>
    </row>
    <row r="577" spans="1:58" ht="41.25" customHeight="1" x14ac:dyDescent="0.25">
      <c r="A577" s="8" t="s">
        <v>5</v>
      </c>
      <c r="B577" s="1" t="s">
        <v>0</v>
      </c>
      <c r="C577" s="1" t="s">
        <v>1</v>
      </c>
      <c r="D577" s="1" t="s">
        <v>7065</v>
      </c>
      <c r="E577" s="1" t="s">
        <v>7066</v>
      </c>
      <c r="F577" s="1" t="s">
        <v>7067</v>
      </c>
      <c r="H577" s="2" t="s">
        <v>5</v>
      </c>
      <c r="I577" s="2" t="s">
        <v>6</v>
      </c>
      <c r="J577" s="2" t="s">
        <v>5</v>
      </c>
      <c r="K577" s="2" t="s">
        <v>5</v>
      </c>
      <c r="L577" s="2" t="s">
        <v>7</v>
      </c>
      <c r="M577" s="1" t="s">
        <v>1454</v>
      </c>
      <c r="N577" s="1" t="s">
        <v>3667</v>
      </c>
      <c r="O577" s="2" t="s">
        <v>734</v>
      </c>
      <c r="Q577" s="2" t="s">
        <v>11</v>
      </c>
      <c r="R577" s="2" t="s">
        <v>426</v>
      </c>
      <c r="T577" s="2" t="s">
        <v>520</v>
      </c>
      <c r="U577" s="3">
        <v>3</v>
      </c>
      <c r="V577" s="3">
        <v>3</v>
      </c>
      <c r="W577" s="4" t="s">
        <v>7068</v>
      </c>
      <c r="X577" s="4" t="s">
        <v>7068</v>
      </c>
      <c r="Y577" s="4" t="s">
        <v>168</v>
      </c>
      <c r="Z577" s="4" t="s">
        <v>168</v>
      </c>
      <c r="AA577" s="3">
        <v>238</v>
      </c>
      <c r="AB577" s="3">
        <v>210</v>
      </c>
      <c r="AC577" s="3">
        <v>214</v>
      </c>
      <c r="AD577" s="3">
        <v>2</v>
      </c>
      <c r="AE577" s="3">
        <v>2</v>
      </c>
      <c r="AF577" s="3">
        <v>5</v>
      </c>
      <c r="AG577" s="3">
        <v>6</v>
      </c>
      <c r="AH577" s="3">
        <v>0</v>
      </c>
      <c r="AI577" s="3">
        <v>1</v>
      </c>
      <c r="AJ577" s="3">
        <v>2</v>
      </c>
      <c r="AK577" s="3">
        <v>2</v>
      </c>
      <c r="AL577" s="3">
        <v>4</v>
      </c>
      <c r="AM577" s="3">
        <v>5</v>
      </c>
      <c r="AN577" s="3">
        <v>0</v>
      </c>
      <c r="AO577" s="3">
        <v>0</v>
      </c>
      <c r="AP577" s="3">
        <v>0</v>
      </c>
      <c r="AQ577" s="3">
        <v>0</v>
      </c>
      <c r="AR577" s="2" t="s">
        <v>5</v>
      </c>
      <c r="AS577" s="2" t="s">
        <v>16</v>
      </c>
      <c r="AT577" s="5" t="str">
        <f>HYPERLINK("http://catalog.hathitrust.org/Record/000285116","HathiTrust Record")</f>
        <v>HathiTrust Record</v>
      </c>
      <c r="AU577" s="5" t="str">
        <f>HYPERLINK("https://creighton-primo.hosted.exlibrisgroup.com/primo-explore/search?tab=default_tab&amp;search_scope=EVERYTHING&amp;vid=01CRU&amp;lang=en_US&amp;offset=0&amp;query=any,contains,991001044769702656","Catalog Record")</f>
        <v>Catalog Record</v>
      </c>
      <c r="AV577" s="5" t="str">
        <f>HYPERLINK("http://www.worldcat.org/oclc/9945049","WorldCat Record")</f>
        <v>WorldCat Record</v>
      </c>
      <c r="AW577" s="2" t="s">
        <v>7069</v>
      </c>
      <c r="AX577" s="2" t="s">
        <v>7070</v>
      </c>
      <c r="AY577" s="2" t="s">
        <v>7071</v>
      </c>
      <c r="AZ577" s="2" t="s">
        <v>7071</v>
      </c>
      <c r="BA577" s="2" t="s">
        <v>7072</v>
      </c>
      <c r="BB577" s="2" t="s">
        <v>21</v>
      </c>
      <c r="BD577" s="2" t="s">
        <v>7073</v>
      </c>
      <c r="BE577" s="2" t="s">
        <v>7074</v>
      </c>
      <c r="BF577" s="2" t="s">
        <v>7075</v>
      </c>
    </row>
    <row r="578" spans="1:58" ht="41.25" customHeight="1" x14ac:dyDescent="0.25">
      <c r="A578" s="8" t="s">
        <v>5</v>
      </c>
      <c r="B578" s="1" t="s">
        <v>0</v>
      </c>
      <c r="C578" s="1" t="s">
        <v>1</v>
      </c>
      <c r="D578" s="1" t="s">
        <v>7076</v>
      </c>
      <c r="E578" s="1" t="s">
        <v>7077</v>
      </c>
      <c r="F578" s="1" t="s">
        <v>7078</v>
      </c>
      <c r="H578" s="2" t="s">
        <v>5</v>
      </c>
      <c r="I578" s="2" t="s">
        <v>6</v>
      </c>
      <c r="J578" s="2" t="s">
        <v>5</v>
      </c>
      <c r="K578" s="2" t="s">
        <v>5</v>
      </c>
      <c r="L578" s="2" t="s">
        <v>7</v>
      </c>
      <c r="N578" s="1" t="s">
        <v>3451</v>
      </c>
      <c r="O578" s="2" t="s">
        <v>872</v>
      </c>
      <c r="Q578" s="2" t="s">
        <v>11</v>
      </c>
      <c r="R578" s="2" t="s">
        <v>426</v>
      </c>
      <c r="T578" s="2" t="s">
        <v>520</v>
      </c>
      <c r="U578" s="3">
        <v>13</v>
      </c>
      <c r="V578" s="3">
        <v>13</v>
      </c>
      <c r="W578" s="4" t="s">
        <v>1615</v>
      </c>
      <c r="X578" s="4" t="s">
        <v>1615</v>
      </c>
      <c r="Y578" s="4" t="s">
        <v>7079</v>
      </c>
      <c r="Z578" s="4" t="s">
        <v>7079</v>
      </c>
      <c r="AA578" s="3">
        <v>212</v>
      </c>
      <c r="AB578" s="3">
        <v>186</v>
      </c>
      <c r="AC578" s="3">
        <v>188</v>
      </c>
      <c r="AD578" s="3">
        <v>1</v>
      </c>
      <c r="AE578" s="3">
        <v>1</v>
      </c>
      <c r="AF578" s="3">
        <v>5</v>
      </c>
      <c r="AG578" s="3">
        <v>5</v>
      </c>
      <c r="AH578" s="3">
        <v>0</v>
      </c>
      <c r="AI578" s="3">
        <v>0</v>
      </c>
      <c r="AJ578" s="3">
        <v>1</v>
      </c>
      <c r="AK578" s="3">
        <v>1</v>
      </c>
      <c r="AL578" s="3">
        <v>4</v>
      </c>
      <c r="AM578" s="3">
        <v>4</v>
      </c>
      <c r="AN578" s="3">
        <v>0</v>
      </c>
      <c r="AO578" s="3">
        <v>0</v>
      </c>
      <c r="AP578" s="3">
        <v>0</v>
      </c>
      <c r="AQ578" s="3">
        <v>0</v>
      </c>
      <c r="AR578" s="2" t="s">
        <v>5</v>
      </c>
      <c r="AS578" s="2" t="s">
        <v>16</v>
      </c>
      <c r="AT578" s="5" t="str">
        <f>HYPERLINK("http://catalog.hathitrust.org/Record/001836322","HathiTrust Record")</f>
        <v>HathiTrust Record</v>
      </c>
      <c r="AU578" s="5" t="str">
        <f>HYPERLINK("https://creighton-primo.hosted.exlibrisgroup.com/primo-explore/search?tab=default_tab&amp;search_scope=EVERYTHING&amp;vid=01CRU&amp;lang=en_US&amp;offset=0&amp;query=any,contains,991001317339702656","Catalog Record")</f>
        <v>Catalog Record</v>
      </c>
      <c r="AV578" s="5" t="str">
        <f>HYPERLINK("http://www.worldcat.org/oclc/18870709","WorldCat Record")</f>
        <v>WorldCat Record</v>
      </c>
      <c r="AW578" s="2" t="s">
        <v>7080</v>
      </c>
      <c r="AX578" s="2" t="s">
        <v>7081</v>
      </c>
      <c r="AY578" s="2" t="s">
        <v>7082</v>
      </c>
      <c r="AZ578" s="2" t="s">
        <v>7082</v>
      </c>
      <c r="BA578" s="2" t="s">
        <v>7083</v>
      </c>
      <c r="BB578" s="2" t="s">
        <v>21</v>
      </c>
      <c r="BD578" s="2" t="s">
        <v>7084</v>
      </c>
      <c r="BE578" s="2" t="s">
        <v>7085</v>
      </c>
      <c r="BF578" s="2" t="s">
        <v>7086</v>
      </c>
    </row>
    <row r="579" spans="1:58" ht="41.25" customHeight="1" x14ac:dyDescent="0.25">
      <c r="A579" s="8" t="s">
        <v>5</v>
      </c>
      <c r="B579" s="1" t="s">
        <v>0</v>
      </c>
      <c r="C579" s="1" t="s">
        <v>1</v>
      </c>
      <c r="D579" s="1" t="s">
        <v>7087</v>
      </c>
      <c r="E579" s="1" t="s">
        <v>7088</v>
      </c>
      <c r="F579" s="1" t="s">
        <v>7089</v>
      </c>
      <c r="H579" s="2" t="s">
        <v>5</v>
      </c>
      <c r="I579" s="2" t="s">
        <v>6</v>
      </c>
      <c r="J579" s="2" t="s">
        <v>5</v>
      </c>
      <c r="K579" s="2" t="s">
        <v>5</v>
      </c>
      <c r="L579" s="2" t="s">
        <v>7</v>
      </c>
      <c r="N579" s="1" t="s">
        <v>7090</v>
      </c>
      <c r="O579" s="2" t="s">
        <v>210</v>
      </c>
      <c r="Q579" s="2" t="s">
        <v>11</v>
      </c>
      <c r="R579" s="2" t="s">
        <v>1019</v>
      </c>
      <c r="T579" s="2" t="s">
        <v>520</v>
      </c>
      <c r="U579" s="3">
        <v>9</v>
      </c>
      <c r="V579" s="3">
        <v>9</v>
      </c>
      <c r="W579" s="4" t="s">
        <v>7091</v>
      </c>
      <c r="X579" s="4" t="s">
        <v>7091</v>
      </c>
      <c r="Y579" s="4" t="s">
        <v>7092</v>
      </c>
      <c r="Z579" s="4" t="s">
        <v>7092</v>
      </c>
      <c r="AA579" s="3">
        <v>201</v>
      </c>
      <c r="AB579" s="3">
        <v>149</v>
      </c>
      <c r="AC579" s="3">
        <v>223</v>
      </c>
      <c r="AD579" s="3">
        <v>1</v>
      </c>
      <c r="AE579" s="3">
        <v>1</v>
      </c>
      <c r="AF579" s="3">
        <v>11</v>
      </c>
      <c r="AG579" s="3">
        <v>14</v>
      </c>
      <c r="AH579" s="3">
        <v>5</v>
      </c>
      <c r="AI579" s="3">
        <v>7</v>
      </c>
      <c r="AJ579" s="3">
        <v>3</v>
      </c>
      <c r="AK579" s="3">
        <v>4</v>
      </c>
      <c r="AL579" s="3">
        <v>7</v>
      </c>
      <c r="AM579" s="3">
        <v>8</v>
      </c>
      <c r="AN579" s="3">
        <v>0</v>
      </c>
      <c r="AO579" s="3">
        <v>0</v>
      </c>
      <c r="AP579" s="3">
        <v>0</v>
      </c>
      <c r="AQ579" s="3">
        <v>0</v>
      </c>
      <c r="AR579" s="2" t="s">
        <v>5</v>
      </c>
      <c r="AS579" s="2" t="s">
        <v>16</v>
      </c>
      <c r="AT579" s="5" t="str">
        <f>HYPERLINK("http://catalog.hathitrust.org/Record/002584252","HathiTrust Record")</f>
        <v>HathiTrust Record</v>
      </c>
      <c r="AU579" s="5" t="str">
        <f>HYPERLINK("https://creighton-primo.hosted.exlibrisgroup.com/primo-explore/search?tab=default_tab&amp;search_scope=EVERYTHING&amp;vid=01CRU&amp;lang=en_US&amp;offset=0&amp;query=any,contains,991001034919702656","Catalog Record")</f>
        <v>Catalog Record</v>
      </c>
      <c r="AV579" s="5" t="str">
        <f>HYPERLINK("http://www.worldcat.org/oclc/24668293","WorldCat Record")</f>
        <v>WorldCat Record</v>
      </c>
      <c r="AW579" s="2" t="s">
        <v>7093</v>
      </c>
      <c r="AX579" s="2" t="s">
        <v>7094</v>
      </c>
      <c r="AY579" s="2" t="s">
        <v>7095</v>
      </c>
      <c r="AZ579" s="2" t="s">
        <v>7095</v>
      </c>
      <c r="BA579" s="2" t="s">
        <v>7096</v>
      </c>
      <c r="BB579" s="2" t="s">
        <v>21</v>
      </c>
      <c r="BD579" s="2" t="s">
        <v>7097</v>
      </c>
      <c r="BE579" s="2" t="s">
        <v>7098</v>
      </c>
      <c r="BF579" s="2" t="s">
        <v>7099</v>
      </c>
    </row>
    <row r="580" spans="1:58" ht="41.25" customHeight="1" x14ac:dyDescent="0.25">
      <c r="A580" s="8" t="s">
        <v>5</v>
      </c>
      <c r="B580" s="1" t="s">
        <v>0</v>
      </c>
      <c r="C580" s="1" t="s">
        <v>1</v>
      </c>
      <c r="D580" s="1" t="s">
        <v>7100</v>
      </c>
      <c r="E580" s="1" t="s">
        <v>7101</v>
      </c>
      <c r="F580" s="1" t="s">
        <v>7102</v>
      </c>
      <c r="H580" s="2" t="s">
        <v>5</v>
      </c>
      <c r="I580" s="2" t="s">
        <v>6</v>
      </c>
      <c r="J580" s="2" t="s">
        <v>5</v>
      </c>
      <c r="K580" s="2" t="s">
        <v>5</v>
      </c>
      <c r="L580" s="2" t="s">
        <v>7</v>
      </c>
      <c r="N580" s="1" t="s">
        <v>7103</v>
      </c>
      <c r="O580" s="2" t="s">
        <v>734</v>
      </c>
      <c r="Q580" s="2" t="s">
        <v>11</v>
      </c>
      <c r="R580" s="2" t="s">
        <v>426</v>
      </c>
      <c r="T580" s="2" t="s">
        <v>520</v>
      </c>
      <c r="U580" s="3">
        <v>7</v>
      </c>
      <c r="V580" s="3">
        <v>7</v>
      </c>
      <c r="W580" s="4" t="s">
        <v>7104</v>
      </c>
      <c r="X580" s="4" t="s">
        <v>7104</v>
      </c>
      <c r="Y580" s="4" t="s">
        <v>168</v>
      </c>
      <c r="Z580" s="4" t="s">
        <v>168</v>
      </c>
      <c r="AA580" s="3">
        <v>219</v>
      </c>
      <c r="AB580" s="3">
        <v>166</v>
      </c>
      <c r="AC580" s="3">
        <v>173</v>
      </c>
      <c r="AD580" s="3">
        <v>1</v>
      </c>
      <c r="AE580" s="3">
        <v>1</v>
      </c>
      <c r="AF580" s="3">
        <v>3</v>
      </c>
      <c r="AG580" s="3">
        <v>3</v>
      </c>
      <c r="AH580" s="3">
        <v>1</v>
      </c>
      <c r="AI580" s="3">
        <v>1</v>
      </c>
      <c r="AJ580" s="3">
        <v>1</v>
      </c>
      <c r="AK580" s="3">
        <v>1</v>
      </c>
      <c r="AL580" s="3">
        <v>1</v>
      </c>
      <c r="AM580" s="3">
        <v>1</v>
      </c>
      <c r="AN580" s="3">
        <v>0</v>
      </c>
      <c r="AO580" s="3">
        <v>0</v>
      </c>
      <c r="AP580" s="3">
        <v>0</v>
      </c>
      <c r="AQ580" s="3">
        <v>0</v>
      </c>
      <c r="AR580" s="2" t="s">
        <v>5</v>
      </c>
      <c r="AS580" s="2" t="s">
        <v>16</v>
      </c>
      <c r="AT580" s="5" t="str">
        <f>HYPERLINK("http://catalog.hathitrust.org/Record/000317946","HathiTrust Record")</f>
        <v>HathiTrust Record</v>
      </c>
      <c r="AU580" s="5" t="str">
        <f>HYPERLINK("https://creighton-primo.hosted.exlibrisgroup.com/primo-explore/search?tab=default_tab&amp;search_scope=EVERYTHING&amp;vid=01CRU&amp;lang=en_US&amp;offset=0&amp;query=any,contains,991001044819702656","Catalog Record")</f>
        <v>Catalog Record</v>
      </c>
      <c r="AV580" s="5" t="str">
        <f>HYPERLINK("http://www.worldcat.org/oclc/8689449","WorldCat Record")</f>
        <v>WorldCat Record</v>
      </c>
      <c r="AW580" s="2" t="s">
        <v>7105</v>
      </c>
      <c r="AX580" s="2" t="s">
        <v>7106</v>
      </c>
      <c r="AY580" s="2" t="s">
        <v>7107</v>
      </c>
      <c r="AZ580" s="2" t="s">
        <v>7107</v>
      </c>
      <c r="BA580" s="2" t="s">
        <v>7108</v>
      </c>
      <c r="BB580" s="2" t="s">
        <v>21</v>
      </c>
      <c r="BD580" s="2" t="s">
        <v>7109</v>
      </c>
      <c r="BE580" s="2" t="s">
        <v>7110</v>
      </c>
      <c r="BF580" s="2" t="s">
        <v>7111</v>
      </c>
    </row>
    <row r="581" spans="1:58" ht="41.25" customHeight="1" x14ac:dyDescent="0.25">
      <c r="A581" s="8" t="s">
        <v>5</v>
      </c>
      <c r="B581" s="1" t="s">
        <v>0</v>
      </c>
      <c r="C581" s="1" t="s">
        <v>1</v>
      </c>
      <c r="D581" s="1" t="s">
        <v>7112</v>
      </c>
      <c r="E581" s="1" t="s">
        <v>7113</v>
      </c>
      <c r="F581" s="1" t="s">
        <v>7114</v>
      </c>
      <c r="H581" s="2" t="s">
        <v>5</v>
      </c>
      <c r="I581" s="2" t="s">
        <v>6</v>
      </c>
      <c r="J581" s="2" t="s">
        <v>5</v>
      </c>
      <c r="K581" s="2" t="s">
        <v>5</v>
      </c>
      <c r="L581" s="2" t="s">
        <v>7</v>
      </c>
      <c r="M581" s="1" t="s">
        <v>7115</v>
      </c>
      <c r="N581" s="1" t="s">
        <v>7116</v>
      </c>
      <c r="O581" s="2" t="s">
        <v>1339</v>
      </c>
      <c r="Q581" s="2" t="s">
        <v>11</v>
      </c>
      <c r="R581" s="2" t="s">
        <v>426</v>
      </c>
      <c r="T581" s="2" t="s">
        <v>520</v>
      </c>
      <c r="U581" s="3">
        <v>6</v>
      </c>
      <c r="V581" s="3">
        <v>6</v>
      </c>
      <c r="W581" s="4" t="s">
        <v>7068</v>
      </c>
      <c r="X581" s="4" t="s">
        <v>7068</v>
      </c>
      <c r="Y581" s="4" t="s">
        <v>168</v>
      </c>
      <c r="Z581" s="4" t="s">
        <v>168</v>
      </c>
      <c r="AA581" s="3">
        <v>198</v>
      </c>
      <c r="AB581" s="3">
        <v>183</v>
      </c>
      <c r="AC581" s="3">
        <v>190</v>
      </c>
      <c r="AD581" s="3">
        <v>3</v>
      </c>
      <c r="AE581" s="3">
        <v>3</v>
      </c>
      <c r="AF581" s="3">
        <v>8</v>
      </c>
      <c r="AG581" s="3">
        <v>8</v>
      </c>
      <c r="AH581" s="3">
        <v>1</v>
      </c>
      <c r="AI581" s="3">
        <v>1</v>
      </c>
      <c r="AJ581" s="3">
        <v>3</v>
      </c>
      <c r="AK581" s="3">
        <v>3</v>
      </c>
      <c r="AL581" s="3">
        <v>5</v>
      </c>
      <c r="AM581" s="3">
        <v>5</v>
      </c>
      <c r="AN581" s="3">
        <v>2</v>
      </c>
      <c r="AO581" s="3">
        <v>2</v>
      </c>
      <c r="AP581" s="3">
        <v>0</v>
      </c>
      <c r="AQ581" s="3">
        <v>0</v>
      </c>
      <c r="AR581" s="2" t="s">
        <v>5</v>
      </c>
      <c r="AS581" s="2" t="s">
        <v>16</v>
      </c>
      <c r="AT581" s="5" t="str">
        <f>HYPERLINK("http://catalog.hathitrust.org/Record/000814912","HathiTrust Record")</f>
        <v>HathiTrust Record</v>
      </c>
      <c r="AU581" s="5" t="str">
        <f>HYPERLINK("https://creighton-primo.hosted.exlibrisgroup.com/primo-explore/search?tab=default_tab&amp;search_scope=EVERYTHING&amp;vid=01CRU&amp;lang=en_US&amp;offset=0&amp;query=any,contains,991000766279702656","Catalog Record")</f>
        <v>Catalog Record</v>
      </c>
      <c r="AV581" s="5" t="str">
        <f>HYPERLINK("http://www.worldcat.org/oclc/15083345","WorldCat Record")</f>
        <v>WorldCat Record</v>
      </c>
      <c r="AW581" s="2" t="s">
        <v>7117</v>
      </c>
      <c r="AX581" s="2" t="s">
        <v>7118</v>
      </c>
      <c r="AY581" s="2" t="s">
        <v>7119</v>
      </c>
      <c r="AZ581" s="2" t="s">
        <v>7119</v>
      </c>
      <c r="BA581" s="2" t="s">
        <v>7120</v>
      </c>
      <c r="BB581" s="2" t="s">
        <v>21</v>
      </c>
      <c r="BD581" s="2" t="s">
        <v>7121</v>
      </c>
      <c r="BE581" s="2" t="s">
        <v>7122</v>
      </c>
      <c r="BF581" s="2" t="s">
        <v>7123</v>
      </c>
    </row>
    <row r="582" spans="1:58" ht="41.25" customHeight="1" x14ac:dyDescent="0.25">
      <c r="A582" s="8" t="s">
        <v>5</v>
      </c>
      <c r="B582" s="1" t="s">
        <v>0</v>
      </c>
      <c r="C582" s="1" t="s">
        <v>1</v>
      </c>
      <c r="D582" s="1" t="s">
        <v>7124</v>
      </c>
      <c r="E582" s="1" t="s">
        <v>7125</v>
      </c>
      <c r="F582" s="1" t="s">
        <v>7126</v>
      </c>
      <c r="H582" s="2" t="s">
        <v>5</v>
      </c>
      <c r="I582" s="2" t="s">
        <v>6</v>
      </c>
      <c r="J582" s="2" t="s">
        <v>5</v>
      </c>
      <c r="K582" s="2" t="s">
        <v>5</v>
      </c>
      <c r="L582" s="2" t="s">
        <v>7</v>
      </c>
      <c r="M582" s="1" t="s">
        <v>7127</v>
      </c>
      <c r="N582" s="1" t="s">
        <v>1220</v>
      </c>
      <c r="O582" s="2" t="s">
        <v>62</v>
      </c>
      <c r="Q582" s="2" t="s">
        <v>11</v>
      </c>
      <c r="R582" s="2" t="s">
        <v>12</v>
      </c>
      <c r="S582" s="1" t="s">
        <v>7128</v>
      </c>
      <c r="T582" s="2" t="s">
        <v>520</v>
      </c>
      <c r="U582" s="3">
        <v>3</v>
      </c>
      <c r="V582" s="3">
        <v>3</v>
      </c>
      <c r="W582" s="4" t="s">
        <v>7129</v>
      </c>
      <c r="X582" s="4" t="s">
        <v>7129</v>
      </c>
      <c r="Y582" s="4" t="s">
        <v>1249</v>
      </c>
      <c r="Z582" s="4" t="s">
        <v>1249</v>
      </c>
      <c r="AA582" s="3">
        <v>86</v>
      </c>
      <c r="AB582" s="3">
        <v>76</v>
      </c>
      <c r="AC582" s="3">
        <v>79</v>
      </c>
      <c r="AD582" s="3">
        <v>1</v>
      </c>
      <c r="AE582" s="3">
        <v>1</v>
      </c>
      <c r="AF582" s="3">
        <v>1</v>
      </c>
      <c r="AG582" s="3">
        <v>1</v>
      </c>
      <c r="AH582" s="3">
        <v>0</v>
      </c>
      <c r="AI582" s="3">
        <v>0</v>
      </c>
      <c r="AJ582" s="3">
        <v>0</v>
      </c>
      <c r="AK582" s="3">
        <v>0</v>
      </c>
      <c r="AL582" s="3">
        <v>1</v>
      </c>
      <c r="AM582" s="3">
        <v>1</v>
      </c>
      <c r="AN582" s="3">
        <v>0</v>
      </c>
      <c r="AO582" s="3">
        <v>0</v>
      </c>
      <c r="AP582" s="3">
        <v>0</v>
      </c>
      <c r="AQ582" s="3">
        <v>0</v>
      </c>
      <c r="AR582" s="2" t="s">
        <v>5</v>
      </c>
      <c r="AS582" s="2" t="s">
        <v>16</v>
      </c>
      <c r="AT582" s="5" t="str">
        <f>HYPERLINK("http://catalog.hathitrust.org/Record/000175979","HathiTrust Record")</f>
        <v>HathiTrust Record</v>
      </c>
      <c r="AU582" s="5" t="str">
        <f>HYPERLINK("https://creighton-primo.hosted.exlibrisgroup.com/primo-explore/search?tab=default_tab&amp;search_scope=EVERYTHING&amp;vid=01CRU&amp;lang=en_US&amp;offset=0&amp;query=any,contains,991001385529702656","Catalog Record")</f>
        <v>Catalog Record</v>
      </c>
      <c r="AV582" s="5" t="str">
        <f>HYPERLINK("http://www.worldcat.org/oclc/3989787","WorldCat Record")</f>
        <v>WorldCat Record</v>
      </c>
      <c r="AW582" s="2" t="s">
        <v>7130</v>
      </c>
      <c r="AX582" s="2" t="s">
        <v>7131</v>
      </c>
      <c r="AY582" s="2" t="s">
        <v>7132</v>
      </c>
      <c r="AZ582" s="2" t="s">
        <v>7132</v>
      </c>
      <c r="BA582" s="2" t="s">
        <v>7133</v>
      </c>
      <c r="BB582" s="2" t="s">
        <v>21</v>
      </c>
      <c r="BE582" s="2" t="s">
        <v>7134</v>
      </c>
      <c r="BF582" s="2" t="s">
        <v>7135</v>
      </c>
    </row>
    <row r="583" spans="1:58" ht="41.25" customHeight="1" x14ac:dyDescent="0.25">
      <c r="A583" s="8" t="s">
        <v>5</v>
      </c>
      <c r="B583" s="1" t="s">
        <v>0</v>
      </c>
      <c r="C583" s="1" t="s">
        <v>1</v>
      </c>
      <c r="D583" s="1" t="s">
        <v>7136</v>
      </c>
      <c r="E583" s="1" t="s">
        <v>7137</v>
      </c>
      <c r="F583" s="1" t="s">
        <v>7138</v>
      </c>
      <c r="H583" s="2" t="s">
        <v>5</v>
      </c>
      <c r="I583" s="2" t="s">
        <v>6</v>
      </c>
      <c r="J583" s="2" t="s">
        <v>5</v>
      </c>
      <c r="K583" s="2" t="s">
        <v>16</v>
      </c>
      <c r="L583" s="2" t="s">
        <v>7</v>
      </c>
      <c r="M583" s="1" t="s">
        <v>90</v>
      </c>
      <c r="N583" s="1" t="s">
        <v>7139</v>
      </c>
      <c r="O583" s="2" t="s">
        <v>1339</v>
      </c>
      <c r="P583" s="1" t="s">
        <v>7140</v>
      </c>
      <c r="Q583" s="2" t="s">
        <v>11</v>
      </c>
      <c r="R583" s="2" t="s">
        <v>12</v>
      </c>
      <c r="T583" s="2" t="s">
        <v>520</v>
      </c>
      <c r="U583" s="3">
        <v>12</v>
      </c>
      <c r="V583" s="3">
        <v>12</v>
      </c>
      <c r="W583" s="4" t="s">
        <v>216</v>
      </c>
      <c r="X583" s="4" t="s">
        <v>216</v>
      </c>
      <c r="Y583" s="4" t="s">
        <v>7141</v>
      </c>
      <c r="Z583" s="4" t="s">
        <v>7141</v>
      </c>
      <c r="AA583" s="3">
        <v>5</v>
      </c>
      <c r="AB583" s="3">
        <v>5</v>
      </c>
      <c r="AC583" s="3">
        <v>28</v>
      </c>
      <c r="AD583" s="3">
        <v>1</v>
      </c>
      <c r="AE583" s="3">
        <v>1</v>
      </c>
      <c r="AF583" s="3">
        <v>0</v>
      </c>
      <c r="AG583" s="3">
        <v>1</v>
      </c>
      <c r="AH583" s="3">
        <v>0</v>
      </c>
      <c r="AI583" s="3">
        <v>0</v>
      </c>
      <c r="AJ583" s="3">
        <v>0</v>
      </c>
      <c r="AK583" s="3">
        <v>1</v>
      </c>
      <c r="AL583" s="3">
        <v>0</v>
      </c>
      <c r="AM583" s="3">
        <v>0</v>
      </c>
      <c r="AN583" s="3">
        <v>0</v>
      </c>
      <c r="AO583" s="3">
        <v>0</v>
      </c>
      <c r="AP583" s="3">
        <v>0</v>
      </c>
      <c r="AQ583" s="3">
        <v>0</v>
      </c>
      <c r="AR583" s="2" t="s">
        <v>5</v>
      </c>
      <c r="AS583" s="2" t="s">
        <v>5</v>
      </c>
      <c r="AU583" s="5" t="str">
        <f>HYPERLINK("https://creighton-primo.hosted.exlibrisgroup.com/primo-explore/search?tab=default_tab&amp;search_scope=EVERYTHING&amp;vid=01CRU&amp;lang=en_US&amp;offset=0&amp;query=any,contains,991001415169702656","Catalog Record")</f>
        <v>Catalog Record</v>
      </c>
      <c r="AV583" s="5" t="str">
        <f>HYPERLINK("http://www.worldcat.org/oclc/19841923","WorldCat Record")</f>
        <v>WorldCat Record</v>
      </c>
      <c r="AW583" s="2" t="s">
        <v>7142</v>
      </c>
      <c r="AX583" s="2" t="s">
        <v>7143</v>
      </c>
      <c r="AY583" s="2" t="s">
        <v>7144</v>
      </c>
      <c r="AZ583" s="2" t="s">
        <v>7144</v>
      </c>
      <c r="BA583" s="2" t="s">
        <v>7145</v>
      </c>
      <c r="BB583" s="2" t="s">
        <v>21</v>
      </c>
      <c r="BE583" s="2" t="s">
        <v>7146</v>
      </c>
      <c r="BF583" s="2" t="s">
        <v>7147</v>
      </c>
    </row>
    <row r="584" spans="1:58" ht="41.25" customHeight="1" x14ac:dyDescent="0.25">
      <c r="A584" s="8" t="s">
        <v>5</v>
      </c>
      <c r="B584" s="1" t="s">
        <v>0</v>
      </c>
      <c r="C584" s="1" t="s">
        <v>1</v>
      </c>
      <c r="D584" s="1" t="s">
        <v>7148</v>
      </c>
      <c r="E584" s="1" t="s">
        <v>7149</v>
      </c>
      <c r="F584" s="1" t="s">
        <v>7150</v>
      </c>
      <c r="H584" s="2" t="s">
        <v>5</v>
      </c>
      <c r="I584" s="2" t="s">
        <v>6</v>
      </c>
      <c r="J584" s="2" t="s">
        <v>5</v>
      </c>
      <c r="K584" s="2" t="s">
        <v>5</v>
      </c>
      <c r="L584" s="2" t="s">
        <v>7</v>
      </c>
      <c r="N584" s="1" t="s">
        <v>7151</v>
      </c>
      <c r="O584" s="2" t="s">
        <v>4990</v>
      </c>
      <c r="Q584" s="2" t="s">
        <v>11</v>
      </c>
      <c r="R584" s="2" t="s">
        <v>78</v>
      </c>
      <c r="T584" s="2" t="s">
        <v>520</v>
      </c>
      <c r="U584" s="3">
        <v>2</v>
      </c>
      <c r="V584" s="3">
        <v>2</v>
      </c>
      <c r="W584" s="4" t="s">
        <v>7152</v>
      </c>
      <c r="X584" s="4" t="s">
        <v>7152</v>
      </c>
      <c r="Y584" s="4" t="s">
        <v>7153</v>
      </c>
      <c r="Z584" s="4" t="s">
        <v>7153</v>
      </c>
      <c r="AA584" s="3">
        <v>11</v>
      </c>
      <c r="AB584" s="3">
        <v>9</v>
      </c>
      <c r="AC584" s="3">
        <v>9</v>
      </c>
      <c r="AD584" s="3">
        <v>1</v>
      </c>
      <c r="AE584" s="3">
        <v>1</v>
      </c>
      <c r="AF584" s="3">
        <v>1</v>
      </c>
      <c r="AG584" s="3">
        <v>1</v>
      </c>
      <c r="AH584" s="3">
        <v>0</v>
      </c>
      <c r="AI584" s="3">
        <v>0</v>
      </c>
      <c r="AJ584" s="3">
        <v>1</v>
      </c>
      <c r="AK584" s="3">
        <v>1</v>
      </c>
      <c r="AL584" s="3">
        <v>0</v>
      </c>
      <c r="AM584" s="3">
        <v>0</v>
      </c>
      <c r="AN584" s="3">
        <v>0</v>
      </c>
      <c r="AO584" s="3">
        <v>0</v>
      </c>
      <c r="AP584" s="3">
        <v>0</v>
      </c>
      <c r="AQ584" s="3">
        <v>0</v>
      </c>
      <c r="AR584" s="2" t="s">
        <v>5</v>
      </c>
      <c r="AS584" s="2" t="s">
        <v>5</v>
      </c>
      <c r="AU584" s="5" t="str">
        <f>HYPERLINK("https://creighton-primo.hosted.exlibrisgroup.com/primo-explore/search?tab=default_tab&amp;search_scope=EVERYTHING&amp;vid=01CRU&amp;lang=en_US&amp;offset=0&amp;query=any,contains,991000336379702656","Catalog Record")</f>
        <v>Catalog Record</v>
      </c>
      <c r="AV584" s="5" t="str">
        <f>HYPERLINK("http://www.worldcat.org/oclc/50258923","WorldCat Record")</f>
        <v>WorldCat Record</v>
      </c>
      <c r="AW584" s="2" t="s">
        <v>7154</v>
      </c>
      <c r="AX584" s="2" t="s">
        <v>7155</v>
      </c>
      <c r="AY584" s="2" t="s">
        <v>7156</v>
      </c>
      <c r="AZ584" s="2" t="s">
        <v>7156</v>
      </c>
      <c r="BA584" s="2" t="s">
        <v>7157</v>
      </c>
      <c r="BB584" s="2" t="s">
        <v>21</v>
      </c>
      <c r="BD584" s="2" t="s">
        <v>7158</v>
      </c>
      <c r="BE584" s="2" t="s">
        <v>7159</v>
      </c>
      <c r="BF584" s="2" t="s">
        <v>7160</v>
      </c>
    </row>
    <row r="585" spans="1:58" ht="41.25" customHeight="1" x14ac:dyDescent="0.25">
      <c r="A585" s="8" t="s">
        <v>5</v>
      </c>
      <c r="B585" s="1" t="s">
        <v>0</v>
      </c>
      <c r="C585" s="1" t="s">
        <v>1</v>
      </c>
      <c r="D585" s="1" t="s">
        <v>7161</v>
      </c>
      <c r="E585" s="1" t="s">
        <v>7162</v>
      </c>
      <c r="F585" s="1" t="s">
        <v>7163</v>
      </c>
      <c r="H585" s="2" t="s">
        <v>5</v>
      </c>
      <c r="I585" s="2" t="s">
        <v>6</v>
      </c>
      <c r="J585" s="2" t="s">
        <v>5</v>
      </c>
      <c r="K585" s="2" t="s">
        <v>5</v>
      </c>
      <c r="L585" s="2" t="s">
        <v>7</v>
      </c>
      <c r="M585" s="1" t="s">
        <v>7164</v>
      </c>
      <c r="N585" s="1" t="s">
        <v>1403</v>
      </c>
      <c r="O585" s="2" t="s">
        <v>285</v>
      </c>
      <c r="Q585" s="2" t="s">
        <v>11</v>
      </c>
      <c r="R585" s="2" t="s">
        <v>12</v>
      </c>
      <c r="S585" s="1" t="s">
        <v>7165</v>
      </c>
      <c r="T585" s="2" t="s">
        <v>520</v>
      </c>
      <c r="U585" s="3">
        <v>1</v>
      </c>
      <c r="V585" s="3">
        <v>1</v>
      </c>
      <c r="W585" s="4" t="s">
        <v>3195</v>
      </c>
      <c r="X585" s="4" t="s">
        <v>3195</v>
      </c>
      <c r="Y585" s="4" t="s">
        <v>1578</v>
      </c>
      <c r="Z585" s="4" t="s">
        <v>1578</v>
      </c>
      <c r="AA585" s="3">
        <v>86</v>
      </c>
      <c r="AB585" s="3">
        <v>78</v>
      </c>
      <c r="AC585" s="3">
        <v>80</v>
      </c>
      <c r="AD585" s="3">
        <v>2</v>
      </c>
      <c r="AE585" s="3">
        <v>2</v>
      </c>
      <c r="AF585" s="3">
        <v>3</v>
      </c>
      <c r="AG585" s="3">
        <v>3</v>
      </c>
      <c r="AH585" s="3">
        <v>1</v>
      </c>
      <c r="AI585" s="3">
        <v>1</v>
      </c>
      <c r="AJ585" s="3">
        <v>0</v>
      </c>
      <c r="AK585" s="3">
        <v>0</v>
      </c>
      <c r="AL585" s="3">
        <v>2</v>
      </c>
      <c r="AM585" s="3">
        <v>2</v>
      </c>
      <c r="AN585" s="3">
        <v>0</v>
      </c>
      <c r="AO585" s="3">
        <v>0</v>
      </c>
      <c r="AP585" s="3">
        <v>0</v>
      </c>
      <c r="AQ585" s="3">
        <v>0</v>
      </c>
      <c r="AR585" s="2" t="s">
        <v>5</v>
      </c>
      <c r="AS585" s="2" t="s">
        <v>16</v>
      </c>
      <c r="AT585" s="5" t="str">
        <f>HYPERLINK("http://catalog.hathitrust.org/Record/000759086","HathiTrust Record")</f>
        <v>HathiTrust Record</v>
      </c>
      <c r="AU585" s="5" t="str">
        <f>HYPERLINK("https://creighton-primo.hosted.exlibrisgroup.com/primo-explore/search?tab=default_tab&amp;search_scope=EVERYTHING&amp;vid=01CRU&amp;lang=en_US&amp;offset=0&amp;query=any,contains,991001379029702656","Catalog Record")</f>
        <v>Catalog Record</v>
      </c>
      <c r="AV585" s="5" t="str">
        <f>HYPERLINK("http://www.worldcat.org/oclc/5584082","WorldCat Record")</f>
        <v>WorldCat Record</v>
      </c>
      <c r="AW585" s="2" t="s">
        <v>7166</v>
      </c>
      <c r="AX585" s="2" t="s">
        <v>7167</v>
      </c>
      <c r="AY585" s="2" t="s">
        <v>7168</v>
      </c>
      <c r="AZ585" s="2" t="s">
        <v>7168</v>
      </c>
      <c r="BA585" s="2" t="s">
        <v>7169</v>
      </c>
      <c r="BB585" s="2" t="s">
        <v>21</v>
      </c>
      <c r="BE585" s="2" t="s">
        <v>7170</v>
      </c>
      <c r="BF585" s="2" t="s">
        <v>7171</v>
      </c>
    </row>
    <row r="586" spans="1:58" ht="41.25" customHeight="1" x14ac:dyDescent="0.25">
      <c r="A586" s="8" t="s">
        <v>5</v>
      </c>
      <c r="B586" s="1" t="s">
        <v>0</v>
      </c>
      <c r="C586" s="1" t="s">
        <v>1</v>
      </c>
      <c r="D586" s="1" t="s">
        <v>7172</v>
      </c>
      <c r="E586" s="1" t="s">
        <v>7173</v>
      </c>
      <c r="F586" s="1" t="s">
        <v>7174</v>
      </c>
      <c r="H586" s="2" t="s">
        <v>5</v>
      </c>
      <c r="I586" s="2" t="s">
        <v>6</v>
      </c>
      <c r="J586" s="2" t="s">
        <v>5</v>
      </c>
      <c r="K586" s="2" t="s">
        <v>5</v>
      </c>
      <c r="L586" s="2" t="s">
        <v>7</v>
      </c>
      <c r="M586" s="1" t="s">
        <v>7175</v>
      </c>
      <c r="N586" s="1" t="s">
        <v>4390</v>
      </c>
      <c r="O586" s="2" t="s">
        <v>228</v>
      </c>
      <c r="Q586" s="2" t="s">
        <v>11</v>
      </c>
      <c r="R586" s="2" t="s">
        <v>12</v>
      </c>
      <c r="S586" s="1" t="s">
        <v>7176</v>
      </c>
      <c r="T586" s="2" t="s">
        <v>520</v>
      </c>
      <c r="U586" s="3">
        <v>3</v>
      </c>
      <c r="V586" s="3">
        <v>3</v>
      </c>
      <c r="W586" s="4" t="s">
        <v>7177</v>
      </c>
      <c r="X586" s="4" t="s">
        <v>7177</v>
      </c>
      <c r="Y586" s="4" t="s">
        <v>1718</v>
      </c>
      <c r="Z586" s="4" t="s">
        <v>1718</v>
      </c>
      <c r="AA586" s="3">
        <v>53</v>
      </c>
      <c r="AB586" s="3">
        <v>48</v>
      </c>
      <c r="AC586" s="3">
        <v>51</v>
      </c>
      <c r="AD586" s="3">
        <v>1</v>
      </c>
      <c r="AE586" s="3">
        <v>1</v>
      </c>
      <c r="AF586" s="3">
        <v>3</v>
      </c>
      <c r="AG586" s="3">
        <v>3</v>
      </c>
      <c r="AH586" s="3">
        <v>1</v>
      </c>
      <c r="AI586" s="3">
        <v>1</v>
      </c>
      <c r="AJ586" s="3">
        <v>0</v>
      </c>
      <c r="AK586" s="3">
        <v>0</v>
      </c>
      <c r="AL586" s="3">
        <v>2</v>
      </c>
      <c r="AM586" s="3">
        <v>2</v>
      </c>
      <c r="AN586" s="3">
        <v>0</v>
      </c>
      <c r="AO586" s="3">
        <v>0</v>
      </c>
      <c r="AP586" s="3">
        <v>0</v>
      </c>
      <c r="AQ586" s="3">
        <v>0</v>
      </c>
      <c r="AR586" s="2" t="s">
        <v>5</v>
      </c>
      <c r="AS586" s="2" t="s">
        <v>5</v>
      </c>
      <c r="AU586" s="5" t="str">
        <f>HYPERLINK("https://creighton-primo.hosted.exlibrisgroup.com/primo-explore/search?tab=default_tab&amp;search_scope=EVERYTHING&amp;vid=01CRU&amp;lang=en_US&amp;offset=0&amp;query=any,contains,991001382519702656","Catalog Record")</f>
        <v>Catalog Record</v>
      </c>
      <c r="AV586" s="5" t="str">
        <f>HYPERLINK("http://www.worldcat.org/oclc/9209950","WorldCat Record")</f>
        <v>WorldCat Record</v>
      </c>
      <c r="AW586" s="2" t="s">
        <v>7178</v>
      </c>
      <c r="AX586" s="2" t="s">
        <v>7179</v>
      </c>
      <c r="AY586" s="2" t="s">
        <v>7180</v>
      </c>
      <c r="AZ586" s="2" t="s">
        <v>7180</v>
      </c>
      <c r="BA586" s="2" t="s">
        <v>7181</v>
      </c>
      <c r="BB586" s="2" t="s">
        <v>21</v>
      </c>
      <c r="BE586" s="2" t="s">
        <v>7182</v>
      </c>
      <c r="BF586" s="2" t="s">
        <v>7183</v>
      </c>
    </row>
    <row r="587" spans="1:58" ht="41.25" customHeight="1" x14ac:dyDescent="0.25">
      <c r="A587" s="8" t="s">
        <v>5</v>
      </c>
      <c r="B587" s="1" t="s">
        <v>0</v>
      </c>
      <c r="C587" s="1" t="s">
        <v>1</v>
      </c>
      <c r="D587" s="1" t="s">
        <v>7184</v>
      </c>
      <c r="E587" s="1" t="s">
        <v>7185</v>
      </c>
      <c r="F587" s="1" t="s">
        <v>7186</v>
      </c>
      <c r="H587" s="2" t="s">
        <v>5</v>
      </c>
      <c r="I587" s="2" t="s">
        <v>6</v>
      </c>
      <c r="J587" s="2" t="s">
        <v>5</v>
      </c>
      <c r="K587" s="2" t="s">
        <v>5</v>
      </c>
      <c r="L587" s="2" t="s">
        <v>7</v>
      </c>
      <c r="M587" s="1" t="s">
        <v>7187</v>
      </c>
      <c r="N587" s="1" t="s">
        <v>7188</v>
      </c>
      <c r="O587" s="2" t="s">
        <v>151</v>
      </c>
      <c r="Q587" s="2" t="s">
        <v>11</v>
      </c>
      <c r="R587" s="2" t="s">
        <v>93</v>
      </c>
      <c r="S587" s="1" t="s">
        <v>7189</v>
      </c>
      <c r="T587" s="2" t="s">
        <v>520</v>
      </c>
      <c r="U587" s="3">
        <v>4</v>
      </c>
      <c r="V587" s="3">
        <v>4</v>
      </c>
      <c r="W587" s="4" t="s">
        <v>7177</v>
      </c>
      <c r="X587" s="4" t="s">
        <v>7177</v>
      </c>
      <c r="Y587" s="4" t="s">
        <v>1539</v>
      </c>
      <c r="Z587" s="4" t="s">
        <v>1539</v>
      </c>
      <c r="AA587" s="3">
        <v>126</v>
      </c>
      <c r="AB587" s="3">
        <v>111</v>
      </c>
      <c r="AC587" s="3">
        <v>122</v>
      </c>
      <c r="AD587" s="3">
        <v>2</v>
      </c>
      <c r="AE587" s="3">
        <v>2</v>
      </c>
      <c r="AF587" s="3">
        <v>6</v>
      </c>
      <c r="AG587" s="3">
        <v>6</v>
      </c>
      <c r="AH587" s="3">
        <v>0</v>
      </c>
      <c r="AI587" s="3">
        <v>0</v>
      </c>
      <c r="AJ587" s="3">
        <v>2</v>
      </c>
      <c r="AK587" s="3">
        <v>2</v>
      </c>
      <c r="AL587" s="3">
        <v>3</v>
      </c>
      <c r="AM587" s="3">
        <v>3</v>
      </c>
      <c r="AN587" s="3">
        <v>1</v>
      </c>
      <c r="AO587" s="3">
        <v>1</v>
      </c>
      <c r="AP587" s="3">
        <v>0</v>
      </c>
      <c r="AQ587" s="3">
        <v>0</v>
      </c>
      <c r="AR587" s="2" t="s">
        <v>16</v>
      </c>
      <c r="AS587" s="2" t="s">
        <v>5</v>
      </c>
      <c r="AT587" s="5" t="str">
        <f>HYPERLINK("http://catalog.hathitrust.org/Record/000252032","HathiTrust Record")</f>
        <v>HathiTrust Record</v>
      </c>
      <c r="AU587" s="5" t="str">
        <f>HYPERLINK("https://creighton-primo.hosted.exlibrisgroup.com/primo-explore/search?tab=default_tab&amp;search_scope=EVERYTHING&amp;vid=01CRU&amp;lang=en_US&amp;offset=0&amp;query=any,contains,991001013939702656","Catalog Record")</f>
        <v>Catalog Record</v>
      </c>
      <c r="AV587" s="5" t="str">
        <f>HYPERLINK("http://www.worldcat.org/oclc/3018349","WorldCat Record")</f>
        <v>WorldCat Record</v>
      </c>
      <c r="AW587" s="2" t="s">
        <v>7190</v>
      </c>
      <c r="AX587" s="2" t="s">
        <v>7191</v>
      </c>
      <c r="AY587" s="2" t="s">
        <v>7192</v>
      </c>
      <c r="AZ587" s="2" t="s">
        <v>7192</v>
      </c>
      <c r="BA587" s="2" t="s">
        <v>7193</v>
      </c>
      <c r="BB587" s="2" t="s">
        <v>21</v>
      </c>
      <c r="BE587" s="2" t="s">
        <v>7194</v>
      </c>
      <c r="BF587" s="2" t="s">
        <v>7195</v>
      </c>
    </row>
    <row r="588" spans="1:58" ht="41.25" customHeight="1" x14ac:dyDescent="0.25">
      <c r="A588" s="8" t="s">
        <v>5</v>
      </c>
      <c r="B588" s="1" t="s">
        <v>0</v>
      </c>
      <c r="C588" s="1" t="s">
        <v>1</v>
      </c>
      <c r="D588" s="1" t="s">
        <v>7196</v>
      </c>
      <c r="E588" s="1" t="s">
        <v>7197</v>
      </c>
      <c r="F588" s="1" t="s">
        <v>7198</v>
      </c>
      <c r="H588" s="2" t="s">
        <v>5</v>
      </c>
      <c r="I588" s="2" t="s">
        <v>6</v>
      </c>
      <c r="J588" s="2" t="s">
        <v>5</v>
      </c>
      <c r="K588" s="2" t="s">
        <v>5</v>
      </c>
      <c r="L588" s="2" t="s">
        <v>7</v>
      </c>
      <c r="M588" s="1" t="s">
        <v>7199</v>
      </c>
      <c r="N588" s="1" t="s">
        <v>3205</v>
      </c>
      <c r="O588" s="2" t="s">
        <v>414</v>
      </c>
      <c r="P588" s="1" t="s">
        <v>7200</v>
      </c>
      <c r="Q588" s="2" t="s">
        <v>11</v>
      </c>
      <c r="R588" s="2" t="s">
        <v>12</v>
      </c>
      <c r="S588" s="1" t="s">
        <v>7201</v>
      </c>
      <c r="T588" s="2" t="s">
        <v>520</v>
      </c>
      <c r="U588" s="3">
        <v>1</v>
      </c>
      <c r="V588" s="3">
        <v>1</v>
      </c>
      <c r="W588" s="4" t="s">
        <v>1840</v>
      </c>
      <c r="X588" s="4" t="s">
        <v>1840</v>
      </c>
      <c r="Y588" s="4" t="s">
        <v>577</v>
      </c>
      <c r="Z588" s="4" t="s">
        <v>577</v>
      </c>
      <c r="AA588" s="3">
        <v>23</v>
      </c>
      <c r="AB588" s="3">
        <v>21</v>
      </c>
      <c r="AC588" s="3">
        <v>48</v>
      </c>
      <c r="AD588" s="3">
        <v>1</v>
      </c>
      <c r="AE588" s="3">
        <v>1</v>
      </c>
      <c r="AF588" s="3">
        <v>2</v>
      </c>
      <c r="AG588" s="3">
        <v>3</v>
      </c>
      <c r="AH588" s="3">
        <v>0</v>
      </c>
      <c r="AI588" s="3">
        <v>0</v>
      </c>
      <c r="AJ588" s="3">
        <v>0</v>
      </c>
      <c r="AK588" s="3">
        <v>0</v>
      </c>
      <c r="AL588" s="3">
        <v>2</v>
      </c>
      <c r="AM588" s="3">
        <v>3</v>
      </c>
      <c r="AN588" s="3">
        <v>0</v>
      </c>
      <c r="AO588" s="3">
        <v>0</v>
      </c>
      <c r="AP588" s="3">
        <v>0</v>
      </c>
      <c r="AQ588" s="3">
        <v>0</v>
      </c>
      <c r="AR588" s="2" t="s">
        <v>5</v>
      </c>
      <c r="AS588" s="2" t="s">
        <v>5</v>
      </c>
      <c r="AU588" s="5" t="str">
        <f>HYPERLINK("https://creighton-primo.hosted.exlibrisgroup.com/primo-explore/search?tab=default_tab&amp;search_scope=EVERYTHING&amp;vid=01CRU&amp;lang=en_US&amp;offset=0&amp;query=any,contains,991001360919702656","Catalog Record")</f>
        <v>Catalog Record</v>
      </c>
      <c r="AV588" s="5" t="str">
        <f>HYPERLINK("http://www.worldcat.org/oclc/6068202","WorldCat Record")</f>
        <v>WorldCat Record</v>
      </c>
      <c r="AW588" s="2" t="s">
        <v>7202</v>
      </c>
      <c r="AX588" s="2" t="s">
        <v>7203</v>
      </c>
      <c r="AY588" s="2" t="s">
        <v>7204</v>
      </c>
      <c r="AZ588" s="2" t="s">
        <v>7204</v>
      </c>
      <c r="BA588" s="2" t="s">
        <v>7205</v>
      </c>
      <c r="BB588" s="2" t="s">
        <v>21</v>
      </c>
      <c r="BE588" s="2" t="s">
        <v>7206</v>
      </c>
      <c r="BF588" s="2" t="s">
        <v>7207</v>
      </c>
    </row>
    <row r="589" spans="1:58" ht="41.25" customHeight="1" x14ac:dyDescent="0.25">
      <c r="A589" s="8" t="s">
        <v>5</v>
      </c>
      <c r="B589" s="1" t="s">
        <v>0</v>
      </c>
      <c r="C589" s="1" t="s">
        <v>1</v>
      </c>
      <c r="D589" s="1" t="s">
        <v>7208</v>
      </c>
      <c r="E589" s="1" t="s">
        <v>7209</v>
      </c>
      <c r="F589" s="1" t="s">
        <v>7210</v>
      </c>
      <c r="H589" s="2" t="s">
        <v>5</v>
      </c>
      <c r="I589" s="2" t="s">
        <v>6</v>
      </c>
      <c r="J589" s="2" t="s">
        <v>5</v>
      </c>
      <c r="K589" s="2" t="s">
        <v>16</v>
      </c>
      <c r="L589" s="2" t="s">
        <v>7</v>
      </c>
      <c r="N589" s="1" t="s">
        <v>4186</v>
      </c>
      <c r="O589" s="2" t="s">
        <v>872</v>
      </c>
      <c r="Q589" s="2" t="s">
        <v>11</v>
      </c>
      <c r="R589" s="2" t="s">
        <v>12</v>
      </c>
      <c r="S589" s="1" t="s">
        <v>7211</v>
      </c>
      <c r="T589" s="2" t="s">
        <v>520</v>
      </c>
      <c r="U589" s="3">
        <v>2</v>
      </c>
      <c r="V589" s="3">
        <v>2</v>
      </c>
      <c r="W589" s="4" t="s">
        <v>7212</v>
      </c>
      <c r="X589" s="4" t="s">
        <v>7212</v>
      </c>
      <c r="Y589" s="4" t="s">
        <v>7213</v>
      </c>
      <c r="Z589" s="4" t="s">
        <v>7213</v>
      </c>
      <c r="AA589" s="3">
        <v>64</v>
      </c>
      <c r="AB589" s="3">
        <v>56</v>
      </c>
      <c r="AC589" s="3">
        <v>95</v>
      </c>
      <c r="AD589" s="3">
        <v>2</v>
      </c>
      <c r="AE589" s="3">
        <v>3</v>
      </c>
      <c r="AF589" s="3">
        <v>3</v>
      </c>
      <c r="AG589" s="3">
        <v>6</v>
      </c>
      <c r="AH589" s="3">
        <v>0</v>
      </c>
      <c r="AI589" s="3">
        <v>2</v>
      </c>
      <c r="AJ589" s="3">
        <v>0</v>
      </c>
      <c r="AK589" s="3">
        <v>0</v>
      </c>
      <c r="AL589" s="3">
        <v>3</v>
      </c>
      <c r="AM589" s="3">
        <v>3</v>
      </c>
      <c r="AN589" s="3">
        <v>0</v>
      </c>
      <c r="AO589" s="3">
        <v>1</v>
      </c>
      <c r="AP589" s="3">
        <v>0</v>
      </c>
      <c r="AQ589" s="3">
        <v>0</v>
      </c>
      <c r="AR589" s="2" t="s">
        <v>5</v>
      </c>
      <c r="AS589" s="2" t="s">
        <v>5</v>
      </c>
      <c r="AU589" s="5" t="str">
        <f>HYPERLINK("https://creighton-primo.hosted.exlibrisgroup.com/primo-explore/search?tab=default_tab&amp;search_scope=EVERYTHING&amp;vid=01CRU&amp;lang=en_US&amp;offset=0&amp;query=any,contains,991001244109702656","Catalog Record")</f>
        <v>Catalog Record</v>
      </c>
      <c r="AV589" s="5" t="str">
        <f>HYPERLINK("http://www.worldcat.org/oclc/20893842","WorldCat Record")</f>
        <v>WorldCat Record</v>
      </c>
      <c r="AW589" s="2" t="s">
        <v>7214</v>
      </c>
      <c r="AX589" s="2" t="s">
        <v>7215</v>
      </c>
      <c r="AY589" s="2" t="s">
        <v>7216</v>
      </c>
      <c r="AZ589" s="2" t="s">
        <v>7216</v>
      </c>
      <c r="BA589" s="2" t="s">
        <v>7217</v>
      </c>
      <c r="BB589" s="2" t="s">
        <v>21</v>
      </c>
      <c r="BD589" s="2" t="s">
        <v>7218</v>
      </c>
      <c r="BE589" s="2" t="s">
        <v>7219</v>
      </c>
      <c r="BF589" s="2" t="s">
        <v>7220</v>
      </c>
    </row>
    <row r="590" spans="1:58" ht="41.25" customHeight="1" x14ac:dyDescent="0.25">
      <c r="A590" s="8" t="s">
        <v>5</v>
      </c>
      <c r="B590" s="1" t="s">
        <v>0</v>
      </c>
      <c r="C590" s="1" t="s">
        <v>1</v>
      </c>
      <c r="D590" s="1" t="s">
        <v>7221</v>
      </c>
      <c r="E590" s="1" t="s">
        <v>7222</v>
      </c>
      <c r="F590" s="1" t="s">
        <v>7223</v>
      </c>
      <c r="H590" s="2" t="s">
        <v>5</v>
      </c>
      <c r="I590" s="2" t="s">
        <v>6</v>
      </c>
      <c r="J590" s="2" t="s">
        <v>5</v>
      </c>
      <c r="K590" s="2" t="s">
        <v>5</v>
      </c>
      <c r="L590" s="2" t="s">
        <v>7</v>
      </c>
      <c r="N590" s="1" t="s">
        <v>7224</v>
      </c>
      <c r="O590" s="2" t="s">
        <v>1441</v>
      </c>
      <c r="Q590" s="2" t="s">
        <v>11</v>
      </c>
      <c r="R590" s="2" t="s">
        <v>12</v>
      </c>
      <c r="S590" s="1" t="s">
        <v>7225</v>
      </c>
      <c r="T590" s="2" t="s">
        <v>520</v>
      </c>
      <c r="U590" s="3">
        <v>1</v>
      </c>
      <c r="V590" s="3">
        <v>1</v>
      </c>
      <c r="W590" s="4" t="s">
        <v>2072</v>
      </c>
      <c r="X590" s="4" t="s">
        <v>2072</v>
      </c>
      <c r="Y590" s="4" t="s">
        <v>1718</v>
      </c>
      <c r="Z590" s="4" t="s">
        <v>1718</v>
      </c>
      <c r="AA590" s="3">
        <v>16</v>
      </c>
      <c r="AB590" s="3">
        <v>15</v>
      </c>
      <c r="AC590" s="3">
        <v>15</v>
      </c>
      <c r="AD590" s="3">
        <v>1</v>
      </c>
      <c r="AE590" s="3">
        <v>1</v>
      </c>
      <c r="AF590" s="3">
        <v>1</v>
      </c>
      <c r="AG590" s="3">
        <v>1</v>
      </c>
      <c r="AH590" s="3">
        <v>0</v>
      </c>
      <c r="AI590" s="3">
        <v>0</v>
      </c>
      <c r="AJ590" s="3">
        <v>0</v>
      </c>
      <c r="AK590" s="3">
        <v>0</v>
      </c>
      <c r="AL590" s="3">
        <v>1</v>
      </c>
      <c r="AM590" s="3">
        <v>1</v>
      </c>
      <c r="AN590" s="3">
        <v>0</v>
      </c>
      <c r="AO590" s="3">
        <v>0</v>
      </c>
      <c r="AP590" s="3">
        <v>0</v>
      </c>
      <c r="AQ590" s="3">
        <v>0</v>
      </c>
      <c r="AR590" s="2" t="s">
        <v>5</v>
      </c>
      <c r="AS590" s="2" t="s">
        <v>5</v>
      </c>
      <c r="AU590" s="5" t="str">
        <f>HYPERLINK("https://creighton-primo.hosted.exlibrisgroup.com/primo-explore/search?tab=default_tab&amp;search_scope=EVERYTHING&amp;vid=01CRU&amp;lang=en_US&amp;offset=0&amp;query=any,contains,991001380749702656","Catalog Record")</f>
        <v>Catalog Record</v>
      </c>
      <c r="AV590" s="5" t="str">
        <f>HYPERLINK("http://www.worldcat.org/oclc/20574650","WorldCat Record")</f>
        <v>WorldCat Record</v>
      </c>
      <c r="AW590" s="2" t="s">
        <v>7226</v>
      </c>
      <c r="AX590" s="2" t="s">
        <v>7227</v>
      </c>
      <c r="AY590" s="2" t="s">
        <v>7228</v>
      </c>
      <c r="AZ590" s="2" t="s">
        <v>7228</v>
      </c>
      <c r="BA590" s="2" t="s">
        <v>7229</v>
      </c>
      <c r="BB590" s="2" t="s">
        <v>21</v>
      </c>
      <c r="BE590" s="2" t="s">
        <v>7230</v>
      </c>
      <c r="BF590" s="2" t="s">
        <v>7231</v>
      </c>
    </row>
    <row r="591" spans="1:58" ht="41.25" customHeight="1" x14ac:dyDescent="0.25">
      <c r="A591" s="8" t="s">
        <v>5</v>
      </c>
      <c r="B591" s="1" t="s">
        <v>0</v>
      </c>
      <c r="C591" s="1" t="s">
        <v>1</v>
      </c>
      <c r="D591" s="1" t="s">
        <v>7232</v>
      </c>
      <c r="E591" s="1" t="s">
        <v>7233</v>
      </c>
      <c r="F591" s="1" t="s">
        <v>7234</v>
      </c>
      <c r="H591" s="2" t="s">
        <v>5</v>
      </c>
      <c r="I591" s="2" t="s">
        <v>6</v>
      </c>
      <c r="J591" s="2" t="s">
        <v>5</v>
      </c>
      <c r="K591" s="2" t="s">
        <v>5</v>
      </c>
      <c r="L591" s="2" t="s">
        <v>7</v>
      </c>
      <c r="N591" s="1" t="s">
        <v>7235</v>
      </c>
      <c r="O591" s="2" t="s">
        <v>10</v>
      </c>
      <c r="Q591" s="2" t="s">
        <v>11</v>
      </c>
      <c r="R591" s="2" t="s">
        <v>12</v>
      </c>
      <c r="S591" s="1" t="s">
        <v>7236</v>
      </c>
      <c r="T591" s="2" t="s">
        <v>520</v>
      </c>
      <c r="U591" s="3">
        <v>1</v>
      </c>
      <c r="V591" s="3">
        <v>1</v>
      </c>
      <c r="W591" s="4" t="s">
        <v>2775</v>
      </c>
      <c r="X591" s="4" t="s">
        <v>2775</v>
      </c>
      <c r="Y591" s="4" t="s">
        <v>1718</v>
      </c>
      <c r="Z591" s="4" t="s">
        <v>1718</v>
      </c>
      <c r="AA591" s="3">
        <v>11</v>
      </c>
      <c r="AB591" s="3">
        <v>10</v>
      </c>
      <c r="AC591" s="3">
        <v>22</v>
      </c>
      <c r="AD591" s="3">
        <v>1</v>
      </c>
      <c r="AE591" s="3">
        <v>1</v>
      </c>
      <c r="AF591" s="3">
        <v>0</v>
      </c>
      <c r="AG591" s="3">
        <v>2</v>
      </c>
      <c r="AH591" s="3">
        <v>0</v>
      </c>
      <c r="AI591" s="3">
        <v>0</v>
      </c>
      <c r="AJ591" s="3">
        <v>0</v>
      </c>
      <c r="AK591" s="3">
        <v>0</v>
      </c>
      <c r="AL591" s="3">
        <v>0</v>
      </c>
      <c r="AM591" s="3">
        <v>2</v>
      </c>
      <c r="AN591" s="3">
        <v>0</v>
      </c>
      <c r="AO591" s="3">
        <v>0</v>
      </c>
      <c r="AP591" s="3">
        <v>0</v>
      </c>
      <c r="AQ591" s="3">
        <v>0</v>
      </c>
      <c r="AR591" s="2" t="s">
        <v>5</v>
      </c>
      <c r="AS591" s="2" t="s">
        <v>5</v>
      </c>
      <c r="AU591" s="5" t="str">
        <f>HYPERLINK("https://creighton-primo.hosted.exlibrisgroup.com/primo-explore/search?tab=default_tab&amp;search_scope=EVERYTHING&amp;vid=01CRU&amp;lang=en_US&amp;offset=0&amp;query=any,contains,991001380999702656","Catalog Record")</f>
        <v>Catalog Record</v>
      </c>
      <c r="AV591" s="5" t="str">
        <f>HYPERLINK("http://www.worldcat.org/oclc/2904884","WorldCat Record")</f>
        <v>WorldCat Record</v>
      </c>
      <c r="AW591" s="2" t="s">
        <v>7237</v>
      </c>
      <c r="AX591" s="2" t="s">
        <v>7238</v>
      </c>
      <c r="AY591" s="2" t="s">
        <v>7239</v>
      </c>
      <c r="AZ591" s="2" t="s">
        <v>7239</v>
      </c>
      <c r="BA591" s="2" t="s">
        <v>7240</v>
      </c>
      <c r="BB591" s="2" t="s">
        <v>21</v>
      </c>
      <c r="BE591" s="2" t="s">
        <v>7241</v>
      </c>
      <c r="BF591" s="2" t="s">
        <v>7242</v>
      </c>
    </row>
    <row r="592" spans="1:58" ht="41.25" customHeight="1" x14ac:dyDescent="0.25">
      <c r="A592" s="8" t="s">
        <v>5</v>
      </c>
      <c r="B592" s="1" t="s">
        <v>0</v>
      </c>
      <c r="C592" s="1" t="s">
        <v>1</v>
      </c>
      <c r="D592" s="1" t="s">
        <v>7243</v>
      </c>
      <c r="E592" s="1" t="s">
        <v>7244</v>
      </c>
      <c r="F592" s="1" t="s">
        <v>7245</v>
      </c>
      <c r="H592" s="2" t="s">
        <v>5</v>
      </c>
      <c r="I592" s="2" t="s">
        <v>6</v>
      </c>
      <c r="J592" s="2" t="s">
        <v>5</v>
      </c>
      <c r="K592" s="2" t="s">
        <v>5</v>
      </c>
      <c r="L592" s="2" t="s">
        <v>7</v>
      </c>
      <c r="M592" s="1" t="s">
        <v>4620</v>
      </c>
      <c r="N592" s="1" t="s">
        <v>7246</v>
      </c>
      <c r="O592" s="2" t="s">
        <v>989</v>
      </c>
      <c r="Q592" s="2" t="s">
        <v>11</v>
      </c>
      <c r="R592" s="2" t="s">
        <v>12</v>
      </c>
      <c r="S592" s="1" t="s">
        <v>7247</v>
      </c>
      <c r="T592" s="2" t="s">
        <v>520</v>
      </c>
      <c r="U592" s="3">
        <v>3</v>
      </c>
      <c r="V592" s="3">
        <v>3</v>
      </c>
      <c r="W592" s="4" t="s">
        <v>4575</v>
      </c>
      <c r="X592" s="4" t="s">
        <v>4575</v>
      </c>
      <c r="Y592" s="4" t="s">
        <v>4575</v>
      </c>
      <c r="Z592" s="4" t="s">
        <v>4575</v>
      </c>
      <c r="AA592" s="3">
        <v>59</v>
      </c>
      <c r="AB592" s="3">
        <v>54</v>
      </c>
      <c r="AC592" s="3">
        <v>54</v>
      </c>
      <c r="AD592" s="3">
        <v>2</v>
      </c>
      <c r="AE592" s="3">
        <v>2</v>
      </c>
      <c r="AF592" s="3">
        <v>0</v>
      </c>
      <c r="AG592" s="3">
        <v>0</v>
      </c>
      <c r="AH592" s="3">
        <v>0</v>
      </c>
      <c r="AI592" s="3">
        <v>0</v>
      </c>
      <c r="AJ592" s="3">
        <v>0</v>
      </c>
      <c r="AK592" s="3">
        <v>0</v>
      </c>
      <c r="AL592" s="3">
        <v>0</v>
      </c>
      <c r="AM592" s="3">
        <v>0</v>
      </c>
      <c r="AN592" s="3">
        <v>0</v>
      </c>
      <c r="AO592" s="3">
        <v>0</v>
      </c>
      <c r="AP592" s="3">
        <v>0</v>
      </c>
      <c r="AQ592" s="3">
        <v>0</v>
      </c>
      <c r="AR592" s="2" t="s">
        <v>5</v>
      </c>
      <c r="AS592" s="2" t="s">
        <v>5</v>
      </c>
      <c r="AU592" s="5" t="str">
        <f>HYPERLINK("https://creighton-primo.hosted.exlibrisgroup.com/primo-explore/search?tab=default_tab&amp;search_scope=EVERYTHING&amp;vid=01CRU&amp;lang=en_US&amp;offset=0&amp;query=any,contains,991001386509702656","Catalog Record")</f>
        <v>Catalog Record</v>
      </c>
      <c r="AV592" s="5" t="str">
        <f>HYPERLINK("http://www.worldcat.org/oclc/38967988","WorldCat Record")</f>
        <v>WorldCat Record</v>
      </c>
      <c r="AW592" s="2" t="s">
        <v>7248</v>
      </c>
      <c r="AX592" s="2" t="s">
        <v>7249</v>
      </c>
      <c r="AY592" s="2" t="s">
        <v>7250</v>
      </c>
      <c r="AZ592" s="2" t="s">
        <v>7250</v>
      </c>
      <c r="BA592" s="2" t="s">
        <v>7251</v>
      </c>
      <c r="BB592" s="2" t="s">
        <v>21</v>
      </c>
      <c r="BD592" s="2" t="s">
        <v>7252</v>
      </c>
      <c r="BE592" s="2" t="s">
        <v>7253</v>
      </c>
      <c r="BF592" s="2" t="s">
        <v>7254</v>
      </c>
    </row>
    <row r="593" spans="1:58" ht="41.25" customHeight="1" x14ac:dyDescent="0.25">
      <c r="A593" s="8" t="s">
        <v>5</v>
      </c>
      <c r="B593" s="1" t="s">
        <v>0</v>
      </c>
      <c r="C593" s="1" t="s">
        <v>1</v>
      </c>
      <c r="D593" s="1" t="s">
        <v>7255</v>
      </c>
      <c r="E593" s="1" t="s">
        <v>7256</v>
      </c>
      <c r="F593" s="1" t="s">
        <v>7257</v>
      </c>
      <c r="H593" s="2" t="s">
        <v>5</v>
      </c>
      <c r="I593" s="2" t="s">
        <v>6</v>
      </c>
      <c r="J593" s="2" t="s">
        <v>5</v>
      </c>
      <c r="K593" s="2" t="s">
        <v>5</v>
      </c>
      <c r="L593" s="2" t="s">
        <v>7</v>
      </c>
      <c r="M593" s="1" t="s">
        <v>7258</v>
      </c>
      <c r="N593" s="1" t="s">
        <v>7259</v>
      </c>
      <c r="O593" s="2" t="s">
        <v>1102</v>
      </c>
      <c r="Q593" s="2" t="s">
        <v>11</v>
      </c>
      <c r="R593" s="2" t="s">
        <v>1140</v>
      </c>
      <c r="T593" s="2" t="s">
        <v>520</v>
      </c>
      <c r="U593" s="3">
        <v>10</v>
      </c>
      <c r="V593" s="3">
        <v>10</v>
      </c>
      <c r="W593" s="4" t="s">
        <v>7177</v>
      </c>
      <c r="X593" s="4" t="s">
        <v>7177</v>
      </c>
      <c r="Y593" s="4" t="s">
        <v>825</v>
      </c>
      <c r="Z593" s="4" t="s">
        <v>825</v>
      </c>
      <c r="AA593" s="3">
        <v>21</v>
      </c>
      <c r="AB593" s="3">
        <v>20</v>
      </c>
      <c r="AC593" s="3">
        <v>20</v>
      </c>
      <c r="AD593" s="3">
        <v>1</v>
      </c>
      <c r="AE593" s="3">
        <v>1</v>
      </c>
      <c r="AF593" s="3">
        <v>0</v>
      </c>
      <c r="AG593" s="3">
        <v>0</v>
      </c>
      <c r="AH593" s="3">
        <v>0</v>
      </c>
      <c r="AI593" s="3">
        <v>0</v>
      </c>
      <c r="AJ593" s="3">
        <v>0</v>
      </c>
      <c r="AK593" s="3">
        <v>0</v>
      </c>
      <c r="AL593" s="3">
        <v>0</v>
      </c>
      <c r="AM593" s="3">
        <v>0</v>
      </c>
      <c r="AN593" s="3">
        <v>0</v>
      </c>
      <c r="AO593" s="3">
        <v>0</v>
      </c>
      <c r="AP593" s="3">
        <v>0</v>
      </c>
      <c r="AQ593" s="3">
        <v>0</v>
      </c>
      <c r="AR593" s="2" t="s">
        <v>5</v>
      </c>
      <c r="AS593" s="2" t="s">
        <v>5</v>
      </c>
      <c r="AU593" s="5" t="str">
        <f>HYPERLINK("https://creighton-primo.hosted.exlibrisgroup.com/primo-explore/search?tab=default_tab&amp;search_scope=EVERYTHING&amp;vid=01CRU&amp;lang=en_US&amp;offset=0&amp;query=any,contains,991001241689702656","Catalog Record")</f>
        <v>Catalog Record</v>
      </c>
      <c r="AV593" s="5" t="str">
        <f>HYPERLINK("http://www.worldcat.org/oclc/14186037","WorldCat Record")</f>
        <v>WorldCat Record</v>
      </c>
      <c r="AW593" s="2" t="s">
        <v>7260</v>
      </c>
      <c r="AX593" s="2" t="s">
        <v>7261</v>
      </c>
      <c r="AY593" s="2" t="s">
        <v>7262</v>
      </c>
      <c r="AZ593" s="2" t="s">
        <v>7262</v>
      </c>
      <c r="BA593" s="2" t="s">
        <v>7263</v>
      </c>
      <c r="BB593" s="2" t="s">
        <v>21</v>
      </c>
      <c r="BE593" s="2" t="s">
        <v>7264</v>
      </c>
      <c r="BF593" s="2" t="s">
        <v>7265</v>
      </c>
    </row>
    <row r="594" spans="1:58" ht="41.25" customHeight="1" x14ac:dyDescent="0.25">
      <c r="A594" s="8" t="s">
        <v>5</v>
      </c>
      <c r="B594" s="1" t="s">
        <v>0</v>
      </c>
      <c r="C594" s="1" t="s">
        <v>1</v>
      </c>
      <c r="D594" s="1" t="s">
        <v>7266</v>
      </c>
      <c r="E594" s="1" t="s">
        <v>7267</v>
      </c>
      <c r="F594" s="1" t="s">
        <v>7268</v>
      </c>
      <c r="H594" s="2" t="s">
        <v>5</v>
      </c>
      <c r="I594" s="2" t="s">
        <v>6</v>
      </c>
      <c r="J594" s="2" t="s">
        <v>5</v>
      </c>
      <c r="K594" s="2" t="s">
        <v>5</v>
      </c>
      <c r="L594" s="2" t="s">
        <v>7</v>
      </c>
      <c r="M594" s="1" t="s">
        <v>7269</v>
      </c>
      <c r="N594" s="1" t="s">
        <v>7270</v>
      </c>
      <c r="O594" s="2" t="s">
        <v>1339</v>
      </c>
      <c r="P594" s="1" t="s">
        <v>211</v>
      </c>
      <c r="Q594" s="2" t="s">
        <v>11</v>
      </c>
      <c r="R594" s="2" t="s">
        <v>7271</v>
      </c>
      <c r="T594" s="2" t="s">
        <v>520</v>
      </c>
      <c r="U594" s="3">
        <v>4</v>
      </c>
      <c r="V594" s="3">
        <v>4</v>
      </c>
      <c r="W594" s="4" t="s">
        <v>7272</v>
      </c>
      <c r="X594" s="4" t="s">
        <v>7272</v>
      </c>
      <c r="Y594" s="4" t="s">
        <v>7273</v>
      </c>
      <c r="Z594" s="4" t="s">
        <v>7273</v>
      </c>
      <c r="AA594" s="3">
        <v>41</v>
      </c>
      <c r="AB594" s="3">
        <v>40</v>
      </c>
      <c r="AC594" s="3">
        <v>61</v>
      </c>
      <c r="AD594" s="3">
        <v>1</v>
      </c>
      <c r="AE594" s="3">
        <v>2</v>
      </c>
      <c r="AF594" s="3">
        <v>2</v>
      </c>
      <c r="AG594" s="3">
        <v>3</v>
      </c>
      <c r="AH594" s="3">
        <v>0</v>
      </c>
      <c r="AI594" s="3">
        <v>0</v>
      </c>
      <c r="AJ594" s="3">
        <v>0</v>
      </c>
      <c r="AK594" s="3">
        <v>0</v>
      </c>
      <c r="AL594" s="3">
        <v>0</v>
      </c>
      <c r="AM594" s="3">
        <v>0</v>
      </c>
      <c r="AN594" s="3">
        <v>0</v>
      </c>
      <c r="AO594" s="3">
        <v>1</v>
      </c>
      <c r="AP594" s="3">
        <v>2</v>
      </c>
      <c r="AQ594" s="3">
        <v>2</v>
      </c>
      <c r="AR594" s="2" t="s">
        <v>5</v>
      </c>
      <c r="AS594" s="2" t="s">
        <v>16</v>
      </c>
      <c r="AT594" s="5" t="str">
        <f>HYPERLINK("http://catalog.hathitrust.org/Record/000921575","HathiTrust Record")</f>
        <v>HathiTrust Record</v>
      </c>
      <c r="AU594" s="5" t="str">
        <f>HYPERLINK("https://creighton-primo.hosted.exlibrisgroup.com/primo-explore/search?tab=default_tab&amp;search_scope=EVERYTHING&amp;vid=01CRU&amp;lang=en_US&amp;offset=0&amp;query=any,contains,991001537979702656","Catalog Record")</f>
        <v>Catalog Record</v>
      </c>
      <c r="AV594" s="5" t="str">
        <f>HYPERLINK("http://www.worldcat.org/oclc/15492730","WorldCat Record")</f>
        <v>WorldCat Record</v>
      </c>
      <c r="AW594" s="2" t="s">
        <v>7274</v>
      </c>
      <c r="AX594" s="2" t="s">
        <v>7275</v>
      </c>
      <c r="AY594" s="2" t="s">
        <v>7276</v>
      </c>
      <c r="AZ594" s="2" t="s">
        <v>7276</v>
      </c>
      <c r="BA594" s="2" t="s">
        <v>7277</v>
      </c>
      <c r="BB594" s="2" t="s">
        <v>21</v>
      </c>
      <c r="BD594" s="2" t="s">
        <v>7278</v>
      </c>
      <c r="BE594" s="2" t="s">
        <v>7279</v>
      </c>
      <c r="BF594" s="2" t="s">
        <v>7280</v>
      </c>
    </row>
    <row r="595" spans="1:58" ht="41.25" customHeight="1" x14ac:dyDescent="0.25">
      <c r="A595" s="8" t="s">
        <v>5</v>
      </c>
      <c r="B595" s="1" t="s">
        <v>0</v>
      </c>
      <c r="C595" s="1" t="s">
        <v>1</v>
      </c>
      <c r="D595" s="1" t="s">
        <v>7281</v>
      </c>
      <c r="E595" s="1" t="s">
        <v>7282</v>
      </c>
      <c r="F595" s="1" t="s">
        <v>7283</v>
      </c>
      <c r="H595" s="2" t="s">
        <v>5</v>
      </c>
      <c r="I595" s="2" t="s">
        <v>6</v>
      </c>
      <c r="J595" s="2" t="s">
        <v>5</v>
      </c>
      <c r="K595" s="2" t="s">
        <v>5</v>
      </c>
      <c r="L595" s="2" t="s">
        <v>7</v>
      </c>
      <c r="M595" s="1" t="s">
        <v>7284</v>
      </c>
      <c r="N595" s="1" t="s">
        <v>7285</v>
      </c>
      <c r="O595" s="2" t="s">
        <v>151</v>
      </c>
      <c r="Q595" s="2" t="s">
        <v>11</v>
      </c>
      <c r="R595" s="2" t="s">
        <v>6660</v>
      </c>
      <c r="T595" s="2" t="s">
        <v>520</v>
      </c>
      <c r="U595" s="3">
        <v>2</v>
      </c>
      <c r="V595" s="3">
        <v>2</v>
      </c>
      <c r="W595" s="4" t="s">
        <v>7286</v>
      </c>
      <c r="X595" s="4" t="s">
        <v>7286</v>
      </c>
      <c r="Y595" s="4" t="s">
        <v>168</v>
      </c>
      <c r="Z595" s="4" t="s">
        <v>168</v>
      </c>
      <c r="AA595" s="3">
        <v>132</v>
      </c>
      <c r="AB595" s="3">
        <v>121</v>
      </c>
      <c r="AC595" s="3">
        <v>123</v>
      </c>
      <c r="AD595" s="3">
        <v>2</v>
      </c>
      <c r="AE595" s="3">
        <v>2</v>
      </c>
      <c r="AF595" s="3">
        <v>9</v>
      </c>
      <c r="AG595" s="3">
        <v>9</v>
      </c>
      <c r="AH595" s="3">
        <v>0</v>
      </c>
      <c r="AI595" s="3">
        <v>0</v>
      </c>
      <c r="AJ595" s="3">
        <v>0</v>
      </c>
      <c r="AK595" s="3">
        <v>0</v>
      </c>
      <c r="AL595" s="3">
        <v>2</v>
      </c>
      <c r="AM595" s="3">
        <v>2</v>
      </c>
      <c r="AN595" s="3">
        <v>0</v>
      </c>
      <c r="AO595" s="3">
        <v>0</v>
      </c>
      <c r="AP595" s="3">
        <v>7</v>
      </c>
      <c r="AQ595" s="3">
        <v>7</v>
      </c>
      <c r="AR595" s="2" t="s">
        <v>5</v>
      </c>
      <c r="AS595" s="2" t="s">
        <v>16</v>
      </c>
      <c r="AT595" s="5" t="str">
        <f>HYPERLINK("http://catalog.hathitrust.org/Record/000694160","HathiTrust Record")</f>
        <v>HathiTrust Record</v>
      </c>
      <c r="AU595" s="5" t="str">
        <f>HYPERLINK("https://creighton-primo.hosted.exlibrisgroup.com/primo-explore/search?tab=default_tab&amp;search_scope=EVERYTHING&amp;vid=01CRU&amp;lang=en_US&amp;offset=0&amp;query=any,contains,991001044099702656","Catalog Record")</f>
        <v>Catalog Record</v>
      </c>
      <c r="AV595" s="5" t="str">
        <f>HYPERLINK("http://www.worldcat.org/oclc/1858796","WorldCat Record")</f>
        <v>WorldCat Record</v>
      </c>
      <c r="AW595" s="2" t="s">
        <v>7287</v>
      </c>
      <c r="AX595" s="2" t="s">
        <v>7288</v>
      </c>
      <c r="AY595" s="2" t="s">
        <v>7289</v>
      </c>
      <c r="AZ595" s="2" t="s">
        <v>7289</v>
      </c>
      <c r="BA595" s="2" t="s">
        <v>7290</v>
      </c>
      <c r="BB595" s="2" t="s">
        <v>21</v>
      </c>
      <c r="BE595" s="2" t="s">
        <v>7291</v>
      </c>
      <c r="BF595" s="2" t="s">
        <v>7292</v>
      </c>
    </row>
    <row r="596" spans="1:58" ht="41.25" customHeight="1" x14ac:dyDescent="0.25">
      <c r="A596" s="8" t="s">
        <v>5</v>
      </c>
      <c r="B596" s="1" t="s">
        <v>0</v>
      </c>
      <c r="C596" s="1" t="s">
        <v>1</v>
      </c>
      <c r="D596" s="1" t="s">
        <v>7293</v>
      </c>
      <c r="E596" s="1" t="s">
        <v>7294</v>
      </c>
      <c r="F596" s="1" t="s">
        <v>7295</v>
      </c>
      <c r="H596" s="2" t="s">
        <v>5</v>
      </c>
      <c r="I596" s="2" t="s">
        <v>6</v>
      </c>
      <c r="J596" s="2" t="s">
        <v>5</v>
      </c>
      <c r="K596" s="2" t="s">
        <v>5</v>
      </c>
      <c r="L596" s="2" t="s">
        <v>7</v>
      </c>
      <c r="M596" s="1" t="s">
        <v>7296</v>
      </c>
      <c r="N596" s="1" t="s">
        <v>2138</v>
      </c>
      <c r="O596" s="2" t="s">
        <v>1863</v>
      </c>
      <c r="P596" s="1" t="s">
        <v>211</v>
      </c>
      <c r="Q596" s="2" t="s">
        <v>11</v>
      </c>
      <c r="R596" s="2" t="s">
        <v>78</v>
      </c>
      <c r="T596" s="2" t="s">
        <v>520</v>
      </c>
      <c r="U596" s="3">
        <v>3</v>
      </c>
      <c r="V596" s="3">
        <v>3</v>
      </c>
      <c r="W596" s="4" t="s">
        <v>2956</v>
      </c>
      <c r="X596" s="4" t="s">
        <v>2956</v>
      </c>
      <c r="Y596" s="4" t="s">
        <v>7297</v>
      </c>
      <c r="Z596" s="4" t="s">
        <v>7297</v>
      </c>
      <c r="AA596" s="3">
        <v>447</v>
      </c>
      <c r="AB596" s="3">
        <v>414</v>
      </c>
      <c r="AC596" s="3">
        <v>669</v>
      </c>
      <c r="AD596" s="3">
        <v>1</v>
      </c>
      <c r="AE596" s="3">
        <v>1</v>
      </c>
      <c r="AF596" s="3">
        <v>16</v>
      </c>
      <c r="AG596" s="3">
        <v>27</v>
      </c>
      <c r="AH596" s="3">
        <v>5</v>
      </c>
      <c r="AI596" s="3">
        <v>10</v>
      </c>
      <c r="AJ596" s="3">
        <v>3</v>
      </c>
      <c r="AK596" s="3">
        <v>4</v>
      </c>
      <c r="AL596" s="3">
        <v>8</v>
      </c>
      <c r="AM596" s="3">
        <v>13</v>
      </c>
      <c r="AN596" s="3">
        <v>1</v>
      </c>
      <c r="AO596" s="3">
        <v>1</v>
      </c>
      <c r="AP596" s="3">
        <v>1</v>
      </c>
      <c r="AQ596" s="3">
        <v>4</v>
      </c>
      <c r="AR596" s="2" t="s">
        <v>5</v>
      </c>
      <c r="AS596" s="2" t="s">
        <v>16</v>
      </c>
      <c r="AT596" s="5" t="str">
        <f>HYPERLINK("http://catalog.hathitrust.org/Record/004145349","HathiTrust Record")</f>
        <v>HathiTrust Record</v>
      </c>
      <c r="AU596" s="5" t="str">
        <f>HYPERLINK("https://creighton-primo.hosted.exlibrisgroup.com/primo-explore/search?tab=default_tab&amp;search_scope=EVERYTHING&amp;vid=01CRU&amp;lang=en_US&amp;offset=0&amp;query=any,contains,991001709939702656","Catalog Record")</f>
        <v>Catalog Record</v>
      </c>
      <c r="AV596" s="5" t="str">
        <f>HYPERLINK("http://www.worldcat.org/oclc/45093704","WorldCat Record")</f>
        <v>WorldCat Record</v>
      </c>
      <c r="AW596" s="2" t="s">
        <v>7298</v>
      </c>
      <c r="AX596" s="2" t="s">
        <v>7299</v>
      </c>
      <c r="AY596" s="2" t="s">
        <v>7300</v>
      </c>
      <c r="AZ596" s="2" t="s">
        <v>7300</v>
      </c>
      <c r="BA596" s="2" t="s">
        <v>7301</v>
      </c>
      <c r="BB596" s="2" t="s">
        <v>21</v>
      </c>
      <c r="BD596" s="2" t="s">
        <v>7302</v>
      </c>
      <c r="BE596" s="2" t="s">
        <v>7303</v>
      </c>
      <c r="BF596" s="2" t="s">
        <v>7304</v>
      </c>
    </row>
    <row r="597" spans="1:58" ht="41.25" customHeight="1" x14ac:dyDescent="0.25">
      <c r="A597" s="8" t="s">
        <v>5</v>
      </c>
      <c r="B597" s="1" t="s">
        <v>0</v>
      </c>
      <c r="C597" s="1" t="s">
        <v>1</v>
      </c>
      <c r="D597" s="1" t="s">
        <v>7305</v>
      </c>
      <c r="E597" s="1" t="s">
        <v>7306</v>
      </c>
      <c r="F597" s="1" t="s">
        <v>7307</v>
      </c>
      <c r="H597" s="2" t="s">
        <v>5</v>
      </c>
      <c r="I597" s="2" t="s">
        <v>6</v>
      </c>
      <c r="J597" s="2" t="s">
        <v>5</v>
      </c>
      <c r="K597" s="2" t="s">
        <v>5</v>
      </c>
      <c r="L597" s="2" t="s">
        <v>7</v>
      </c>
      <c r="M597" s="1" t="s">
        <v>7308</v>
      </c>
      <c r="N597" s="1" t="s">
        <v>6152</v>
      </c>
      <c r="O597" s="2" t="s">
        <v>939</v>
      </c>
      <c r="Q597" s="2" t="s">
        <v>11</v>
      </c>
      <c r="R597" s="2" t="s">
        <v>426</v>
      </c>
      <c r="T597" s="2" t="s">
        <v>520</v>
      </c>
      <c r="U597" s="3">
        <v>3</v>
      </c>
      <c r="V597" s="3">
        <v>3</v>
      </c>
      <c r="W597" s="4" t="s">
        <v>7272</v>
      </c>
      <c r="X597" s="4" t="s">
        <v>7272</v>
      </c>
      <c r="Y597" s="4" t="s">
        <v>7309</v>
      </c>
      <c r="Z597" s="4" t="s">
        <v>7309</v>
      </c>
      <c r="AA597" s="3">
        <v>335</v>
      </c>
      <c r="AB597" s="3">
        <v>312</v>
      </c>
      <c r="AC597" s="3">
        <v>319</v>
      </c>
      <c r="AD597" s="3">
        <v>2</v>
      </c>
      <c r="AE597" s="3">
        <v>2</v>
      </c>
      <c r="AF597" s="3">
        <v>18</v>
      </c>
      <c r="AG597" s="3">
        <v>18</v>
      </c>
      <c r="AH597" s="3">
        <v>3</v>
      </c>
      <c r="AI597" s="3">
        <v>3</v>
      </c>
      <c r="AJ597" s="3">
        <v>3</v>
      </c>
      <c r="AK597" s="3">
        <v>3</v>
      </c>
      <c r="AL597" s="3">
        <v>10</v>
      </c>
      <c r="AM597" s="3">
        <v>10</v>
      </c>
      <c r="AN597" s="3">
        <v>1</v>
      </c>
      <c r="AO597" s="3">
        <v>1</v>
      </c>
      <c r="AP597" s="3">
        <v>5</v>
      </c>
      <c r="AQ597" s="3">
        <v>5</v>
      </c>
      <c r="AR597" s="2" t="s">
        <v>5</v>
      </c>
      <c r="AS597" s="2" t="s">
        <v>16</v>
      </c>
      <c r="AT597" s="5" t="str">
        <f>HYPERLINK("http://catalog.hathitrust.org/Record/001292775","HathiTrust Record")</f>
        <v>HathiTrust Record</v>
      </c>
      <c r="AU597" s="5" t="str">
        <f>HYPERLINK("https://creighton-primo.hosted.exlibrisgroup.com/primo-explore/search?tab=default_tab&amp;search_scope=EVERYTHING&amp;vid=01CRU&amp;lang=en_US&amp;offset=0&amp;query=any,contains,991001419249702656","Catalog Record")</f>
        <v>Catalog Record</v>
      </c>
      <c r="AV597" s="5" t="str">
        <f>HYPERLINK("http://www.worldcat.org/oclc/16804990","WorldCat Record")</f>
        <v>WorldCat Record</v>
      </c>
      <c r="AW597" s="2" t="s">
        <v>7310</v>
      </c>
      <c r="AX597" s="2" t="s">
        <v>7311</v>
      </c>
      <c r="AY597" s="2" t="s">
        <v>7312</v>
      </c>
      <c r="AZ597" s="2" t="s">
        <v>7312</v>
      </c>
      <c r="BA597" s="2" t="s">
        <v>7313</v>
      </c>
      <c r="BB597" s="2" t="s">
        <v>21</v>
      </c>
      <c r="BD597" s="2" t="s">
        <v>7314</v>
      </c>
      <c r="BE597" s="2" t="s">
        <v>7315</v>
      </c>
      <c r="BF597" s="2" t="s">
        <v>7316</v>
      </c>
    </row>
    <row r="598" spans="1:58" ht="41.25" customHeight="1" x14ac:dyDescent="0.25">
      <c r="A598" s="8" t="s">
        <v>5</v>
      </c>
      <c r="B598" s="1" t="s">
        <v>0</v>
      </c>
      <c r="C598" s="1" t="s">
        <v>1</v>
      </c>
      <c r="D598" s="1" t="s">
        <v>7317</v>
      </c>
      <c r="E598" s="1" t="s">
        <v>7318</v>
      </c>
      <c r="F598" s="1" t="s">
        <v>7319</v>
      </c>
      <c r="H598" s="2" t="s">
        <v>5</v>
      </c>
      <c r="I598" s="2" t="s">
        <v>6</v>
      </c>
      <c r="J598" s="2" t="s">
        <v>5</v>
      </c>
      <c r="K598" s="2" t="s">
        <v>5</v>
      </c>
      <c r="L598" s="2" t="s">
        <v>7</v>
      </c>
      <c r="M598" s="1" t="s">
        <v>7320</v>
      </c>
      <c r="N598" s="1" t="s">
        <v>2944</v>
      </c>
      <c r="O598" s="2" t="s">
        <v>1102</v>
      </c>
      <c r="P598" s="1" t="s">
        <v>1284</v>
      </c>
      <c r="Q598" s="2" t="s">
        <v>11</v>
      </c>
      <c r="R598" s="2" t="s">
        <v>426</v>
      </c>
      <c r="T598" s="2" t="s">
        <v>520</v>
      </c>
      <c r="U598" s="3">
        <v>4</v>
      </c>
      <c r="V598" s="3">
        <v>4</v>
      </c>
      <c r="W598" s="4" t="s">
        <v>7321</v>
      </c>
      <c r="X598" s="4" t="s">
        <v>7321</v>
      </c>
      <c r="Y598" s="4" t="s">
        <v>329</v>
      </c>
      <c r="Z598" s="4" t="s">
        <v>329</v>
      </c>
      <c r="AA598" s="3">
        <v>561</v>
      </c>
      <c r="AB598" s="3">
        <v>498</v>
      </c>
      <c r="AC598" s="3">
        <v>905</v>
      </c>
      <c r="AD598" s="3">
        <v>3</v>
      </c>
      <c r="AE598" s="3">
        <v>4</v>
      </c>
      <c r="AF598" s="3">
        <v>16</v>
      </c>
      <c r="AG598" s="3">
        <v>32</v>
      </c>
      <c r="AH598" s="3">
        <v>5</v>
      </c>
      <c r="AI598" s="3">
        <v>10</v>
      </c>
      <c r="AJ598" s="3">
        <v>2</v>
      </c>
      <c r="AK598" s="3">
        <v>4</v>
      </c>
      <c r="AL598" s="3">
        <v>8</v>
      </c>
      <c r="AM598" s="3">
        <v>10</v>
      </c>
      <c r="AN598" s="3">
        <v>2</v>
      </c>
      <c r="AO598" s="3">
        <v>3</v>
      </c>
      <c r="AP598" s="3">
        <v>1</v>
      </c>
      <c r="AQ598" s="3">
        <v>9</v>
      </c>
      <c r="AR598" s="2" t="s">
        <v>5</v>
      </c>
      <c r="AS598" s="2" t="s">
        <v>16</v>
      </c>
      <c r="AT598" s="5" t="str">
        <f>HYPERLINK("http://catalog.hathitrust.org/Record/000614889","HathiTrust Record")</f>
        <v>HathiTrust Record</v>
      </c>
      <c r="AU598" s="5" t="str">
        <f>HYPERLINK("https://creighton-primo.hosted.exlibrisgroup.com/primo-explore/search?tab=default_tab&amp;search_scope=EVERYTHING&amp;vid=01CRU&amp;lang=en_US&amp;offset=0&amp;query=any,contains,991000739129702656","Catalog Record")</f>
        <v>Catalog Record</v>
      </c>
      <c r="AV598" s="5" t="str">
        <f>HYPERLINK("http://www.worldcat.org/oclc/12583018","WorldCat Record")</f>
        <v>WorldCat Record</v>
      </c>
      <c r="AW598" s="2" t="s">
        <v>7322</v>
      </c>
      <c r="AX598" s="2" t="s">
        <v>7323</v>
      </c>
      <c r="AY598" s="2" t="s">
        <v>7324</v>
      </c>
      <c r="AZ598" s="2" t="s">
        <v>7324</v>
      </c>
      <c r="BA598" s="2" t="s">
        <v>7325</v>
      </c>
      <c r="BB598" s="2" t="s">
        <v>21</v>
      </c>
      <c r="BD598" s="2" t="s">
        <v>7326</v>
      </c>
      <c r="BE598" s="2" t="s">
        <v>7327</v>
      </c>
      <c r="BF598" s="2" t="s">
        <v>7328</v>
      </c>
    </row>
    <row r="599" spans="1:58" ht="41.25" customHeight="1" x14ac:dyDescent="0.25">
      <c r="A599" s="8" t="s">
        <v>5</v>
      </c>
      <c r="B599" s="1" t="s">
        <v>0</v>
      </c>
      <c r="C599" s="1" t="s">
        <v>1</v>
      </c>
      <c r="D599" s="1" t="s">
        <v>7329</v>
      </c>
      <c r="E599" s="1" t="s">
        <v>7330</v>
      </c>
      <c r="F599" s="1" t="s">
        <v>7331</v>
      </c>
      <c r="H599" s="2" t="s">
        <v>5</v>
      </c>
      <c r="I599" s="2" t="s">
        <v>6</v>
      </c>
      <c r="J599" s="2" t="s">
        <v>5</v>
      </c>
      <c r="K599" s="2" t="s">
        <v>5</v>
      </c>
      <c r="L599" s="2" t="s">
        <v>7</v>
      </c>
      <c r="M599" s="1" t="s">
        <v>7332</v>
      </c>
      <c r="N599" s="1" t="s">
        <v>7333</v>
      </c>
      <c r="O599" s="2" t="s">
        <v>734</v>
      </c>
      <c r="Q599" s="2" t="s">
        <v>11</v>
      </c>
      <c r="R599" s="2" t="s">
        <v>12</v>
      </c>
      <c r="S599" s="1" t="s">
        <v>7334</v>
      </c>
      <c r="T599" s="2" t="s">
        <v>520</v>
      </c>
      <c r="U599" s="3">
        <v>7</v>
      </c>
      <c r="V599" s="3">
        <v>7</v>
      </c>
      <c r="W599" s="4" t="s">
        <v>7335</v>
      </c>
      <c r="X599" s="4" t="s">
        <v>7335</v>
      </c>
      <c r="Y599" s="4" t="s">
        <v>4106</v>
      </c>
      <c r="Z599" s="4" t="s">
        <v>4106</v>
      </c>
      <c r="AA599" s="3">
        <v>299</v>
      </c>
      <c r="AB599" s="3">
        <v>284</v>
      </c>
      <c r="AC599" s="3">
        <v>650</v>
      </c>
      <c r="AD599" s="3">
        <v>1</v>
      </c>
      <c r="AE599" s="3">
        <v>4</v>
      </c>
      <c r="AF599" s="3">
        <v>14</v>
      </c>
      <c r="AG599" s="3">
        <v>25</v>
      </c>
      <c r="AH599" s="3">
        <v>6</v>
      </c>
      <c r="AI599" s="3">
        <v>10</v>
      </c>
      <c r="AJ599" s="3">
        <v>0</v>
      </c>
      <c r="AK599" s="3">
        <v>1</v>
      </c>
      <c r="AL599" s="3">
        <v>4</v>
      </c>
      <c r="AM599" s="3">
        <v>9</v>
      </c>
      <c r="AN599" s="3">
        <v>0</v>
      </c>
      <c r="AO599" s="3">
        <v>2</v>
      </c>
      <c r="AP599" s="3">
        <v>5</v>
      </c>
      <c r="AQ599" s="3">
        <v>6</v>
      </c>
      <c r="AR599" s="2" t="s">
        <v>5</v>
      </c>
      <c r="AS599" s="2" t="s">
        <v>16</v>
      </c>
      <c r="AT599" s="5" t="str">
        <f>HYPERLINK("http://catalog.hathitrust.org/Record/000109019","HathiTrust Record")</f>
        <v>HathiTrust Record</v>
      </c>
      <c r="AU599" s="5" t="str">
        <f>HYPERLINK("https://creighton-primo.hosted.exlibrisgroup.com/primo-explore/search?tab=default_tab&amp;search_scope=EVERYTHING&amp;vid=01CRU&amp;lang=en_US&amp;offset=0&amp;query=any,contains,991000817249702656","Catalog Record")</f>
        <v>Catalog Record</v>
      </c>
      <c r="AV599" s="5" t="str">
        <f>HYPERLINK("http://www.worldcat.org/oclc/8688404","WorldCat Record")</f>
        <v>WorldCat Record</v>
      </c>
      <c r="AW599" s="2" t="s">
        <v>7336</v>
      </c>
      <c r="AX599" s="2" t="s">
        <v>7337</v>
      </c>
      <c r="AY599" s="2" t="s">
        <v>7338</v>
      </c>
      <c r="AZ599" s="2" t="s">
        <v>7338</v>
      </c>
      <c r="BA599" s="2" t="s">
        <v>7339</v>
      </c>
      <c r="BB599" s="2" t="s">
        <v>21</v>
      </c>
      <c r="BD599" s="2" t="s">
        <v>7340</v>
      </c>
      <c r="BE599" s="2" t="s">
        <v>7341</v>
      </c>
      <c r="BF599" s="2" t="s">
        <v>7342</v>
      </c>
    </row>
    <row r="600" spans="1:58" ht="41.25" customHeight="1" x14ac:dyDescent="0.25">
      <c r="A600" s="8" t="s">
        <v>5</v>
      </c>
      <c r="B600" s="1" t="s">
        <v>0</v>
      </c>
      <c r="C600" s="1" t="s">
        <v>1</v>
      </c>
      <c r="D600" s="1" t="s">
        <v>7343</v>
      </c>
      <c r="E600" s="1" t="s">
        <v>7344</v>
      </c>
      <c r="F600" s="1" t="s">
        <v>7345</v>
      </c>
      <c r="H600" s="2" t="s">
        <v>5</v>
      </c>
      <c r="I600" s="2" t="s">
        <v>6</v>
      </c>
      <c r="J600" s="2" t="s">
        <v>5</v>
      </c>
      <c r="K600" s="2" t="s">
        <v>5</v>
      </c>
      <c r="L600" s="2" t="s">
        <v>7</v>
      </c>
      <c r="M600" s="1" t="s">
        <v>7346</v>
      </c>
      <c r="N600" s="1" t="s">
        <v>7347</v>
      </c>
      <c r="O600" s="2" t="s">
        <v>1283</v>
      </c>
      <c r="P600" s="1" t="s">
        <v>211</v>
      </c>
      <c r="Q600" s="2" t="s">
        <v>11</v>
      </c>
      <c r="R600" s="2" t="s">
        <v>3356</v>
      </c>
      <c r="T600" s="2" t="s">
        <v>520</v>
      </c>
      <c r="U600" s="3">
        <v>7</v>
      </c>
      <c r="V600" s="3">
        <v>7</v>
      </c>
      <c r="W600" s="4" t="s">
        <v>7348</v>
      </c>
      <c r="X600" s="4" t="s">
        <v>7348</v>
      </c>
      <c r="Y600" s="4" t="s">
        <v>7349</v>
      </c>
      <c r="Z600" s="4" t="s">
        <v>7349</v>
      </c>
      <c r="AA600" s="3">
        <v>350</v>
      </c>
      <c r="AB600" s="3">
        <v>327</v>
      </c>
      <c r="AC600" s="3">
        <v>1152</v>
      </c>
      <c r="AD600" s="3">
        <v>2</v>
      </c>
      <c r="AE600" s="3">
        <v>6</v>
      </c>
      <c r="AF600" s="3">
        <v>17</v>
      </c>
      <c r="AG600" s="3">
        <v>42</v>
      </c>
      <c r="AH600" s="3">
        <v>4</v>
      </c>
      <c r="AI600" s="3">
        <v>14</v>
      </c>
      <c r="AJ600" s="3">
        <v>4</v>
      </c>
      <c r="AK600" s="3">
        <v>7</v>
      </c>
      <c r="AL600" s="3">
        <v>6</v>
      </c>
      <c r="AM600" s="3">
        <v>15</v>
      </c>
      <c r="AN600" s="3">
        <v>1</v>
      </c>
      <c r="AO600" s="3">
        <v>5</v>
      </c>
      <c r="AP600" s="3">
        <v>3</v>
      </c>
      <c r="AQ600" s="3">
        <v>8</v>
      </c>
      <c r="AR600" s="2" t="s">
        <v>5</v>
      </c>
      <c r="AS600" s="2" t="s">
        <v>16</v>
      </c>
      <c r="AT600" s="5" t="str">
        <f>HYPERLINK("http://catalog.hathitrust.org/Record/003094623","HathiTrust Record")</f>
        <v>HathiTrust Record</v>
      </c>
      <c r="AU600" s="5" t="str">
        <f>HYPERLINK("https://creighton-primo.hosted.exlibrisgroup.com/primo-explore/search?tab=default_tab&amp;search_scope=EVERYTHING&amp;vid=01CRU&amp;lang=en_US&amp;offset=0&amp;query=any,contains,991001049169702656","Catalog Record")</f>
        <v>Catalog Record</v>
      </c>
      <c r="AV600" s="5" t="str">
        <f>HYPERLINK("http://www.worldcat.org/oclc/34604216","WorldCat Record")</f>
        <v>WorldCat Record</v>
      </c>
      <c r="AW600" s="2" t="s">
        <v>7350</v>
      </c>
      <c r="AX600" s="2" t="s">
        <v>7351</v>
      </c>
      <c r="AY600" s="2" t="s">
        <v>7352</v>
      </c>
      <c r="AZ600" s="2" t="s">
        <v>7352</v>
      </c>
      <c r="BA600" s="2" t="s">
        <v>7353</v>
      </c>
      <c r="BB600" s="2" t="s">
        <v>21</v>
      </c>
      <c r="BD600" s="2" t="s">
        <v>7354</v>
      </c>
      <c r="BE600" s="2" t="s">
        <v>7355</v>
      </c>
      <c r="BF600" s="2" t="s">
        <v>7356</v>
      </c>
    </row>
    <row r="601" spans="1:58" ht="41.25" customHeight="1" x14ac:dyDescent="0.25">
      <c r="A601" s="8" t="s">
        <v>5</v>
      </c>
      <c r="B601" s="1" t="s">
        <v>0</v>
      </c>
      <c r="C601" s="1" t="s">
        <v>1</v>
      </c>
      <c r="D601" s="1" t="s">
        <v>7357</v>
      </c>
      <c r="E601" s="1" t="s">
        <v>7358</v>
      </c>
      <c r="F601" s="1" t="s">
        <v>7359</v>
      </c>
      <c r="H601" s="2" t="s">
        <v>5</v>
      </c>
      <c r="I601" s="2" t="s">
        <v>6</v>
      </c>
      <c r="J601" s="2" t="s">
        <v>5</v>
      </c>
      <c r="K601" s="2" t="s">
        <v>16</v>
      </c>
      <c r="L601" s="2" t="s">
        <v>7</v>
      </c>
      <c r="N601" s="1" t="s">
        <v>7360</v>
      </c>
      <c r="O601" s="2" t="s">
        <v>1391</v>
      </c>
      <c r="P601" s="1" t="s">
        <v>211</v>
      </c>
      <c r="Q601" s="2" t="s">
        <v>11</v>
      </c>
      <c r="R601" s="2" t="s">
        <v>271</v>
      </c>
      <c r="T601" s="2" t="s">
        <v>520</v>
      </c>
      <c r="U601" s="3">
        <v>0</v>
      </c>
      <c r="V601" s="3">
        <v>0</v>
      </c>
      <c r="W601" s="4" t="s">
        <v>7361</v>
      </c>
      <c r="X601" s="4" t="s">
        <v>7361</v>
      </c>
      <c r="Y601" s="4" t="s">
        <v>6558</v>
      </c>
      <c r="Z601" s="4" t="s">
        <v>6558</v>
      </c>
      <c r="AA601" s="3">
        <v>290</v>
      </c>
      <c r="AB601" s="3">
        <v>260</v>
      </c>
      <c r="AC601" s="3">
        <v>807</v>
      </c>
      <c r="AD601" s="3">
        <v>1</v>
      </c>
      <c r="AE601" s="3">
        <v>4</v>
      </c>
      <c r="AF601" s="3">
        <v>10</v>
      </c>
      <c r="AG601" s="3">
        <v>33</v>
      </c>
      <c r="AH601" s="3">
        <v>4</v>
      </c>
      <c r="AI601" s="3">
        <v>14</v>
      </c>
      <c r="AJ601" s="3">
        <v>3</v>
      </c>
      <c r="AK601" s="3">
        <v>8</v>
      </c>
      <c r="AL601" s="3">
        <v>5</v>
      </c>
      <c r="AM601" s="3">
        <v>14</v>
      </c>
      <c r="AN601" s="3">
        <v>0</v>
      </c>
      <c r="AO601" s="3">
        <v>3</v>
      </c>
      <c r="AP601" s="3">
        <v>0</v>
      </c>
      <c r="AQ601" s="3">
        <v>1</v>
      </c>
      <c r="AR601" s="2" t="s">
        <v>5</v>
      </c>
      <c r="AS601" s="2" t="s">
        <v>16</v>
      </c>
      <c r="AT601" s="5" t="str">
        <f>HYPERLINK("http://catalog.hathitrust.org/Record/004373534","HathiTrust Record")</f>
        <v>HathiTrust Record</v>
      </c>
      <c r="AU601" s="5" t="str">
        <f>HYPERLINK("https://creighton-primo.hosted.exlibrisgroup.com/primo-explore/search?tab=default_tab&amp;search_scope=EVERYTHING&amp;vid=01CRU&amp;lang=en_US&amp;offset=0&amp;query=any,contains,991000366559702656","Catalog Record")</f>
        <v>Catalog Record</v>
      </c>
      <c r="AV601" s="5" t="str">
        <f>HYPERLINK("http://www.worldcat.org/oclc/53138565","WorldCat Record")</f>
        <v>WorldCat Record</v>
      </c>
      <c r="AW601" s="2" t="s">
        <v>7362</v>
      </c>
      <c r="AX601" s="2" t="s">
        <v>7363</v>
      </c>
      <c r="AY601" s="2" t="s">
        <v>7364</v>
      </c>
      <c r="AZ601" s="2" t="s">
        <v>7364</v>
      </c>
      <c r="BA601" s="2" t="s">
        <v>7365</v>
      </c>
      <c r="BB601" s="2" t="s">
        <v>21</v>
      </c>
      <c r="BD601" s="2" t="s">
        <v>7366</v>
      </c>
      <c r="BE601" s="2" t="s">
        <v>7367</v>
      </c>
      <c r="BF601" s="2" t="s">
        <v>7368</v>
      </c>
    </row>
    <row r="602" spans="1:58" ht="41.25" customHeight="1" x14ac:dyDescent="0.25">
      <c r="A602" s="8" t="s">
        <v>5</v>
      </c>
      <c r="B602" s="1" t="s">
        <v>0</v>
      </c>
      <c r="C602" s="1" t="s">
        <v>1</v>
      </c>
      <c r="D602" s="1" t="s">
        <v>7369</v>
      </c>
      <c r="E602" s="1" t="s">
        <v>7370</v>
      </c>
      <c r="F602" s="1" t="s">
        <v>7371</v>
      </c>
      <c r="H602" s="2" t="s">
        <v>5</v>
      </c>
      <c r="I602" s="2" t="s">
        <v>6</v>
      </c>
      <c r="J602" s="2" t="s">
        <v>5</v>
      </c>
      <c r="K602" s="2" t="s">
        <v>5</v>
      </c>
      <c r="L602" s="2" t="s">
        <v>7</v>
      </c>
      <c r="M602" s="1" t="s">
        <v>7372</v>
      </c>
      <c r="N602" s="1" t="s">
        <v>1127</v>
      </c>
      <c r="O602" s="2" t="s">
        <v>1102</v>
      </c>
      <c r="Q602" s="2" t="s">
        <v>11</v>
      </c>
      <c r="R602" s="2" t="s">
        <v>426</v>
      </c>
      <c r="S602" s="1" t="s">
        <v>7373</v>
      </c>
      <c r="T602" s="2" t="s">
        <v>520</v>
      </c>
      <c r="U602" s="3">
        <v>2</v>
      </c>
      <c r="V602" s="3">
        <v>2</v>
      </c>
      <c r="W602" s="4" t="s">
        <v>7374</v>
      </c>
      <c r="X602" s="4" t="s">
        <v>7374</v>
      </c>
      <c r="Y602" s="4" t="s">
        <v>5957</v>
      </c>
      <c r="Z602" s="4" t="s">
        <v>5957</v>
      </c>
      <c r="AA602" s="3">
        <v>84</v>
      </c>
      <c r="AB602" s="3">
        <v>82</v>
      </c>
      <c r="AC602" s="3">
        <v>93</v>
      </c>
      <c r="AD602" s="3">
        <v>1</v>
      </c>
      <c r="AE602" s="3">
        <v>1</v>
      </c>
      <c r="AF602" s="3">
        <v>3</v>
      </c>
      <c r="AG602" s="3">
        <v>3</v>
      </c>
      <c r="AH602" s="3">
        <v>0</v>
      </c>
      <c r="AI602" s="3">
        <v>0</v>
      </c>
      <c r="AJ602" s="3">
        <v>0</v>
      </c>
      <c r="AK602" s="3">
        <v>0</v>
      </c>
      <c r="AL602" s="3">
        <v>2</v>
      </c>
      <c r="AM602" s="3">
        <v>2</v>
      </c>
      <c r="AN602" s="3">
        <v>0</v>
      </c>
      <c r="AO602" s="3">
        <v>0</v>
      </c>
      <c r="AP602" s="3">
        <v>1</v>
      </c>
      <c r="AQ602" s="3">
        <v>1</v>
      </c>
      <c r="AR602" s="2" t="s">
        <v>5</v>
      </c>
      <c r="AS602" s="2" t="s">
        <v>16</v>
      </c>
      <c r="AT602" s="5" t="str">
        <f>HYPERLINK("http://catalog.hathitrust.org/Record/000597226","HathiTrust Record")</f>
        <v>HathiTrust Record</v>
      </c>
      <c r="AU602" s="5" t="str">
        <f>HYPERLINK("https://creighton-primo.hosted.exlibrisgroup.com/primo-explore/search?tab=default_tab&amp;search_scope=EVERYTHING&amp;vid=01CRU&amp;lang=en_US&amp;offset=0&amp;query=any,contains,991001521409702656","Catalog Record")</f>
        <v>Catalog Record</v>
      </c>
      <c r="AV602" s="5" t="str">
        <f>HYPERLINK("http://www.worldcat.org/oclc/14817171","WorldCat Record")</f>
        <v>WorldCat Record</v>
      </c>
      <c r="AW602" s="2" t="s">
        <v>7375</v>
      </c>
      <c r="AX602" s="2" t="s">
        <v>7376</v>
      </c>
      <c r="AY602" s="2" t="s">
        <v>7377</v>
      </c>
      <c r="AZ602" s="2" t="s">
        <v>7377</v>
      </c>
      <c r="BA602" s="2" t="s">
        <v>7378</v>
      </c>
      <c r="BB602" s="2" t="s">
        <v>21</v>
      </c>
      <c r="BE602" s="2" t="s">
        <v>7379</v>
      </c>
      <c r="BF602" s="2" t="s">
        <v>7380</v>
      </c>
    </row>
    <row r="603" spans="1:58" ht="41.25" customHeight="1" x14ac:dyDescent="0.25">
      <c r="A603" s="8" t="s">
        <v>5</v>
      </c>
      <c r="B603" s="1" t="s">
        <v>0</v>
      </c>
      <c r="C603" s="1" t="s">
        <v>1</v>
      </c>
      <c r="D603" s="1" t="s">
        <v>7381</v>
      </c>
      <c r="E603" s="1" t="s">
        <v>7382</v>
      </c>
      <c r="F603" s="1" t="s">
        <v>7383</v>
      </c>
      <c r="H603" s="2" t="s">
        <v>5</v>
      </c>
      <c r="I603" s="2" t="s">
        <v>6</v>
      </c>
      <c r="J603" s="2" t="s">
        <v>5</v>
      </c>
      <c r="K603" s="2" t="s">
        <v>5</v>
      </c>
      <c r="L603" s="2" t="s">
        <v>7</v>
      </c>
      <c r="M603" s="1" t="s">
        <v>7384</v>
      </c>
      <c r="N603" s="1" t="s">
        <v>2250</v>
      </c>
      <c r="O603" s="2" t="s">
        <v>228</v>
      </c>
      <c r="P603" s="1" t="s">
        <v>211</v>
      </c>
      <c r="Q603" s="2" t="s">
        <v>11</v>
      </c>
      <c r="R603" s="2" t="s">
        <v>31</v>
      </c>
      <c r="T603" s="2" t="s">
        <v>520</v>
      </c>
      <c r="U603" s="3">
        <v>1</v>
      </c>
      <c r="V603" s="3">
        <v>1</v>
      </c>
      <c r="W603" s="4" t="s">
        <v>4106</v>
      </c>
      <c r="X603" s="4" t="s">
        <v>4106</v>
      </c>
      <c r="Y603" s="4" t="s">
        <v>4106</v>
      </c>
      <c r="Z603" s="4" t="s">
        <v>4106</v>
      </c>
      <c r="AA603" s="3">
        <v>383</v>
      </c>
      <c r="AB603" s="3">
        <v>334</v>
      </c>
      <c r="AC603" s="3">
        <v>524</v>
      </c>
      <c r="AD603" s="3">
        <v>1</v>
      </c>
      <c r="AE603" s="3">
        <v>1</v>
      </c>
      <c r="AF603" s="3">
        <v>19</v>
      </c>
      <c r="AG603" s="3">
        <v>23</v>
      </c>
      <c r="AH603" s="3">
        <v>8</v>
      </c>
      <c r="AI603" s="3">
        <v>9</v>
      </c>
      <c r="AJ603" s="3">
        <v>2</v>
      </c>
      <c r="AK603" s="3">
        <v>2</v>
      </c>
      <c r="AL603" s="3">
        <v>9</v>
      </c>
      <c r="AM603" s="3">
        <v>10</v>
      </c>
      <c r="AN603" s="3">
        <v>1</v>
      </c>
      <c r="AO603" s="3">
        <v>1</v>
      </c>
      <c r="AP603" s="3">
        <v>3</v>
      </c>
      <c r="AQ603" s="3">
        <v>5</v>
      </c>
      <c r="AR603" s="2" t="s">
        <v>5</v>
      </c>
      <c r="AS603" s="2" t="s">
        <v>16</v>
      </c>
      <c r="AT603" s="5" t="str">
        <f>HYPERLINK("http://catalog.hathitrust.org/Record/000188764","HathiTrust Record")</f>
        <v>HathiTrust Record</v>
      </c>
      <c r="AU603" s="5" t="str">
        <f>HYPERLINK("https://creighton-primo.hosted.exlibrisgroup.com/primo-explore/search?tab=default_tab&amp;search_scope=EVERYTHING&amp;vid=01CRU&amp;lang=en_US&amp;offset=0&amp;query=any,contains,991000817209702656","Catalog Record")</f>
        <v>Catalog Record</v>
      </c>
      <c r="AV603" s="5" t="str">
        <f>HYPERLINK("http://www.worldcat.org/oclc/7923808","WorldCat Record")</f>
        <v>WorldCat Record</v>
      </c>
      <c r="AW603" s="2" t="s">
        <v>7385</v>
      </c>
      <c r="AX603" s="2" t="s">
        <v>7386</v>
      </c>
      <c r="AY603" s="2" t="s">
        <v>7387</v>
      </c>
      <c r="AZ603" s="2" t="s">
        <v>7387</v>
      </c>
      <c r="BA603" s="2" t="s">
        <v>7388</v>
      </c>
      <c r="BB603" s="2" t="s">
        <v>21</v>
      </c>
      <c r="BD603" s="2" t="s">
        <v>7389</v>
      </c>
      <c r="BE603" s="2" t="s">
        <v>7390</v>
      </c>
      <c r="BF603" s="2" t="s">
        <v>7391</v>
      </c>
    </row>
    <row r="604" spans="1:58" ht="41.25" customHeight="1" x14ac:dyDescent="0.25">
      <c r="A604" s="8" t="s">
        <v>5</v>
      </c>
      <c r="B604" s="1" t="s">
        <v>0</v>
      </c>
      <c r="C604" s="1" t="s">
        <v>1</v>
      </c>
      <c r="D604" s="1" t="s">
        <v>7392</v>
      </c>
      <c r="E604" s="1" t="s">
        <v>7393</v>
      </c>
      <c r="F604" s="1" t="s">
        <v>7394</v>
      </c>
      <c r="H604" s="2" t="s">
        <v>5</v>
      </c>
      <c r="I604" s="2" t="s">
        <v>6</v>
      </c>
      <c r="J604" s="2" t="s">
        <v>5</v>
      </c>
      <c r="K604" s="2" t="s">
        <v>16</v>
      </c>
      <c r="L604" s="2" t="s">
        <v>7</v>
      </c>
      <c r="N604" s="1" t="s">
        <v>1297</v>
      </c>
      <c r="O604" s="2" t="s">
        <v>794</v>
      </c>
      <c r="P604" s="1" t="s">
        <v>901</v>
      </c>
      <c r="Q604" s="2" t="s">
        <v>11</v>
      </c>
      <c r="R604" s="2" t="s">
        <v>78</v>
      </c>
      <c r="T604" s="2" t="s">
        <v>520</v>
      </c>
      <c r="U604" s="3">
        <v>4</v>
      </c>
      <c r="V604" s="3">
        <v>4</v>
      </c>
      <c r="W604" s="4" t="s">
        <v>3452</v>
      </c>
      <c r="X604" s="4" t="s">
        <v>3452</v>
      </c>
      <c r="Y604" s="4" t="s">
        <v>7395</v>
      </c>
      <c r="Z604" s="4" t="s">
        <v>7395</v>
      </c>
      <c r="AA604" s="3">
        <v>223</v>
      </c>
      <c r="AB604" s="3">
        <v>213</v>
      </c>
      <c r="AC604" s="3">
        <v>808</v>
      </c>
      <c r="AD604" s="3">
        <v>1</v>
      </c>
      <c r="AE604" s="3">
        <v>1</v>
      </c>
      <c r="AF604" s="3">
        <v>8</v>
      </c>
      <c r="AG604" s="3">
        <v>27</v>
      </c>
      <c r="AH604" s="3">
        <v>2</v>
      </c>
      <c r="AI604" s="3">
        <v>9</v>
      </c>
      <c r="AJ604" s="3">
        <v>1</v>
      </c>
      <c r="AK604" s="3">
        <v>6</v>
      </c>
      <c r="AL604" s="3">
        <v>4</v>
      </c>
      <c r="AM604" s="3">
        <v>11</v>
      </c>
      <c r="AN604" s="3">
        <v>0</v>
      </c>
      <c r="AO604" s="3">
        <v>0</v>
      </c>
      <c r="AP604" s="3">
        <v>1</v>
      </c>
      <c r="AQ604" s="3">
        <v>5</v>
      </c>
      <c r="AR604" s="2" t="s">
        <v>5</v>
      </c>
      <c r="AS604" s="2" t="s">
        <v>16</v>
      </c>
      <c r="AT604" s="5" t="str">
        <f>HYPERLINK("http://catalog.hathitrust.org/Record/003069815","HathiTrust Record")</f>
        <v>HathiTrust Record</v>
      </c>
      <c r="AU604" s="5" t="str">
        <f>HYPERLINK("https://creighton-primo.hosted.exlibrisgroup.com/primo-explore/search?tab=default_tab&amp;search_scope=EVERYTHING&amp;vid=01CRU&amp;lang=en_US&amp;offset=0&amp;query=any,contains,991001058219702656","Catalog Record")</f>
        <v>Catalog Record</v>
      </c>
      <c r="AV604" s="5" t="str">
        <f>HYPERLINK("http://www.worldcat.org/oclc/35293047","WorldCat Record")</f>
        <v>WorldCat Record</v>
      </c>
      <c r="AW604" s="2" t="s">
        <v>7396</v>
      </c>
      <c r="AX604" s="2" t="s">
        <v>7397</v>
      </c>
      <c r="AY604" s="2" t="s">
        <v>7398</v>
      </c>
      <c r="AZ604" s="2" t="s">
        <v>7398</v>
      </c>
      <c r="BA604" s="2" t="s">
        <v>7399</v>
      </c>
      <c r="BB604" s="2" t="s">
        <v>21</v>
      </c>
      <c r="BD604" s="2" t="s">
        <v>7400</v>
      </c>
      <c r="BE604" s="2" t="s">
        <v>7401</v>
      </c>
      <c r="BF604" s="2" t="s">
        <v>7402</v>
      </c>
    </row>
    <row r="605" spans="1:58" ht="41.25" customHeight="1" x14ac:dyDescent="0.25">
      <c r="A605" s="8" t="s">
        <v>5</v>
      </c>
      <c r="B605" s="1" t="s">
        <v>0</v>
      </c>
      <c r="C605" s="1" t="s">
        <v>1</v>
      </c>
      <c r="D605" s="1" t="s">
        <v>7403</v>
      </c>
      <c r="E605" s="1" t="s">
        <v>7404</v>
      </c>
      <c r="F605" s="1" t="s">
        <v>7394</v>
      </c>
      <c r="H605" s="2" t="s">
        <v>5</v>
      </c>
      <c r="I605" s="2" t="s">
        <v>6</v>
      </c>
      <c r="J605" s="2" t="s">
        <v>5</v>
      </c>
      <c r="K605" s="2" t="s">
        <v>16</v>
      </c>
      <c r="L605" s="2" t="s">
        <v>7</v>
      </c>
      <c r="N605" s="1" t="s">
        <v>7405</v>
      </c>
      <c r="O605" s="2" t="s">
        <v>1004</v>
      </c>
      <c r="P605" s="1" t="s">
        <v>1208</v>
      </c>
      <c r="Q605" s="2" t="s">
        <v>11</v>
      </c>
      <c r="R605" s="2" t="s">
        <v>78</v>
      </c>
      <c r="T605" s="2" t="s">
        <v>520</v>
      </c>
      <c r="U605" s="3">
        <v>4</v>
      </c>
      <c r="V605" s="3">
        <v>4</v>
      </c>
      <c r="W605" s="4" t="s">
        <v>7406</v>
      </c>
      <c r="X605" s="4" t="s">
        <v>7406</v>
      </c>
      <c r="Y605" s="4" t="s">
        <v>3343</v>
      </c>
      <c r="Z605" s="4" t="s">
        <v>3343</v>
      </c>
      <c r="AA605" s="3">
        <v>318</v>
      </c>
      <c r="AB605" s="3">
        <v>287</v>
      </c>
      <c r="AC605" s="3">
        <v>808</v>
      </c>
      <c r="AD605" s="3">
        <v>1</v>
      </c>
      <c r="AE605" s="3">
        <v>1</v>
      </c>
      <c r="AF605" s="3">
        <v>6</v>
      </c>
      <c r="AG605" s="3">
        <v>27</v>
      </c>
      <c r="AH605" s="3">
        <v>3</v>
      </c>
      <c r="AI605" s="3">
        <v>9</v>
      </c>
      <c r="AJ605" s="3">
        <v>1</v>
      </c>
      <c r="AK605" s="3">
        <v>6</v>
      </c>
      <c r="AL605" s="3">
        <v>3</v>
      </c>
      <c r="AM605" s="3">
        <v>11</v>
      </c>
      <c r="AN605" s="3">
        <v>0</v>
      </c>
      <c r="AO605" s="3">
        <v>0</v>
      </c>
      <c r="AP605" s="3">
        <v>1</v>
      </c>
      <c r="AQ605" s="3">
        <v>5</v>
      </c>
      <c r="AR605" s="2" t="s">
        <v>5</v>
      </c>
      <c r="AS605" s="2" t="s">
        <v>16</v>
      </c>
      <c r="AT605" s="5" t="str">
        <f>HYPERLINK("http://catalog.hathitrust.org/Record/004090950","HathiTrust Record")</f>
        <v>HathiTrust Record</v>
      </c>
      <c r="AU605" s="5" t="str">
        <f>HYPERLINK("https://creighton-primo.hosted.exlibrisgroup.com/primo-explore/search?tab=default_tab&amp;search_scope=EVERYTHING&amp;vid=01CRU&amp;lang=en_US&amp;offset=0&amp;query=any,contains,991001800229702656","Catalog Record")</f>
        <v>Catalog Record</v>
      </c>
      <c r="AV605" s="5" t="str">
        <f>HYPERLINK("http://www.worldcat.org/oclc/42643691","WorldCat Record")</f>
        <v>WorldCat Record</v>
      </c>
      <c r="AW605" s="2" t="s">
        <v>7396</v>
      </c>
      <c r="AX605" s="2" t="s">
        <v>7407</v>
      </c>
      <c r="AY605" s="2" t="s">
        <v>7408</v>
      </c>
      <c r="AZ605" s="2" t="s">
        <v>7408</v>
      </c>
      <c r="BA605" s="2" t="s">
        <v>7409</v>
      </c>
      <c r="BB605" s="2" t="s">
        <v>21</v>
      </c>
      <c r="BD605" s="2" t="s">
        <v>7410</v>
      </c>
      <c r="BE605" s="2" t="s">
        <v>7411</v>
      </c>
      <c r="BF605" s="2" t="s">
        <v>7412</v>
      </c>
    </row>
    <row r="606" spans="1:58" ht="41.25" customHeight="1" x14ac:dyDescent="0.25">
      <c r="A606" s="8" t="s">
        <v>5</v>
      </c>
      <c r="B606" s="1" t="s">
        <v>0</v>
      </c>
      <c r="C606" s="1" t="s">
        <v>1</v>
      </c>
      <c r="D606" s="1" t="s">
        <v>7413</v>
      </c>
      <c r="E606" s="1" t="s">
        <v>7414</v>
      </c>
      <c r="F606" s="1" t="s">
        <v>7394</v>
      </c>
      <c r="H606" s="2" t="s">
        <v>5</v>
      </c>
      <c r="I606" s="2" t="s">
        <v>6</v>
      </c>
      <c r="J606" s="2" t="s">
        <v>5</v>
      </c>
      <c r="K606" s="2" t="s">
        <v>16</v>
      </c>
      <c r="L606" s="2" t="s">
        <v>7</v>
      </c>
      <c r="N606" s="1" t="s">
        <v>7415</v>
      </c>
      <c r="O606" s="2" t="s">
        <v>1391</v>
      </c>
      <c r="P606" s="1" t="s">
        <v>1284</v>
      </c>
      <c r="Q606" s="2" t="s">
        <v>11</v>
      </c>
      <c r="R606" s="2" t="s">
        <v>78</v>
      </c>
      <c r="T606" s="2" t="s">
        <v>520</v>
      </c>
      <c r="U606" s="3">
        <v>0</v>
      </c>
      <c r="V606" s="3">
        <v>0</v>
      </c>
      <c r="W606" s="4" t="s">
        <v>7416</v>
      </c>
      <c r="X606" s="4" t="s">
        <v>7416</v>
      </c>
      <c r="Y606" s="4" t="s">
        <v>7416</v>
      </c>
      <c r="Z606" s="4" t="s">
        <v>7416</v>
      </c>
      <c r="AA606" s="3">
        <v>437</v>
      </c>
      <c r="AB606" s="3">
        <v>410</v>
      </c>
      <c r="AC606" s="3">
        <v>808</v>
      </c>
      <c r="AD606" s="3">
        <v>1</v>
      </c>
      <c r="AE606" s="3">
        <v>1</v>
      </c>
      <c r="AF606" s="3">
        <v>15</v>
      </c>
      <c r="AG606" s="3">
        <v>27</v>
      </c>
      <c r="AH606" s="3">
        <v>5</v>
      </c>
      <c r="AI606" s="3">
        <v>9</v>
      </c>
      <c r="AJ606" s="3">
        <v>3</v>
      </c>
      <c r="AK606" s="3">
        <v>6</v>
      </c>
      <c r="AL606" s="3">
        <v>7</v>
      </c>
      <c r="AM606" s="3">
        <v>11</v>
      </c>
      <c r="AN606" s="3">
        <v>0</v>
      </c>
      <c r="AO606" s="3">
        <v>0</v>
      </c>
      <c r="AP606" s="3">
        <v>2</v>
      </c>
      <c r="AQ606" s="3">
        <v>5</v>
      </c>
      <c r="AR606" s="2" t="s">
        <v>5</v>
      </c>
      <c r="AS606" s="2" t="s">
        <v>5</v>
      </c>
      <c r="AU606" s="5" t="str">
        <f>HYPERLINK("https://creighton-primo.hosted.exlibrisgroup.com/primo-explore/search?tab=default_tab&amp;search_scope=EVERYTHING&amp;vid=01CRU&amp;lang=en_US&amp;offset=0&amp;query=any,contains,991001729709702656","Catalog Record")</f>
        <v>Catalog Record</v>
      </c>
      <c r="AV606" s="5" t="str">
        <f>HYPERLINK("http://www.worldcat.org/oclc/53224847","WorldCat Record")</f>
        <v>WorldCat Record</v>
      </c>
      <c r="AW606" s="2" t="s">
        <v>7396</v>
      </c>
      <c r="AX606" s="2" t="s">
        <v>7417</v>
      </c>
      <c r="AY606" s="2" t="s">
        <v>7418</v>
      </c>
      <c r="AZ606" s="2" t="s">
        <v>7418</v>
      </c>
      <c r="BA606" s="2" t="s">
        <v>7419</v>
      </c>
      <c r="BB606" s="2" t="s">
        <v>21</v>
      </c>
      <c r="BD606" s="2" t="s">
        <v>7420</v>
      </c>
      <c r="BE606" s="2" t="s">
        <v>7421</v>
      </c>
      <c r="BF606" s="2" t="s">
        <v>7422</v>
      </c>
    </row>
    <row r="607" spans="1:58" ht="41.25" customHeight="1" x14ac:dyDescent="0.25">
      <c r="A607" s="8" t="s">
        <v>5</v>
      </c>
      <c r="B607" s="1" t="s">
        <v>0</v>
      </c>
      <c r="C607" s="1" t="s">
        <v>1</v>
      </c>
      <c r="D607" s="1" t="s">
        <v>7423</v>
      </c>
      <c r="E607" s="1" t="s">
        <v>7424</v>
      </c>
      <c r="F607" s="1" t="s">
        <v>7425</v>
      </c>
      <c r="H607" s="2" t="s">
        <v>5</v>
      </c>
      <c r="I607" s="2" t="s">
        <v>6</v>
      </c>
      <c r="J607" s="2" t="s">
        <v>5</v>
      </c>
      <c r="K607" s="2" t="s">
        <v>5</v>
      </c>
      <c r="L607" s="2" t="s">
        <v>7</v>
      </c>
      <c r="M607" s="1" t="s">
        <v>7426</v>
      </c>
      <c r="N607" s="1" t="s">
        <v>7427</v>
      </c>
      <c r="O607" s="2" t="s">
        <v>228</v>
      </c>
      <c r="Q607" s="2" t="s">
        <v>11</v>
      </c>
      <c r="R607" s="2" t="s">
        <v>426</v>
      </c>
      <c r="T607" s="2" t="s">
        <v>520</v>
      </c>
      <c r="U607" s="3">
        <v>2</v>
      </c>
      <c r="V607" s="3">
        <v>2</v>
      </c>
      <c r="W607" s="4" t="s">
        <v>7428</v>
      </c>
      <c r="X607" s="4" t="s">
        <v>7428</v>
      </c>
      <c r="Y607" s="4" t="s">
        <v>7429</v>
      </c>
      <c r="Z607" s="4" t="s">
        <v>7429</v>
      </c>
      <c r="AA607" s="3">
        <v>263</v>
      </c>
      <c r="AB607" s="3">
        <v>238</v>
      </c>
      <c r="AC607" s="3">
        <v>240</v>
      </c>
      <c r="AD607" s="3">
        <v>2</v>
      </c>
      <c r="AE607" s="3">
        <v>2</v>
      </c>
      <c r="AF607" s="3">
        <v>13</v>
      </c>
      <c r="AG607" s="3">
        <v>13</v>
      </c>
      <c r="AH607" s="3">
        <v>4</v>
      </c>
      <c r="AI607" s="3">
        <v>4</v>
      </c>
      <c r="AJ607" s="3">
        <v>1</v>
      </c>
      <c r="AK607" s="3">
        <v>1</v>
      </c>
      <c r="AL607" s="3">
        <v>4</v>
      </c>
      <c r="AM607" s="3">
        <v>4</v>
      </c>
      <c r="AN607" s="3">
        <v>1</v>
      </c>
      <c r="AO607" s="3">
        <v>1</v>
      </c>
      <c r="AP607" s="3">
        <v>5</v>
      </c>
      <c r="AQ607" s="3">
        <v>5</v>
      </c>
      <c r="AR607" s="2" t="s">
        <v>5</v>
      </c>
      <c r="AS607" s="2" t="s">
        <v>16</v>
      </c>
      <c r="AT607" s="5" t="str">
        <f>HYPERLINK("http://catalog.hathitrust.org/Record/000108381","HathiTrust Record")</f>
        <v>HathiTrust Record</v>
      </c>
      <c r="AU607" s="5" t="str">
        <f>HYPERLINK("https://creighton-primo.hosted.exlibrisgroup.com/primo-explore/search?tab=default_tab&amp;search_scope=EVERYTHING&amp;vid=01CRU&amp;lang=en_US&amp;offset=0&amp;query=any,contains,991000931039702656","Catalog Record")</f>
        <v>Catalog Record</v>
      </c>
      <c r="AV607" s="5" t="str">
        <f>HYPERLINK("http://www.worldcat.org/oclc/8114420","WorldCat Record")</f>
        <v>WorldCat Record</v>
      </c>
      <c r="AW607" s="2" t="s">
        <v>7430</v>
      </c>
      <c r="AX607" s="2" t="s">
        <v>7431</v>
      </c>
      <c r="AY607" s="2" t="s">
        <v>7432</v>
      </c>
      <c r="AZ607" s="2" t="s">
        <v>7432</v>
      </c>
      <c r="BA607" s="2" t="s">
        <v>7433</v>
      </c>
      <c r="BB607" s="2" t="s">
        <v>21</v>
      </c>
      <c r="BD607" s="2" t="s">
        <v>7434</v>
      </c>
      <c r="BE607" s="2" t="s">
        <v>7435</v>
      </c>
      <c r="BF607" s="2" t="s">
        <v>7436</v>
      </c>
    </row>
    <row r="608" spans="1:58" ht="41.25" customHeight="1" x14ac:dyDescent="0.25">
      <c r="A608" s="8" t="s">
        <v>5</v>
      </c>
      <c r="B608" s="1" t="s">
        <v>0</v>
      </c>
      <c r="C608" s="1" t="s">
        <v>1</v>
      </c>
      <c r="D608" s="1" t="s">
        <v>7437</v>
      </c>
      <c r="E608" s="1" t="s">
        <v>7438</v>
      </c>
      <c r="F608" s="1" t="s">
        <v>7439</v>
      </c>
      <c r="H608" s="2" t="s">
        <v>5</v>
      </c>
      <c r="I608" s="2" t="s">
        <v>6</v>
      </c>
      <c r="J608" s="2" t="s">
        <v>5</v>
      </c>
      <c r="K608" s="2" t="s">
        <v>5</v>
      </c>
      <c r="L608" s="2" t="s">
        <v>7</v>
      </c>
      <c r="M608" s="1" t="s">
        <v>7440</v>
      </c>
      <c r="N608" s="1" t="s">
        <v>7441</v>
      </c>
      <c r="O608" s="2" t="s">
        <v>1378</v>
      </c>
      <c r="Q608" s="2" t="s">
        <v>11</v>
      </c>
      <c r="R608" s="2" t="s">
        <v>1140</v>
      </c>
      <c r="T608" s="2" t="s">
        <v>520</v>
      </c>
      <c r="U608" s="3">
        <v>1</v>
      </c>
      <c r="V608" s="3">
        <v>1</v>
      </c>
      <c r="W608" s="4" t="s">
        <v>7442</v>
      </c>
      <c r="X608" s="4" t="s">
        <v>7442</v>
      </c>
      <c r="Y608" s="4" t="s">
        <v>7443</v>
      </c>
      <c r="Z608" s="4" t="s">
        <v>7443</v>
      </c>
      <c r="AA608" s="3">
        <v>72</v>
      </c>
      <c r="AB608" s="3">
        <v>69</v>
      </c>
      <c r="AC608" s="3">
        <v>69</v>
      </c>
      <c r="AD608" s="3">
        <v>1</v>
      </c>
      <c r="AE608" s="3">
        <v>1</v>
      </c>
      <c r="AF608" s="3">
        <v>2</v>
      </c>
      <c r="AG608" s="3">
        <v>2</v>
      </c>
      <c r="AH608" s="3">
        <v>0</v>
      </c>
      <c r="AI608" s="3">
        <v>0</v>
      </c>
      <c r="AJ608" s="3">
        <v>0</v>
      </c>
      <c r="AK608" s="3">
        <v>0</v>
      </c>
      <c r="AL608" s="3">
        <v>0</v>
      </c>
      <c r="AM608" s="3">
        <v>0</v>
      </c>
      <c r="AN608" s="3">
        <v>0</v>
      </c>
      <c r="AO608" s="3">
        <v>0</v>
      </c>
      <c r="AP608" s="3">
        <v>2</v>
      </c>
      <c r="AQ608" s="3">
        <v>2</v>
      </c>
      <c r="AR608" s="2" t="s">
        <v>5</v>
      </c>
      <c r="AS608" s="2" t="s">
        <v>5</v>
      </c>
      <c r="AU608" s="5" t="str">
        <f>HYPERLINK("https://creighton-primo.hosted.exlibrisgroup.com/primo-explore/search?tab=default_tab&amp;search_scope=EVERYTHING&amp;vid=01CRU&amp;lang=en_US&amp;offset=0&amp;query=any,contains,991001338339702656","Catalog Record")</f>
        <v>Catalog Record</v>
      </c>
      <c r="AV608" s="5" t="str">
        <f>HYPERLINK("http://www.worldcat.org/oclc/39108789","WorldCat Record")</f>
        <v>WorldCat Record</v>
      </c>
      <c r="AW608" s="2" t="s">
        <v>7444</v>
      </c>
      <c r="AX608" s="2" t="s">
        <v>7445</v>
      </c>
      <c r="AY608" s="2" t="s">
        <v>7446</v>
      </c>
      <c r="AZ608" s="2" t="s">
        <v>7446</v>
      </c>
      <c r="BA608" s="2" t="s">
        <v>7447</v>
      </c>
      <c r="BB608" s="2" t="s">
        <v>21</v>
      </c>
      <c r="BD608" s="2" t="s">
        <v>7448</v>
      </c>
      <c r="BE608" s="2" t="s">
        <v>7449</v>
      </c>
      <c r="BF608" s="2" t="s">
        <v>7450</v>
      </c>
    </row>
    <row r="609" spans="1:58" ht="41.25" customHeight="1" x14ac:dyDescent="0.25">
      <c r="A609" s="8" t="s">
        <v>5</v>
      </c>
      <c r="B609" s="1" t="s">
        <v>0</v>
      </c>
      <c r="C609" s="1" t="s">
        <v>1</v>
      </c>
      <c r="D609" s="1" t="s">
        <v>7451</v>
      </c>
      <c r="E609" s="1" t="s">
        <v>7452</v>
      </c>
      <c r="F609" s="1" t="s">
        <v>7453</v>
      </c>
      <c r="H609" s="2" t="s">
        <v>5</v>
      </c>
      <c r="I609" s="2" t="s">
        <v>6</v>
      </c>
      <c r="J609" s="2" t="s">
        <v>5</v>
      </c>
      <c r="K609" s="2" t="s">
        <v>5</v>
      </c>
      <c r="L609" s="2" t="s">
        <v>7</v>
      </c>
      <c r="M609" s="1" t="s">
        <v>7454</v>
      </c>
      <c r="N609" s="1" t="s">
        <v>7455</v>
      </c>
      <c r="O609" s="2" t="s">
        <v>228</v>
      </c>
      <c r="Q609" s="2" t="s">
        <v>11</v>
      </c>
      <c r="R609" s="2" t="s">
        <v>426</v>
      </c>
      <c r="T609" s="2" t="s">
        <v>520</v>
      </c>
      <c r="U609" s="3">
        <v>1</v>
      </c>
      <c r="V609" s="3">
        <v>1</v>
      </c>
      <c r="W609" s="4" t="s">
        <v>3294</v>
      </c>
      <c r="X609" s="4" t="s">
        <v>3294</v>
      </c>
      <c r="Y609" s="4" t="s">
        <v>168</v>
      </c>
      <c r="Z609" s="4" t="s">
        <v>168</v>
      </c>
      <c r="AA609" s="3">
        <v>159</v>
      </c>
      <c r="AB609" s="3">
        <v>140</v>
      </c>
      <c r="AC609" s="3">
        <v>142</v>
      </c>
      <c r="AD609" s="3">
        <v>2</v>
      </c>
      <c r="AE609" s="3">
        <v>2</v>
      </c>
      <c r="AF609" s="3">
        <v>7</v>
      </c>
      <c r="AG609" s="3">
        <v>7</v>
      </c>
      <c r="AH609" s="3">
        <v>0</v>
      </c>
      <c r="AI609" s="3">
        <v>0</v>
      </c>
      <c r="AJ609" s="3">
        <v>0</v>
      </c>
      <c r="AK609" s="3">
        <v>0</v>
      </c>
      <c r="AL609" s="3">
        <v>0</v>
      </c>
      <c r="AM609" s="3">
        <v>0</v>
      </c>
      <c r="AN609" s="3">
        <v>1</v>
      </c>
      <c r="AO609" s="3">
        <v>1</v>
      </c>
      <c r="AP609" s="3">
        <v>6</v>
      </c>
      <c r="AQ609" s="3">
        <v>6</v>
      </c>
      <c r="AR609" s="2" t="s">
        <v>5</v>
      </c>
      <c r="AS609" s="2" t="s">
        <v>16</v>
      </c>
      <c r="AT609" s="5" t="str">
        <f>HYPERLINK("http://catalog.hathitrust.org/Record/000204554","HathiTrust Record")</f>
        <v>HathiTrust Record</v>
      </c>
      <c r="AU609" s="5" t="str">
        <f>HYPERLINK("https://creighton-primo.hosted.exlibrisgroup.com/primo-explore/search?tab=default_tab&amp;search_scope=EVERYTHING&amp;vid=01CRU&amp;lang=en_US&amp;offset=0&amp;query=any,contains,991001044299702656","Catalog Record")</f>
        <v>Catalog Record</v>
      </c>
      <c r="AV609" s="5" t="str">
        <f>HYPERLINK("http://www.worldcat.org/oclc/8626911","WorldCat Record")</f>
        <v>WorldCat Record</v>
      </c>
      <c r="AW609" s="2" t="s">
        <v>7456</v>
      </c>
      <c r="AX609" s="2" t="s">
        <v>7457</v>
      </c>
      <c r="AY609" s="2" t="s">
        <v>7458</v>
      </c>
      <c r="AZ609" s="2" t="s">
        <v>7458</v>
      </c>
      <c r="BA609" s="2" t="s">
        <v>7459</v>
      </c>
      <c r="BB609" s="2" t="s">
        <v>21</v>
      </c>
      <c r="BD609" s="2" t="s">
        <v>7460</v>
      </c>
      <c r="BE609" s="2" t="s">
        <v>7461</v>
      </c>
      <c r="BF609" s="2" t="s">
        <v>7462</v>
      </c>
    </row>
    <row r="610" spans="1:58" ht="41.25" customHeight="1" x14ac:dyDescent="0.25">
      <c r="A610" s="8" t="s">
        <v>5</v>
      </c>
      <c r="B610" s="1" t="s">
        <v>0</v>
      </c>
      <c r="C610" s="1" t="s">
        <v>1</v>
      </c>
      <c r="D610" s="1" t="s">
        <v>7463</v>
      </c>
      <c r="E610" s="1" t="s">
        <v>7464</v>
      </c>
      <c r="F610" s="1" t="s">
        <v>7465</v>
      </c>
      <c r="H610" s="2" t="s">
        <v>5</v>
      </c>
      <c r="I610" s="2" t="s">
        <v>6</v>
      </c>
      <c r="J610" s="2" t="s">
        <v>5</v>
      </c>
      <c r="K610" s="2" t="s">
        <v>5</v>
      </c>
      <c r="L610" s="2" t="s">
        <v>7</v>
      </c>
      <c r="M610" s="1" t="s">
        <v>7466</v>
      </c>
      <c r="N610" s="1" t="s">
        <v>1403</v>
      </c>
      <c r="O610" s="2" t="s">
        <v>285</v>
      </c>
      <c r="Q610" s="2" t="s">
        <v>11</v>
      </c>
      <c r="R610" s="2" t="s">
        <v>12</v>
      </c>
      <c r="S610" s="1" t="s">
        <v>7467</v>
      </c>
      <c r="T610" s="2" t="s">
        <v>520</v>
      </c>
      <c r="U610" s="3">
        <v>1</v>
      </c>
      <c r="V610" s="3">
        <v>1</v>
      </c>
      <c r="W610" s="4" t="s">
        <v>2775</v>
      </c>
      <c r="X610" s="4" t="s">
        <v>2775</v>
      </c>
      <c r="Y610" s="4" t="s">
        <v>1249</v>
      </c>
      <c r="Z610" s="4" t="s">
        <v>1249</v>
      </c>
      <c r="AA610" s="3">
        <v>72</v>
      </c>
      <c r="AB610" s="3">
        <v>62</v>
      </c>
      <c r="AC610" s="3">
        <v>64</v>
      </c>
      <c r="AD610" s="3">
        <v>1</v>
      </c>
      <c r="AE610" s="3">
        <v>1</v>
      </c>
      <c r="AF610" s="3">
        <v>2</v>
      </c>
      <c r="AG610" s="3">
        <v>2</v>
      </c>
      <c r="AH610" s="3">
        <v>0</v>
      </c>
      <c r="AI610" s="3">
        <v>0</v>
      </c>
      <c r="AJ610" s="3">
        <v>0</v>
      </c>
      <c r="AK610" s="3">
        <v>0</v>
      </c>
      <c r="AL610" s="3">
        <v>2</v>
      </c>
      <c r="AM610" s="3">
        <v>2</v>
      </c>
      <c r="AN610" s="3">
        <v>0</v>
      </c>
      <c r="AO610" s="3">
        <v>0</v>
      </c>
      <c r="AP610" s="3">
        <v>0</v>
      </c>
      <c r="AQ610" s="3">
        <v>0</v>
      </c>
      <c r="AR610" s="2" t="s">
        <v>5</v>
      </c>
      <c r="AS610" s="2" t="s">
        <v>5</v>
      </c>
      <c r="AU610" s="5" t="str">
        <f>HYPERLINK("https://creighton-primo.hosted.exlibrisgroup.com/primo-explore/search?tab=default_tab&amp;search_scope=EVERYTHING&amp;vid=01CRU&amp;lang=en_US&amp;offset=0&amp;query=any,contains,991001388699702656","Catalog Record")</f>
        <v>Catalog Record</v>
      </c>
      <c r="AV610" s="5" t="str">
        <f>HYPERLINK("http://www.worldcat.org/oclc/5584134","WorldCat Record")</f>
        <v>WorldCat Record</v>
      </c>
      <c r="AW610" s="2" t="s">
        <v>7468</v>
      </c>
      <c r="AX610" s="2" t="s">
        <v>7469</v>
      </c>
      <c r="AY610" s="2" t="s">
        <v>7470</v>
      </c>
      <c r="AZ610" s="2" t="s">
        <v>7470</v>
      </c>
      <c r="BA610" s="2" t="s">
        <v>7471</v>
      </c>
      <c r="BB610" s="2" t="s">
        <v>21</v>
      </c>
      <c r="BE610" s="2" t="s">
        <v>7472</v>
      </c>
      <c r="BF610" s="2" t="s">
        <v>7473</v>
      </c>
    </row>
    <row r="611" spans="1:58" ht="41.25" customHeight="1" x14ac:dyDescent="0.25">
      <c r="A611" s="8" t="s">
        <v>5</v>
      </c>
      <c r="B611" s="1" t="s">
        <v>0</v>
      </c>
      <c r="C611" s="1" t="s">
        <v>1</v>
      </c>
      <c r="D611" s="1" t="s">
        <v>7474</v>
      </c>
      <c r="E611" s="1" t="s">
        <v>7475</v>
      </c>
      <c r="F611" s="1" t="s">
        <v>7476</v>
      </c>
      <c r="H611" s="2" t="s">
        <v>5</v>
      </c>
      <c r="I611" s="2" t="s">
        <v>6</v>
      </c>
      <c r="J611" s="2" t="s">
        <v>5</v>
      </c>
      <c r="K611" s="2" t="s">
        <v>16</v>
      </c>
      <c r="L611" s="2" t="s">
        <v>7</v>
      </c>
      <c r="M611" s="1" t="s">
        <v>7477</v>
      </c>
      <c r="N611" s="1" t="s">
        <v>7478</v>
      </c>
      <c r="O611" s="2" t="s">
        <v>1887</v>
      </c>
      <c r="Q611" s="2" t="s">
        <v>11</v>
      </c>
      <c r="R611" s="2" t="s">
        <v>31</v>
      </c>
      <c r="T611" s="2" t="s">
        <v>520</v>
      </c>
      <c r="U611" s="3">
        <v>22</v>
      </c>
      <c r="V611" s="3">
        <v>22</v>
      </c>
      <c r="W611" s="4" t="s">
        <v>7479</v>
      </c>
      <c r="X611" s="4" t="s">
        <v>7479</v>
      </c>
      <c r="Y611" s="4" t="s">
        <v>5906</v>
      </c>
      <c r="Z611" s="4" t="s">
        <v>5906</v>
      </c>
      <c r="AA611" s="3">
        <v>101</v>
      </c>
      <c r="AB611" s="3">
        <v>80</v>
      </c>
      <c r="AC611" s="3">
        <v>1666</v>
      </c>
      <c r="AD611" s="3">
        <v>2</v>
      </c>
      <c r="AE611" s="3">
        <v>15</v>
      </c>
      <c r="AF611" s="3">
        <v>1</v>
      </c>
      <c r="AG611" s="3">
        <v>45</v>
      </c>
      <c r="AH611" s="3">
        <v>0</v>
      </c>
      <c r="AI611" s="3">
        <v>16</v>
      </c>
      <c r="AJ611" s="3">
        <v>0</v>
      </c>
      <c r="AK611" s="3">
        <v>8</v>
      </c>
      <c r="AL611" s="3">
        <v>1</v>
      </c>
      <c r="AM611" s="3">
        <v>17</v>
      </c>
      <c r="AN611" s="3">
        <v>0</v>
      </c>
      <c r="AO611" s="3">
        <v>11</v>
      </c>
      <c r="AP611" s="3">
        <v>0</v>
      </c>
      <c r="AQ611" s="3">
        <v>0</v>
      </c>
      <c r="AR611" s="2" t="s">
        <v>5</v>
      </c>
      <c r="AS611" s="2" t="s">
        <v>16</v>
      </c>
      <c r="AT611" s="5" t="str">
        <f>HYPERLINK("http://catalog.hathitrust.org/Record/002631058","HathiTrust Record")</f>
        <v>HathiTrust Record</v>
      </c>
      <c r="AU611" s="5" t="str">
        <f>HYPERLINK("https://creighton-primo.hosted.exlibrisgroup.com/primo-explore/search?tab=default_tab&amp;search_scope=EVERYTHING&amp;vid=01CRU&amp;lang=en_US&amp;offset=0&amp;query=any,contains,991001512869702656","Catalog Record")</f>
        <v>Catalog Record</v>
      </c>
      <c r="AV611" s="5" t="str">
        <f>HYPERLINK("http://www.worldcat.org/oclc/28723712","WorldCat Record")</f>
        <v>WorldCat Record</v>
      </c>
      <c r="AW611" s="2" t="s">
        <v>111</v>
      </c>
      <c r="AX611" s="2" t="s">
        <v>7480</v>
      </c>
      <c r="AY611" s="2" t="s">
        <v>7481</v>
      </c>
      <c r="AZ611" s="2" t="s">
        <v>7481</v>
      </c>
      <c r="BA611" s="2" t="s">
        <v>7482</v>
      </c>
      <c r="BB611" s="2" t="s">
        <v>21</v>
      </c>
      <c r="BD611" s="2" t="s">
        <v>7483</v>
      </c>
      <c r="BE611" s="2" t="s">
        <v>7484</v>
      </c>
      <c r="BF611" s="2" t="s">
        <v>7485</v>
      </c>
    </row>
    <row r="612" spans="1:58" ht="41.25" customHeight="1" x14ac:dyDescent="0.25">
      <c r="A612" s="8" t="s">
        <v>5</v>
      </c>
      <c r="B612" s="1" t="s">
        <v>0</v>
      </c>
      <c r="C612" s="1" t="s">
        <v>1</v>
      </c>
      <c r="D612" s="1" t="s">
        <v>7486</v>
      </c>
      <c r="E612" s="1" t="s">
        <v>7487</v>
      </c>
      <c r="F612" s="1" t="s">
        <v>7488</v>
      </c>
      <c r="H612" s="2" t="s">
        <v>5</v>
      </c>
      <c r="I612" s="2" t="s">
        <v>6</v>
      </c>
      <c r="J612" s="2" t="s">
        <v>5</v>
      </c>
      <c r="K612" s="2" t="s">
        <v>5</v>
      </c>
      <c r="L612" s="2" t="s">
        <v>7</v>
      </c>
      <c r="N612" s="1" t="s">
        <v>7489</v>
      </c>
      <c r="O612" s="2" t="s">
        <v>546</v>
      </c>
      <c r="Q612" s="2" t="s">
        <v>11</v>
      </c>
      <c r="R612" s="2" t="s">
        <v>78</v>
      </c>
      <c r="T612" s="2" t="s">
        <v>520</v>
      </c>
      <c r="U612" s="3">
        <v>2</v>
      </c>
      <c r="V612" s="3">
        <v>2</v>
      </c>
      <c r="W612" s="4" t="s">
        <v>7490</v>
      </c>
      <c r="X612" s="4" t="s">
        <v>7490</v>
      </c>
      <c r="Y612" s="4" t="s">
        <v>7490</v>
      </c>
      <c r="Z612" s="4" t="s">
        <v>7490</v>
      </c>
      <c r="AA612" s="3">
        <v>178</v>
      </c>
      <c r="AB612" s="3">
        <v>152</v>
      </c>
      <c r="AC612" s="3">
        <v>155</v>
      </c>
      <c r="AD612" s="3">
        <v>1</v>
      </c>
      <c r="AE612" s="3">
        <v>1</v>
      </c>
      <c r="AF612" s="3">
        <v>0</v>
      </c>
      <c r="AG612" s="3">
        <v>0</v>
      </c>
      <c r="AH612" s="3">
        <v>0</v>
      </c>
      <c r="AI612" s="3">
        <v>0</v>
      </c>
      <c r="AJ612" s="3">
        <v>0</v>
      </c>
      <c r="AK612" s="3">
        <v>0</v>
      </c>
      <c r="AL612" s="3">
        <v>0</v>
      </c>
      <c r="AM612" s="3">
        <v>0</v>
      </c>
      <c r="AN612" s="3">
        <v>0</v>
      </c>
      <c r="AO612" s="3">
        <v>0</v>
      </c>
      <c r="AP612" s="3">
        <v>0</v>
      </c>
      <c r="AQ612" s="3">
        <v>0</v>
      </c>
      <c r="AR612" s="2" t="s">
        <v>5</v>
      </c>
      <c r="AS612" s="2" t="s">
        <v>5</v>
      </c>
      <c r="AU612" s="5" t="str">
        <f>HYPERLINK("https://creighton-primo.hosted.exlibrisgroup.com/primo-explore/search?tab=default_tab&amp;search_scope=EVERYTHING&amp;vid=01CRU&amp;lang=en_US&amp;offset=0&amp;query=any,contains,991001566579702656","Catalog Record")</f>
        <v>Catalog Record</v>
      </c>
      <c r="AV612" s="5" t="str">
        <f>HYPERLINK("http://www.worldcat.org/oclc/30027754","WorldCat Record")</f>
        <v>WorldCat Record</v>
      </c>
      <c r="AW612" s="2" t="s">
        <v>7491</v>
      </c>
      <c r="AX612" s="2" t="s">
        <v>7492</v>
      </c>
      <c r="AY612" s="2" t="s">
        <v>7493</v>
      </c>
      <c r="AZ612" s="2" t="s">
        <v>7493</v>
      </c>
      <c r="BA612" s="2" t="s">
        <v>7494</v>
      </c>
      <c r="BB612" s="2" t="s">
        <v>21</v>
      </c>
      <c r="BD612" s="2" t="s">
        <v>7495</v>
      </c>
      <c r="BE612" s="2" t="s">
        <v>7496</v>
      </c>
      <c r="BF612" s="2" t="s">
        <v>7497</v>
      </c>
    </row>
    <row r="613" spans="1:58" ht="41.25" customHeight="1" x14ac:dyDescent="0.25">
      <c r="A613" s="8" t="s">
        <v>5</v>
      </c>
      <c r="B613" s="1" t="s">
        <v>0</v>
      </c>
      <c r="C613" s="1" t="s">
        <v>1</v>
      </c>
      <c r="D613" s="1" t="s">
        <v>7498</v>
      </c>
      <c r="E613" s="1" t="s">
        <v>7499</v>
      </c>
      <c r="F613" s="1" t="s">
        <v>7500</v>
      </c>
      <c r="H613" s="2" t="s">
        <v>5</v>
      </c>
      <c r="I613" s="2" t="s">
        <v>6</v>
      </c>
      <c r="J613" s="2" t="s">
        <v>5</v>
      </c>
      <c r="K613" s="2" t="s">
        <v>5</v>
      </c>
      <c r="L613" s="2" t="s">
        <v>7</v>
      </c>
      <c r="N613" s="1" t="s">
        <v>7501</v>
      </c>
      <c r="O613" s="2" t="s">
        <v>888</v>
      </c>
      <c r="Q613" s="2" t="s">
        <v>11</v>
      </c>
      <c r="R613" s="2" t="s">
        <v>426</v>
      </c>
      <c r="T613" s="2" t="s">
        <v>520</v>
      </c>
      <c r="U613" s="3">
        <v>8</v>
      </c>
      <c r="V613" s="3">
        <v>8</v>
      </c>
      <c r="W613" s="4" t="s">
        <v>7502</v>
      </c>
      <c r="X613" s="4" t="s">
        <v>7502</v>
      </c>
      <c r="Y613" s="4" t="s">
        <v>168</v>
      </c>
      <c r="Z613" s="4" t="s">
        <v>168</v>
      </c>
      <c r="AA613" s="3">
        <v>293</v>
      </c>
      <c r="AB613" s="3">
        <v>256</v>
      </c>
      <c r="AC613" s="3">
        <v>258</v>
      </c>
      <c r="AD613" s="3">
        <v>3</v>
      </c>
      <c r="AE613" s="3">
        <v>3</v>
      </c>
      <c r="AF613" s="3">
        <v>7</v>
      </c>
      <c r="AG613" s="3">
        <v>7</v>
      </c>
      <c r="AH613" s="3">
        <v>3</v>
      </c>
      <c r="AI613" s="3">
        <v>3</v>
      </c>
      <c r="AJ613" s="3">
        <v>1</v>
      </c>
      <c r="AK613" s="3">
        <v>1</v>
      </c>
      <c r="AL613" s="3">
        <v>2</v>
      </c>
      <c r="AM613" s="3">
        <v>2</v>
      </c>
      <c r="AN613" s="3">
        <v>1</v>
      </c>
      <c r="AO613" s="3">
        <v>1</v>
      </c>
      <c r="AP613" s="3">
        <v>0</v>
      </c>
      <c r="AQ613" s="3">
        <v>0</v>
      </c>
      <c r="AR613" s="2" t="s">
        <v>5</v>
      </c>
      <c r="AS613" s="2" t="s">
        <v>16</v>
      </c>
      <c r="AT613" s="5" t="str">
        <f>HYPERLINK("http://catalog.hathitrust.org/Record/000601474","HathiTrust Record")</f>
        <v>HathiTrust Record</v>
      </c>
      <c r="AU613" s="5" t="str">
        <f>HYPERLINK("https://creighton-primo.hosted.exlibrisgroup.com/primo-explore/search?tab=default_tab&amp;search_scope=EVERYTHING&amp;vid=01CRU&amp;lang=en_US&amp;offset=0&amp;query=any,contains,991001044399702656","Catalog Record")</f>
        <v>Catalog Record</v>
      </c>
      <c r="AV613" s="5" t="str">
        <f>HYPERLINK("http://www.worldcat.org/oclc/10208462","WorldCat Record")</f>
        <v>WorldCat Record</v>
      </c>
      <c r="AW613" s="2" t="s">
        <v>7503</v>
      </c>
      <c r="AX613" s="2" t="s">
        <v>7504</v>
      </c>
      <c r="AY613" s="2" t="s">
        <v>7505</v>
      </c>
      <c r="AZ613" s="2" t="s">
        <v>7505</v>
      </c>
      <c r="BA613" s="2" t="s">
        <v>7506</v>
      </c>
      <c r="BB613" s="2" t="s">
        <v>21</v>
      </c>
      <c r="BD613" s="2" t="s">
        <v>7507</v>
      </c>
      <c r="BE613" s="2" t="s">
        <v>7508</v>
      </c>
      <c r="BF613" s="2" t="s">
        <v>7509</v>
      </c>
    </row>
    <row r="614" spans="1:58" ht="41.25" customHeight="1" x14ac:dyDescent="0.25">
      <c r="A614" s="8" t="s">
        <v>5</v>
      </c>
      <c r="B614" s="1" t="s">
        <v>0</v>
      </c>
      <c r="C614" s="1" t="s">
        <v>1</v>
      </c>
      <c r="D614" s="1" t="s">
        <v>7510</v>
      </c>
      <c r="E614" s="1" t="s">
        <v>7511</v>
      </c>
      <c r="F614" s="1" t="s">
        <v>7512</v>
      </c>
      <c r="H614" s="2" t="s">
        <v>5</v>
      </c>
      <c r="I614" s="2" t="s">
        <v>6</v>
      </c>
      <c r="J614" s="2" t="s">
        <v>5</v>
      </c>
      <c r="K614" s="2" t="s">
        <v>16</v>
      </c>
      <c r="L614" s="2" t="s">
        <v>7</v>
      </c>
      <c r="M614" s="1" t="s">
        <v>7513</v>
      </c>
      <c r="N614" s="1" t="s">
        <v>3693</v>
      </c>
      <c r="O614" s="2" t="s">
        <v>1102</v>
      </c>
      <c r="P614" s="1" t="s">
        <v>7514</v>
      </c>
      <c r="Q614" s="2" t="s">
        <v>11</v>
      </c>
      <c r="R614" s="2" t="s">
        <v>426</v>
      </c>
      <c r="T614" s="2" t="s">
        <v>520</v>
      </c>
      <c r="U614" s="3">
        <v>14</v>
      </c>
      <c r="V614" s="3">
        <v>14</v>
      </c>
      <c r="W614" s="4" t="s">
        <v>342</v>
      </c>
      <c r="X614" s="4" t="s">
        <v>342</v>
      </c>
      <c r="Y614" s="4" t="s">
        <v>7515</v>
      </c>
      <c r="Z614" s="4" t="s">
        <v>7515</v>
      </c>
      <c r="AA614" s="3">
        <v>456</v>
      </c>
      <c r="AB614" s="3">
        <v>386</v>
      </c>
      <c r="AC614" s="3">
        <v>1897</v>
      </c>
      <c r="AD614" s="3">
        <v>5</v>
      </c>
      <c r="AE614" s="3">
        <v>17</v>
      </c>
      <c r="AF614" s="3">
        <v>5</v>
      </c>
      <c r="AG614" s="3">
        <v>42</v>
      </c>
      <c r="AH614" s="3">
        <v>0</v>
      </c>
      <c r="AI614" s="3">
        <v>11</v>
      </c>
      <c r="AJ614" s="3">
        <v>1</v>
      </c>
      <c r="AK614" s="3">
        <v>9</v>
      </c>
      <c r="AL614" s="3">
        <v>3</v>
      </c>
      <c r="AM614" s="3">
        <v>16</v>
      </c>
      <c r="AN614" s="3">
        <v>1</v>
      </c>
      <c r="AO614" s="3">
        <v>12</v>
      </c>
      <c r="AP614" s="3">
        <v>0</v>
      </c>
      <c r="AQ614" s="3">
        <v>1</v>
      </c>
      <c r="AR614" s="2" t="s">
        <v>5</v>
      </c>
      <c r="AS614" s="2" t="s">
        <v>5</v>
      </c>
      <c r="AU614" s="5" t="str">
        <f>HYPERLINK("https://creighton-primo.hosted.exlibrisgroup.com/primo-explore/search?tab=default_tab&amp;search_scope=EVERYTHING&amp;vid=01CRU&amp;lang=en_US&amp;offset=0&amp;query=any,contains,991000738999702656","Catalog Record")</f>
        <v>Catalog Record</v>
      </c>
      <c r="AV614" s="5" t="str">
        <f>HYPERLINK("http://www.worldcat.org/oclc/12612711","WorldCat Record")</f>
        <v>WorldCat Record</v>
      </c>
      <c r="AW614" s="2" t="s">
        <v>7516</v>
      </c>
      <c r="AX614" s="2" t="s">
        <v>7517</v>
      </c>
      <c r="AY614" s="2" t="s">
        <v>7518</v>
      </c>
      <c r="AZ614" s="2" t="s">
        <v>7518</v>
      </c>
      <c r="BA614" s="2" t="s">
        <v>7519</v>
      </c>
      <c r="BB614" s="2" t="s">
        <v>21</v>
      </c>
      <c r="BD614" s="2" t="s">
        <v>7520</v>
      </c>
      <c r="BE614" s="2" t="s">
        <v>7521</v>
      </c>
      <c r="BF614" s="2" t="s">
        <v>7522</v>
      </c>
    </row>
    <row r="615" spans="1:58" ht="41.25" customHeight="1" x14ac:dyDescent="0.25">
      <c r="A615" s="8" t="s">
        <v>5</v>
      </c>
      <c r="B615" s="1" t="s">
        <v>0</v>
      </c>
      <c r="C615" s="1" t="s">
        <v>1</v>
      </c>
      <c r="D615" s="1" t="s">
        <v>7523</v>
      </c>
      <c r="E615" s="1" t="s">
        <v>7524</v>
      </c>
      <c r="F615" s="1" t="s">
        <v>7525</v>
      </c>
      <c r="H615" s="2" t="s">
        <v>5</v>
      </c>
      <c r="I615" s="2" t="s">
        <v>6</v>
      </c>
      <c r="J615" s="2" t="s">
        <v>5</v>
      </c>
      <c r="K615" s="2" t="s">
        <v>16</v>
      </c>
      <c r="L615" s="2" t="s">
        <v>7</v>
      </c>
      <c r="M615" s="1" t="s">
        <v>425</v>
      </c>
      <c r="N615" s="1" t="s">
        <v>7526</v>
      </c>
      <c r="O615" s="2" t="s">
        <v>1887</v>
      </c>
      <c r="P615" s="1" t="s">
        <v>1284</v>
      </c>
      <c r="Q615" s="2" t="s">
        <v>11</v>
      </c>
      <c r="R615" s="2" t="s">
        <v>78</v>
      </c>
      <c r="T615" s="2" t="s">
        <v>520</v>
      </c>
      <c r="U615" s="3">
        <v>2</v>
      </c>
      <c r="V615" s="3">
        <v>2</v>
      </c>
      <c r="W615" s="4" t="s">
        <v>7527</v>
      </c>
      <c r="X615" s="4" t="s">
        <v>7527</v>
      </c>
      <c r="Y615" s="4" t="s">
        <v>7528</v>
      </c>
      <c r="Z615" s="4" t="s">
        <v>7528</v>
      </c>
      <c r="AA615" s="3">
        <v>134</v>
      </c>
      <c r="AB615" s="3">
        <v>97</v>
      </c>
      <c r="AC615" s="3">
        <v>1176</v>
      </c>
      <c r="AD615" s="3">
        <v>2</v>
      </c>
      <c r="AE615" s="3">
        <v>6</v>
      </c>
      <c r="AF615" s="3">
        <v>2</v>
      </c>
      <c r="AG615" s="3">
        <v>27</v>
      </c>
      <c r="AH615" s="3">
        <v>1</v>
      </c>
      <c r="AI615" s="3">
        <v>11</v>
      </c>
      <c r="AJ615" s="3">
        <v>1</v>
      </c>
      <c r="AK615" s="3">
        <v>5</v>
      </c>
      <c r="AL615" s="3">
        <v>1</v>
      </c>
      <c r="AM615" s="3">
        <v>12</v>
      </c>
      <c r="AN615" s="3">
        <v>0</v>
      </c>
      <c r="AO615" s="3">
        <v>4</v>
      </c>
      <c r="AP615" s="3">
        <v>0</v>
      </c>
      <c r="AQ615" s="3">
        <v>0</v>
      </c>
      <c r="AR615" s="2" t="s">
        <v>5</v>
      </c>
      <c r="AS615" s="2" t="s">
        <v>5</v>
      </c>
      <c r="AU615" s="5" t="str">
        <f>HYPERLINK("https://creighton-primo.hosted.exlibrisgroup.com/primo-explore/search?tab=default_tab&amp;search_scope=EVERYTHING&amp;vid=01CRU&amp;lang=en_US&amp;offset=0&amp;query=any,contains,991000990929702656","Catalog Record")</f>
        <v>Catalog Record</v>
      </c>
      <c r="AV615" s="5" t="str">
        <f>HYPERLINK("http://www.worldcat.org/oclc/26895265","WorldCat Record")</f>
        <v>WorldCat Record</v>
      </c>
      <c r="AW615" s="2" t="s">
        <v>7529</v>
      </c>
      <c r="AX615" s="2" t="s">
        <v>7530</v>
      </c>
      <c r="AY615" s="2" t="s">
        <v>7531</v>
      </c>
      <c r="AZ615" s="2" t="s">
        <v>7531</v>
      </c>
      <c r="BA615" s="2" t="s">
        <v>7532</v>
      </c>
      <c r="BB615" s="2" t="s">
        <v>21</v>
      </c>
      <c r="BD615" s="2" t="s">
        <v>7533</v>
      </c>
      <c r="BE615" s="2" t="s">
        <v>7534</v>
      </c>
      <c r="BF615" s="2" t="s">
        <v>7535</v>
      </c>
    </row>
    <row r="616" spans="1:58" ht="41.25" customHeight="1" x14ac:dyDescent="0.25">
      <c r="A616" s="8" t="s">
        <v>5</v>
      </c>
      <c r="B616" s="1" t="s">
        <v>0</v>
      </c>
      <c r="C616" s="1" t="s">
        <v>1</v>
      </c>
      <c r="D616" s="1" t="s">
        <v>7536</v>
      </c>
      <c r="E616" s="1" t="s">
        <v>7537</v>
      </c>
      <c r="F616" s="1" t="s">
        <v>7538</v>
      </c>
      <c r="H616" s="2" t="s">
        <v>5</v>
      </c>
      <c r="I616" s="2" t="s">
        <v>6</v>
      </c>
      <c r="J616" s="2" t="s">
        <v>5</v>
      </c>
      <c r="K616" s="2" t="s">
        <v>5</v>
      </c>
      <c r="L616" s="2" t="s">
        <v>7</v>
      </c>
      <c r="N616" s="1" t="s">
        <v>6493</v>
      </c>
      <c r="O616" s="2" t="s">
        <v>888</v>
      </c>
      <c r="Q616" s="2" t="s">
        <v>11</v>
      </c>
      <c r="R616" s="2" t="s">
        <v>426</v>
      </c>
      <c r="T616" s="2" t="s">
        <v>520</v>
      </c>
      <c r="U616" s="3">
        <v>6</v>
      </c>
      <c r="V616" s="3">
        <v>6</v>
      </c>
      <c r="W616" s="4" t="s">
        <v>7539</v>
      </c>
      <c r="X616" s="4" t="s">
        <v>7539</v>
      </c>
      <c r="Y616" s="4" t="s">
        <v>168</v>
      </c>
      <c r="Z616" s="4" t="s">
        <v>168</v>
      </c>
      <c r="AA616" s="3">
        <v>88</v>
      </c>
      <c r="AB616" s="3">
        <v>76</v>
      </c>
      <c r="AC616" s="3">
        <v>77</v>
      </c>
      <c r="AD616" s="3">
        <v>1</v>
      </c>
      <c r="AE616" s="3">
        <v>1</v>
      </c>
      <c r="AF616" s="3">
        <v>2</v>
      </c>
      <c r="AG616" s="3">
        <v>2</v>
      </c>
      <c r="AH616" s="3">
        <v>0</v>
      </c>
      <c r="AI616" s="3">
        <v>0</v>
      </c>
      <c r="AJ616" s="3">
        <v>1</v>
      </c>
      <c r="AK616" s="3">
        <v>1</v>
      </c>
      <c r="AL616" s="3">
        <v>2</v>
      </c>
      <c r="AM616" s="3">
        <v>2</v>
      </c>
      <c r="AN616" s="3">
        <v>0</v>
      </c>
      <c r="AO616" s="3">
        <v>0</v>
      </c>
      <c r="AP616" s="3">
        <v>0</v>
      </c>
      <c r="AQ616" s="3">
        <v>0</v>
      </c>
      <c r="AR616" s="2" t="s">
        <v>5</v>
      </c>
      <c r="AS616" s="2" t="s">
        <v>5</v>
      </c>
      <c r="AU616" s="5" t="str">
        <f>HYPERLINK("https://creighton-primo.hosted.exlibrisgroup.com/primo-explore/search?tab=default_tab&amp;search_scope=EVERYTHING&amp;vid=01CRU&amp;lang=en_US&amp;offset=0&amp;query=any,contains,991001044439702656","Catalog Record")</f>
        <v>Catalog Record</v>
      </c>
      <c r="AV616" s="5" t="str">
        <f>HYPERLINK("http://www.worldcat.org/oclc/10483287","WorldCat Record")</f>
        <v>WorldCat Record</v>
      </c>
      <c r="AW616" s="2" t="s">
        <v>7540</v>
      </c>
      <c r="AX616" s="2" t="s">
        <v>7541</v>
      </c>
      <c r="AY616" s="2" t="s">
        <v>7542</v>
      </c>
      <c r="AZ616" s="2" t="s">
        <v>7542</v>
      </c>
      <c r="BA616" s="2" t="s">
        <v>7543</v>
      </c>
      <c r="BB616" s="2" t="s">
        <v>21</v>
      </c>
      <c r="BD616" s="2" t="s">
        <v>7544</v>
      </c>
      <c r="BE616" s="2" t="s">
        <v>7545</v>
      </c>
      <c r="BF616" s="2" t="s">
        <v>7546</v>
      </c>
    </row>
    <row r="617" spans="1:58" ht="41.25" customHeight="1" x14ac:dyDescent="0.25">
      <c r="A617" s="8" t="s">
        <v>5</v>
      </c>
      <c r="B617" s="1" t="s">
        <v>0</v>
      </c>
      <c r="C617" s="1" t="s">
        <v>1</v>
      </c>
      <c r="D617" s="1" t="s">
        <v>7547</v>
      </c>
      <c r="E617" s="1" t="s">
        <v>7548</v>
      </c>
      <c r="F617" s="1" t="s">
        <v>7549</v>
      </c>
      <c r="H617" s="2" t="s">
        <v>5</v>
      </c>
      <c r="I617" s="2" t="s">
        <v>6</v>
      </c>
      <c r="J617" s="2" t="s">
        <v>5</v>
      </c>
      <c r="K617" s="2" t="s">
        <v>5</v>
      </c>
      <c r="L617" s="2" t="s">
        <v>7</v>
      </c>
      <c r="M617" s="1" t="s">
        <v>7550</v>
      </c>
      <c r="N617" s="1" t="s">
        <v>2347</v>
      </c>
      <c r="O617" s="2" t="s">
        <v>1887</v>
      </c>
      <c r="Q617" s="2" t="s">
        <v>11</v>
      </c>
      <c r="R617" s="2" t="s">
        <v>12</v>
      </c>
      <c r="T617" s="2" t="s">
        <v>520</v>
      </c>
      <c r="U617" s="3">
        <v>7</v>
      </c>
      <c r="V617" s="3">
        <v>7</v>
      </c>
      <c r="W617" s="4" t="s">
        <v>7551</v>
      </c>
      <c r="X617" s="4" t="s">
        <v>7551</v>
      </c>
      <c r="Y617" s="4" t="s">
        <v>7552</v>
      </c>
      <c r="Z617" s="4" t="s">
        <v>7552</v>
      </c>
      <c r="AA617" s="3">
        <v>177</v>
      </c>
      <c r="AB617" s="3">
        <v>150</v>
      </c>
      <c r="AC617" s="3">
        <v>152</v>
      </c>
      <c r="AD617" s="3">
        <v>1</v>
      </c>
      <c r="AE617" s="3">
        <v>1</v>
      </c>
      <c r="AF617" s="3">
        <v>11</v>
      </c>
      <c r="AG617" s="3">
        <v>11</v>
      </c>
      <c r="AH617" s="3">
        <v>3</v>
      </c>
      <c r="AI617" s="3">
        <v>3</v>
      </c>
      <c r="AJ617" s="3">
        <v>3</v>
      </c>
      <c r="AK617" s="3">
        <v>3</v>
      </c>
      <c r="AL617" s="3">
        <v>9</v>
      </c>
      <c r="AM617" s="3">
        <v>9</v>
      </c>
      <c r="AN617" s="3">
        <v>0</v>
      </c>
      <c r="AO617" s="3">
        <v>0</v>
      </c>
      <c r="AP617" s="3">
        <v>0</v>
      </c>
      <c r="AQ617" s="3">
        <v>0</v>
      </c>
      <c r="AR617" s="2" t="s">
        <v>5</v>
      </c>
      <c r="AS617" s="2" t="s">
        <v>16</v>
      </c>
      <c r="AT617" s="5" t="str">
        <f>HYPERLINK("http://catalog.hathitrust.org/Record/002652627","HathiTrust Record")</f>
        <v>HathiTrust Record</v>
      </c>
      <c r="AU617" s="5" t="str">
        <f>HYPERLINK("https://creighton-primo.hosted.exlibrisgroup.com/primo-explore/search?tab=default_tab&amp;search_scope=EVERYTHING&amp;vid=01CRU&amp;lang=en_US&amp;offset=0&amp;query=any,contains,991000673189702656","Catalog Record")</f>
        <v>Catalog Record</v>
      </c>
      <c r="AV617" s="5" t="str">
        <f>HYPERLINK("http://www.worldcat.org/oclc/27811738","WorldCat Record")</f>
        <v>WorldCat Record</v>
      </c>
      <c r="AW617" s="2" t="s">
        <v>7553</v>
      </c>
      <c r="AX617" s="2" t="s">
        <v>7554</v>
      </c>
      <c r="AY617" s="2" t="s">
        <v>7555</v>
      </c>
      <c r="AZ617" s="2" t="s">
        <v>7555</v>
      </c>
      <c r="BA617" s="2" t="s">
        <v>7556</v>
      </c>
      <c r="BB617" s="2" t="s">
        <v>21</v>
      </c>
      <c r="BD617" s="2" t="s">
        <v>7557</v>
      </c>
      <c r="BE617" s="2" t="s">
        <v>7558</v>
      </c>
      <c r="BF617" s="2" t="s">
        <v>7559</v>
      </c>
    </row>
    <row r="618" spans="1:58" ht="41.25" customHeight="1" x14ac:dyDescent="0.25">
      <c r="A618" s="8" t="s">
        <v>5</v>
      </c>
      <c r="B618" s="1" t="s">
        <v>0</v>
      </c>
      <c r="C618" s="1" t="s">
        <v>1</v>
      </c>
      <c r="D618" s="1" t="s">
        <v>7560</v>
      </c>
      <c r="E618" s="1" t="s">
        <v>7561</v>
      </c>
      <c r="F618" s="1" t="s">
        <v>7562</v>
      </c>
      <c r="H618" s="2" t="s">
        <v>5</v>
      </c>
      <c r="I618" s="2" t="s">
        <v>6</v>
      </c>
      <c r="J618" s="2" t="s">
        <v>5</v>
      </c>
      <c r="K618" s="2" t="s">
        <v>5</v>
      </c>
      <c r="L618" s="2" t="s">
        <v>7</v>
      </c>
      <c r="M618" s="1" t="s">
        <v>7563</v>
      </c>
      <c r="N618" s="1" t="s">
        <v>7564</v>
      </c>
      <c r="O618" s="2" t="s">
        <v>136</v>
      </c>
      <c r="P618" s="1" t="s">
        <v>901</v>
      </c>
      <c r="Q618" s="2" t="s">
        <v>11</v>
      </c>
      <c r="R618" s="2" t="s">
        <v>78</v>
      </c>
      <c r="T618" s="2" t="s">
        <v>520</v>
      </c>
      <c r="U618" s="3">
        <v>3</v>
      </c>
      <c r="V618" s="3">
        <v>3</v>
      </c>
      <c r="W618" s="4" t="s">
        <v>7527</v>
      </c>
      <c r="X618" s="4" t="s">
        <v>7527</v>
      </c>
      <c r="Y618" s="4" t="s">
        <v>2762</v>
      </c>
      <c r="Z618" s="4" t="s">
        <v>2762</v>
      </c>
      <c r="AA618" s="3">
        <v>146</v>
      </c>
      <c r="AB618" s="3">
        <v>116</v>
      </c>
      <c r="AC618" s="3">
        <v>363</v>
      </c>
      <c r="AD618" s="3">
        <v>2</v>
      </c>
      <c r="AE618" s="3">
        <v>3</v>
      </c>
      <c r="AF618" s="3">
        <v>3</v>
      </c>
      <c r="AG618" s="3">
        <v>7</v>
      </c>
      <c r="AH618" s="3">
        <v>0</v>
      </c>
      <c r="AI618" s="3">
        <v>1</v>
      </c>
      <c r="AJ618" s="3">
        <v>0</v>
      </c>
      <c r="AK618" s="3">
        <v>2</v>
      </c>
      <c r="AL618" s="3">
        <v>2</v>
      </c>
      <c r="AM618" s="3">
        <v>4</v>
      </c>
      <c r="AN618" s="3">
        <v>1</v>
      </c>
      <c r="AO618" s="3">
        <v>1</v>
      </c>
      <c r="AP618" s="3">
        <v>0</v>
      </c>
      <c r="AQ618" s="3">
        <v>0</v>
      </c>
      <c r="AR618" s="2" t="s">
        <v>5</v>
      </c>
      <c r="AS618" s="2" t="s">
        <v>5</v>
      </c>
      <c r="AU618" s="5" t="str">
        <f>HYPERLINK("https://creighton-primo.hosted.exlibrisgroup.com/primo-explore/search?tab=default_tab&amp;search_scope=EVERYTHING&amp;vid=01CRU&amp;lang=en_US&amp;offset=0&amp;query=any,contains,991000990899702656","Catalog Record")</f>
        <v>Catalog Record</v>
      </c>
      <c r="AV618" s="5" t="str">
        <f>HYPERLINK("http://www.worldcat.org/oclc/22243676","WorldCat Record")</f>
        <v>WorldCat Record</v>
      </c>
      <c r="AW618" s="2" t="s">
        <v>7565</v>
      </c>
      <c r="AX618" s="2" t="s">
        <v>7566</v>
      </c>
      <c r="AY618" s="2" t="s">
        <v>7567</v>
      </c>
      <c r="AZ618" s="2" t="s">
        <v>7567</v>
      </c>
      <c r="BA618" s="2" t="s">
        <v>7568</v>
      </c>
      <c r="BB618" s="2" t="s">
        <v>21</v>
      </c>
      <c r="BD618" s="2" t="s">
        <v>7569</v>
      </c>
      <c r="BE618" s="2" t="s">
        <v>7570</v>
      </c>
      <c r="BF618" s="2" t="s">
        <v>7571</v>
      </c>
    </row>
    <row r="619" spans="1:58" ht="41.25" customHeight="1" x14ac:dyDescent="0.25">
      <c r="A619" s="8" t="s">
        <v>5</v>
      </c>
      <c r="B619" s="1" t="s">
        <v>0</v>
      </c>
      <c r="C619" s="1" t="s">
        <v>1</v>
      </c>
      <c r="D619" s="1" t="s">
        <v>7572</v>
      </c>
      <c r="E619" s="1" t="s">
        <v>7573</v>
      </c>
      <c r="F619" s="1" t="s">
        <v>7574</v>
      </c>
      <c r="H619" s="2" t="s">
        <v>5</v>
      </c>
      <c r="I619" s="2" t="s">
        <v>6</v>
      </c>
      <c r="J619" s="2" t="s">
        <v>5</v>
      </c>
      <c r="K619" s="2" t="s">
        <v>5</v>
      </c>
      <c r="L619" s="2" t="s">
        <v>7</v>
      </c>
      <c r="M619" s="1" t="s">
        <v>7575</v>
      </c>
      <c r="N619" s="1" t="s">
        <v>1139</v>
      </c>
      <c r="O619" s="2" t="s">
        <v>136</v>
      </c>
      <c r="Q619" s="2" t="s">
        <v>11</v>
      </c>
      <c r="R619" s="2" t="s">
        <v>1140</v>
      </c>
      <c r="S619" s="1" t="s">
        <v>7576</v>
      </c>
      <c r="T619" s="2" t="s">
        <v>520</v>
      </c>
      <c r="U619" s="3">
        <v>3</v>
      </c>
      <c r="V619" s="3">
        <v>3</v>
      </c>
      <c r="W619" s="4" t="s">
        <v>7577</v>
      </c>
      <c r="X619" s="4" t="s">
        <v>7577</v>
      </c>
      <c r="Y619" s="4" t="s">
        <v>7578</v>
      </c>
      <c r="Z619" s="4" t="s">
        <v>7578</v>
      </c>
      <c r="AA619" s="3">
        <v>145</v>
      </c>
      <c r="AB619" s="3">
        <v>125</v>
      </c>
      <c r="AC619" s="3">
        <v>125</v>
      </c>
      <c r="AD619" s="3">
        <v>1</v>
      </c>
      <c r="AE619" s="3">
        <v>1</v>
      </c>
      <c r="AF619" s="3">
        <v>5</v>
      </c>
      <c r="AG619" s="3">
        <v>5</v>
      </c>
      <c r="AH619" s="3">
        <v>1</v>
      </c>
      <c r="AI619" s="3">
        <v>1</v>
      </c>
      <c r="AJ619" s="3">
        <v>3</v>
      </c>
      <c r="AK619" s="3">
        <v>3</v>
      </c>
      <c r="AL619" s="3">
        <v>4</v>
      </c>
      <c r="AM619" s="3">
        <v>4</v>
      </c>
      <c r="AN619" s="3">
        <v>0</v>
      </c>
      <c r="AO619" s="3">
        <v>0</v>
      </c>
      <c r="AP619" s="3">
        <v>0</v>
      </c>
      <c r="AQ619" s="3">
        <v>0</v>
      </c>
      <c r="AR619" s="2" t="s">
        <v>5</v>
      </c>
      <c r="AS619" s="2" t="s">
        <v>5</v>
      </c>
      <c r="AU619" s="5" t="str">
        <f>HYPERLINK("https://creighton-primo.hosted.exlibrisgroup.com/primo-explore/search?tab=default_tab&amp;search_scope=EVERYTHING&amp;vid=01CRU&amp;lang=en_US&amp;offset=0&amp;query=any,contains,991001479199702656","Catalog Record")</f>
        <v>Catalog Record</v>
      </c>
      <c r="AV619" s="5" t="str">
        <f>HYPERLINK("http://www.worldcat.org/oclc/23732595","WorldCat Record")</f>
        <v>WorldCat Record</v>
      </c>
      <c r="AW619" s="2" t="s">
        <v>7579</v>
      </c>
      <c r="AX619" s="2" t="s">
        <v>7580</v>
      </c>
      <c r="AY619" s="2" t="s">
        <v>7581</v>
      </c>
      <c r="AZ619" s="2" t="s">
        <v>7581</v>
      </c>
      <c r="BA619" s="2" t="s">
        <v>7582</v>
      </c>
      <c r="BB619" s="2" t="s">
        <v>21</v>
      </c>
      <c r="BD619" s="2" t="s">
        <v>7583</v>
      </c>
      <c r="BE619" s="2" t="s">
        <v>7584</v>
      </c>
      <c r="BF619" s="2" t="s">
        <v>7585</v>
      </c>
    </row>
    <row r="620" spans="1:58" ht="41.25" customHeight="1" x14ac:dyDescent="0.25">
      <c r="A620" s="8" t="s">
        <v>5</v>
      </c>
      <c r="B620" s="1" t="s">
        <v>0</v>
      </c>
      <c r="C620" s="1" t="s">
        <v>1</v>
      </c>
      <c r="D620" s="1" t="s">
        <v>7586</v>
      </c>
      <c r="E620" s="1" t="s">
        <v>7587</v>
      </c>
      <c r="F620" s="1" t="s">
        <v>7588</v>
      </c>
      <c r="H620" s="2" t="s">
        <v>5</v>
      </c>
      <c r="I620" s="2" t="s">
        <v>6</v>
      </c>
      <c r="J620" s="2" t="s">
        <v>5</v>
      </c>
      <c r="K620" s="2" t="s">
        <v>5</v>
      </c>
      <c r="L620" s="2" t="s">
        <v>7</v>
      </c>
      <c r="M620" s="1" t="s">
        <v>7589</v>
      </c>
      <c r="N620" s="1" t="s">
        <v>7590</v>
      </c>
      <c r="O620" s="2" t="s">
        <v>872</v>
      </c>
      <c r="Q620" s="2" t="s">
        <v>11</v>
      </c>
      <c r="R620" s="2" t="s">
        <v>426</v>
      </c>
      <c r="S620" s="1" t="s">
        <v>7591</v>
      </c>
      <c r="T620" s="2" t="s">
        <v>520</v>
      </c>
      <c r="U620" s="3">
        <v>8</v>
      </c>
      <c r="V620" s="3">
        <v>8</v>
      </c>
      <c r="W620" s="4" t="s">
        <v>7592</v>
      </c>
      <c r="X620" s="4" t="s">
        <v>7592</v>
      </c>
      <c r="Y620" s="4" t="s">
        <v>7593</v>
      </c>
      <c r="Z620" s="4" t="s">
        <v>7593</v>
      </c>
      <c r="AA620" s="3">
        <v>86</v>
      </c>
      <c r="AB620" s="3">
        <v>64</v>
      </c>
      <c r="AC620" s="3">
        <v>278</v>
      </c>
      <c r="AD620" s="3">
        <v>1</v>
      </c>
      <c r="AE620" s="3">
        <v>2</v>
      </c>
      <c r="AF620" s="3">
        <v>0</v>
      </c>
      <c r="AG620" s="3">
        <v>9</v>
      </c>
      <c r="AH620" s="3">
        <v>0</v>
      </c>
      <c r="AI620" s="3">
        <v>2</v>
      </c>
      <c r="AJ620" s="3">
        <v>0</v>
      </c>
      <c r="AK620" s="3">
        <v>4</v>
      </c>
      <c r="AL620" s="3">
        <v>0</v>
      </c>
      <c r="AM620" s="3">
        <v>6</v>
      </c>
      <c r="AN620" s="3">
        <v>0</v>
      </c>
      <c r="AO620" s="3">
        <v>0</v>
      </c>
      <c r="AP620" s="3">
        <v>0</v>
      </c>
      <c r="AQ620" s="3">
        <v>0</v>
      </c>
      <c r="AR620" s="2" t="s">
        <v>5</v>
      </c>
      <c r="AS620" s="2" t="s">
        <v>5</v>
      </c>
      <c r="AU620" s="5" t="str">
        <f>HYPERLINK("https://creighton-primo.hosted.exlibrisgroup.com/primo-explore/search?tab=default_tab&amp;search_scope=EVERYTHING&amp;vid=01CRU&amp;lang=en_US&amp;offset=0&amp;query=any,contains,991001312599702656","Catalog Record")</f>
        <v>Catalog Record</v>
      </c>
      <c r="AV620" s="5" t="str">
        <f>HYPERLINK("http://www.worldcat.org/oclc/18560353","WorldCat Record")</f>
        <v>WorldCat Record</v>
      </c>
      <c r="AW620" s="2" t="s">
        <v>7594</v>
      </c>
      <c r="AX620" s="2" t="s">
        <v>7595</v>
      </c>
      <c r="AY620" s="2" t="s">
        <v>7596</v>
      </c>
      <c r="AZ620" s="2" t="s">
        <v>7596</v>
      </c>
      <c r="BA620" s="2" t="s">
        <v>7597</v>
      </c>
      <c r="BB620" s="2" t="s">
        <v>21</v>
      </c>
      <c r="BD620" s="2" t="s">
        <v>7598</v>
      </c>
      <c r="BE620" s="2" t="s">
        <v>7599</v>
      </c>
      <c r="BF620" s="2" t="s">
        <v>7600</v>
      </c>
    </row>
    <row r="621" spans="1:58" ht="41.25" customHeight="1" x14ac:dyDescent="0.25">
      <c r="A621" s="8" t="s">
        <v>5</v>
      </c>
      <c r="B621" s="1" t="s">
        <v>0</v>
      </c>
      <c r="C621" s="1" t="s">
        <v>1</v>
      </c>
      <c r="D621" s="1" t="s">
        <v>7601</v>
      </c>
      <c r="E621" s="1" t="s">
        <v>7602</v>
      </c>
      <c r="F621" s="1" t="s">
        <v>7603</v>
      </c>
      <c r="H621" s="2" t="s">
        <v>5</v>
      </c>
      <c r="I621" s="2" t="s">
        <v>6</v>
      </c>
      <c r="J621" s="2" t="s">
        <v>5</v>
      </c>
      <c r="K621" s="2" t="s">
        <v>5</v>
      </c>
      <c r="L621" s="2" t="s">
        <v>7</v>
      </c>
      <c r="M621" s="1" t="s">
        <v>7604</v>
      </c>
      <c r="N621" s="1" t="s">
        <v>6646</v>
      </c>
      <c r="O621" s="2" t="s">
        <v>939</v>
      </c>
      <c r="Q621" s="2" t="s">
        <v>11</v>
      </c>
      <c r="R621" s="2" t="s">
        <v>426</v>
      </c>
      <c r="T621" s="2" t="s">
        <v>520</v>
      </c>
      <c r="U621" s="3">
        <v>4</v>
      </c>
      <c r="V621" s="3">
        <v>4</v>
      </c>
      <c r="W621" s="4" t="s">
        <v>7605</v>
      </c>
      <c r="X621" s="4" t="s">
        <v>7605</v>
      </c>
      <c r="Y621" s="4" t="s">
        <v>7606</v>
      </c>
      <c r="Z621" s="4" t="s">
        <v>7606</v>
      </c>
      <c r="AA621" s="3">
        <v>128</v>
      </c>
      <c r="AB621" s="3">
        <v>108</v>
      </c>
      <c r="AC621" s="3">
        <v>269</v>
      </c>
      <c r="AD621" s="3">
        <v>2</v>
      </c>
      <c r="AE621" s="3">
        <v>2</v>
      </c>
      <c r="AF621" s="3">
        <v>3</v>
      </c>
      <c r="AG621" s="3">
        <v>6</v>
      </c>
      <c r="AH621" s="3">
        <v>1</v>
      </c>
      <c r="AI621" s="3">
        <v>3</v>
      </c>
      <c r="AJ621" s="3">
        <v>1</v>
      </c>
      <c r="AK621" s="3">
        <v>2</v>
      </c>
      <c r="AL621" s="3">
        <v>2</v>
      </c>
      <c r="AM621" s="3">
        <v>2</v>
      </c>
      <c r="AN621" s="3">
        <v>0</v>
      </c>
      <c r="AO621" s="3">
        <v>0</v>
      </c>
      <c r="AP621" s="3">
        <v>0</v>
      </c>
      <c r="AQ621" s="3">
        <v>0</v>
      </c>
      <c r="AR621" s="2" t="s">
        <v>5</v>
      </c>
      <c r="AS621" s="2" t="s">
        <v>16</v>
      </c>
      <c r="AT621" s="5" t="str">
        <f>HYPERLINK("http://catalog.hathitrust.org/Record/002479666","HathiTrust Record")</f>
        <v>HathiTrust Record</v>
      </c>
      <c r="AU621" s="5" t="str">
        <f>HYPERLINK("https://creighton-primo.hosted.exlibrisgroup.com/primo-explore/search?tab=default_tab&amp;search_scope=EVERYTHING&amp;vid=01CRU&amp;lang=en_US&amp;offset=0&amp;query=any,contains,991001419179702656","Catalog Record")</f>
        <v>Catalog Record</v>
      </c>
      <c r="AV621" s="5" t="str">
        <f>HYPERLINK("http://www.worldcat.org/oclc/16984094","WorldCat Record")</f>
        <v>WorldCat Record</v>
      </c>
      <c r="AW621" s="2" t="s">
        <v>7607</v>
      </c>
      <c r="AX621" s="2" t="s">
        <v>7608</v>
      </c>
      <c r="AY621" s="2" t="s">
        <v>7609</v>
      </c>
      <c r="AZ621" s="2" t="s">
        <v>7609</v>
      </c>
      <c r="BA621" s="2" t="s">
        <v>7610</v>
      </c>
      <c r="BB621" s="2" t="s">
        <v>21</v>
      </c>
      <c r="BD621" s="2" t="s">
        <v>7611</v>
      </c>
      <c r="BE621" s="2" t="s">
        <v>7612</v>
      </c>
      <c r="BF621" s="2" t="s">
        <v>7613</v>
      </c>
    </row>
    <row r="622" spans="1:58" ht="41.25" customHeight="1" x14ac:dyDescent="0.25">
      <c r="A622" s="8" t="s">
        <v>5</v>
      </c>
      <c r="B622" s="1" t="s">
        <v>0</v>
      </c>
      <c r="C622" s="1" t="s">
        <v>1</v>
      </c>
      <c r="D622" s="1" t="s">
        <v>7614</v>
      </c>
      <c r="E622" s="1" t="s">
        <v>7615</v>
      </c>
      <c r="F622" s="1" t="s">
        <v>7616</v>
      </c>
      <c r="H622" s="2" t="s">
        <v>5</v>
      </c>
      <c r="I622" s="2" t="s">
        <v>6</v>
      </c>
      <c r="J622" s="2" t="s">
        <v>5</v>
      </c>
      <c r="K622" s="2" t="s">
        <v>5</v>
      </c>
      <c r="L622" s="2" t="s">
        <v>7</v>
      </c>
      <c r="M622" s="1" t="s">
        <v>7604</v>
      </c>
      <c r="N622" s="1" t="s">
        <v>7617</v>
      </c>
      <c r="O622" s="2" t="s">
        <v>1887</v>
      </c>
      <c r="Q622" s="2" t="s">
        <v>11</v>
      </c>
      <c r="R622" s="2" t="s">
        <v>12</v>
      </c>
      <c r="T622" s="2" t="s">
        <v>520</v>
      </c>
      <c r="U622" s="3">
        <v>36</v>
      </c>
      <c r="V622" s="3">
        <v>36</v>
      </c>
      <c r="W622" s="4" t="s">
        <v>7618</v>
      </c>
      <c r="X622" s="4" t="s">
        <v>7618</v>
      </c>
      <c r="Y622" s="4" t="s">
        <v>1143</v>
      </c>
      <c r="Z622" s="4" t="s">
        <v>1143</v>
      </c>
      <c r="AA622" s="3">
        <v>240</v>
      </c>
      <c r="AB622" s="3">
        <v>208</v>
      </c>
      <c r="AC622" s="3">
        <v>213</v>
      </c>
      <c r="AD622" s="3">
        <v>1</v>
      </c>
      <c r="AE622" s="3">
        <v>1</v>
      </c>
      <c r="AF622" s="3">
        <v>5</v>
      </c>
      <c r="AG622" s="3">
        <v>5</v>
      </c>
      <c r="AH622" s="3">
        <v>2</v>
      </c>
      <c r="AI622" s="3">
        <v>2</v>
      </c>
      <c r="AJ622" s="3">
        <v>1</v>
      </c>
      <c r="AK622" s="3">
        <v>1</v>
      </c>
      <c r="AL622" s="3">
        <v>3</v>
      </c>
      <c r="AM622" s="3">
        <v>3</v>
      </c>
      <c r="AN622" s="3">
        <v>0</v>
      </c>
      <c r="AO622" s="3">
        <v>0</v>
      </c>
      <c r="AP622" s="3">
        <v>0</v>
      </c>
      <c r="AQ622" s="3">
        <v>0</v>
      </c>
      <c r="AR622" s="2" t="s">
        <v>5</v>
      </c>
      <c r="AS622" s="2" t="s">
        <v>5</v>
      </c>
      <c r="AU622" s="5" t="str">
        <f>HYPERLINK("https://creighton-primo.hosted.exlibrisgroup.com/primo-explore/search?tab=default_tab&amp;search_scope=EVERYTHING&amp;vid=01CRU&amp;lang=en_US&amp;offset=0&amp;query=any,contains,991001474509702656","Catalog Record")</f>
        <v>Catalog Record</v>
      </c>
      <c r="AV622" s="5" t="str">
        <f>HYPERLINK("http://www.worldcat.org/oclc/24795722","WorldCat Record")</f>
        <v>WorldCat Record</v>
      </c>
      <c r="AW622" s="2" t="s">
        <v>7619</v>
      </c>
      <c r="AX622" s="2" t="s">
        <v>7620</v>
      </c>
      <c r="AY622" s="2" t="s">
        <v>7621</v>
      </c>
      <c r="AZ622" s="2" t="s">
        <v>7621</v>
      </c>
      <c r="BA622" s="2" t="s">
        <v>7622</v>
      </c>
      <c r="BB622" s="2" t="s">
        <v>21</v>
      </c>
      <c r="BD622" s="2" t="s">
        <v>7623</v>
      </c>
      <c r="BE622" s="2" t="s">
        <v>7624</v>
      </c>
      <c r="BF622" s="2" t="s">
        <v>7625</v>
      </c>
    </row>
    <row r="623" spans="1:58" ht="41.25" customHeight="1" x14ac:dyDescent="0.25">
      <c r="A623" s="8" t="s">
        <v>5</v>
      </c>
      <c r="B623" s="1" t="s">
        <v>0</v>
      </c>
      <c r="C623" s="1" t="s">
        <v>1</v>
      </c>
      <c r="D623" s="1" t="s">
        <v>7626</v>
      </c>
      <c r="E623" s="1" t="s">
        <v>7627</v>
      </c>
      <c r="F623" s="1" t="s">
        <v>7628</v>
      </c>
      <c r="H623" s="2" t="s">
        <v>5</v>
      </c>
      <c r="I623" s="2" t="s">
        <v>6</v>
      </c>
      <c r="J623" s="2" t="s">
        <v>5</v>
      </c>
      <c r="K623" s="2" t="s">
        <v>5</v>
      </c>
      <c r="L623" s="2" t="s">
        <v>7</v>
      </c>
      <c r="M623" s="1" t="s">
        <v>7629</v>
      </c>
      <c r="N623" s="1" t="s">
        <v>7630</v>
      </c>
      <c r="O623" s="2" t="s">
        <v>888</v>
      </c>
      <c r="Q623" s="2" t="s">
        <v>11</v>
      </c>
      <c r="R623" s="2" t="s">
        <v>426</v>
      </c>
      <c r="T623" s="2" t="s">
        <v>520</v>
      </c>
      <c r="U623" s="3">
        <v>4</v>
      </c>
      <c r="V623" s="3">
        <v>4</v>
      </c>
      <c r="W623" s="4" t="s">
        <v>7631</v>
      </c>
      <c r="X623" s="4" t="s">
        <v>7631</v>
      </c>
      <c r="Y623" s="4" t="s">
        <v>329</v>
      </c>
      <c r="Z623" s="4" t="s">
        <v>329</v>
      </c>
      <c r="AA623" s="3">
        <v>209</v>
      </c>
      <c r="AB623" s="3">
        <v>173</v>
      </c>
      <c r="AC623" s="3">
        <v>175</v>
      </c>
      <c r="AD623" s="3">
        <v>2</v>
      </c>
      <c r="AE623" s="3">
        <v>2</v>
      </c>
      <c r="AF623" s="3">
        <v>7</v>
      </c>
      <c r="AG623" s="3">
        <v>7</v>
      </c>
      <c r="AH623" s="3">
        <v>5</v>
      </c>
      <c r="AI623" s="3">
        <v>5</v>
      </c>
      <c r="AJ623" s="3">
        <v>1</v>
      </c>
      <c r="AK623" s="3">
        <v>1</v>
      </c>
      <c r="AL623" s="3">
        <v>3</v>
      </c>
      <c r="AM623" s="3">
        <v>3</v>
      </c>
      <c r="AN623" s="3">
        <v>1</v>
      </c>
      <c r="AO623" s="3">
        <v>1</v>
      </c>
      <c r="AP623" s="3">
        <v>0</v>
      </c>
      <c r="AQ623" s="3">
        <v>0</v>
      </c>
      <c r="AR623" s="2" t="s">
        <v>5</v>
      </c>
      <c r="AS623" s="2" t="s">
        <v>16</v>
      </c>
      <c r="AT623" s="5" t="str">
        <f>HYPERLINK("http://catalog.hathitrust.org/Record/000165929","HathiTrust Record")</f>
        <v>HathiTrust Record</v>
      </c>
      <c r="AU623" s="5" t="str">
        <f>HYPERLINK("https://creighton-primo.hosted.exlibrisgroup.com/primo-explore/search?tab=default_tab&amp;search_scope=EVERYTHING&amp;vid=01CRU&amp;lang=en_US&amp;offset=0&amp;query=any,contains,991000764589702656","Catalog Record")</f>
        <v>Catalog Record</v>
      </c>
      <c r="AV623" s="5" t="str">
        <f>HYPERLINK("http://www.worldcat.org/oclc/11113497","WorldCat Record")</f>
        <v>WorldCat Record</v>
      </c>
      <c r="AW623" s="2" t="s">
        <v>7632</v>
      </c>
      <c r="AX623" s="2" t="s">
        <v>7633</v>
      </c>
      <c r="AY623" s="2" t="s">
        <v>7634</v>
      </c>
      <c r="AZ623" s="2" t="s">
        <v>7634</v>
      </c>
      <c r="BA623" s="2" t="s">
        <v>7635</v>
      </c>
      <c r="BB623" s="2" t="s">
        <v>21</v>
      </c>
      <c r="BD623" s="2" t="s">
        <v>7636</v>
      </c>
      <c r="BE623" s="2" t="s">
        <v>7637</v>
      </c>
      <c r="BF623" s="2" t="s">
        <v>7638</v>
      </c>
    </row>
    <row r="624" spans="1:58" ht="41.25" customHeight="1" x14ac:dyDescent="0.25">
      <c r="A624" s="8" t="s">
        <v>5</v>
      </c>
      <c r="B624" s="1" t="s">
        <v>0</v>
      </c>
      <c r="C624" s="1" t="s">
        <v>1</v>
      </c>
      <c r="D624" s="1" t="s">
        <v>7639</v>
      </c>
      <c r="E624" s="1" t="s">
        <v>7640</v>
      </c>
      <c r="F624" s="1" t="s">
        <v>7641</v>
      </c>
      <c r="H624" s="2" t="s">
        <v>5</v>
      </c>
      <c r="I624" s="2" t="s">
        <v>6</v>
      </c>
      <c r="J624" s="2" t="s">
        <v>5</v>
      </c>
      <c r="K624" s="2" t="s">
        <v>5</v>
      </c>
      <c r="L624" s="2" t="s">
        <v>7</v>
      </c>
      <c r="M624" s="1" t="s">
        <v>7642</v>
      </c>
      <c r="N624" s="1" t="s">
        <v>1139</v>
      </c>
      <c r="O624" s="2" t="s">
        <v>136</v>
      </c>
      <c r="Q624" s="2" t="s">
        <v>11</v>
      </c>
      <c r="R624" s="2" t="s">
        <v>1140</v>
      </c>
      <c r="S624" s="1" t="s">
        <v>7576</v>
      </c>
      <c r="T624" s="2" t="s">
        <v>520</v>
      </c>
      <c r="U624" s="3">
        <v>4</v>
      </c>
      <c r="V624" s="3">
        <v>4</v>
      </c>
      <c r="W624" s="4" t="s">
        <v>7643</v>
      </c>
      <c r="X624" s="4" t="s">
        <v>7643</v>
      </c>
      <c r="Y624" s="4" t="s">
        <v>7578</v>
      </c>
      <c r="Z624" s="4" t="s">
        <v>7578</v>
      </c>
      <c r="AA624" s="3">
        <v>136</v>
      </c>
      <c r="AB624" s="3">
        <v>115</v>
      </c>
      <c r="AC624" s="3">
        <v>117</v>
      </c>
      <c r="AD624" s="3">
        <v>1</v>
      </c>
      <c r="AE624" s="3">
        <v>1</v>
      </c>
      <c r="AF624" s="3">
        <v>5</v>
      </c>
      <c r="AG624" s="3">
        <v>5</v>
      </c>
      <c r="AH624" s="3">
        <v>2</v>
      </c>
      <c r="AI624" s="3">
        <v>2</v>
      </c>
      <c r="AJ624" s="3">
        <v>2</v>
      </c>
      <c r="AK624" s="3">
        <v>2</v>
      </c>
      <c r="AL624" s="3">
        <v>4</v>
      </c>
      <c r="AM624" s="3">
        <v>4</v>
      </c>
      <c r="AN624" s="3">
        <v>0</v>
      </c>
      <c r="AO624" s="3">
        <v>0</v>
      </c>
      <c r="AP624" s="3">
        <v>0</v>
      </c>
      <c r="AQ624" s="3">
        <v>0</v>
      </c>
      <c r="AR624" s="2" t="s">
        <v>5</v>
      </c>
      <c r="AS624" s="2" t="s">
        <v>16</v>
      </c>
      <c r="AT624" s="5" t="str">
        <f>HYPERLINK("http://catalog.hathitrust.org/Record/002448355","HathiTrust Record")</f>
        <v>HathiTrust Record</v>
      </c>
      <c r="AU624" s="5" t="str">
        <f>HYPERLINK("https://creighton-primo.hosted.exlibrisgroup.com/primo-explore/search?tab=default_tab&amp;search_scope=EVERYTHING&amp;vid=01CRU&amp;lang=en_US&amp;offset=0&amp;query=any,contains,991001479289702656","Catalog Record")</f>
        <v>Catalog Record</v>
      </c>
      <c r="AV624" s="5" t="str">
        <f>HYPERLINK("http://www.worldcat.org/oclc/22813776","WorldCat Record")</f>
        <v>WorldCat Record</v>
      </c>
      <c r="AW624" s="2" t="s">
        <v>7644</v>
      </c>
      <c r="AX624" s="2" t="s">
        <v>7645</v>
      </c>
      <c r="AY624" s="2" t="s">
        <v>7646</v>
      </c>
      <c r="AZ624" s="2" t="s">
        <v>7646</v>
      </c>
      <c r="BA624" s="2" t="s">
        <v>7647</v>
      </c>
      <c r="BB624" s="2" t="s">
        <v>21</v>
      </c>
      <c r="BD624" s="2" t="s">
        <v>7648</v>
      </c>
      <c r="BE624" s="2" t="s">
        <v>7649</v>
      </c>
      <c r="BF624" s="2" t="s">
        <v>7650</v>
      </c>
    </row>
    <row r="625" spans="1:58" ht="41.25" customHeight="1" x14ac:dyDescent="0.25">
      <c r="A625" s="8" t="s">
        <v>5</v>
      </c>
      <c r="B625" s="1" t="s">
        <v>0</v>
      </c>
      <c r="C625" s="1" t="s">
        <v>1</v>
      </c>
      <c r="D625" s="1" t="s">
        <v>7651</v>
      </c>
      <c r="E625" s="1" t="s">
        <v>7652</v>
      </c>
      <c r="F625" s="1" t="s">
        <v>7653</v>
      </c>
      <c r="H625" s="2" t="s">
        <v>5</v>
      </c>
      <c r="I625" s="2" t="s">
        <v>6</v>
      </c>
      <c r="J625" s="2" t="s">
        <v>5</v>
      </c>
      <c r="K625" s="2" t="s">
        <v>5</v>
      </c>
      <c r="L625" s="2" t="s">
        <v>7</v>
      </c>
      <c r="M625" s="1" t="s">
        <v>7654</v>
      </c>
      <c r="N625" s="1" t="s">
        <v>7655</v>
      </c>
      <c r="O625" s="2" t="s">
        <v>989</v>
      </c>
      <c r="Q625" s="2" t="s">
        <v>11</v>
      </c>
      <c r="R625" s="2" t="s">
        <v>426</v>
      </c>
      <c r="T625" s="2" t="s">
        <v>520</v>
      </c>
      <c r="U625" s="3">
        <v>3</v>
      </c>
      <c r="V625" s="3">
        <v>3</v>
      </c>
      <c r="W625" s="4" t="s">
        <v>7656</v>
      </c>
      <c r="X625" s="4" t="s">
        <v>7656</v>
      </c>
      <c r="Y625" s="4" t="s">
        <v>7656</v>
      </c>
      <c r="Z625" s="4" t="s">
        <v>7656</v>
      </c>
      <c r="AA625" s="3">
        <v>137</v>
      </c>
      <c r="AB625" s="3">
        <v>115</v>
      </c>
      <c r="AC625" s="3">
        <v>115</v>
      </c>
      <c r="AD625" s="3">
        <v>1</v>
      </c>
      <c r="AE625" s="3">
        <v>1</v>
      </c>
      <c r="AF625" s="3">
        <v>4</v>
      </c>
      <c r="AG625" s="3">
        <v>4</v>
      </c>
      <c r="AH625" s="3">
        <v>0</v>
      </c>
      <c r="AI625" s="3">
        <v>0</v>
      </c>
      <c r="AJ625" s="3">
        <v>2</v>
      </c>
      <c r="AK625" s="3">
        <v>2</v>
      </c>
      <c r="AL625" s="3">
        <v>3</v>
      </c>
      <c r="AM625" s="3">
        <v>3</v>
      </c>
      <c r="AN625" s="3">
        <v>0</v>
      </c>
      <c r="AO625" s="3">
        <v>0</v>
      </c>
      <c r="AP625" s="3">
        <v>0</v>
      </c>
      <c r="AQ625" s="3">
        <v>0</v>
      </c>
      <c r="AR625" s="2" t="s">
        <v>5</v>
      </c>
      <c r="AS625" s="2" t="s">
        <v>5</v>
      </c>
      <c r="AU625" s="5" t="str">
        <f>HYPERLINK("https://creighton-primo.hosted.exlibrisgroup.com/primo-explore/search?tab=default_tab&amp;search_scope=EVERYTHING&amp;vid=01CRU&amp;lang=en_US&amp;offset=0&amp;query=any,contains,991001450849702656","Catalog Record")</f>
        <v>Catalog Record</v>
      </c>
      <c r="AV625" s="5" t="str">
        <f>HYPERLINK("http://www.worldcat.org/oclc/20417082","WorldCat Record")</f>
        <v>WorldCat Record</v>
      </c>
      <c r="AW625" s="2" t="s">
        <v>7657</v>
      </c>
      <c r="AX625" s="2" t="s">
        <v>7658</v>
      </c>
      <c r="AY625" s="2" t="s">
        <v>7659</v>
      </c>
      <c r="AZ625" s="2" t="s">
        <v>7659</v>
      </c>
      <c r="BA625" s="2" t="s">
        <v>7660</v>
      </c>
      <c r="BB625" s="2" t="s">
        <v>21</v>
      </c>
      <c r="BD625" s="2" t="s">
        <v>7661</v>
      </c>
      <c r="BE625" s="2" t="s">
        <v>7662</v>
      </c>
      <c r="BF625" s="2" t="s">
        <v>7663</v>
      </c>
    </row>
    <row r="626" spans="1:58" ht="41.25" customHeight="1" x14ac:dyDescent="0.25">
      <c r="A626" s="8" t="s">
        <v>5</v>
      </c>
      <c r="B626" s="1" t="s">
        <v>0</v>
      </c>
      <c r="C626" s="1" t="s">
        <v>1</v>
      </c>
      <c r="D626" s="1" t="s">
        <v>7664</v>
      </c>
      <c r="E626" s="1" t="s">
        <v>7665</v>
      </c>
      <c r="F626" s="1" t="s">
        <v>7666</v>
      </c>
      <c r="H626" s="2" t="s">
        <v>5</v>
      </c>
      <c r="I626" s="2" t="s">
        <v>6</v>
      </c>
      <c r="J626" s="2" t="s">
        <v>5</v>
      </c>
      <c r="K626" s="2" t="s">
        <v>5</v>
      </c>
      <c r="L626" s="2" t="s">
        <v>7</v>
      </c>
      <c r="M626" s="1" t="s">
        <v>7667</v>
      </c>
      <c r="N626" s="1" t="s">
        <v>7668</v>
      </c>
      <c r="O626" s="2" t="s">
        <v>989</v>
      </c>
      <c r="Q626" s="2" t="s">
        <v>11</v>
      </c>
      <c r="R626" s="2" t="s">
        <v>426</v>
      </c>
      <c r="S626" s="1" t="s">
        <v>7591</v>
      </c>
      <c r="T626" s="2" t="s">
        <v>520</v>
      </c>
      <c r="U626" s="3">
        <v>5</v>
      </c>
      <c r="V626" s="3">
        <v>5</v>
      </c>
      <c r="W626" s="4" t="s">
        <v>7669</v>
      </c>
      <c r="X626" s="4" t="s">
        <v>7669</v>
      </c>
      <c r="Y626" s="4" t="s">
        <v>7670</v>
      </c>
      <c r="Z626" s="4" t="s">
        <v>7670</v>
      </c>
      <c r="AA626" s="3">
        <v>155</v>
      </c>
      <c r="AB626" s="3">
        <v>120</v>
      </c>
      <c r="AC626" s="3">
        <v>258</v>
      </c>
      <c r="AD626" s="3">
        <v>3</v>
      </c>
      <c r="AE626" s="3">
        <v>3</v>
      </c>
      <c r="AF626" s="3">
        <v>3</v>
      </c>
      <c r="AG626" s="3">
        <v>8</v>
      </c>
      <c r="AH626" s="3">
        <v>0</v>
      </c>
      <c r="AI626" s="3">
        <v>3</v>
      </c>
      <c r="AJ626" s="3">
        <v>2</v>
      </c>
      <c r="AK626" s="3">
        <v>2</v>
      </c>
      <c r="AL626" s="3">
        <v>2</v>
      </c>
      <c r="AM626" s="3">
        <v>5</v>
      </c>
      <c r="AN626" s="3">
        <v>0</v>
      </c>
      <c r="AO626" s="3">
        <v>0</v>
      </c>
      <c r="AP626" s="3">
        <v>0</v>
      </c>
      <c r="AQ626" s="3">
        <v>0</v>
      </c>
      <c r="AR626" s="2" t="s">
        <v>5</v>
      </c>
      <c r="AS626" s="2" t="s">
        <v>16</v>
      </c>
      <c r="AT626" s="5" t="str">
        <f>HYPERLINK("http://catalog.hathitrust.org/Record/003860079","HathiTrust Record")</f>
        <v>HathiTrust Record</v>
      </c>
      <c r="AU626" s="5" t="str">
        <f>HYPERLINK("https://creighton-primo.hosted.exlibrisgroup.com/primo-explore/search?tab=default_tab&amp;search_scope=EVERYTHING&amp;vid=01CRU&amp;lang=en_US&amp;offset=0&amp;query=any,contains,991001345579702656","Catalog Record")</f>
        <v>Catalog Record</v>
      </c>
      <c r="AV626" s="5" t="str">
        <f>HYPERLINK("http://www.worldcat.org/oclc/22665858","WorldCat Record")</f>
        <v>WorldCat Record</v>
      </c>
      <c r="AW626" s="2" t="s">
        <v>7671</v>
      </c>
      <c r="AX626" s="2" t="s">
        <v>7672</v>
      </c>
      <c r="AY626" s="2" t="s">
        <v>7673</v>
      </c>
      <c r="AZ626" s="2" t="s">
        <v>7673</v>
      </c>
      <c r="BA626" s="2" t="s">
        <v>7674</v>
      </c>
      <c r="BB626" s="2" t="s">
        <v>21</v>
      </c>
      <c r="BD626" s="2" t="s">
        <v>7675</v>
      </c>
      <c r="BE626" s="2" t="s">
        <v>7676</v>
      </c>
      <c r="BF626" s="2" t="s">
        <v>7677</v>
      </c>
    </row>
    <row r="627" spans="1:58" ht="41.25" customHeight="1" x14ac:dyDescent="0.25">
      <c r="A627" s="8" t="s">
        <v>5</v>
      </c>
      <c r="B627" s="1" t="s">
        <v>0</v>
      </c>
      <c r="C627" s="1" t="s">
        <v>1</v>
      </c>
      <c r="D627" s="1" t="s">
        <v>7678</v>
      </c>
      <c r="E627" s="1" t="s">
        <v>7679</v>
      </c>
      <c r="F627" s="1" t="s">
        <v>7680</v>
      </c>
      <c r="H627" s="2" t="s">
        <v>5</v>
      </c>
      <c r="I627" s="2" t="s">
        <v>6</v>
      </c>
      <c r="J627" s="2" t="s">
        <v>5</v>
      </c>
      <c r="K627" s="2" t="s">
        <v>5</v>
      </c>
      <c r="L627" s="2" t="s">
        <v>7</v>
      </c>
      <c r="N627" s="1" t="s">
        <v>988</v>
      </c>
      <c r="O627" s="2" t="s">
        <v>989</v>
      </c>
      <c r="P627" s="1" t="s">
        <v>211</v>
      </c>
      <c r="Q627" s="2" t="s">
        <v>11</v>
      </c>
      <c r="R627" s="2" t="s">
        <v>426</v>
      </c>
      <c r="T627" s="2" t="s">
        <v>520</v>
      </c>
      <c r="U627" s="3">
        <v>6</v>
      </c>
      <c r="V627" s="3">
        <v>6</v>
      </c>
      <c r="W627" s="4" t="s">
        <v>3968</v>
      </c>
      <c r="X627" s="4" t="s">
        <v>3968</v>
      </c>
      <c r="Y627" s="4" t="s">
        <v>2775</v>
      </c>
      <c r="Z627" s="4" t="s">
        <v>2775</v>
      </c>
      <c r="AA627" s="3">
        <v>190</v>
      </c>
      <c r="AB627" s="3">
        <v>159</v>
      </c>
      <c r="AC627" s="3">
        <v>229</v>
      </c>
      <c r="AD627" s="3">
        <v>2</v>
      </c>
      <c r="AE627" s="3">
        <v>2</v>
      </c>
      <c r="AF627" s="3">
        <v>3</v>
      </c>
      <c r="AG627" s="3">
        <v>5</v>
      </c>
      <c r="AH627" s="3">
        <v>0</v>
      </c>
      <c r="AI627" s="3">
        <v>2</v>
      </c>
      <c r="AJ627" s="3">
        <v>2</v>
      </c>
      <c r="AK627" s="3">
        <v>2</v>
      </c>
      <c r="AL627" s="3">
        <v>2</v>
      </c>
      <c r="AM627" s="3">
        <v>3</v>
      </c>
      <c r="AN627" s="3">
        <v>0</v>
      </c>
      <c r="AO627" s="3">
        <v>0</v>
      </c>
      <c r="AP627" s="3">
        <v>0</v>
      </c>
      <c r="AQ627" s="3">
        <v>0</v>
      </c>
      <c r="AR627" s="2" t="s">
        <v>5</v>
      </c>
      <c r="AS627" s="2" t="s">
        <v>16</v>
      </c>
      <c r="AT627" s="5" t="str">
        <f>HYPERLINK("http://catalog.hathitrust.org/Record/002422320","HathiTrust Record")</f>
        <v>HathiTrust Record</v>
      </c>
      <c r="AU627" s="5" t="str">
        <f>HYPERLINK("https://creighton-primo.hosted.exlibrisgroup.com/primo-explore/search?tab=default_tab&amp;search_scope=EVERYTHING&amp;vid=01CRU&amp;lang=en_US&amp;offset=0&amp;query=any,contains,991001451179702656","Catalog Record")</f>
        <v>Catalog Record</v>
      </c>
      <c r="AV627" s="5" t="str">
        <f>HYPERLINK("http://www.worldcat.org/oclc/20593802","WorldCat Record")</f>
        <v>WorldCat Record</v>
      </c>
      <c r="AW627" s="2" t="s">
        <v>7681</v>
      </c>
      <c r="AX627" s="2" t="s">
        <v>7682</v>
      </c>
      <c r="AY627" s="2" t="s">
        <v>7683</v>
      </c>
      <c r="AZ627" s="2" t="s">
        <v>7683</v>
      </c>
      <c r="BA627" s="2" t="s">
        <v>7684</v>
      </c>
      <c r="BB627" s="2" t="s">
        <v>21</v>
      </c>
      <c r="BD627" s="2" t="s">
        <v>7685</v>
      </c>
      <c r="BE627" s="2" t="s">
        <v>7686</v>
      </c>
      <c r="BF627" s="2" t="s">
        <v>7687</v>
      </c>
    </row>
    <row r="628" spans="1:58" ht="41.25" customHeight="1" x14ac:dyDescent="0.25">
      <c r="A628" s="8" t="s">
        <v>5</v>
      </c>
      <c r="B628" s="1" t="s">
        <v>0</v>
      </c>
      <c r="C628" s="1" t="s">
        <v>1</v>
      </c>
      <c r="D628" s="1" t="s">
        <v>7688</v>
      </c>
      <c r="E628" s="1" t="s">
        <v>7689</v>
      </c>
      <c r="F628" s="1" t="s">
        <v>7690</v>
      </c>
      <c r="H628" s="2" t="s">
        <v>5</v>
      </c>
      <c r="I628" s="2" t="s">
        <v>6</v>
      </c>
      <c r="J628" s="2" t="s">
        <v>5</v>
      </c>
      <c r="K628" s="2" t="s">
        <v>5</v>
      </c>
      <c r="L628" s="2" t="s">
        <v>7</v>
      </c>
      <c r="M628" s="1" t="s">
        <v>7691</v>
      </c>
      <c r="N628" s="1" t="s">
        <v>7692</v>
      </c>
      <c r="O628" s="2" t="s">
        <v>989</v>
      </c>
      <c r="Q628" s="2" t="s">
        <v>11</v>
      </c>
      <c r="R628" s="2" t="s">
        <v>426</v>
      </c>
      <c r="T628" s="2" t="s">
        <v>520</v>
      </c>
      <c r="U628" s="3">
        <v>2</v>
      </c>
      <c r="V628" s="3">
        <v>2</v>
      </c>
      <c r="W628" s="4" t="s">
        <v>7693</v>
      </c>
      <c r="X628" s="4" t="s">
        <v>7693</v>
      </c>
      <c r="Y628" s="4" t="s">
        <v>1949</v>
      </c>
      <c r="Z628" s="4" t="s">
        <v>1949</v>
      </c>
      <c r="AA628" s="3">
        <v>25</v>
      </c>
      <c r="AB628" s="3">
        <v>12</v>
      </c>
      <c r="AC628" s="3">
        <v>73</v>
      </c>
      <c r="AD628" s="3">
        <v>1</v>
      </c>
      <c r="AE628" s="3">
        <v>2</v>
      </c>
      <c r="AF628" s="3">
        <v>0</v>
      </c>
      <c r="AG628" s="3">
        <v>2</v>
      </c>
      <c r="AH628" s="3">
        <v>0</v>
      </c>
      <c r="AI628" s="3">
        <v>0</v>
      </c>
      <c r="AJ628" s="3">
        <v>0</v>
      </c>
      <c r="AK628" s="3">
        <v>0</v>
      </c>
      <c r="AL628" s="3">
        <v>0</v>
      </c>
      <c r="AM628" s="3">
        <v>1</v>
      </c>
      <c r="AN628" s="3">
        <v>0</v>
      </c>
      <c r="AO628" s="3">
        <v>1</v>
      </c>
      <c r="AP628" s="3">
        <v>0</v>
      </c>
      <c r="AQ628" s="3">
        <v>0</v>
      </c>
      <c r="AR628" s="2" t="s">
        <v>5</v>
      </c>
      <c r="AS628" s="2" t="s">
        <v>5</v>
      </c>
      <c r="AU628" s="5" t="str">
        <f>HYPERLINK("https://creighton-primo.hosted.exlibrisgroup.com/primo-explore/search?tab=default_tab&amp;search_scope=EVERYTHING&amp;vid=01CRU&amp;lang=en_US&amp;offset=0&amp;query=any,contains,991000836589702656","Catalog Record")</f>
        <v>Catalog Record</v>
      </c>
      <c r="AV628" s="5" t="str">
        <f>HYPERLINK("http://www.worldcat.org/oclc/21195805","WorldCat Record")</f>
        <v>WorldCat Record</v>
      </c>
      <c r="AW628" s="2" t="s">
        <v>7694</v>
      </c>
      <c r="AX628" s="2" t="s">
        <v>7695</v>
      </c>
      <c r="AY628" s="2" t="s">
        <v>7696</v>
      </c>
      <c r="AZ628" s="2" t="s">
        <v>7696</v>
      </c>
      <c r="BA628" s="2" t="s">
        <v>7697</v>
      </c>
      <c r="BB628" s="2" t="s">
        <v>21</v>
      </c>
      <c r="BD628" s="2" t="s">
        <v>7698</v>
      </c>
      <c r="BE628" s="2" t="s">
        <v>7699</v>
      </c>
      <c r="BF628" s="2" t="s">
        <v>7700</v>
      </c>
    </row>
    <row r="629" spans="1:58" ht="41.25" customHeight="1" x14ac:dyDescent="0.25">
      <c r="A629" s="8" t="s">
        <v>5</v>
      </c>
      <c r="B629" s="1" t="s">
        <v>0</v>
      </c>
      <c r="C629" s="1" t="s">
        <v>1</v>
      </c>
      <c r="D629" s="1" t="s">
        <v>7701</v>
      </c>
      <c r="E629" s="1" t="s">
        <v>7702</v>
      </c>
      <c r="F629" s="1" t="s">
        <v>7703</v>
      </c>
      <c r="H629" s="2" t="s">
        <v>5</v>
      </c>
      <c r="I629" s="2" t="s">
        <v>6</v>
      </c>
      <c r="J629" s="2" t="s">
        <v>5</v>
      </c>
      <c r="K629" s="2" t="s">
        <v>5</v>
      </c>
      <c r="L629" s="2" t="s">
        <v>7</v>
      </c>
      <c r="N629" s="1" t="s">
        <v>7704</v>
      </c>
      <c r="O629" s="2" t="s">
        <v>382</v>
      </c>
      <c r="P629" s="1" t="s">
        <v>211</v>
      </c>
      <c r="Q629" s="2" t="s">
        <v>11</v>
      </c>
      <c r="R629" s="2" t="s">
        <v>426</v>
      </c>
      <c r="T629" s="2" t="s">
        <v>520</v>
      </c>
      <c r="U629" s="3">
        <v>15</v>
      </c>
      <c r="V629" s="3">
        <v>15</v>
      </c>
      <c r="W629" s="4" t="s">
        <v>7705</v>
      </c>
      <c r="X629" s="4" t="s">
        <v>7705</v>
      </c>
      <c r="Y629" s="4" t="s">
        <v>329</v>
      </c>
      <c r="Z629" s="4" t="s">
        <v>329</v>
      </c>
      <c r="AA629" s="3">
        <v>45</v>
      </c>
      <c r="AB629" s="3">
        <v>39</v>
      </c>
      <c r="AC629" s="3">
        <v>84</v>
      </c>
      <c r="AD629" s="3">
        <v>1</v>
      </c>
      <c r="AE629" s="3">
        <v>1</v>
      </c>
      <c r="AF629" s="3">
        <v>1</v>
      </c>
      <c r="AG629" s="3">
        <v>1</v>
      </c>
      <c r="AH629" s="3">
        <v>0</v>
      </c>
      <c r="AI629" s="3">
        <v>0</v>
      </c>
      <c r="AJ629" s="3">
        <v>0</v>
      </c>
      <c r="AK629" s="3">
        <v>0</v>
      </c>
      <c r="AL629" s="3">
        <v>1</v>
      </c>
      <c r="AM629" s="3">
        <v>1</v>
      </c>
      <c r="AN629" s="3">
        <v>0</v>
      </c>
      <c r="AO629" s="3">
        <v>0</v>
      </c>
      <c r="AP629" s="3">
        <v>0</v>
      </c>
      <c r="AQ629" s="3">
        <v>0</v>
      </c>
      <c r="AR629" s="2" t="s">
        <v>5</v>
      </c>
      <c r="AS629" s="2" t="s">
        <v>16</v>
      </c>
      <c r="AT629" s="5" t="str">
        <f>HYPERLINK("http://catalog.hathitrust.org/Record/000588987","HathiTrust Record")</f>
        <v>HathiTrust Record</v>
      </c>
      <c r="AU629" s="5" t="str">
        <f>HYPERLINK("https://creighton-primo.hosted.exlibrisgroup.com/primo-explore/search?tab=default_tab&amp;search_scope=EVERYTHING&amp;vid=01CRU&amp;lang=en_US&amp;offset=0&amp;query=any,contains,991000738969702656","Catalog Record")</f>
        <v>Catalog Record</v>
      </c>
      <c r="AV629" s="5" t="str">
        <f>HYPERLINK("http://www.worldcat.org/oclc/11548130","WorldCat Record")</f>
        <v>WorldCat Record</v>
      </c>
      <c r="AW629" s="2" t="s">
        <v>7706</v>
      </c>
      <c r="AX629" s="2" t="s">
        <v>7707</v>
      </c>
      <c r="AY629" s="2" t="s">
        <v>7708</v>
      </c>
      <c r="AZ629" s="2" t="s">
        <v>7708</v>
      </c>
      <c r="BA629" s="2" t="s">
        <v>7709</v>
      </c>
      <c r="BB629" s="2" t="s">
        <v>21</v>
      </c>
      <c r="BD629" s="2" t="s">
        <v>7710</v>
      </c>
      <c r="BE629" s="2" t="s">
        <v>7711</v>
      </c>
      <c r="BF629" s="2" t="s">
        <v>7712</v>
      </c>
    </row>
    <row r="630" spans="1:58" ht="41.25" customHeight="1" x14ac:dyDescent="0.25">
      <c r="A630" s="8" t="s">
        <v>5</v>
      </c>
      <c r="B630" s="1" t="s">
        <v>0</v>
      </c>
      <c r="C630" s="1" t="s">
        <v>1</v>
      </c>
      <c r="D630" s="1" t="s">
        <v>7713</v>
      </c>
      <c r="E630" s="1" t="s">
        <v>7714</v>
      </c>
      <c r="F630" s="1" t="s">
        <v>7715</v>
      </c>
      <c r="H630" s="2" t="s">
        <v>5</v>
      </c>
      <c r="I630" s="2" t="s">
        <v>6</v>
      </c>
      <c r="J630" s="2" t="s">
        <v>5</v>
      </c>
      <c r="K630" s="2" t="s">
        <v>5</v>
      </c>
      <c r="L630" s="2" t="s">
        <v>7</v>
      </c>
      <c r="M630" s="1" t="s">
        <v>7716</v>
      </c>
      <c r="N630" s="1" t="s">
        <v>988</v>
      </c>
      <c r="O630" s="2" t="s">
        <v>989</v>
      </c>
      <c r="P630" s="1" t="s">
        <v>211</v>
      </c>
      <c r="Q630" s="2" t="s">
        <v>11</v>
      </c>
      <c r="R630" s="2" t="s">
        <v>426</v>
      </c>
      <c r="T630" s="2" t="s">
        <v>520</v>
      </c>
      <c r="U630" s="3">
        <v>4</v>
      </c>
      <c r="V630" s="3">
        <v>4</v>
      </c>
      <c r="W630" s="4" t="s">
        <v>7717</v>
      </c>
      <c r="X630" s="4" t="s">
        <v>7717</v>
      </c>
      <c r="Y630" s="4" t="s">
        <v>2775</v>
      </c>
      <c r="Z630" s="4" t="s">
        <v>2775</v>
      </c>
      <c r="AA630" s="3">
        <v>305</v>
      </c>
      <c r="AB630" s="3">
        <v>253</v>
      </c>
      <c r="AC630" s="3">
        <v>255</v>
      </c>
      <c r="AD630" s="3">
        <v>2</v>
      </c>
      <c r="AE630" s="3">
        <v>2</v>
      </c>
      <c r="AF630" s="3">
        <v>5</v>
      </c>
      <c r="AG630" s="3">
        <v>5</v>
      </c>
      <c r="AH630" s="3">
        <v>1</v>
      </c>
      <c r="AI630" s="3">
        <v>1</v>
      </c>
      <c r="AJ630" s="3">
        <v>1</v>
      </c>
      <c r="AK630" s="3">
        <v>1</v>
      </c>
      <c r="AL630" s="3">
        <v>3</v>
      </c>
      <c r="AM630" s="3">
        <v>3</v>
      </c>
      <c r="AN630" s="3">
        <v>1</v>
      </c>
      <c r="AO630" s="3">
        <v>1</v>
      </c>
      <c r="AP630" s="3">
        <v>0</v>
      </c>
      <c r="AQ630" s="3">
        <v>0</v>
      </c>
      <c r="AR630" s="2" t="s">
        <v>5</v>
      </c>
      <c r="AS630" s="2" t="s">
        <v>16</v>
      </c>
      <c r="AT630" s="5" t="str">
        <f>HYPERLINK("http://catalog.hathitrust.org/Record/001835495","HathiTrust Record")</f>
        <v>HathiTrust Record</v>
      </c>
      <c r="AU630" s="5" t="str">
        <f>HYPERLINK("https://creighton-primo.hosted.exlibrisgroup.com/primo-explore/search?tab=default_tab&amp;search_scope=EVERYTHING&amp;vid=01CRU&amp;lang=en_US&amp;offset=0&amp;query=any,contains,991001451769702656","Catalog Record")</f>
        <v>Catalog Record</v>
      </c>
      <c r="AV630" s="5" t="str">
        <f>HYPERLINK("http://www.worldcat.org/oclc/13124057","WorldCat Record")</f>
        <v>WorldCat Record</v>
      </c>
      <c r="AW630" s="2" t="s">
        <v>7718</v>
      </c>
      <c r="AX630" s="2" t="s">
        <v>7719</v>
      </c>
      <c r="AY630" s="2" t="s">
        <v>7720</v>
      </c>
      <c r="AZ630" s="2" t="s">
        <v>7720</v>
      </c>
      <c r="BA630" s="2" t="s">
        <v>7721</v>
      </c>
      <c r="BB630" s="2" t="s">
        <v>21</v>
      </c>
      <c r="BD630" s="2" t="s">
        <v>7722</v>
      </c>
      <c r="BE630" s="2" t="s">
        <v>7723</v>
      </c>
      <c r="BF630" s="2" t="s">
        <v>7724</v>
      </c>
    </row>
    <row r="631" spans="1:58" ht="41.25" customHeight="1" x14ac:dyDescent="0.25">
      <c r="A631" s="8" t="s">
        <v>5</v>
      </c>
      <c r="B631" s="1" t="s">
        <v>0</v>
      </c>
      <c r="C631" s="1" t="s">
        <v>1</v>
      </c>
      <c r="D631" s="1" t="s">
        <v>7725</v>
      </c>
      <c r="E631" s="1" t="s">
        <v>7726</v>
      </c>
      <c r="F631" s="1" t="s">
        <v>7727</v>
      </c>
      <c r="H631" s="2" t="s">
        <v>5</v>
      </c>
      <c r="I631" s="2" t="s">
        <v>6</v>
      </c>
      <c r="J631" s="2" t="s">
        <v>5</v>
      </c>
      <c r="K631" s="2" t="s">
        <v>5</v>
      </c>
      <c r="L631" s="2" t="s">
        <v>7</v>
      </c>
      <c r="N631" s="1" t="s">
        <v>7501</v>
      </c>
      <c r="O631" s="2" t="s">
        <v>888</v>
      </c>
      <c r="Q631" s="2" t="s">
        <v>11</v>
      </c>
      <c r="R631" s="2" t="s">
        <v>426</v>
      </c>
      <c r="S631" s="1" t="s">
        <v>7728</v>
      </c>
      <c r="T631" s="2" t="s">
        <v>520</v>
      </c>
      <c r="U631" s="3">
        <v>8</v>
      </c>
      <c r="V631" s="3">
        <v>8</v>
      </c>
      <c r="W631" s="4" t="s">
        <v>7729</v>
      </c>
      <c r="X631" s="4" t="s">
        <v>7729</v>
      </c>
      <c r="Y631" s="4" t="s">
        <v>7730</v>
      </c>
      <c r="Z631" s="4" t="s">
        <v>7730</v>
      </c>
      <c r="AA631" s="3">
        <v>112</v>
      </c>
      <c r="AB631" s="3">
        <v>94</v>
      </c>
      <c r="AC631" s="3">
        <v>94</v>
      </c>
      <c r="AD631" s="3">
        <v>1</v>
      </c>
      <c r="AE631" s="3">
        <v>1</v>
      </c>
      <c r="AF631" s="3">
        <v>1</v>
      </c>
      <c r="AG631" s="3">
        <v>1</v>
      </c>
      <c r="AH631" s="3">
        <v>0</v>
      </c>
      <c r="AI631" s="3">
        <v>0</v>
      </c>
      <c r="AJ631" s="3">
        <v>0</v>
      </c>
      <c r="AK631" s="3">
        <v>0</v>
      </c>
      <c r="AL631" s="3">
        <v>1</v>
      </c>
      <c r="AM631" s="3">
        <v>1</v>
      </c>
      <c r="AN631" s="3">
        <v>0</v>
      </c>
      <c r="AO631" s="3">
        <v>0</v>
      </c>
      <c r="AP631" s="3">
        <v>0</v>
      </c>
      <c r="AQ631" s="3">
        <v>0</v>
      </c>
      <c r="AR631" s="2" t="s">
        <v>5</v>
      </c>
      <c r="AS631" s="2" t="s">
        <v>5</v>
      </c>
      <c r="AU631" s="5" t="str">
        <f>HYPERLINK("https://creighton-primo.hosted.exlibrisgroup.com/primo-explore/search?tab=default_tab&amp;search_scope=EVERYTHING&amp;vid=01CRU&amp;lang=en_US&amp;offset=0&amp;query=any,contains,991001291299702656","Catalog Record")</f>
        <v>Catalog Record</v>
      </c>
      <c r="AV631" s="5" t="str">
        <f>HYPERLINK("http://www.worldcat.org/oclc/9919291","WorldCat Record")</f>
        <v>WorldCat Record</v>
      </c>
      <c r="AW631" s="2" t="s">
        <v>7731</v>
      </c>
      <c r="AX631" s="2" t="s">
        <v>7732</v>
      </c>
      <c r="AY631" s="2" t="s">
        <v>7733</v>
      </c>
      <c r="AZ631" s="2" t="s">
        <v>7733</v>
      </c>
      <c r="BA631" s="2" t="s">
        <v>7734</v>
      </c>
      <c r="BB631" s="2" t="s">
        <v>21</v>
      </c>
      <c r="BD631" s="2" t="s">
        <v>7735</v>
      </c>
      <c r="BE631" s="2" t="s">
        <v>7736</v>
      </c>
      <c r="BF631" s="2" t="s">
        <v>7737</v>
      </c>
    </row>
    <row r="632" spans="1:58" ht="41.25" customHeight="1" x14ac:dyDescent="0.25">
      <c r="A632" s="8" t="s">
        <v>5</v>
      </c>
      <c r="B632" s="1" t="s">
        <v>0</v>
      </c>
      <c r="C632" s="1" t="s">
        <v>1</v>
      </c>
      <c r="D632" s="1" t="s">
        <v>7738</v>
      </c>
      <c r="E632" s="1" t="s">
        <v>7739</v>
      </c>
      <c r="F632" s="1" t="s">
        <v>7740</v>
      </c>
      <c r="H632" s="2" t="s">
        <v>5</v>
      </c>
      <c r="I632" s="2" t="s">
        <v>6</v>
      </c>
      <c r="J632" s="2" t="s">
        <v>5</v>
      </c>
      <c r="K632" s="2" t="s">
        <v>5</v>
      </c>
      <c r="L632" s="2" t="s">
        <v>7</v>
      </c>
      <c r="M632" s="1" t="s">
        <v>7741</v>
      </c>
      <c r="N632" s="1" t="s">
        <v>3451</v>
      </c>
      <c r="O632" s="2" t="s">
        <v>872</v>
      </c>
      <c r="Q632" s="2" t="s">
        <v>11</v>
      </c>
      <c r="R632" s="2" t="s">
        <v>426</v>
      </c>
      <c r="T632" s="2" t="s">
        <v>520</v>
      </c>
      <c r="U632" s="3">
        <v>6</v>
      </c>
      <c r="V632" s="3">
        <v>6</v>
      </c>
      <c r="W632" s="4" t="s">
        <v>7742</v>
      </c>
      <c r="X632" s="4" t="s">
        <v>7742</v>
      </c>
      <c r="Y632" s="4" t="s">
        <v>7743</v>
      </c>
      <c r="Z632" s="4" t="s">
        <v>7743</v>
      </c>
      <c r="AA632" s="3">
        <v>93</v>
      </c>
      <c r="AB632" s="3">
        <v>76</v>
      </c>
      <c r="AC632" s="3">
        <v>78</v>
      </c>
      <c r="AD632" s="3">
        <v>1</v>
      </c>
      <c r="AE632" s="3">
        <v>1</v>
      </c>
      <c r="AF632" s="3">
        <v>2</v>
      </c>
      <c r="AG632" s="3">
        <v>2</v>
      </c>
      <c r="AH632" s="3">
        <v>0</v>
      </c>
      <c r="AI632" s="3">
        <v>0</v>
      </c>
      <c r="AJ632" s="3">
        <v>0</v>
      </c>
      <c r="AK632" s="3">
        <v>0</v>
      </c>
      <c r="AL632" s="3">
        <v>2</v>
      </c>
      <c r="AM632" s="3">
        <v>2</v>
      </c>
      <c r="AN632" s="3">
        <v>0</v>
      </c>
      <c r="AO632" s="3">
        <v>0</v>
      </c>
      <c r="AP632" s="3">
        <v>0</v>
      </c>
      <c r="AQ632" s="3">
        <v>0</v>
      </c>
      <c r="AR632" s="2" t="s">
        <v>5</v>
      </c>
      <c r="AS632" s="2" t="s">
        <v>16</v>
      </c>
      <c r="AT632" s="5" t="str">
        <f>HYPERLINK("http://catalog.hathitrust.org/Record/001288612","HathiTrust Record")</f>
        <v>HathiTrust Record</v>
      </c>
      <c r="AU632" s="5" t="str">
        <f>HYPERLINK("https://creighton-primo.hosted.exlibrisgroup.com/primo-explore/search?tab=default_tab&amp;search_scope=EVERYTHING&amp;vid=01CRU&amp;lang=en_US&amp;offset=0&amp;query=any,contains,991001317939702656","Catalog Record")</f>
        <v>Catalog Record</v>
      </c>
      <c r="AV632" s="5" t="str">
        <f>HYPERLINK("http://www.worldcat.org/oclc/18960919","WorldCat Record")</f>
        <v>WorldCat Record</v>
      </c>
      <c r="AW632" s="2" t="s">
        <v>7744</v>
      </c>
      <c r="AX632" s="2" t="s">
        <v>7745</v>
      </c>
      <c r="AY632" s="2" t="s">
        <v>7746</v>
      </c>
      <c r="AZ632" s="2" t="s">
        <v>7746</v>
      </c>
      <c r="BA632" s="2" t="s">
        <v>7747</v>
      </c>
      <c r="BB632" s="2" t="s">
        <v>21</v>
      </c>
      <c r="BD632" s="2" t="s">
        <v>7748</v>
      </c>
      <c r="BE632" s="2" t="s">
        <v>7749</v>
      </c>
      <c r="BF632" s="2" t="s">
        <v>7750</v>
      </c>
    </row>
    <row r="633" spans="1:58" ht="41.25" customHeight="1" x14ac:dyDescent="0.25">
      <c r="A633" s="8" t="s">
        <v>5</v>
      </c>
      <c r="B633" s="1" t="s">
        <v>0</v>
      </c>
      <c r="C633" s="1" t="s">
        <v>1</v>
      </c>
      <c r="D633" s="1" t="s">
        <v>7751</v>
      </c>
      <c r="E633" s="1" t="s">
        <v>7752</v>
      </c>
      <c r="F633" s="1" t="s">
        <v>4692</v>
      </c>
      <c r="H633" s="2" t="s">
        <v>5</v>
      </c>
      <c r="I633" s="2" t="s">
        <v>6</v>
      </c>
      <c r="J633" s="2" t="s">
        <v>5</v>
      </c>
      <c r="K633" s="2" t="s">
        <v>16</v>
      </c>
      <c r="L633" s="2" t="s">
        <v>7</v>
      </c>
      <c r="M633" s="1" t="s">
        <v>4693</v>
      </c>
      <c r="N633" s="1" t="s">
        <v>7753</v>
      </c>
      <c r="O633" s="2" t="s">
        <v>382</v>
      </c>
      <c r="Q633" s="2" t="s">
        <v>11</v>
      </c>
      <c r="R633" s="2" t="s">
        <v>426</v>
      </c>
      <c r="S633" s="1" t="s">
        <v>3264</v>
      </c>
      <c r="T633" s="2" t="s">
        <v>520</v>
      </c>
      <c r="U633" s="3">
        <v>6</v>
      </c>
      <c r="V633" s="3">
        <v>6</v>
      </c>
      <c r="W633" s="4" t="s">
        <v>7754</v>
      </c>
      <c r="X633" s="4" t="s">
        <v>7754</v>
      </c>
      <c r="Y633" s="4" t="s">
        <v>329</v>
      </c>
      <c r="Z633" s="4" t="s">
        <v>329</v>
      </c>
      <c r="AA633" s="3">
        <v>51</v>
      </c>
      <c r="AB633" s="3">
        <v>44</v>
      </c>
      <c r="AC633" s="3">
        <v>269</v>
      </c>
      <c r="AD633" s="3">
        <v>2</v>
      </c>
      <c r="AE633" s="3">
        <v>3</v>
      </c>
      <c r="AF633" s="3">
        <v>0</v>
      </c>
      <c r="AG633" s="3">
        <v>8</v>
      </c>
      <c r="AH633" s="3">
        <v>0</v>
      </c>
      <c r="AI633" s="3">
        <v>3</v>
      </c>
      <c r="AJ633" s="3">
        <v>0</v>
      </c>
      <c r="AK633" s="3">
        <v>1</v>
      </c>
      <c r="AL633" s="3">
        <v>0</v>
      </c>
      <c r="AM633" s="3">
        <v>6</v>
      </c>
      <c r="AN633" s="3">
        <v>0</v>
      </c>
      <c r="AO633" s="3">
        <v>1</v>
      </c>
      <c r="AP633" s="3">
        <v>0</v>
      </c>
      <c r="AQ633" s="3">
        <v>0</v>
      </c>
      <c r="AR633" s="2" t="s">
        <v>5</v>
      </c>
      <c r="AS633" s="2" t="s">
        <v>5</v>
      </c>
      <c r="AU633" s="5" t="str">
        <f>HYPERLINK("https://creighton-primo.hosted.exlibrisgroup.com/primo-explore/search?tab=default_tab&amp;search_scope=EVERYTHING&amp;vid=01CRU&amp;lang=en_US&amp;offset=0&amp;query=any,contains,991000738839702656","Catalog Record")</f>
        <v>Catalog Record</v>
      </c>
      <c r="AV633" s="5" t="str">
        <f>HYPERLINK("http://www.worldcat.org/oclc/11044246","WorldCat Record")</f>
        <v>WorldCat Record</v>
      </c>
      <c r="AW633" s="2" t="s">
        <v>4697</v>
      </c>
      <c r="AX633" s="2" t="s">
        <v>7755</v>
      </c>
      <c r="AY633" s="2" t="s">
        <v>7756</v>
      </c>
      <c r="AZ633" s="2" t="s">
        <v>7756</v>
      </c>
      <c r="BA633" s="2" t="s">
        <v>7757</v>
      </c>
      <c r="BB633" s="2" t="s">
        <v>21</v>
      </c>
      <c r="BD633" s="2" t="s">
        <v>7758</v>
      </c>
      <c r="BE633" s="2" t="s">
        <v>7759</v>
      </c>
      <c r="BF633" s="2" t="s">
        <v>7760</v>
      </c>
    </row>
    <row r="634" spans="1:58" ht="41.25" customHeight="1" x14ac:dyDescent="0.25">
      <c r="A634" s="8" t="s">
        <v>5</v>
      </c>
      <c r="B634" s="1" t="s">
        <v>0</v>
      </c>
      <c r="C634" s="1" t="s">
        <v>1</v>
      </c>
      <c r="D634" s="1" t="s">
        <v>7761</v>
      </c>
      <c r="E634" s="1" t="s">
        <v>7762</v>
      </c>
      <c r="F634" s="1" t="s">
        <v>7763</v>
      </c>
      <c r="H634" s="2" t="s">
        <v>5</v>
      </c>
      <c r="I634" s="2" t="s">
        <v>6</v>
      </c>
      <c r="J634" s="2" t="s">
        <v>5</v>
      </c>
      <c r="K634" s="2" t="s">
        <v>5</v>
      </c>
      <c r="L634" s="2" t="s">
        <v>7</v>
      </c>
      <c r="M634" s="1" t="s">
        <v>7764</v>
      </c>
      <c r="N634" s="1" t="s">
        <v>7765</v>
      </c>
      <c r="O634" s="2" t="s">
        <v>989</v>
      </c>
      <c r="P634" s="1" t="s">
        <v>901</v>
      </c>
      <c r="Q634" s="2" t="s">
        <v>11</v>
      </c>
      <c r="R634" s="2" t="s">
        <v>426</v>
      </c>
      <c r="T634" s="2" t="s">
        <v>520</v>
      </c>
      <c r="U634" s="3">
        <v>37</v>
      </c>
      <c r="V634" s="3">
        <v>37</v>
      </c>
      <c r="W634" s="4" t="s">
        <v>7766</v>
      </c>
      <c r="X634" s="4" t="s">
        <v>7766</v>
      </c>
      <c r="Y634" s="4" t="s">
        <v>1717</v>
      </c>
      <c r="Z634" s="4" t="s">
        <v>1717</v>
      </c>
      <c r="AA634" s="3">
        <v>132</v>
      </c>
      <c r="AB634" s="3">
        <v>103</v>
      </c>
      <c r="AC634" s="3">
        <v>313</v>
      </c>
      <c r="AD634" s="3">
        <v>2</v>
      </c>
      <c r="AE634" s="3">
        <v>3</v>
      </c>
      <c r="AF634" s="3">
        <v>2</v>
      </c>
      <c r="AG634" s="3">
        <v>9</v>
      </c>
      <c r="AH634" s="3">
        <v>0</v>
      </c>
      <c r="AI634" s="3">
        <v>2</v>
      </c>
      <c r="AJ634" s="3">
        <v>1</v>
      </c>
      <c r="AK634" s="3">
        <v>2</v>
      </c>
      <c r="AL634" s="3">
        <v>2</v>
      </c>
      <c r="AM634" s="3">
        <v>5</v>
      </c>
      <c r="AN634" s="3">
        <v>0</v>
      </c>
      <c r="AO634" s="3">
        <v>1</v>
      </c>
      <c r="AP634" s="3">
        <v>0</v>
      </c>
      <c r="AQ634" s="3">
        <v>0</v>
      </c>
      <c r="AR634" s="2" t="s">
        <v>5</v>
      </c>
      <c r="AS634" s="2" t="s">
        <v>5</v>
      </c>
      <c r="AU634" s="5" t="str">
        <f>HYPERLINK("https://creighton-primo.hosted.exlibrisgroup.com/primo-explore/search?tab=default_tab&amp;search_scope=EVERYTHING&amp;vid=01CRU&amp;lang=en_US&amp;offset=0&amp;query=any,contains,991001454149702656","Catalog Record")</f>
        <v>Catalog Record</v>
      </c>
      <c r="AV634" s="5" t="str">
        <f>HYPERLINK("http://www.worldcat.org/oclc/20264554","WorldCat Record")</f>
        <v>WorldCat Record</v>
      </c>
      <c r="AW634" s="2" t="s">
        <v>7767</v>
      </c>
      <c r="AX634" s="2" t="s">
        <v>7768</v>
      </c>
      <c r="AY634" s="2" t="s">
        <v>7769</v>
      </c>
      <c r="AZ634" s="2" t="s">
        <v>7769</v>
      </c>
      <c r="BA634" s="2" t="s">
        <v>7770</v>
      </c>
      <c r="BB634" s="2" t="s">
        <v>21</v>
      </c>
      <c r="BD634" s="2" t="s">
        <v>7771</v>
      </c>
      <c r="BE634" s="2" t="s">
        <v>7772</v>
      </c>
      <c r="BF634" s="2" t="s">
        <v>7773</v>
      </c>
    </row>
    <row r="635" spans="1:58" ht="41.25" customHeight="1" x14ac:dyDescent="0.25">
      <c r="A635" s="8" t="s">
        <v>5</v>
      </c>
      <c r="B635" s="1" t="s">
        <v>0</v>
      </c>
      <c r="C635" s="1" t="s">
        <v>1</v>
      </c>
      <c r="D635" s="1" t="s">
        <v>7774</v>
      </c>
      <c r="E635" s="1" t="s">
        <v>7775</v>
      </c>
      <c r="F635" s="1" t="s">
        <v>7776</v>
      </c>
      <c r="H635" s="2" t="s">
        <v>5</v>
      </c>
      <c r="I635" s="2" t="s">
        <v>6</v>
      </c>
      <c r="J635" s="2" t="s">
        <v>5</v>
      </c>
      <c r="K635" s="2" t="s">
        <v>5</v>
      </c>
      <c r="L635" s="2" t="s">
        <v>7</v>
      </c>
      <c r="M635" s="1" t="s">
        <v>7777</v>
      </c>
      <c r="N635" s="1" t="s">
        <v>5551</v>
      </c>
      <c r="O635" s="2" t="s">
        <v>210</v>
      </c>
      <c r="Q635" s="2" t="s">
        <v>11</v>
      </c>
      <c r="R635" s="2" t="s">
        <v>78</v>
      </c>
      <c r="T635" s="2" t="s">
        <v>520</v>
      </c>
      <c r="U635" s="3">
        <v>7</v>
      </c>
      <c r="V635" s="3">
        <v>7</v>
      </c>
      <c r="W635" s="4" t="s">
        <v>7729</v>
      </c>
      <c r="X635" s="4" t="s">
        <v>7729</v>
      </c>
      <c r="Y635" s="4" t="s">
        <v>7778</v>
      </c>
      <c r="Z635" s="4" t="s">
        <v>7778</v>
      </c>
      <c r="AA635" s="3">
        <v>220</v>
      </c>
      <c r="AB635" s="3">
        <v>175</v>
      </c>
      <c r="AC635" s="3">
        <v>175</v>
      </c>
      <c r="AD635" s="3">
        <v>1</v>
      </c>
      <c r="AE635" s="3">
        <v>1</v>
      </c>
      <c r="AF635" s="3">
        <v>4</v>
      </c>
      <c r="AG635" s="3">
        <v>4</v>
      </c>
      <c r="AH635" s="3">
        <v>0</v>
      </c>
      <c r="AI635" s="3">
        <v>0</v>
      </c>
      <c r="AJ635" s="3">
        <v>1</v>
      </c>
      <c r="AK635" s="3">
        <v>1</v>
      </c>
      <c r="AL635" s="3">
        <v>4</v>
      </c>
      <c r="AM635" s="3">
        <v>4</v>
      </c>
      <c r="AN635" s="3">
        <v>0</v>
      </c>
      <c r="AO635" s="3">
        <v>0</v>
      </c>
      <c r="AP635" s="3">
        <v>0</v>
      </c>
      <c r="AQ635" s="3">
        <v>0</v>
      </c>
      <c r="AR635" s="2" t="s">
        <v>5</v>
      </c>
      <c r="AS635" s="2" t="s">
        <v>5</v>
      </c>
      <c r="AU635" s="5" t="str">
        <f>HYPERLINK("https://creighton-primo.hosted.exlibrisgroup.com/primo-explore/search?tab=default_tab&amp;search_scope=EVERYTHING&amp;vid=01CRU&amp;lang=en_US&amp;offset=0&amp;query=any,contains,991001304429702656","Catalog Record")</f>
        <v>Catalog Record</v>
      </c>
      <c r="AV635" s="5" t="str">
        <f>HYPERLINK("http://www.worldcat.org/oclc/23651980","WorldCat Record")</f>
        <v>WorldCat Record</v>
      </c>
      <c r="AW635" s="2" t="s">
        <v>7779</v>
      </c>
      <c r="AX635" s="2" t="s">
        <v>7780</v>
      </c>
      <c r="AY635" s="2" t="s">
        <v>7781</v>
      </c>
      <c r="AZ635" s="2" t="s">
        <v>7781</v>
      </c>
      <c r="BA635" s="2" t="s">
        <v>7782</v>
      </c>
      <c r="BB635" s="2" t="s">
        <v>21</v>
      </c>
      <c r="BD635" s="2" t="s">
        <v>7783</v>
      </c>
      <c r="BE635" s="2" t="s">
        <v>7784</v>
      </c>
      <c r="BF635" s="2" t="s">
        <v>7785</v>
      </c>
    </row>
    <row r="636" spans="1:58" ht="41.25" customHeight="1" x14ac:dyDescent="0.25">
      <c r="A636" s="8" t="s">
        <v>5</v>
      </c>
      <c r="B636" s="1" t="s">
        <v>0</v>
      </c>
      <c r="C636" s="1" t="s">
        <v>1</v>
      </c>
      <c r="D636" s="1" t="s">
        <v>7786</v>
      </c>
      <c r="E636" s="1" t="s">
        <v>7787</v>
      </c>
      <c r="F636" s="1" t="s">
        <v>7788</v>
      </c>
      <c r="H636" s="2" t="s">
        <v>5</v>
      </c>
      <c r="I636" s="2" t="s">
        <v>6</v>
      </c>
      <c r="J636" s="2" t="s">
        <v>5</v>
      </c>
      <c r="K636" s="2" t="s">
        <v>16</v>
      </c>
      <c r="L636" s="2" t="s">
        <v>7</v>
      </c>
      <c r="M636" s="1" t="s">
        <v>7789</v>
      </c>
      <c r="N636" s="1" t="s">
        <v>6325</v>
      </c>
      <c r="O636" s="2" t="s">
        <v>1102</v>
      </c>
      <c r="Q636" s="2" t="s">
        <v>11</v>
      </c>
      <c r="R636" s="2" t="s">
        <v>426</v>
      </c>
      <c r="T636" s="2" t="s">
        <v>520</v>
      </c>
      <c r="U636" s="3">
        <v>17</v>
      </c>
      <c r="V636" s="3">
        <v>17</v>
      </c>
      <c r="W636" s="4" t="s">
        <v>7790</v>
      </c>
      <c r="X636" s="4" t="s">
        <v>7790</v>
      </c>
      <c r="Y636" s="4" t="s">
        <v>168</v>
      </c>
      <c r="Z636" s="4" t="s">
        <v>168</v>
      </c>
      <c r="AA636" s="3">
        <v>124</v>
      </c>
      <c r="AB636" s="3">
        <v>101</v>
      </c>
      <c r="AC636" s="3">
        <v>377</v>
      </c>
      <c r="AD636" s="3">
        <v>1</v>
      </c>
      <c r="AE636" s="3">
        <v>2</v>
      </c>
      <c r="AF636" s="3">
        <v>4</v>
      </c>
      <c r="AG636" s="3">
        <v>10</v>
      </c>
      <c r="AH636" s="3">
        <v>1</v>
      </c>
      <c r="AI636" s="3">
        <v>5</v>
      </c>
      <c r="AJ636" s="3">
        <v>0</v>
      </c>
      <c r="AK636" s="3">
        <v>1</v>
      </c>
      <c r="AL636" s="3">
        <v>3</v>
      </c>
      <c r="AM636" s="3">
        <v>6</v>
      </c>
      <c r="AN636" s="3">
        <v>0</v>
      </c>
      <c r="AO636" s="3">
        <v>0</v>
      </c>
      <c r="AP636" s="3">
        <v>0</v>
      </c>
      <c r="AQ636" s="3">
        <v>0</v>
      </c>
      <c r="AR636" s="2" t="s">
        <v>5</v>
      </c>
      <c r="AS636" s="2" t="s">
        <v>5</v>
      </c>
      <c r="AU636" s="5" t="str">
        <f>HYPERLINK("https://creighton-primo.hosted.exlibrisgroup.com/primo-explore/search?tab=default_tab&amp;search_scope=EVERYTHING&amp;vid=01CRU&amp;lang=en_US&amp;offset=0&amp;query=any,contains,991001044879702656","Catalog Record")</f>
        <v>Catalog Record</v>
      </c>
      <c r="AV636" s="5" t="str">
        <f>HYPERLINK("http://www.worldcat.org/oclc/13525650","WorldCat Record")</f>
        <v>WorldCat Record</v>
      </c>
      <c r="AW636" s="2" t="s">
        <v>7791</v>
      </c>
      <c r="AX636" s="2" t="s">
        <v>7792</v>
      </c>
      <c r="AY636" s="2" t="s">
        <v>7793</v>
      </c>
      <c r="AZ636" s="2" t="s">
        <v>7793</v>
      </c>
      <c r="BA636" s="2" t="s">
        <v>7794</v>
      </c>
      <c r="BB636" s="2" t="s">
        <v>21</v>
      </c>
      <c r="BD636" s="2" t="s">
        <v>7795</v>
      </c>
      <c r="BE636" s="2" t="s">
        <v>7796</v>
      </c>
      <c r="BF636" s="2" t="s">
        <v>7797</v>
      </c>
    </row>
    <row r="637" spans="1:58" ht="41.25" customHeight="1" x14ac:dyDescent="0.25">
      <c r="A637" s="8" t="s">
        <v>5</v>
      </c>
      <c r="B637" s="1" t="s">
        <v>0</v>
      </c>
      <c r="C637" s="1" t="s">
        <v>1</v>
      </c>
      <c r="D637" s="1" t="s">
        <v>7798</v>
      </c>
      <c r="E637" s="1" t="s">
        <v>7799</v>
      </c>
      <c r="F637" s="1" t="s">
        <v>7800</v>
      </c>
      <c r="H637" s="2" t="s">
        <v>5</v>
      </c>
      <c r="I637" s="2" t="s">
        <v>6</v>
      </c>
      <c r="J637" s="2" t="s">
        <v>5</v>
      </c>
      <c r="K637" s="2" t="s">
        <v>5</v>
      </c>
      <c r="L637" s="2" t="s">
        <v>7</v>
      </c>
      <c r="M637" s="1" t="s">
        <v>2261</v>
      </c>
      <c r="N637" s="1" t="s">
        <v>7801</v>
      </c>
      <c r="O637" s="2" t="s">
        <v>1195</v>
      </c>
      <c r="P637" s="1" t="s">
        <v>901</v>
      </c>
      <c r="Q637" s="2" t="s">
        <v>11</v>
      </c>
      <c r="R637" s="2" t="s">
        <v>31</v>
      </c>
      <c r="T637" s="2" t="s">
        <v>520</v>
      </c>
      <c r="U637" s="3">
        <v>1</v>
      </c>
      <c r="V637" s="3">
        <v>1</v>
      </c>
      <c r="W637" s="4" t="s">
        <v>7802</v>
      </c>
      <c r="X637" s="4" t="s">
        <v>7802</v>
      </c>
      <c r="Y637" s="4" t="s">
        <v>5094</v>
      </c>
      <c r="Z637" s="4" t="s">
        <v>5094</v>
      </c>
      <c r="AA637" s="3">
        <v>443</v>
      </c>
      <c r="AB637" s="3">
        <v>366</v>
      </c>
      <c r="AC637" s="3">
        <v>368</v>
      </c>
      <c r="AD637" s="3">
        <v>1</v>
      </c>
      <c r="AE637" s="3">
        <v>1</v>
      </c>
      <c r="AF637" s="3">
        <v>11</v>
      </c>
      <c r="AG637" s="3">
        <v>11</v>
      </c>
      <c r="AH637" s="3">
        <v>5</v>
      </c>
      <c r="AI637" s="3">
        <v>5</v>
      </c>
      <c r="AJ637" s="3">
        <v>1</v>
      </c>
      <c r="AK637" s="3">
        <v>1</v>
      </c>
      <c r="AL637" s="3">
        <v>7</v>
      </c>
      <c r="AM637" s="3">
        <v>7</v>
      </c>
      <c r="AN637" s="3">
        <v>0</v>
      </c>
      <c r="AO637" s="3">
        <v>0</v>
      </c>
      <c r="AP637" s="3">
        <v>0</v>
      </c>
      <c r="AQ637" s="3">
        <v>0</v>
      </c>
      <c r="AR637" s="2" t="s">
        <v>5</v>
      </c>
      <c r="AS637" s="2" t="s">
        <v>16</v>
      </c>
      <c r="AT637" s="5" t="str">
        <f>HYPERLINK("http://catalog.hathitrust.org/Record/004577314","HathiTrust Record")</f>
        <v>HathiTrust Record</v>
      </c>
      <c r="AU637" s="5" t="str">
        <f>HYPERLINK("https://creighton-primo.hosted.exlibrisgroup.com/primo-explore/search?tab=default_tab&amp;search_scope=EVERYTHING&amp;vid=01CRU&amp;lang=en_US&amp;offset=0&amp;query=any,contains,991001407619702656","Catalog Record")</f>
        <v>Catalog Record</v>
      </c>
      <c r="AV637" s="5" t="str">
        <f>HYPERLINK("http://www.worldcat.org/oclc/42621971","WorldCat Record")</f>
        <v>WorldCat Record</v>
      </c>
      <c r="AW637" s="2" t="s">
        <v>7803</v>
      </c>
      <c r="AX637" s="2" t="s">
        <v>7804</v>
      </c>
      <c r="AY637" s="2" t="s">
        <v>7805</v>
      </c>
      <c r="AZ637" s="2" t="s">
        <v>7805</v>
      </c>
      <c r="BA637" s="2" t="s">
        <v>7806</v>
      </c>
      <c r="BB637" s="2" t="s">
        <v>21</v>
      </c>
      <c r="BD637" s="2" t="s">
        <v>7807</v>
      </c>
      <c r="BE637" s="2" t="s">
        <v>7808</v>
      </c>
      <c r="BF637" s="2" t="s">
        <v>7809</v>
      </c>
    </row>
    <row r="638" spans="1:58" ht="41.25" customHeight="1" x14ac:dyDescent="0.25">
      <c r="A638" s="8" t="s">
        <v>5</v>
      </c>
      <c r="B638" s="1" t="s">
        <v>0</v>
      </c>
      <c r="C638" s="1" t="s">
        <v>1</v>
      </c>
      <c r="D638" s="1" t="s">
        <v>7810</v>
      </c>
      <c r="E638" s="1" t="s">
        <v>7811</v>
      </c>
      <c r="F638" s="1" t="s">
        <v>7812</v>
      </c>
      <c r="H638" s="2" t="s">
        <v>5</v>
      </c>
      <c r="I638" s="2" t="s">
        <v>6</v>
      </c>
      <c r="J638" s="2" t="s">
        <v>5</v>
      </c>
      <c r="K638" s="2" t="s">
        <v>5</v>
      </c>
      <c r="L638" s="2" t="s">
        <v>7</v>
      </c>
      <c r="M638" s="1" t="s">
        <v>7813</v>
      </c>
      <c r="N638" s="1" t="s">
        <v>6646</v>
      </c>
      <c r="O638" s="2" t="s">
        <v>939</v>
      </c>
      <c r="P638" s="1" t="s">
        <v>355</v>
      </c>
      <c r="Q638" s="2" t="s">
        <v>11</v>
      </c>
      <c r="R638" s="2" t="s">
        <v>426</v>
      </c>
      <c r="T638" s="2" t="s">
        <v>520</v>
      </c>
      <c r="U638" s="3">
        <v>11</v>
      </c>
      <c r="V638" s="3">
        <v>11</v>
      </c>
      <c r="W638" s="4" t="s">
        <v>7814</v>
      </c>
      <c r="X638" s="4" t="s">
        <v>7814</v>
      </c>
      <c r="Y638" s="4" t="s">
        <v>7815</v>
      </c>
      <c r="Z638" s="4" t="s">
        <v>7815</v>
      </c>
      <c r="AA638" s="3">
        <v>79</v>
      </c>
      <c r="AB638" s="3">
        <v>57</v>
      </c>
      <c r="AC638" s="3">
        <v>62</v>
      </c>
      <c r="AD638" s="3">
        <v>1</v>
      </c>
      <c r="AE638" s="3">
        <v>1</v>
      </c>
      <c r="AF638" s="3">
        <v>1</v>
      </c>
      <c r="AG638" s="3">
        <v>1</v>
      </c>
      <c r="AH638" s="3">
        <v>0</v>
      </c>
      <c r="AI638" s="3">
        <v>0</v>
      </c>
      <c r="AJ638" s="3">
        <v>0</v>
      </c>
      <c r="AK638" s="3">
        <v>0</v>
      </c>
      <c r="AL638" s="3">
        <v>1</v>
      </c>
      <c r="AM638" s="3">
        <v>1</v>
      </c>
      <c r="AN638" s="3">
        <v>0</v>
      </c>
      <c r="AO638" s="3">
        <v>0</v>
      </c>
      <c r="AP638" s="3">
        <v>0</v>
      </c>
      <c r="AQ638" s="3">
        <v>0</v>
      </c>
      <c r="AR638" s="2" t="s">
        <v>5</v>
      </c>
      <c r="AS638" s="2" t="s">
        <v>5</v>
      </c>
      <c r="AU638" s="5" t="str">
        <f>HYPERLINK("https://creighton-primo.hosted.exlibrisgroup.com/primo-explore/search?tab=default_tab&amp;search_scope=EVERYTHING&amp;vid=01CRU&amp;lang=en_US&amp;offset=0&amp;query=any,contains,991001190279702656","Catalog Record")</f>
        <v>Catalog Record</v>
      </c>
      <c r="AV638" s="5" t="str">
        <f>HYPERLINK("http://www.worldcat.org/oclc/16867369","WorldCat Record")</f>
        <v>WorldCat Record</v>
      </c>
      <c r="AW638" s="2" t="s">
        <v>7816</v>
      </c>
      <c r="AX638" s="2" t="s">
        <v>7817</v>
      </c>
      <c r="AY638" s="2" t="s">
        <v>7818</v>
      </c>
      <c r="AZ638" s="2" t="s">
        <v>7818</v>
      </c>
      <c r="BA638" s="2" t="s">
        <v>7819</v>
      </c>
      <c r="BB638" s="2" t="s">
        <v>21</v>
      </c>
      <c r="BD638" s="2" t="s">
        <v>7820</v>
      </c>
      <c r="BE638" s="2" t="s">
        <v>7821</v>
      </c>
      <c r="BF638" s="2" t="s">
        <v>7822</v>
      </c>
    </row>
    <row r="639" spans="1:58" ht="41.25" customHeight="1" x14ac:dyDescent="0.25">
      <c r="A639" s="8" t="s">
        <v>5</v>
      </c>
      <c r="B639" s="1" t="s">
        <v>0</v>
      </c>
      <c r="C639" s="1" t="s">
        <v>1</v>
      </c>
      <c r="D639" s="1" t="s">
        <v>7823</v>
      </c>
      <c r="E639" s="1" t="s">
        <v>7824</v>
      </c>
      <c r="F639" s="1" t="s">
        <v>7825</v>
      </c>
      <c r="H639" s="2" t="s">
        <v>5</v>
      </c>
      <c r="I639" s="2" t="s">
        <v>6</v>
      </c>
      <c r="J639" s="2" t="s">
        <v>5</v>
      </c>
      <c r="K639" s="2" t="s">
        <v>5</v>
      </c>
      <c r="L639" s="2" t="s">
        <v>7</v>
      </c>
      <c r="M639" s="1" t="s">
        <v>7826</v>
      </c>
      <c r="N639" s="1" t="s">
        <v>640</v>
      </c>
      <c r="O639" s="2" t="s">
        <v>136</v>
      </c>
      <c r="P639" s="1" t="s">
        <v>7827</v>
      </c>
      <c r="Q639" s="2" t="s">
        <v>11</v>
      </c>
      <c r="R639" s="2" t="s">
        <v>78</v>
      </c>
      <c r="T639" s="2" t="s">
        <v>520</v>
      </c>
      <c r="U639" s="3">
        <v>16</v>
      </c>
      <c r="V639" s="3">
        <v>16</v>
      </c>
      <c r="W639" s="4" t="s">
        <v>7828</v>
      </c>
      <c r="X639" s="4" t="s">
        <v>7828</v>
      </c>
      <c r="Y639" s="4" t="s">
        <v>7829</v>
      </c>
      <c r="Z639" s="4" t="s">
        <v>7829</v>
      </c>
      <c r="AA639" s="3">
        <v>415</v>
      </c>
      <c r="AB639" s="3">
        <v>340</v>
      </c>
      <c r="AC639" s="3">
        <v>356</v>
      </c>
      <c r="AD639" s="3">
        <v>1</v>
      </c>
      <c r="AE639" s="3">
        <v>1</v>
      </c>
      <c r="AF639" s="3">
        <v>2</v>
      </c>
      <c r="AG639" s="3">
        <v>4</v>
      </c>
      <c r="AH639" s="3">
        <v>0</v>
      </c>
      <c r="AI639" s="3">
        <v>1</v>
      </c>
      <c r="AJ639" s="3">
        <v>0</v>
      </c>
      <c r="AK639" s="3">
        <v>1</v>
      </c>
      <c r="AL639" s="3">
        <v>2</v>
      </c>
      <c r="AM639" s="3">
        <v>2</v>
      </c>
      <c r="AN639" s="3">
        <v>0</v>
      </c>
      <c r="AO639" s="3">
        <v>0</v>
      </c>
      <c r="AP639" s="3">
        <v>0</v>
      </c>
      <c r="AQ639" s="3">
        <v>0</v>
      </c>
      <c r="AR639" s="2" t="s">
        <v>5</v>
      </c>
      <c r="AS639" s="2" t="s">
        <v>16</v>
      </c>
      <c r="AT639" s="5" t="str">
        <f>HYPERLINK("http://catalog.hathitrust.org/Record/002437761","HathiTrust Record")</f>
        <v>HathiTrust Record</v>
      </c>
      <c r="AU639" s="5" t="str">
        <f>HYPERLINK("https://creighton-primo.hosted.exlibrisgroup.com/primo-explore/search?tab=default_tab&amp;search_scope=EVERYTHING&amp;vid=01CRU&amp;lang=en_US&amp;offset=0&amp;query=any,contains,991000932919702656","Catalog Record")</f>
        <v>Catalog Record</v>
      </c>
      <c r="AV639" s="5" t="str">
        <f>HYPERLINK("http://www.worldcat.org/oclc/22705943","WorldCat Record")</f>
        <v>WorldCat Record</v>
      </c>
      <c r="AW639" s="2" t="s">
        <v>7830</v>
      </c>
      <c r="AX639" s="2" t="s">
        <v>7831</v>
      </c>
      <c r="AY639" s="2" t="s">
        <v>7832</v>
      </c>
      <c r="AZ639" s="2" t="s">
        <v>7832</v>
      </c>
      <c r="BA639" s="2" t="s">
        <v>7833</v>
      </c>
      <c r="BB639" s="2" t="s">
        <v>21</v>
      </c>
      <c r="BD639" s="2" t="s">
        <v>7834</v>
      </c>
      <c r="BE639" s="2" t="s">
        <v>7835</v>
      </c>
      <c r="BF639" s="2" t="s">
        <v>7836</v>
      </c>
    </row>
    <row r="640" spans="1:58" ht="41.25" customHeight="1" x14ac:dyDescent="0.25">
      <c r="A640" s="8" t="s">
        <v>5</v>
      </c>
      <c r="B640" s="1" t="s">
        <v>0</v>
      </c>
      <c r="C640" s="1" t="s">
        <v>1</v>
      </c>
      <c r="D640" s="1" t="s">
        <v>7837</v>
      </c>
      <c r="E640" s="1" t="s">
        <v>7838</v>
      </c>
      <c r="F640" s="1" t="s">
        <v>7839</v>
      </c>
      <c r="H640" s="2" t="s">
        <v>5</v>
      </c>
      <c r="I640" s="2" t="s">
        <v>6</v>
      </c>
      <c r="J640" s="2" t="s">
        <v>5</v>
      </c>
      <c r="K640" s="2" t="s">
        <v>5</v>
      </c>
      <c r="L640" s="2" t="s">
        <v>7</v>
      </c>
      <c r="N640" s="1" t="s">
        <v>7840</v>
      </c>
      <c r="O640" s="2" t="s">
        <v>1102</v>
      </c>
      <c r="Q640" s="2" t="s">
        <v>11</v>
      </c>
      <c r="R640" s="2" t="s">
        <v>426</v>
      </c>
      <c r="S640" s="1" t="s">
        <v>7841</v>
      </c>
      <c r="T640" s="2" t="s">
        <v>520</v>
      </c>
      <c r="U640" s="3">
        <v>2</v>
      </c>
      <c r="V640" s="3">
        <v>2</v>
      </c>
      <c r="W640" s="4" t="s">
        <v>7842</v>
      </c>
      <c r="X640" s="4" t="s">
        <v>7842</v>
      </c>
      <c r="Y640" s="4" t="s">
        <v>329</v>
      </c>
      <c r="Z640" s="4" t="s">
        <v>329</v>
      </c>
      <c r="AA640" s="3">
        <v>48</v>
      </c>
      <c r="AB640" s="3">
        <v>36</v>
      </c>
      <c r="AC640" s="3">
        <v>36</v>
      </c>
      <c r="AD640" s="3">
        <v>2</v>
      </c>
      <c r="AE640" s="3">
        <v>2</v>
      </c>
      <c r="AF640" s="3">
        <v>0</v>
      </c>
      <c r="AG640" s="3">
        <v>0</v>
      </c>
      <c r="AH640" s="3">
        <v>0</v>
      </c>
      <c r="AI640" s="3">
        <v>0</v>
      </c>
      <c r="AJ640" s="3">
        <v>0</v>
      </c>
      <c r="AK640" s="3">
        <v>0</v>
      </c>
      <c r="AL640" s="3">
        <v>0</v>
      </c>
      <c r="AM640" s="3">
        <v>0</v>
      </c>
      <c r="AN640" s="3">
        <v>0</v>
      </c>
      <c r="AO640" s="3">
        <v>0</v>
      </c>
      <c r="AP640" s="3">
        <v>0</v>
      </c>
      <c r="AQ640" s="3">
        <v>0</v>
      </c>
      <c r="AR640" s="2" t="s">
        <v>5</v>
      </c>
      <c r="AS640" s="2" t="s">
        <v>5</v>
      </c>
      <c r="AU640" s="5" t="str">
        <f>HYPERLINK("https://creighton-primo.hosted.exlibrisgroup.com/primo-explore/search?tab=default_tab&amp;search_scope=EVERYTHING&amp;vid=01CRU&amp;lang=en_US&amp;offset=0&amp;query=any,contains,991000738879702656","Catalog Record")</f>
        <v>Catalog Record</v>
      </c>
      <c r="AV640" s="5" t="str">
        <f>HYPERLINK("http://www.worldcat.org/oclc/12909180","WorldCat Record")</f>
        <v>WorldCat Record</v>
      </c>
      <c r="AW640" s="2" t="s">
        <v>7843</v>
      </c>
      <c r="AX640" s="2" t="s">
        <v>7844</v>
      </c>
      <c r="AY640" s="2" t="s">
        <v>7845</v>
      </c>
      <c r="AZ640" s="2" t="s">
        <v>7845</v>
      </c>
      <c r="BA640" s="2" t="s">
        <v>7846</v>
      </c>
      <c r="BB640" s="2" t="s">
        <v>21</v>
      </c>
      <c r="BD640" s="2" t="s">
        <v>7847</v>
      </c>
      <c r="BE640" s="2" t="s">
        <v>7848</v>
      </c>
      <c r="BF640" s="2" t="s">
        <v>7849</v>
      </c>
    </row>
    <row r="641" spans="1:58" ht="41.25" customHeight="1" x14ac:dyDescent="0.25">
      <c r="A641" s="8" t="s">
        <v>5</v>
      </c>
      <c r="B641" s="1" t="s">
        <v>0</v>
      </c>
      <c r="C641" s="1" t="s">
        <v>1</v>
      </c>
      <c r="D641" s="1" t="s">
        <v>7850</v>
      </c>
      <c r="E641" s="1" t="s">
        <v>7851</v>
      </c>
      <c r="F641" s="1" t="s">
        <v>7852</v>
      </c>
      <c r="H641" s="2" t="s">
        <v>5</v>
      </c>
      <c r="I641" s="2" t="s">
        <v>6</v>
      </c>
      <c r="J641" s="2" t="s">
        <v>5</v>
      </c>
      <c r="K641" s="2" t="s">
        <v>5</v>
      </c>
      <c r="L641" s="2" t="s">
        <v>7</v>
      </c>
      <c r="M641" s="1" t="s">
        <v>7853</v>
      </c>
      <c r="N641" s="1" t="s">
        <v>7854</v>
      </c>
      <c r="O641" s="2" t="s">
        <v>1887</v>
      </c>
      <c r="P641" s="1" t="s">
        <v>211</v>
      </c>
      <c r="Q641" s="2" t="s">
        <v>11</v>
      </c>
      <c r="R641" s="2" t="s">
        <v>426</v>
      </c>
      <c r="S641" s="1" t="s">
        <v>7591</v>
      </c>
      <c r="T641" s="2" t="s">
        <v>520</v>
      </c>
      <c r="U641" s="3">
        <v>3</v>
      </c>
      <c r="V641" s="3">
        <v>3</v>
      </c>
      <c r="W641" s="4" t="s">
        <v>7855</v>
      </c>
      <c r="X641" s="4" t="s">
        <v>7855</v>
      </c>
      <c r="Y641" s="4" t="s">
        <v>2691</v>
      </c>
      <c r="Z641" s="4" t="s">
        <v>2691</v>
      </c>
      <c r="AA641" s="3">
        <v>63</v>
      </c>
      <c r="AB641" s="3">
        <v>38</v>
      </c>
      <c r="AC641" s="3">
        <v>117</v>
      </c>
      <c r="AD641" s="3">
        <v>1</v>
      </c>
      <c r="AE641" s="3">
        <v>1</v>
      </c>
      <c r="AF641" s="3">
        <v>0</v>
      </c>
      <c r="AG641" s="3">
        <v>4</v>
      </c>
      <c r="AH641" s="3">
        <v>0</v>
      </c>
      <c r="AI641" s="3">
        <v>3</v>
      </c>
      <c r="AJ641" s="3">
        <v>0</v>
      </c>
      <c r="AK641" s="3">
        <v>0</v>
      </c>
      <c r="AL641" s="3">
        <v>0</v>
      </c>
      <c r="AM641" s="3">
        <v>2</v>
      </c>
      <c r="AN641" s="3">
        <v>0</v>
      </c>
      <c r="AO641" s="3">
        <v>0</v>
      </c>
      <c r="AP641" s="3">
        <v>0</v>
      </c>
      <c r="AQ641" s="3">
        <v>0</v>
      </c>
      <c r="AR641" s="2" t="s">
        <v>5</v>
      </c>
      <c r="AS641" s="2" t="s">
        <v>5</v>
      </c>
      <c r="AU641" s="5" t="str">
        <f>HYPERLINK("https://creighton-primo.hosted.exlibrisgroup.com/primo-explore/search?tab=default_tab&amp;search_scope=EVERYTHING&amp;vid=01CRU&amp;lang=en_US&amp;offset=0&amp;query=any,contains,991001119889702656","Catalog Record")</f>
        <v>Catalog Record</v>
      </c>
      <c r="AV641" s="5" t="str">
        <f>HYPERLINK("http://www.worldcat.org/oclc/29024036","WorldCat Record")</f>
        <v>WorldCat Record</v>
      </c>
      <c r="AW641" s="2" t="s">
        <v>7856</v>
      </c>
      <c r="AX641" s="2" t="s">
        <v>7857</v>
      </c>
      <c r="AY641" s="2" t="s">
        <v>7858</v>
      </c>
      <c r="AZ641" s="2" t="s">
        <v>7858</v>
      </c>
      <c r="BA641" s="2" t="s">
        <v>7859</v>
      </c>
      <c r="BB641" s="2" t="s">
        <v>21</v>
      </c>
      <c r="BD641" s="2" t="s">
        <v>7860</v>
      </c>
      <c r="BE641" s="2" t="s">
        <v>7861</v>
      </c>
      <c r="BF641" s="2" t="s">
        <v>7862</v>
      </c>
    </row>
    <row r="642" spans="1:58" ht="41.25" customHeight="1" x14ac:dyDescent="0.25">
      <c r="A642" s="8" t="s">
        <v>5</v>
      </c>
      <c r="B642" s="1" t="s">
        <v>0</v>
      </c>
      <c r="C642" s="1" t="s">
        <v>1</v>
      </c>
      <c r="D642" s="1" t="s">
        <v>7863</v>
      </c>
      <c r="E642" s="1" t="s">
        <v>7864</v>
      </c>
      <c r="F642" s="1" t="s">
        <v>7865</v>
      </c>
      <c r="H642" s="2" t="s">
        <v>5</v>
      </c>
      <c r="I642" s="2" t="s">
        <v>6</v>
      </c>
      <c r="J642" s="2" t="s">
        <v>5</v>
      </c>
      <c r="K642" s="2" t="s">
        <v>5</v>
      </c>
      <c r="L642" s="2" t="s">
        <v>7</v>
      </c>
      <c r="M642" s="1" t="s">
        <v>7866</v>
      </c>
      <c r="N642" s="1" t="s">
        <v>7867</v>
      </c>
      <c r="O642" s="2" t="s">
        <v>1283</v>
      </c>
      <c r="P642" s="1" t="s">
        <v>1208</v>
      </c>
      <c r="Q642" s="2" t="s">
        <v>11</v>
      </c>
      <c r="R642" s="2" t="s">
        <v>78</v>
      </c>
      <c r="T642" s="2" t="s">
        <v>520</v>
      </c>
      <c r="U642" s="3">
        <v>6</v>
      </c>
      <c r="V642" s="3">
        <v>6</v>
      </c>
      <c r="W642" s="4" t="s">
        <v>7868</v>
      </c>
      <c r="X642" s="4" t="s">
        <v>7868</v>
      </c>
      <c r="Y642" s="4" t="s">
        <v>1183</v>
      </c>
      <c r="Z642" s="4" t="s">
        <v>1183</v>
      </c>
      <c r="AA642" s="3">
        <v>97</v>
      </c>
      <c r="AB642" s="3">
        <v>77</v>
      </c>
      <c r="AC642" s="3">
        <v>309</v>
      </c>
      <c r="AD642" s="3">
        <v>1</v>
      </c>
      <c r="AE642" s="3">
        <v>2</v>
      </c>
      <c r="AF642" s="3">
        <v>4</v>
      </c>
      <c r="AG642" s="3">
        <v>8</v>
      </c>
      <c r="AH642" s="3">
        <v>2</v>
      </c>
      <c r="AI642" s="3">
        <v>4</v>
      </c>
      <c r="AJ642" s="3">
        <v>1</v>
      </c>
      <c r="AK642" s="3">
        <v>2</v>
      </c>
      <c r="AL642" s="3">
        <v>2</v>
      </c>
      <c r="AM642" s="3">
        <v>4</v>
      </c>
      <c r="AN642" s="3">
        <v>0</v>
      </c>
      <c r="AO642" s="3">
        <v>0</v>
      </c>
      <c r="AP642" s="3">
        <v>0</v>
      </c>
      <c r="AQ642" s="3">
        <v>0</v>
      </c>
      <c r="AR642" s="2" t="s">
        <v>5</v>
      </c>
      <c r="AS642" s="2" t="s">
        <v>5</v>
      </c>
      <c r="AU642" s="5" t="str">
        <f>HYPERLINK("https://creighton-primo.hosted.exlibrisgroup.com/primo-explore/search?tab=default_tab&amp;search_scope=EVERYTHING&amp;vid=01CRU&amp;lang=en_US&amp;offset=0&amp;query=any,contains,991001231499702656","Catalog Record")</f>
        <v>Catalog Record</v>
      </c>
      <c r="AV642" s="5" t="str">
        <f>HYPERLINK("http://www.worldcat.org/oclc/35926334","WorldCat Record")</f>
        <v>WorldCat Record</v>
      </c>
      <c r="AW642" s="2" t="s">
        <v>7869</v>
      </c>
      <c r="AX642" s="2" t="s">
        <v>7870</v>
      </c>
      <c r="AY642" s="2" t="s">
        <v>7871</v>
      </c>
      <c r="AZ642" s="2" t="s">
        <v>7871</v>
      </c>
      <c r="BA642" s="2" t="s">
        <v>7872</v>
      </c>
      <c r="BB642" s="2" t="s">
        <v>21</v>
      </c>
      <c r="BD642" s="2" t="s">
        <v>7873</v>
      </c>
      <c r="BE642" s="2" t="s">
        <v>7874</v>
      </c>
      <c r="BF642" s="2" t="s">
        <v>7875</v>
      </c>
    </row>
    <row r="643" spans="1:58" ht="41.25" customHeight="1" x14ac:dyDescent="0.25">
      <c r="A643" s="8" t="s">
        <v>5</v>
      </c>
      <c r="B643" s="1" t="s">
        <v>0</v>
      </c>
      <c r="C643" s="1" t="s">
        <v>1</v>
      </c>
      <c r="D643" s="1" t="s">
        <v>7876</v>
      </c>
      <c r="E643" s="1" t="s">
        <v>7877</v>
      </c>
      <c r="F643" s="1" t="s">
        <v>7878</v>
      </c>
      <c r="H643" s="2" t="s">
        <v>5</v>
      </c>
      <c r="I643" s="2" t="s">
        <v>6</v>
      </c>
      <c r="J643" s="2" t="s">
        <v>5</v>
      </c>
      <c r="K643" s="2" t="s">
        <v>5</v>
      </c>
      <c r="L643" s="2" t="s">
        <v>7</v>
      </c>
      <c r="M643" s="1" t="s">
        <v>7879</v>
      </c>
      <c r="N643" s="1" t="s">
        <v>7880</v>
      </c>
      <c r="O643" s="2" t="s">
        <v>546</v>
      </c>
      <c r="P643" s="1" t="s">
        <v>901</v>
      </c>
      <c r="Q643" s="2" t="s">
        <v>11</v>
      </c>
      <c r="R643" s="2" t="s">
        <v>78</v>
      </c>
      <c r="T643" s="2" t="s">
        <v>520</v>
      </c>
      <c r="U643" s="3">
        <v>76</v>
      </c>
      <c r="V643" s="3">
        <v>76</v>
      </c>
      <c r="W643" s="4" t="s">
        <v>7881</v>
      </c>
      <c r="X643" s="4" t="s">
        <v>7881</v>
      </c>
      <c r="Y643" s="4" t="s">
        <v>7882</v>
      </c>
      <c r="Z643" s="4" t="s">
        <v>7882</v>
      </c>
      <c r="AA643" s="3">
        <v>245</v>
      </c>
      <c r="AB643" s="3">
        <v>200</v>
      </c>
      <c r="AC643" s="3">
        <v>293</v>
      </c>
      <c r="AD643" s="3">
        <v>2</v>
      </c>
      <c r="AE643" s="3">
        <v>2</v>
      </c>
      <c r="AF643" s="3">
        <v>3</v>
      </c>
      <c r="AG643" s="3">
        <v>6</v>
      </c>
      <c r="AH643" s="3">
        <v>1</v>
      </c>
      <c r="AI643" s="3">
        <v>3</v>
      </c>
      <c r="AJ643" s="3">
        <v>0</v>
      </c>
      <c r="AK643" s="3">
        <v>0</v>
      </c>
      <c r="AL643" s="3">
        <v>2</v>
      </c>
      <c r="AM643" s="3">
        <v>3</v>
      </c>
      <c r="AN643" s="3">
        <v>0</v>
      </c>
      <c r="AO643" s="3">
        <v>0</v>
      </c>
      <c r="AP643" s="3">
        <v>0</v>
      </c>
      <c r="AQ643" s="3">
        <v>0</v>
      </c>
      <c r="AR643" s="2" t="s">
        <v>5</v>
      </c>
      <c r="AS643" s="2" t="s">
        <v>16</v>
      </c>
      <c r="AT643" s="5" t="str">
        <f>HYPERLINK("http://catalog.hathitrust.org/Record/002952220","HathiTrust Record")</f>
        <v>HathiTrust Record</v>
      </c>
      <c r="AU643" s="5" t="str">
        <f>HYPERLINK("https://creighton-primo.hosted.exlibrisgroup.com/primo-explore/search?tab=default_tab&amp;search_scope=EVERYTHING&amp;vid=01CRU&amp;lang=en_US&amp;offset=0&amp;query=any,contains,991001160349702656","Catalog Record")</f>
        <v>Catalog Record</v>
      </c>
      <c r="AV643" s="5" t="str">
        <f>HYPERLINK("http://www.worldcat.org/oclc/28749378","WorldCat Record")</f>
        <v>WorldCat Record</v>
      </c>
      <c r="AW643" s="2" t="s">
        <v>7883</v>
      </c>
      <c r="AX643" s="2" t="s">
        <v>7884</v>
      </c>
      <c r="AY643" s="2" t="s">
        <v>7885</v>
      </c>
      <c r="AZ643" s="2" t="s">
        <v>7885</v>
      </c>
      <c r="BA643" s="2" t="s">
        <v>7886</v>
      </c>
      <c r="BB643" s="2" t="s">
        <v>21</v>
      </c>
      <c r="BD643" s="2" t="s">
        <v>7887</v>
      </c>
      <c r="BE643" s="2" t="s">
        <v>7888</v>
      </c>
      <c r="BF643" s="2" t="s">
        <v>7889</v>
      </c>
    </row>
    <row r="644" spans="1:58" ht="41.25" customHeight="1" x14ac:dyDescent="0.25">
      <c r="A644" s="8" t="s">
        <v>5</v>
      </c>
      <c r="B644" s="1" t="s">
        <v>0</v>
      </c>
      <c r="C644" s="1" t="s">
        <v>1</v>
      </c>
      <c r="D644" s="1" t="s">
        <v>7890</v>
      </c>
      <c r="E644" s="1" t="s">
        <v>7891</v>
      </c>
      <c r="F644" s="1" t="s">
        <v>7892</v>
      </c>
      <c r="H644" s="2" t="s">
        <v>5</v>
      </c>
      <c r="I644" s="2" t="s">
        <v>6</v>
      </c>
      <c r="J644" s="2" t="s">
        <v>5</v>
      </c>
      <c r="K644" s="2" t="s">
        <v>5</v>
      </c>
      <c r="L644" s="2" t="s">
        <v>7</v>
      </c>
      <c r="M644" s="1" t="s">
        <v>7879</v>
      </c>
      <c r="N644" s="1" t="s">
        <v>3819</v>
      </c>
      <c r="O644" s="2" t="s">
        <v>989</v>
      </c>
      <c r="P644" s="1" t="s">
        <v>211</v>
      </c>
      <c r="Q644" s="2" t="s">
        <v>11</v>
      </c>
      <c r="R644" s="2" t="s">
        <v>426</v>
      </c>
      <c r="T644" s="2" t="s">
        <v>520</v>
      </c>
      <c r="U644" s="3">
        <v>46</v>
      </c>
      <c r="V644" s="3">
        <v>46</v>
      </c>
      <c r="W644" s="4" t="s">
        <v>7893</v>
      </c>
      <c r="X644" s="4" t="s">
        <v>7893</v>
      </c>
      <c r="Y644" s="4" t="s">
        <v>6241</v>
      </c>
      <c r="Z644" s="4" t="s">
        <v>6241</v>
      </c>
      <c r="AA644" s="3">
        <v>241</v>
      </c>
      <c r="AB644" s="3">
        <v>190</v>
      </c>
      <c r="AC644" s="3">
        <v>307</v>
      </c>
      <c r="AD644" s="3">
        <v>2</v>
      </c>
      <c r="AE644" s="3">
        <v>3</v>
      </c>
      <c r="AF644" s="3">
        <v>1</v>
      </c>
      <c r="AG644" s="3">
        <v>4</v>
      </c>
      <c r="AH644" s="3">
        <v>0</v>
      </c>
      <c r="AI644" s="3">
        <v>0</v>
      </c>
      <c r="AJ644" s="3">
        <v>0</v>
      </c>
      <c r="AK644" s="3">
        <v>0</v>
      </c>
      <c r="AL644" s="3">
        <v>1</v>
      </c>
      <c r="AM644" s="3">
        <v>3</v>
      </c>
      <c r="AN644" s="3">
        <v>0</v>
      </c>
      <c r="AO644" s="3">
        <v>1</v>
      </c>
      <c r="AP644" s="3">
        <v>0</v>
      </c>
      <c r="AQ644" s="3">
        <v>0</v>
      </c>
      <c r="AR644" s="2" t="s">
        <v>5</v>
      </c>
      <c r="AS644" s="2" t="s">
        <v>16</v>
      </c>
      <c r="AT644" s="5" t="str">
        <f>HYPERLINK("http://catalog.hathitrust.org/Record/002165917","HathiTrust Record")</f>
        <v>HathiTrust Record</v>
      </c>
      <c r="AU644" s="5" t="str">
        <f>HYPERLINK("https://creighton-primo.hosted.exlibrisgroup.com/primo-explore/search?tab=default_tab&amp;search_scope=EVERYTHING&amp;vid=01CRU&amp;lang=en_US&amp;offset=0&amp;query=any,contains,991001453379702656","Catalog Record")</f>
        <v>Catalog Record</v>
      </c>
      <c r="AV644" s="5" t="str">
        <f>HYPERLINK("http://www.worldcat.org/oclc/20935086","WorldCat Record")</f>
        <v>WorldCat Record</v>
      </c>
      <c r="AW644" s="2" t="s">
        <v>7894</v>
      </c>
      <c r="AX644" s="2" t="s">
        <v>7895</v>
      </c>
      <c r="AY644" s="2" t="s">
        <v>7896</v>
      </c>
      <c r="AZ644" s="2" t="s">
        <v>7896</v>
      </c>
      <c r="BA644" s="2" t="s">
        <v>7897</v>
      </c>
      <c r="BB644" s="2" t="s">
        <v>21</v>
      </c>
      <c r="BD644" s="2" t="s">
        <v>7898</v>
      </c>
      <c r="BE644" s="2" t="s">
        <v>7899</v>
      </c>
      <c r="BF644" s="2" t="s">
        <v>7900</v>
      </c>
    </row>
    <row r="645" spans="1:58" ht="41.25" customHeight="1" x14ac:dyDescent="0.25">
      <c r="A645" s="8" t="s">
        <v>5</v>
      </c>
      <c r="B645" s="1" t="s">
        <v>0</v>
      </c>
      <c r="C645" s="1" t="s">
        <v>1</v>
      </c>
      <c r="D645" s="1" t="s">
        <v>7901</v>
      </c>
      <c r="E645" s="1" t="s">
        <v>7902</v>
      </c>
      <c r="F645" s="1" t="s">
        <v>7903</v>
      </c>
      <c r="H645" s="2" t="s">
        <v>5</v>
      </c>
      <c r="I645" s="2" t="s">
        <v>6</v>
      </c>
      <c r="J645" s="2" t="s">
        <v>5</v>
      </c>
      <c r="K645" s="2" t="s">
        <v>5</v>
      </c>
      <c r="L645" s="2" t="s">
        <v>7</v>
      </c>
      <c r="M645" s="1" t="s">
        <v>7904</v>
      </c>
      <c r="N645" s="1" t="s">
        <v>925</v>
      </c>
      <c r="O645" s="2" t="s">
        <v>382</v>
      </c>
      <c r="Q645" s="2" t="s">
        <v>11</v>
      </c>
      <c r="R645" s="2" t="s">
        <v>426</v>
      </c>
      <c r="T645" s="2" t="s">
        <v>520</v>
      </c>
      <c r="U645" s="3">
        <v>2</v>
      </c>
      <c r="V645" s="3">
        <v>2</v>
      </c>
      <c r="W645" s="4" t="s">
        <v>7905</v>
      </c>
      <c r="X645" s="4" t="s">
        <v>7905</v>
      </c>
      <c r="Y645" s="4" t="s">
        <v>168</v>
      </c>
      <c r="Z645" s="4" t="s">
        <v>168</v>
      </c>
      <c r="AA645" s="3">
        <v>235</v>
      </c>
      <c r="AB645" s="3">
        <v>201</v>
      </c>
      <c r="AC645" s="3">
        <v>208</v>
      </c>
      <c r="AD645" s="3">
        <v>2</v>
      </c>
      <c r="AE645" s="3">
        <v>2</v>
      </c>
      <c r="AF645" s="3">
        <v>3</v>
      </c>
      <c r="AG645" s="3">
        <v>3</v>
      </c>
      <c r="AH645" s="3">
        <v>1</v>
      </c>
      <c r="AI645" s="3">
        <v>1</v>
      </c>
      <c r="AJ645" s="3">
        <v>0</v>
      </c>
      <c r="AK645" s="3">
        <v>0</v>
      </c>
      <c r="AL645" s="3">
        <v>3</v>
      </c>
      <c r="AM645" s="3">
        <v>3</v>
      </c>
      <c r="AN645" s="3">
        <v>0</v>
      </c>
      <c r="AO645" s="3">
        <v>0</v>
      </c>
      <c r="AP645" s="3">
        <v>0</v>
      </c>
      <c r="AQ645" s="3">
        <v>0</v>
      </c>
      <c r="AR645" s="2" t="s">
        <v>5</v>
      </c>
      <c r="AS645" s="2" t="s">
        <v>16</v>
      </c>
      <c r="AT645" s="5" t="str">
        <f>HYPERLINK("http://catalog.hathitrust.org/Record/000346753","HathiTrust Record")</f>
        <v>HathiTrust Record</v>
      </c>
      <c r="AU645" s="5" t="str">
        <f>HYPERLINK("https://creighton-primo.hosted.exlibrisgroup.com/primo-explore/search?tab=default_tab&amp;search_scope=EVERYTHING&amp;vid=01CRU&amp;lang=en_US&amp;offset=0&amp;query=any,contains,991001131829702656","Catalog Record")</f>
        <v>Catalog Record</v>
      </c>
      <c r="AV645" s="5" t="str">
        <f>HYPERLINK("http://www.worldcat.org/oclc/11043051","WorldCat Record")</f>
        <v>WorldCat Record</v>
      </c>
      <c r="AW645" s="2" t="s">
        <v>7906</v>
      </c>
      <c r="AX645" s="2" t="s">
        <v>7907</v>
      </c>
      <c r="AY645" s="2" t="s">
        <v>7908</v>
      </c>
      <c r="AZ645" s="2" t="s">
        <v>7908</v>
      </c>
      <c r="BA645" s="2" t="s">
        <v>7909</v>
      </c>
      <c r="BB645" s="2" t="s">
        <v>21</v>
      </c>
      <c r="BD645" s="2" t="s">
        <v>7910</v>
      </c>
      <c r="BE645" s="2" t="s">
        <v>7911</v>
      </c>
      <c r="BF645" s="2" t="s">
        <v>7912</v>
      </c>
    </row>
    <row r="646" spans="1:58" ht="41.25" customHeight="1" x14ac:dyDescent="0.25">
      <c r="A646" s="8" t="s">
        <v>5</v>
      </c>
      <c r="B646" s="1" t="s">
        <v>0</v>
      </c>
      <c r="C646" s="1" t="s">
        <v>1</v>
      </c>
      <c r="D646" s="1" t="s">
        <v>7913</v>
      </c>
      <c r="E646" s="1" t="s">
        <v>7914</v>
      </c>
      <c r="F646" s="1" t="s">
        <v>7915</v>
      </c>
      <c r="H646" s="2" t="s">
        <v>5</v>
      </c>
      <c r="I646" s="2" t="s">
        <v>6</v>
      </c>
      <c r="J646" s="2" t="s">
        <v>5</v>
      </c>
      <c r="K646" s="2" t="s">
        <v>5</v>
      </c>
      <c r="L646" s="2" t="s">
        <v>7</v>
      </c>
      <c r="M646" s="1" t="s">
        <v>7916</v>
      </c>
      <c r="N646" s="1" t="s">
        <v>7917</v>
      </c>
      <c r="O646" s="2" t="s">
        <v>382</v>
      </c>
      <c r="Q646" s="2" t="s">
        <v>11</v>
      </c>
      <c r="R646" s="2" t="s">
        <v>426</v>
      </c>
      <c r="T646" s="2" t="s">
        <v>520</v>
      </c>
      <c r="U646" s="3">
        <v>8</v>
      </c>
      <c r="V646" s="3">
        <v>8</v>
      </c>
      <c r="W646" s="4" t="s">
        <v>6042</v>
      </c>
      <c r="X646" s="4" t="s">
        <v>6042</v>
      </c>
      <c r="Y646" s="4" t="s">
        <v>3695</v>
      </c>
      <c r="Z646" s="4" t="s">
        <v>3695</v>
      </c>
      <c r="AA646" s="3">
        <v>215</v>
      </c>
      <c r="AB646" s="3">
        <v>191</v>
      </c>
      <c r="AC646" s="3">
        <v>193</v>
      </c>
      <c r="AD646" s="3">
        <v>2</v>
      </c>
      <c r="AE646" s="3">
        <v>2</v>
      </c>
      <c r="AF646" s="3">
        <v>7</v>
      </c>
      <c r="AG646" s="3">
        <v>7</v>
      </c>
      <c r="AH646" s="3">
        <v>2</v>
      </c>
      <c r="AI646" s="3">
        <v>2</v>
      </c>
      <c r="AJ646" s="3">
        <v>2</v>
      </c>
      <c r="AK646" s="3">
        <v>2</v>
      </c>
      <c r="AL646" s="3">
        <v>4</v>
      </c>
      <c r="AM646" s="3">
        <v>4</v>
      </c>
      <c r="AN646" s="3">
        <v>0</v>
      </c>
      <c r="AO646" s="3">
        <v>0</v>
      </c>
      <c r="AP646" s="3">
        <v>0</v>
      </c>
      <c r="AQ646" s="3">
        <v>0</v>
      </c>
      <c r="AR646" s="2" t="s">
        <v>5</v>
      </c>
      <c r="AS646" s="2" t="s">
        <v>16</v>
      </c>
      <c r="AT646" s="5" t="str">
        <f>HYPERLINK("http://catalog.hathitrust.org/Record/000374837","HathiTrust Record")</f>
        <v>HathiTrust Record</v>
      </c>
      <c r="AU646" s="5" t="str">
        <f>HYPERLINK("https://creighton-primo.hosted.exlibrisgroup.com/primo-explore/search?tab=default_tab&amp;search_scope=EVERYTHING&amp;vid=01CRU&amp;lang=en_US&amp;offset=0&amp;query=any,contains,991000843309702656","Catalog Record")</f>
        <v>Catalog Record</v>
      </c>
      <c r="AV646" s="5" t="str">
        <f>HYPERLINK("http://www.worldcat.org/oclc/10605926","WorldCat Record")</f>
        <v>WorldCat Record</v>
      </c>
      <c r="AW646" s="2" t="s">
        <v>7918</v>
      </c>
      <c r="AX646" s="2" t="s">
        <v>7919</v>
      </c>
      <c r="AY646" s="2" t="s">
        <v>7920</v>
      </c>
      <c r="AZ646" s="2" t="s">
        <v>7920</v>
      </c>
      <c r="BA646" s="2" t="s">
        <v>7921</v>
      </c>
      <c r="BB646" s="2" t="s">
        <v>21</v>
      </c>
      <c r="BD646" s="2" t="s">
        <v>7922</v>
      </c>
      <c r="BE646" s="2" t="s">
        <v>7923</v>
      </c>
      <c r="BF646" s="2" t="s">
        <v>7924</v>
      </c>
    </row>
    <row r="647" spans="1:58" ht="41.25" customHeight="1" x14ac:dyDescent="0.25">
      <c r="A647" s="8" t="s">
        <v>5</v>
      </c>
      <c r="B647" s="1" t="s">
        <v>0</v>
      </c>
      <c r="C647" s="1" t="s">
        <v>1</v>
      </c>
      <c r="D647" s="1" t="s">
        <v>7925</v>
      </c>
      <c r="E647" s="1" t="s">
        <v>7926</v>
      </c>
      <c r="F647" s="1" t="s">
        <v>7927</v>
      </c>
      <c r="H647" s="2" t="s">
        <v>5</v>
      </c>
      <c r="I647" s="2" t="s">
        <v>6</v>
      </c>
      <c r="J647" s="2" t="s">
        <v>5</v>
      </c>
      <c r="K647" s="2" t="s">
        <v>5</v>
      </c>
      <c r="L647" s="2" t="s">
        <v>7</v>
      </c>
      <c r="M647" s="1" t="s">
        <v>7928</v>
      </c>
      <c r="N647" s="1" t="s">
        <v>7929</v>
      </c>
      <c r="O647" s="2" t="s">
        <v>1102</v>
      </c>
      <c r="Q647" s="2" t="s">
        <v>11</v>
      </c>
      <c r="R647" s="2" t="s">
        <v>426</v>
      </c>
      <c r="T647" s="2" t="s">
        <v>520</v>
      </c>
      <c r="U647" s="3">
        <v>5</v>
      </c>
      <c r="V647" s="3">
        <v>5</v>
      </c>
      <c r="W647" s="4" t="s">
        <v>1416</v>
      </c>
      <c r="X647" s="4" t="s">
        <v>1416</v>
      </c>
      <c r="Y647" s="4" t="s">
        <v>168</v>
      </c>
      <c r="Z647" s="4" t="s">
        <v>168</v>
      </c>
      <c r="AA647" s="3">
        <v>159</v>
      </c>
      <c r="AB647" s="3">
        <v>133</v>
      </c>
      <c r="AC647" s="3">
        <v>136</v>
      </c>
      <c r="AD647" s="3">
        <v>2</v>
      </c>
      <c r="AE647" s="3">
        <v>2</v>
      </c>
      <c r="AF647" s="3">
        <v>5</v>
      </c>
      <c r="AG647" s="3">
        <v>5</v>
      </c>
      <c r="AH647" s="3">
        <v>1</v>
      </c>
      <c r="AI647" s="3">
        <v>1</v>
      </c>
      <c r="AJ647" s="3">
        <v>2</v>
      </c>
      <c r="AK647" s="3">
        <v>2</v>
      </c>
      <c r="AL647" s="3">
        <v>3</v>
      </c>
      <c r="AM647" s="3">
        <v>3</v>
      </c>
      <c r="AN647" s="3">
        <v>0</v>
      </c>
      <c r="AO647" s="3">
        <v>0</v>
      </c>
      <c r="AP647" s="3">
        <v>0</v>
      </c>
      <c r="AQ647" s="3">
        <v>0</v>
      </c>
      <c r="AR647" s="2" t="s">
        <v>5</v>
      </c>
      <c r="AS647" s="2" t="s">
        <v>16</v>
      </c>
      <c r="AT647" s="5" t="str">
        <f>HYPERLINK("http://catalog.hathitrust.org/Record/000537352","HathiTrust Record")</f>
        <v>HathiTrust Record</v>
      </c>
      <c r="AU647" s="5" t="str">
        <f>HYPERLINK("https://creighton-primo.hosted.exlibrisgroup.com/primo-explore/search?tab=default_tab&amp;search_scope=EVERYTHING&amp;vid=01CRU&amp;lang=en_US&amp;offset=0&amp;query=any,contains,991001131859702656","Catalog Record")</f>
        <v>Catalog Record</v>
      </c>
      <c r="AV647" s="5" t="str">
        <f>HYPERLINK("http://www.worldcat.org/oclc/13093910","WorldCat Record")</f>
        <v>WorldCat Record</v>
      </c>
      <c r="AW647" s="2" t="s">
        <v>7930</v>
      </c>
      <c r="AX647" s="2" t="s">
        <v>7931</v>
      </c>
      <c r="AY647" s="2" t="s">
        <v>7932</v>
      </c>
      <c r="AZ647" s="2" t="s">
        <v>7932</v>
      </c>
      <c r="BA647" s="2" t="s">
        <v>7933</v>
      </c>
      <c r="BB647" s="2" t="s">
        <v>21</v>
      </c>
      <c r="BD647" s="2" t="s">
        <v>7934</v>
      </c>
      <c r="BE647" s="2" t="s">
        <v>7935</v>
      </c>
      <c r="BF647" s="2" t="s">
        <v>7936</v>
      </c>
    </row>
    <row r="648" spans="1:58" ht="41.25" customHeight="1" x14ac:dyDescent="0.25">
      <c r="A648" s="8" t="s">
        <v>5</v>
      </c>
      <c r="B648" s="1" t="s">
        <v>0</v>
      </c>
      <c r="C648" s="1" t="s">
        <v>1</v>
      </c>
      <c r="D648" s="1" t="s">
        <v>7937</v>
      </c>
      <c r="E648" s="1" t="s">
        <v>7938</v>
      </c>
      <c r="F648" s="1" t="s">
        <v>7939</v>
      </c>
      <c r="H648" s="2" t="s">
        <v>5</v>
      </c>
      <c r="I648" s="2" t="s">
        <v>6</v>
      </c>
      <c r="J648" s="2" t="s">
        <v>5</v>
      </c>
      <c r="K648" s="2" t="s">
        <v>5</v>
      </c>
      <c r="L648" s="2" t="s">
        <v>7</v>
      </c>
      <c r="N648" s="1" t="s">
        <v>7940</v>
      </c>
      <c r="O648" s="2" t="s">
        <v>1060</v>
      </c>
      <c r="P648" s="1" t="s">
        <v>1284</v>
      </c>
      <c r="Q648" s="2" t="s">
        <v>11</v>
      </c>
      <c r="R648" s="2" t="s">
        <v>78</v>
      </c>
      <c r="T648" s="2" t="s">
        <v>520</v>
      </c>
      <c r="U648" s="3">
        <v>3</v>
      </c>
      <c r="V648" s="3">
        <v>3</v>
      </c>
      <c r="W648" s="4" t="s">
        <v>7941</v>
      </c>
      <c r="X648" s="4" t="s">
        <v>7941</v>
      </c>
      <c r="Y648" s="4" t="s">
        <v>7942</v>
      </c>
      <c r="Z648" s="4" t="s">
        <v>7942</v>
      </c>
      <c r="AA648" s="3">
        <v>325</v>
      </c>
      <c r="AB648" s="3">
        <v>264</v>
      </c>
      <c r="AC648" s="3">
        <v>547</v>
      </c>
      <c r="AD648" s="3">
        <v>1</v>
      </c>
      <c r="AE648" s="3">
        <v>4</v>
      </c>
      <c r="AF648" s="3">
        <v>4</v>
      </c>
      <c r="AG648" s="3">
        <v>15</v>
      </c>
      <c r="AH648" s="3">
        <v>3</v>
      </c>
      <c r="AI648" s="3">
        <v>7</v>
      </c>
      <c r="AJ648" s="3">
        <v>0</v>
      </c>
      <c r="AK648" s="3">
        <v>1</v>
      </c>
      <c r="AL648" s="3">
        <v>1</v>
      </c>
      <c r="AM648" s="3">
        <v>5</v>
      </c>
      <c r="AN648" s="3">
        <v>0</v>
      </c>
      <c r="AO648" s="3">
        <v>2</v>
      </c>
      <c r="AP648" s="3">
        <v>0</v>
      </c>
      <c r="AQ648" s="3">
        <v>0</v>
      </c>
      <c r="AR648" s="2" t="s">
        <v>5</v>
      </c>
      <c r="AS648" s="2" t="s">
        <v>16</v>
      </c>
      <c r="AT648" s="5" t="str">
        <f>HYPERLINK("http://catalog.hathitrust.org/Record/004994956","HathiTrust Record")</f>
        <v>HathiTrust Record</v>
      </c>
      <c r="AU648" s="5" t="str">
        <f>HYPERLINK("https://creighton-primo.hosted.exlibrisgroup.com/primo-explore/search?tab=default_tab&amp;search_scope=EVERYTHING&amp;vid=01CRU&amp;lang=en_US&amp;offset=0&amp;query=any,contains,991000458189702656","Catalog Record")</f>
        <v>Catalog Record</v>
      </c>
      <c r="AV648" s="5" t="str">
        <f>HYPERLINK("http://www.worldcat.org/oclc/60128452","WorldCat Record")</f>
        <v>WorldCat Record</v>
      </c>
      <c r="AW648" s="2" t="s">
        <v>7943</v>
      </c>
      <c r="AX648" s="2" t="s">
        <v>7944</v>
      </c>
      <c r="AY648" s="2" t="s">
        <v>7945</v>
      </c>
      <c r="AZ648" s="2" t="s">
        <v>7945</v>
      </c>
      <c r="BA648" s="2" t="s">
        <v>7946</v>
      </c>
      <c r="BB648" s="2" t="s">
        <v>21</v>
      </c>
      <c r="BD648" s="2" t="s">
        <v>7947</v>
      </c>
      <c r="BE648" s="2" t="s">
        <v>7948</v>
      </c>
      <c r="BF648" s="2" t="s">
        <v>7949</v>
      </c>
    </row>
    <row r="649" spans="1:58" ht="41.25" customHeight="1" x14ac:dyDescent="0.25">
      <c r="A649" s="8" t="s">
        <v>5</v>
      </c>
      <c r="B649" s="1" t="s">
        <v>0</v>
      </c>
      <c r="C649" s="1" t="s">
        <v>1</v>
      </c>
      <c r="D649" s="1" t="s">
        <v>7950</v>
      </c>
      <c r="E649" s="1" t="s">
        <v>7951</v>
      </c>
      <c r="F649" s="1" t="s">
        <v>7952</v>
      </c>
      <c r="H649" s="2" t="s">
        <v>5</v>
      </c>
      <c r="I649" s="2" t="s">
        <v>6</v>
      </c>
      <c r="J649" s="2" t="s">
        <v>5</v>
      </c>
      <c r="K649" s="2" t="s">
        <v>5</v>
      </c>
      <c r="L649" s="2" t="s">
        <v>7</v>
      </c>
      <c r="N649" s="1" t="s">
        <v>7953</v>
      </c>
      <c r="O649" s="2" t="s">
        <v>1060</v>
      </c>
      <c r="Q649" s="2" t="s">
        <v>11</v>
      </c>
      <c r="R649" s="2" t="s">
        <v>78</v>
      </c>
      <c r="T649" s="2" t="s">
        <v>520</v>
      </c>
      <c r="U649" s="3">
        <v>0</v>
      </c>
      <c r="V649" s="3">
        <v>0</v>
      </c>
      <c r="W649" s="4" t="s">
        <v>7954</v>
      </c>
      <c r="X649" s="4" t="s">
        <v>7954</v>
      </c>
      <c r="Y649" s="4" t="s">
        <v>7955</v>
      </c>
      <c r="Z649" s="4" t="s">
        <v>7955</v>
      </c>
      <c r="AA649" s="3">
        <v>145</v>
      </c>
      <c r="AB649" s="3">
        <v>104</v>
      </c>
      <c r="AC649" s="3">
        <v>146</v>
      </c>
      <c r="AD649" s="3">
        <v>2</v>
      </c>
      <c r="AE649" s="3">
        <v>2</v>
      </c>
      <c r="AF649" s="3">
        <v>6</v>
      </c>
      <c r="AG649" s="3">
        <v>7</v>
      </c>
      <c r="AH649" s="3">
        <v>4</v>
      </c>
      <c r="AI649" s="3">
        <v>4</v>
      </c>
      <c r="AJ649" s="3">
        <v>1</v>
      </c>
      <c r="AK649" s="3">
        <v>1</v>
      </c>
      <c r="AL649" s="3">
        <v>1</v>
      </c>
      <c r="AM649" s="3">
        <v>2</v>
      </c>
      <c r="AN649" s="3">
        <v>1</v>
      </c>
      <c r="AO649" s="3">
        <v>1</v>
      </c>
      <c r="AP649" s="3">
        <v>0</v>
      </c>
      <c r="AQ649" s="3">
        <v>0</v>
      </c>
      <c r="AR649" s="2" t="s">
        <v>5</v>
      </c>
      <c r="AS649" s="2" t="s">
        <v>5</v>
      </c>
      <c r="AU649" s="5" t="str">
        <f>HYPERLINK("https://creighton-primo.hosted.exlibrisgroup.com/primo-explore/search?tab=default_tab&amp;search_scope=EVERYTHING&amp;vid=01CRU&amp;lang=en_US&amp;offset=0&amp;query=any,contains,991000394489702656","Catalog Record")</f>
        <v>Catalog Record</v>
      </c>
      <c r="AV649" s="5" t="str">
        <f>HYPERLINK("http://www.worldcat.org/oclc/53476782","WorldCat Record")</f>
        <v>WorldCat Record</v>
      </c>
      <c r="AW649" s="2" t="s">
        <v>7956</v>
      </c>
      <c r="AX649" s="2" t="s">
        <v>7957</v>
      </c>
      <c r="AY649" s="2" t="s">
        <v>7958</v>
      </c>
      <c r="AZ649" s="2" t="s">
        <v>7958</v>
      </c>
      <c r="BA649" s="2" t="s">
        <v>7959</v>
      </c>
      <c r="BB649" s="2" t="s">
        <v>21</v>
      </c>
      <c r="BD649" s="2" t="s">
        <v>7960</v>
      </c>
      <c r="BE649" s="2" t="s">
        <v>7961</v>
      </c>
      <c r="BF649" s="2" t="s">
        <v>7962</v>
      </c>
    </row>
    <row r="650" spans="1:58" ht="41.25" customHeight="1" x14ac:dyDescent="0.25">
      <c r="A650" s="8" t="s">
        <v>5</v>
      </c>
      <c r="B650" s="1" t="s">
        <v>0</v>
      </c>
      <c r="C650" s="1" t="s">
        <v>1</v>
      </c>
      <c r="D650" s="1" t="s">
        <v>7963</v>
      </c>
      <c r="E650" s="1" t="s">
        <v>7964</v>
      </c>
      <c r="F650" s="1" t="s">
        <v>7965</v>
      </c>
      <c r="H650" s="2" t="s">
        <v>5</v>
      </c>
      <c r="I650" s="2" t="s">
        <v>6</v>
      </c>
      <c r="J650" s="2" t="s">
        <v>5</v>
      </c>
      <c r="K650" s="2" t="s">
        <v>5</v>
      </c>
      <c r="L650" s="2" t="s">
        <v>7</v>
      </c>
      <c r="M650" s="1" t="s">
        <v>7966</v>
      </c>
      <c r="N650" s="1" t="s">
        <v>7967</v>
      </c>
      <c r="O650" s="2" t="s">
        <v>107</v>
      </c>
      <c r="P650" s="1" t="s">
        <v>901</v>
      </c>
      <c r="Q650" s="2" t="s">
        <v>11</v>
      </c>
      <c r="R650" s="2" t="s">
        <v>31</v>
      </c>
      <c r="T650" s="2" t="s">
        <v>520</v>
      </c>
      <c r="U650" s="3">
        <v>3</v>
      </c>
      <c r="V650" s="3">
        <v>3</v>
      </c>
      <c r="W650" s="4" t="s">
        <v>5116</v>
      </c>
      <c r="X650" s="4" t="s">
        <v>5116</v>
      </c>
      <c r="Y650" s="4" t="s">
        <v>7968</v>
      </c>
      <c r="Z650" s="4" t="s">
        <v>7968</v>
      </c>
      <c r="AA650" s="3">
        <v>465</v>
      </c>
      <c r="AB650" s="3">
        <v>384</v>
      </c>
      <c r="AC650" s="3">
        <v>739</v>
      </c>
      <c r="AD650" s="3">
        <v>2</v>
      </c>
      <c r="AE650" s="3">
        <v>3</v>
      </c>
      <c r="AF650" s="3">
        <v>9</v>
      </c>
      <c r="AG650" s="3">
        <v>19</v>
      </c>
      <c r="AH650" s="3">
        <v>5</v>
      </c>
      <c r="AI650" s="3">
        <v>7</v>
      </c>
      <c r="AJ650" s="3">
        <v>1</v>
      </c>
      <c r="AK650" s="3">
        <v>4</v>
      </c>
      <c r="AL650" s="3">
        <v>2</v>
      </c>
      <c r="AM650" s="3">
        <v>9</v>
      </c>
      <c r="AN650" s="3">
        <v>2</v>
      </c>
      <c r="AO650" s="3">
        <v>2</v>
      </c>
      <c r="AP650" s="3">
        <v>0</v>
      </c>
      <c r="AQ650" s="3">
        <v>0</v>
      </c>
      <c r="AR650" s="2" t="s">
        <v>5</v>
      </c>
      <c r="AS650" s="2" t="s">
        <v>5</v>
      </c>
      <c r="AU650" s="5" t="str">
        <f>HYPERLINK("https://creighton-primo.hosted.exlibrisgroup.com/primo-explore/search?tab=default_tab&amp;search_scope=EVERYTHING&amp;vid=01CRU&amp;lang=en_US&amp;offset=0&amp;query=any,contains,991001737219702656","Catalog Record")</f>
        <v>Catalog Record</v>
      </c>
      <c r="AV650" s="5" t="str">
        <f>HYPERLINK("http://www.worldcat.org/oclc/62332155","WorldCat Record")</f>
        <v>WorldCat Record</v>
      </c>
      <c r="AW650" s="2" t="s">
        <v>7969</v>
      </c>
      <c r="AX650" s="2" t="s">
        <v>7970</v>
      </c>
      <c r="AY650" s="2" t="s">
        <v>7971</v>
      </c>
      <c r="AZ650" s="2" t="s">
        <v>7971</v>
      </c>
      <c r="BA650" s="2" t="s">
        <v>7972</v>
      </c>
      <c r="BB650" s="2" t="s">
        <v>21</v>
      </c>
      <c r="BD650" s="2" t="s">
        <v>7973</v>
      </c>
      <c r="BE650" s="2" t="s">
        <v>7974</v>
      </c>
      <c r="BF650" s="2" t="s">
        <v>7975</v>
      </c>
    </row>
    <row r="651" spans="1:58" ht="41.25" customHeight="1" x14ac:dyDescent="0.25">
      <c r="A651" s="8" t="s">
        <v>5</v>
      </c>
      <c r="B651" s="1" t="s">
        <v>0</v>
      </c>
      <c r="C651" s="1" t="s">
        <v>1</v>
      </c>
      <c r="D651" s="1" t="s">
        <v>7976</v>
      </c>
      <c r="E651" s="1" t="s">
        <v>7977</v>
      </c>
      <c r="F651" s="1" t="s">
        <v>7525</v>
      </c>
      <c r="H651" s="2" t="s">
        <v>5</v>
      </c>
      <c r="I651" s="2" t="s">
        <v>6</v>
      </c>
      <c r="J651" s="2" t="s">
        <v>5</v>
      </c>
      <c r="K651" s="2" t="s">
        <v>16</v>
      </c>
      <c r="L651" s="2" t="s">
        <v>7</v>
      </c>
      <c r="M651" s="1" t="s">
        <v>425</v>
      </c>
      <c r="N651" s="1" t="s">
        <v>7978</v>
      </c>
      <c r="O651" s="2" t="s">
        <v>1004</v>
      </c>
      <c r="P651" s="1" t="s">
        <v>771</v>
      </c>
      <c r="Q651" s="2" t="s">
        <v>11</v>
      </c>
      <c r="R651" s="2" t="s">
        <v>78</v>
      </c>
      <c r="T651" s="2" t="s">
        <v>520</v>
      </c>
      <c r="U651" s="3">
        <v>12</v>
      </c>
      <c r="V651" s="3">
        <v>12</v>
      </c>
      <c r="W651" s="4" t="s">
        <v>7979</v>
      </c>
      <c r="X651" s="4" t="s">
        <v>7979</v>
      </c>
      <c r="Y651" s="4" t="s">
        <v>7980</v>
      </c>
      <c r="Z651" s="4" t="s">
        <v>7980</v>
      </c>
      <c r="AA651" s="3">
        <v>242</v>
      </c>
      <c r="AB651" s="3">
        <v>195</v>
      </c>
      <c r="AC651" s="3">
        <v>1176</v>
      </c>
      <c r="AD651" s="3">
        <v>1</v>
      </c>
      <c r="AE651" s="3">
        <v>6</v>
      </c>
      <c r="AF651" s="3">
        <v>3</v>
      </c>
      <c r="AG651" s="3">
        <v>27</v>
      </c>
      <c r="AH651" s="3">
        <v>0</v>
      </c>
      <c r="AI651" s="3">
        <v>11</v>
      </c>
      <c r="AJ651" s="3">
        <v>0</v>
      </c>
      <c r="AK651" s="3">
        <v>5</v>
      </c>
      <c r="AL651" s="3">
        <v>3</v>
      </c>
      <c r="AM651" s="3">
        <v>12</v>
      </c>
      <c r="AN651" s="3">
        <v>0</v>
      </c>
      <c r="AO651" s="3">
        <v>4</v>
      </c>
      <c r="AP651" s="3">
        <v>0</v>
      </c>
      <c r="AQ651" s="3">
        <v>0</v>
      </c>
      <c r="AR651" s="2" t="s">
        <v>5</v>
      </c>
      <c r="AS651" s="2" t="s">
        <v>16</v>
      </c>
      <c r="AT651" s="5" t="str">
        <f>HYPERLINK("http://catalog.hathitrust.org/Record/004034507","HathiTrust Record")</f>
        <v>HathiTrust Record</v>
      </c>
      <c r="AU651" s="5" t="str">
        <f>HYPERLINK("https://creighton-primo.hosted.exlibrisgroup.com/primo-explore/search?tab=default_tab&amp;search_scope=EVERYTHING&amp;vid=01CRU&amp;lang=en_US&amp;offset=0&amp;query=any,contains,991000863539702656","Catalog Record")</f>
        <v>Catalog Record</v>
      </c>
      <c r="AV651" s="5" t="str">
        <f>HYPERLINK("http://www.worldcat.org/oclc/40698413","WorldCat Record")</f>
        <v>WorldCat Record</v>
      </c>
      <c r="AW651" s="2" t="s">
        <v>7529</v>
      </c>
      <c r="AX651" s="2" t="s">
        <v>7981</v>
      </c>
      <c r="AY651" s="2" t="s">
        <v>7982</v>
      </c>
      <c r="AZ651" s="2" t="s">
        <v>7982</v>
      </c>
      <c r="BA651" s="2" t="s">
        <v>7983</v>
      </c>
      <c r="BB651" s="2" t="s">
        <v>21</v>
      </c>
      <c r="BD651" s="2" t="s">
        <v>7984</v>
      </c>
      <c r="BE651" s="2" t="s">
        <v>7985</v>
      </c>
      <c r="BF651" s="2" t="s">
        <v>7986</v>
      </c>
    </row>
    <row r="652" spans="1:58" ht="41.25" customHeight="1" x14ac:dyDescent="0.25">
      <c r="A652" s="8" t="s">
        <v>5</v>
      </c>
      <c r="B652" s="1" t="s">
        <v>0</v>
      </c>
      <c r="C652" s="1" t="s">
        <v>1</v>
      </c>
      <c r="D652" s="1" t="s">
        <v>7987</v>
      </c>
      <c r="E652" s="1" t="s">
        <v>7988</v>
      </c>
      <c r="F652" s="1" t="s">
        <v>7989</v>
      </c>
      <c r="H652" s="2" t="s">
        <v>5</v>
      </c>
      <c r="I652" s="2" t="s">
        <v>6</v>
      </c>
      <c r="J652" s="2" t="s">
        <v>5</v>
      </c>
      <c r="K652" s="2" t="s">
        <v>5</v>
      </c>
      <c r="L652" s="2" t="s">
        <v>7</v>
      </c>
      <c r="N652" s="1" t="s">
        <v>7990</v>
      </c>
      <c r="O652" s="2" t="s">
        <v>1283</v>
      </c>
      <c r="P652" s="1" t="s">
        <v>211</v>
      </c>
      <c r="Q652" s="2" t="s">
        <v>11</v>
      </c>
      <c r="R652" s="2" t="s">
        <v>1140</v>
      </c>
      <c r="T652" s="2" t="s">
        <v>520</v>
      </c>
      <c r="U652" s="3">
        <v>3</v>
      </c>
      <c r="V652" s="3">
        <v>3</v>
      </c>
      <c r="W652" s="4" t="s">
        <v>7991</v>
      </c>
      <c r="X652" s="4" t="s">
        <v>7991</v>
      </c>
      <c r="Y652" s="4" t="s">
        <v>6092</v>
      </c>
      <c r="Z652" s="4" t="s">
        <v>6092</v>
      </c>
      <c r="AA652" s="3">
        <v>239</v>
      </c>
      <c r="AB652" s="3">
        <v>208</v>
      </c>
      <c r="AC652" s="3">
        <v>209</v>
      </c>
      <c r="AD652" s="3">
        <v>1</v>
      </c>
      <c r="AE652" s="3">
        <v>1</v>
      </c>
      <c r="AF652" s="3">
        <v>9</v>
      </c>
      <c r="AG652" s="3">
        <v>9</v>
      </c>
      <c r="AH652" s="3">
        <v>4</v>
      </c>
      <c r="AI652" s="3">
        <v>4</v>
      </c>
      <c r="AJ652" s="3">
        <v>3</v>
      </c>
      <c r="AK652" s="3">
        <v>3</v>
      </c>
      <c r="AL652" s="3">
        <v>5</v>
      </c>
      <c r="AM652" s="3">
        <v>5</v>
      </c>
      <c r="AN652" s="3">
        <v>0</v>
      </c>
      <c r="AO652" s="3">
        <v>0</v>
      </c>
      <c r="AP652" s="3">
        <v>0</v>
      </c>
      <c r="AQ652" s="3">
        <v>0</v>
      </c>
      <c r="AR652" s="2" t="s">
        <v>5</v>
      </c>
      <c r="AS652" s="2" t="s">
        <v>16</v>
      </c>
      <c r="AT652" s="5" t="str">
        <f>HYPERLINK("http://catalog.hathitrust.org/Record/101983480","HathiTrust Record")</f>
        <v>HathiTrust Record</v>
      </c>
      <c r="AU652" s="5" t="str">
        <f>HYPERLINK("https://creighton-primo.hosted.exlibrisgroup.com/primo-explore/search?tab=default_tab&amp;search_scope=EVERYTHING&amp;vid=01CRU&amp;lang=en_US&amp;offset=0&amp;query=any,contains,991001570379702656","Catalog Record")</f>
        <v>Catalog Record</v>
      </c>
      <c r="AV652" s="5" t="str">
        <f>HYPERLINK("http://www.worldcat.org/oclc/35667191","WorldCat Record")</f>
        <v>WorldCat Record</v>
      </c>
      <c r="AW652" s="2" t="s">
        <v>7992</v>
      </c>
      <c r="AX652" s="2" t="s">
        <v>7993</v>
      </c>
      <c r="AY652" s="2" t="s">
        <v>7994</v>
      </c>
      <c r="AZ652" s="2" t="s">
        <v>7994</v>
      </c>
      <c r="BA652" s="2" t="s">
        <v>7995</v>
      </c>
      <c r="BB652" s="2" t="s">
        <v>21</v>
      </c>
      <c r="BD652" s="2" t="s">
        <v>7996</v>
      </c>
      <c r="BE652" s="2" t="s">
        <v>7997</v>
      </c>
      <c r="BF652" s="2" t="s">
        <v>7998</v>
      </c>
    </row>
    <row r="653" spans="1:58" ht="41.25" customHeight="1" x14ac:dyDescent="0.25">
      <c r="A653" s="8" t="s">
        <v>5</v>
      </c>
      <c r="B653" s="1" t="s">
        <v>0</v>
      </c>
      <c r="C653" s="1" t="s">
        <v>1</v>
      </c>
      <c r="D653" s="1" t="s">
        <v>7999</v>
      </c>
      <c r="E653" s="1" t="s">
        <v>8000</v>
      </c>
      <c r="F653" s="1" t="s">
        <v>8001</v>
      </c>
      <c r="H653" s="2" t="s">
        <v>5</v>
      </c>
      <c r="I653" s="2" t="s">
        <v>6</v>
      </c>
      <c r="J653" s="2" t="s">
        <v>5</v>
      </c>
      <c r="K653" s="2" t="s">
        <v>5</v>
      </c>
      <c r="L653" s="2" t="s">
        <v>7</v>
      </c>
      <c r="N653" s="1" t="s">
        <v>8002</v>
      </c>
      <c r="O653" s="2" t="s">
        <v>1391</v>
      </c>
      <c r="P653" s="1" t="s">
        <v>211</v>
      </c>
      <c r="Q653" s="2" t="s">
        <v>11</v>
      </c>
      <c r="R653" s="2" t="s">
        <v>31</v>
      </c>
      <c r="T653" s="2" t="s">
        <v>520</v>
      </c>
      <c r="U653" s="3">
        <v>1</v>
      </c>
      <c r="V653" s="3">
        <v>1</v>
      </c>
      <c r="W653" s="4" t="s">
        <v>8003</v>
      </c>
      <c r="X653" s="4" t="s">
        <v>8003</v>
      </c>
      <c r="Y653" s="4" t="s">
        <v>8004</v>
      </c>
      <c r="Z653" s="4" t="s">
        <v>8004</v>
      </c>
      <c r="AA653" s="3">
        <v>244</v>
      </c>
      <c r="AB653" s="3">
        <v>166</v>
      </c>
      <c r="AC653" s="3">
        <v>209</v>
      </c>
      <c r="AD653" s="3">
        <v>2</v>
      </c>
      <c r="AE653" s="3">
        <v>2</v>
      </c>
      <c r="AF653" s="3">
        <v>6</v>
      </c>
      <c r="AG653" s="3">
        <v>6</v>
      </c>
      <c r="AH653" s="3">
        <v>4</v>
      </c>
      <c r="AI653" s="3">
        <v>4</v>
      </c>
      <c r="AJ653" s="3">
        <v>0</v>
      </c>
      <c r="AK653" s="3">
        <v>0</v>
      </c>
      <c r="AL653" s="3">
        <v>1</v>
      </c>
      <c r="AM653" s="3">
        <v>1</v>
      </c>
      <c r="AN653" s="3">
        <v>1</v>
      </c>
      <c r="AO653" s="3">
        <v>1</v>
      </c>
      <c r="AP653" s="3">
        <v>0</v>
      </c>
      <c r="AQ653" s="3">
        <v>0</v>
      </c>
      <c r="AR653" s="2" t="s">
        <v>5</v>
      </c>
      <c r="AS653" s="2" t="s">
        <v>16</v>
      </c>
      <c r="AT653" s="5" t="str">
        <f>HYPERLINK("http://catalog.hathitrust.org/Record/004370109","HathiTrust Record")</f>
        <v>HathiTrust Record</v>
      </c>
      <c r="AU653" s="5" t="str">
        <f>HYPERLINK("https://creighton-primo.hosted.exlibrisgroup.com/primo-explore/search?tab=default_tab&amp;search_scope=EVERYTHING&amp;vid=01CRU&amp;lang=en_US&amp;offset=0&amp;query=any,contains,991000392019702656","Catalog Record")</f>
        <v>Catalog Record</v>
      </c>
      <c r="AV653" s="5" t="str">
        <f>HYPERLINK("http://www.worldcat.org/oclc/56655324","WorldCat Record")</f>
        <v>WorldCat Record</v>
      </c>
      <c r="AW653" s="2" t="s">
        <v>8005</v>
      </c>
      <c r="AX653" s="2" t="s">
        <v>8006</v>
      </c>
      <c r="AY653" s="2" t="s">
        <v>8007</v>
      </c>
      <c r="AZ653" s="2" t="s">
        <v>8007</v>
      </c>
      <c r="BA653" s="2" t="s">
        <v>8008</v>
      </c>
      <c r="BB653" s="2" t="s">
        <v>21</v>
      </c>
      <c r="BD653" s="2" t="s">
        <v>8009</v>
      </c>
      <c r="BE653" s="2" t="s">
        <v>8010</v>
      </c>
      <c r="BF653" s="2" t="s">
        <v>8011</v>
      </c>
    </row>
    <row r="654" spans="1:58" ht="41.25" customHeight="1" x14ac:dyDescent="0.25">
      <c r="A654" s="8" t="s">
        <v>5</v>
      </c>
      <c r="B654" s="1" t="s">
        <v>0</v>
      </c>
      <c r="C654" s="1" t="s">
        <v>1</v>
      </c>
      <c r="D654" s="1" t="s">
        <v>8012</v>
      </c>
      <c r="E654" s="1" t="s">
        <v>8013</v>
      </c>
      <c r="F654" s="1" t="s">
        <v>8014</v>
      </c>
      <c r="H654" s="2" t="s">
        <v>5</v>
      </c>
      <c r="I654" s="2" t="s">
        <v>6</v>
      </c>
      <c r="J654" s="2" t="s">
        <v>5</v>
      </c>
      <c r="K654" s="2" t="s">
        <v>5</v>
      </c>
      <c r="L654" s="2" t="s">
        <v>7</v>
      </c>
      <c r="N654" s="1" t="s">
        <v>8015</v>
      </c>
      <c r="O654" s="2" t="s">
        <v>4990</v>
      </c>
      <c r="Q654" s="2" t="s">
        <v>11</v>
      </c>
      <c r="R654" s="2" t="s">
        <v>78</v>
      </c>
      <c r="T654" s="2" t="s">
        <v>520</v>
      </c>
      <c r="U654" s="3">
        <v>3</v>
      </c>
      <c r="V654" s="3">
        <v>3</v>
      </c>
      <c r="W654" s="4" t="s">
        <v>8016</v>
      </c>
      <c r="X654" s="4" t="s">
        <v>8016</v>
      </c>
      <c r="Y654" s="4" t="s">
        <v>8017</v>
      </c>
      <c r="Z654" s="4" t="s">
        <v>8017</v>
      </c>
      <c r="AA654" s="3">
        <v>178</v>
      </c>
      <c r="AB654" s="3">
        <v>128</v>
      </c>
      <c r="AC654" s="3">
        <v>128</v>
      </c>
      <c r="AD654" s="3">
        <v>1</v>
      </c>
      <c r="AE654" s="3">
        <v>1</v>
      </c>
      <c r="AF654" s="3">
        <v>2</v>
      </c>
      <c r="AG654" s="3">
        <v>2</v>
      </c>
      <c r="AH654" s="3">
        <v>1</v>
      </c>
      <c r="AI654" s="3">
        <v>1</v>
      </c>
      <c r="AJ654" s="3">
        <v>0</v>
      </c>
      <c r="AK654" s="3">
        <v>0</v>
      </c>
      <c r="AL654" s="3">
        <v>2</v>
      </c>
      <c r="AM654" s="3">
        <v>2</v>
      </c>
      <c r="AN654" s="3">
        <v>0</v>
      </c>
      <c r="AO654" s="3">
        <v>0</v>
      </c>
      <c r="AP654" s="3">
        <v>0</v>
      </c>
      <c r="AQ654" s="3">
        <v>0</v>
      </c>
      <c r="AR654" s="2" t="s">
        <v>5</v>
      </c>
      <c r="AS654" s="2" t="s">
        <v>5</v>
      </c>
      <c r="AU654" s="5" t="str">
        <f>HYPERLINK("https://creighton-primo.hosted.exlibrisgroup.com/primo-explore/search?tab=default_tab&amp;search_scope=EVERYTHING&amp;vid=01CRU&amp;lang=en_US&amp;offset=0&amp;query=any,contains,991000308729702656","Catalog Record")</f>
        <v>Catalog Record</v>
      </c>
      <c r="AV654" s="5" t="str">
        <f>HYPERLINK("http://www.worldcat.org/oclc/47081403","WorldCat Record")</f>
        <v>WorldCat Record</v>
      </c>
      <c r="AW654" s="2" t="s">
        <v>8018</v>
      </c>
      <c r="AX654" s="2" t="s">
        <v>8019</v>
      </c>
      <c r="AY654" s="2" t="s">
        <v>8020</v>
      </c>
      <c r="AZ654" s="2" t="s">
        <v>8020</v>
      </c>
      <c r="BA654" s="2" t="s">
        <v>8021</v>
      </c>
      <c r="BB654" s="2" t="s">
        <v>21</v>
      </c>
      <c r="BD654" s="2" t="s">
        <v>8022</v>
      </c>
      <c r="BE654" s="2" t="s">
        <v>8023</v>
      </c>
      <c r="BF654" s="2" t="s">
        <v>8024</v>
      </c>
    </row>
    <row r="655" spans="1:58" ht="41.25" customHeight="1" x14ac:dyDescent="0.25">
      <c r="A655" s="8" t="s">
        <v>5</v>
      </c>
      <c r="B655" s="1" t="s">
        <v>0</v>
      </c>
      <c r="C655" s="1" t="s">
        <v>1</v>
      </c>
      <c r="D655" s="1" t="s">
        <v>8025</v>
      </c>
      <c r="E655" s="1" t="s">
        <v>8026</v>
      </c>
      <c r="F655" s="1" t="s">
        <v>8027</v>
      </c>
      <c r="H655" s="2" t="s">
        <v>5</v>
      </c>
      <c r="I655" s="2" t="s">
        <v>6</v>
      </c>
      <c r="J655" s="2" t="s">
        <v>5</v>
      </c>
      <c r="K655" s="2" t="s">
        <v>5</v>
      </c>
      <c r="L655" s="2" t="s">
        <v>7</v>
      </c>
      <c r="M655" s="1" t="s">
        <v>7563</v>
      </c>
      <c r="N655" s="1" t="s">
        <v>8028</v>
      </c>
      <c r="O655" s="2" t="s">
        <v>1378</v>
      </c>
      <c r="P655" s="1" t="s">
        <v>8029</v>
      </c>
      <c r="Q655" s="2" t="s">
        <v>11</v>
      </c>
      <c r="R655" s="2" t="s">
        <v>78</v>
      </c>
      <c r="T655" s="2" t="s">
        <v>520</v>
      </c>
      <c r="U655" s="3">
        <v>2</v>
      </c>
      <c r="V655" s="3">
        <v>2</v>
      </c>
      <c r="W655" s="4" t="s">
        <v>109</v>
      </c>
      <c r="X655" s="4" t="s">
        <v>109</v>
      </c>
      <c r="Y655" s="4" t="s">
        <v>8030</v>
      </c>
      <c r="Z655" s="4" t="s">
        <v>8030</v>
      </c>
      <c r="AA655" s="3">
        <v>175</v>
      </c>
      <c r="AB655" s="3">
        <v>130</v>
      </c>
      <c r="AC655" s="3">
        <v>135</v>
      </c>
      <c r="AD655" s="3">
        <v>1</v>
      </c>
      <c r="AE655" s="3">
        <v>1</v>
      </c>
      <c r="AF655" s="3">
        <v>5</v>
      </c>
      <c r="AG655" s="3">
        <v>5</v>
      </c>
      <c r="AH655" s="3">
        <v>1</v>
      </c>
      <c r="AI655" s="3">
        <v>1</v>
      </c>
      <c r="AJ655" s="3">
        <v>1</v>
      </c>
      <c r="AK655" s="3">
        <v>1</v>
      </c>
      <c r="AL655" s="3">
        <v>4</v>
      </c>
      <c r="AM655" s="3">
        <v>4</v>
      </c>
      <c r="AN655" s="3">
        <v>0</v>
      </c>
      <c r="AO655" s="3">
        <v>0</v>
      </c>
      <c r="AP655" s="3">
        <v>0</v>
      </c>
      <c r="AQ655" s="3">
        <v>0</v>
      </c>
      <c r="AR655" s="2" t="s">
        <v>5</v>
      </c>
      <c r="AS655" s="2" t="s">
        <v>16</v>
      </c>
      <c r="AT655" s="5" t="str">
        <f>HYPERLINK("http://catalog.hathitrust.org/Record/004542239","HathiTrust Record")</f>
        <v>HathiTrust Record</v>
      </c>
      <c r="AU655" s="5" t="str">
        <f>HYPERLINK("https://creighton-primo.hosted.exlibrisgroup.com/primo-explore/search?tab=default_tab&amp;search_scope=EVERYTHING&amp;vid=01CRU&amp;lang=en_US&amp;offset=0&amp;query=any,contains,991000692259702656","Catalog Record")</f>
        <v>Catalog Record</v>
      </c>
      <c r="AV655" s="5" t="str">
        <f>HYPERLINK("http://www.worldcat.org/oclc/37281836","WorldCat Record")</f>
        <v>WorldCat Record</v>
      </c>
      <c r="AW655" s="2" t="s">
        <v>8031</v>
      </c>
      <c r="AX655" s="2" t="s">
        <v>8032</v>
      </c>
      <c r="AY655" s="2" t="s">
        <v>8033</v>
      </c>
      <c r="AZ655" s="2" t="s">
        <v>8033</v>
      </c>
      <c r="BA655" s="2" t="s">
        <v>8034</v>
      </c>
      <c r="BB655" s="2" t="s">
        <v>21</v>
      </c>
      <c r="BD655" s="2" t="s">
        <v>8035</v>
      </c>
      <c r="BE655" s="2" t="s">
        <v>8036</v>
      </c>
      <c r="BF655" s="2" t="s">
        <v>8037</v>
      </c>
    </row>
    <row r="656" spans="1:58" ht="41.25" customHeight="1" x14ac:dyDescent="0.25">
      <c r="A656" s="8" t="s">
        <v>5</v>
      </c>
      <c r="B656" s="1" t="s">
        <v>0</v>
      </c>
      <c r="C656" s="1" t="s">
        <v>1</v>
      </c>
      <c r="D656" s="1" t="s">
        <v>8038</v>
      </c>
      <c r="E656" s="1" t="s">
        <v>8039</v>
      </c>
      <c r="F656" s="1" t="s">
        <v>8040</v>
      </c>
      <c r="H656" s="2" t="s">
        <v>5</v>
      </c>
      <c r="I656" s="2" t="s">
        <v>6</v>
      </c>
      <c r="J656" s="2" t="s">
        <v>5</v>
      </c>
      <c r="K656" s="2" t="s">
        <v>16</v>
      </c>
      <c r="L656" s="2" t="s">
        <v>7</v>
      </c>
      <c r="N656" s="1" t="s">
        <v>8041</v>
      </c>
      <c r="O656" s="2" t="s">
        <v>1391</v>
      </c>
      <c r="P656" s="1" t="s">
        <v>901</v>
      </c>
      <c r="Q656" s="2" t="s">
        <v>11</v>
      </c>
      <c r="R656" s="2" t="s">
        <v>31</v>
      </c>
      <c r="T656" s="2" t="s">
        <v>520</v>
      </c>
      <c r="U656" s="3">
        <v>0</v>
      </c>
      <c r="V656" s="3">
        <v>0</v>
      </c>
      <c r="W656" s="4" t="s">
        <v>8042</v>
      </c>
      <c r="X656" s="4" t="s">
        <v>8042</v>
      </c>
      <c r="Y656" s="4" t="s">
        <v>7416</v>
      </c>
      <c r="Z656" s="4" t="s">
        <v>7416</v>
      </c>
      <c r="AA656" s="3">
        <v>301</v>
      </c>
      <c r="AB656" s="3">
        <v>230</v>
      </c>
      <c r="AC656" s="3">
        <v>577</v>
      </c>
      <c r="AD656" s="3">
        <v>1</v>
      </c>
      <c r="AE656" s="3">
        <v>2</v>
      </c>
      <c r="AF656" s="3">
        <v>7</v>
      </c>
      <c r="AG656" s="3">
        <v>15</v>
      </c>
      <c r="AH656" s="3">
        <v>5</v>
      </c>
      <c r="AI656" s="3">
        <v>7</v>
      </c>
      <c r="AJ656" s="3">
        <v>0</v>
      </c>
      <c r="AK656" s="3">
        <v>3</v>
      </c>
      <c r="AL656" s="3">
        <v>3</v>
      </c>
      <c r="AM656" s="3">
        <v>6</v>
      </c>
      <c r="AN656" s="3">
        <v>0</v>
      </c>
      <c r="AO656" s="3">
        <v>1</v>
      </c>
      <c r="AP656" s="3">
        <v>0</v>
      </c>
      <c r="AQ656" s="3">
        <v>0</v>
      </c>
      <c r="AR656" s="2" t="s">
        <v>5</v>
      </c>
      <c r="AS656" s="2" t="s">
        <v>16</v>
      </c>
      <c r="AT656" s="5" t="str">
        <f>HYPERLINK("http://catalog.hathitrust.org/Record/004377946","HathiTrust Record")</f>
        <v>HathiTrust Record</v>
      </c>
      <c r="AU656" s="5" t="str">
        <f>HYPERLINK("https://creighton-primo.hosted.exlibrisgroup.com/primo-explore/search?tab=default_tab&amp;search_scope=EVERYTHING&amp;vid=01CRU&amp;lang=en_US&amp;offset=0&amp;query=any,contains,991000382289702656","Catalog Record")</f>
        <v>Catalog Record</v>
      </c>
      <c r="AV656" s="5" t="str">
        <f>HYPERLINK("http://www.worldcat.org/oclc/54953447","WorldCat Record")</f>
        <v>WorldCat Record</v>
      </c>
      <c r="AW656" s="2" t="s">
        <v>8043</v>
      </c>
      <c r="AX656" s="2" t="s">
        <v>8044</v>
      </c>
      <c r="AY656" s="2" t="s">
        <v>8045</v>
      </c>
      <c r="AZ656" s="2" t="s">
        <v>8045</v>
      </c>
      <c r="BA656" s="2" t="s">
        <v>8046</v>
      </c>
      <c r="BB656" s="2" t="s">
        <v>21</v>
      </c>
      <c r="BD656" s="2" t="s">
        <v>8047</v>
      </c>
      <c r="BE656" s="2" t="s">
        <v>8048</v>
      </c>
      <c r="BF656" s="2" t="s">
        <v>8049</v>
      </c>
    </row>
    <row r="657" spans="1:58" ht="41.25" customHeight="1" x14ac:dyDescent="0.25">
      <c r="A657" s="8" t="s">
        <v>5</v>
      </c>
      <c r="B657" s="1" t="s">
        <v>0</v>
      </c>
      <c r="C657" s="1" t="s">
        <v>1</v>
      </c>
      <c r="D657" s="1" t="s">
        <v>8050</v>
      </c>
      <c r="E657" s="1" t="s">
        <v>8051</v>
      </c>
      <c r="F657" s="1" t="s">
        <v>8052</v>
      </c>
      <c r="H657" s="2" t="s">
        <v>5</v>
      </c>
      <c r="I657" s="2" t="s">
        <v>6</v>
      </c>
      <c r="J657" s="2" t="s">
        <v>5</v>
      </c>
      <c r="K657" s="2" t="s">
        <v>5</v>
      </c>
      <c r="L657" s="2" t="s">
        <v>6</v>
      </c>
      <c r="M657" s="1" t="s">
        <v>8053</v>
      </c>
      <c r="N657" s="1" t="s">
        <v>8054</v>
      </c>
      <c r="O657" s="2" t="s">
        <v>8055</v>
      </c>
      <c r="P657" s="1" t="s">
        <v>901</v>
      </c>
      <c r="Q657" s="2" t="s">
        <v>11</v>
      </c>
      <c r="R657" s="2" t="s">
        <v>78</v>
      </c>
      <c r="T657" s="2" t="s">
        <v>520</v>
      </c>
      <c r="U657" s="3">
        <v>0</v>
      </c>
      <c r="V657" s="3">
        <v>0</v>
      </c>
      <c r="W657" s="4" t="s">
        <v>8056</v>
      </c>
      <c r="X657" s="4" t="s">
        <v>8056</v>
      </c>
      <c r="Y657" s="4" t="s">
        <v>8056</v>
      </c>
      <c r="Z657" s="4" t="s">
        <v>8056</v>
      </c>
      <c r="AA657" s="3">
        <v>389</v>
      </c>
      <c r="AB657" s="3">
        <v>296</v>
      </c>
      <c r="AC657" s="3">
        <v>951</v>
      </c>
      <c r="AD657" s="3">
        <v>3</v>
      </c>
      <c r="AE657" s="3">
        <v>14</v>
      </c>
      <c r="AF657" s="3">
        <v>11</v>
      </c>
      <c r="AG657" s="3">
        <v>29</v>
      </c>
      <c r="AH657" s="3">
        <v>5</v>
      </c>
      <c r="AI657" s="3">
        <v>11</v>
      </c>
      <c r="AJ657" s="3">
        <v>2</v>
      </c>
      <c r="AK657" s="3">
        <v>5</v>
      </c>
      <c r="AL657" s="3">
        <v>4</v>
      </c>
      <c r="AM657" s="3">
        <v>9</v>
      </c>
      <c r="AN657" s="3">
        <v>2</v>
      </c>
      <c r="AO657" s="3">
        <v>9</v>
      </c>
      <c r="AP657" s="3">
        <v>0</v>
      </c>
      <c r="AQ657" s="3">
        <v>0</v>
      </c>
      <c r="AR657" s="2" t="s">
        <v>5</v>
      </c>
      <c r="AS657" s="2" t="s">
        <v>16</v>
      </c>
      <c r="AT657" s="5" t="str">
        <f>HYPERLINK("http://catalog.hathitrust.org/Record/009801497","HathiTrust Record")</f>
        <v>HathiTrust Record</v>
      </c>
      <c r="AU657" s="5" t="str">
        <f>HYPERLINK("https://creighton-primo.hosted.exlibrisgroup.com/primo-explore/search?tab=default_tab&amp;search_scope=EVERYTHING&amp;vid=01CRU&amp;lang=en_US&amp;offset=0&amp;query=any,contains,991001320219702656","Catalog Record")</f>
        <v>Catalog Record</v>
      </c>
      <c r="AV657" s="5" t="str">
        <f>HYPERLINK("http://www.worldcat.org/oclc/173659675","WorldCat Record")</f>
        <v>WorldCat Record</v>
      </c>
      <c r="AW657" s="2" t="s">
        <v>8057</v>
      </c>
      <c r="AX657" s="2" t="s">
        <v>8058</v>
      </c>
      <c r="AY657" s="2" t="s">
        <v>8059</v>
      </c>
      <c r="AZ657" s="2" t="s">
        <v>8059</v>
      </c>
      <c r="BA657" s="2" t="s">
        <v>8060</v>
      </c>
      <c r="BB657" s="2" t="s">
        <v>21</v>
      </c>
      <c r="BD657" s="2" t="s">
        <v>8061</v>
      </c>
      <c r="BE657" s="2" t="s">
        <v>8062</v>
      </c>
      <c r="BF657" s="2" t="s">
        <v>8063</v>
      </c>
    </row>
    <row r="658" spans="1:58" ht="41.25" customHeight="1" x14ac:dyDescent="0.25">
      <c r="A658" s="8" t="s">
        <v>5</v>
      </c>
      <c r="B658" s="1" t="s">
        <v>0</v>
      </c>
      <c r="C658" s="1" t="s">
        <v>1</v>
      </c>
      <c r="D658" s="1" t="s">
        <v>8064</v>
      </c>
      <c r="E658" s="1" t="s">
        <v>8065</v>
      </c>
      <c r="F658" s="1" t="s">
        <v>8066</v>
      </c>
      <c r="H658" s="2" t="s">
        <v>5</v>
      </c>
      <c r="I658" s="2" t="s">
        <v>6</v>
      </c>
      <c r="J658" s="2" t="s">
        <v>5</v>
      </c>
      <c r="K658" s="2" t="s">
        <v>5</v>
      </c>
      <c r="L658" s="2" t="s">
        <v>7</v>
      </c>
      <c r="N658" s="1" t="s">
        <v>6893</v>
      </c>
      <c r="O658" s="2" t="s">
        <v>1046</v>
      </c>
      <c r="P658" s="1" t="s">
        <v>211</v>
      </c>
      <c r="Q658" s="2" t="s">
        <v>11</v>
      </c>
      <c r="R658" s="2" t="s">
        <v>78</v>
      </c>
      <c r="T658" s="2" t="s">
        <v>520</v>
      </c>
      <c r="U658" s="3">
        <v>2</v>
      </c>
      <c r="V658" s="3">
        <v>2</v>
      </c>
      <c r="W658" s="4" t="s">
        <v>8067</v>
      </c>
      <c r="X658" s="4" t="s">
        <v>8067</v>
      </c>
      <c r="Y658" s="4" t="s">
        <v>8067</v>
      </c>
      <c r="Z658" s="4" t="s">
        <v>8067</v>
      </c>
      <c r="AA658" s="3">
        <v>323</v>
      </c>
      <c r="AB658" s="3">
        <v>240</v>
      </c>
      <c r="AC658" s="3">
        <v>292</v>
      </c>
      <c r="AD658" s="3">
        <v>2</v>
      </c>
      <c r="AE658" s="3">
        <v>2</v>
      </c>
      <c r="AF658" s="3">
        <v>9</v>
      </c>
      <c r="AG658" s="3">
        <v>9</v>
      </c>
      <c r="AH658" s="3">
        <v>3</v>
      </c>
      <c r="AI658" s="3">
        <v>3</v>
      </c>
      <c r="AJ658" s="3">
        <v>1</v>
      </c>
      <c r="AK658" s="3">
        <v>1</v>
      </c>
      <c r="AL658" s="3">
        <v>6</v>
      </c>
      <c r="AM658" s="3">
        <v>6</v>
      </c>
      <c r="AN658" s="3">
        <v>1</v>
      </c>
      <c r="AO658" s="3">
        <v>1</v>
      </c>
      <c r="AP658" s="3">
        <v>0</v>
      </c>
      <c r="AQ658" s="3">
        <v>0</v>
      </c>
      <c r="AR658" s="2" t="s">
        <v>5</v>
      </c>
      <c r="AS658" s="2" t="s">
        <v>5</v>
      </c>
      <c r="AU658" s="5" t="str">
        <f>HYPERLINK("https://creighton-primo.hosted.exlibrisgroup.com/primo-explore/search?tab=default_tab&amp;search_scope=EVERYTHING&amp;vid=01CRU&amp;lang=en_US&amp;offset=0&amp;query=any,contains,991000346969702656","Catalog Record")</f>
        <v>Catalog Record</v>
      </c>
      <c r="AV658" s="5" t="str">
        <f>HYPERLINK("http://www.worldcat.org/oclc/50124465","WorldCat Record")</f>
        <v>WorldCat Record</v>
      </c>
      <c r="AW658" s="2" t="s">
        <v>8068</v>
      </c>
      <c r="AX658" s="2" t="s">
        <v>8069</v>
      </c>
      <c r="AY658" s="2" t="s">
        <v>8070</v>
      </c>
      <c r="AZ658" s="2" t="s">
        <v>8070</v>
      </c>
      <c r="BA658" s="2" t="s">
        <v>8071</v>
      </c>
      <c r="BB658" s="2" t="s">
        <v>21</v>
      </c>
      <c r="BD658" s="2" t="s">
        <v>8072</v>
      </c>
      <c r="BE658" s="2" t="s">
        <v>8073</v>
      </c>
      <c r="BF658" s="2" t="s">
        <v>8074</v>
      </c>
    </row>
    <row r="659" spans="1:58" ht="41.25" customHeight="1" x14ac:dyDescent="0.25">
      <c r="A659" s="8" t="s">
        <v>5</v>
      </c>
      <c r="B659" s="1" t="s">
        <v>0</v>
      </c>
      <c r="C659" s="1" t="s">
        <v>1</v>
      </c>
      <c r="D659" s="1" t="s">
        <v>8075</v>
      </c>
      <c r="E659" s="1" t="s">
        <v>8076</v>
      </c>
      <c r="F659" s="1" t="s">
        <v>8077</v>
      </c>
      <c r="H659" s="2" t="s">
        <v>5</v>
      </c>
      <c r="I659" s="2" t="s">
        <v>6</v>
      </c>
      <c r="J659" s="2" t="s">
        <v>5</v>
      </c>
      <c r="K659" s="2" t="s">
        <v>5</v>
      </c>
      <c r="L659" s="2" t="s">
        <v>7</v>
      </c>
      <c r="M659" s="1" t="s">
        <v>8078</v>
      </c>
      <c r="N659" s="1" t="s">
        <v>8079</v>
      </c>
      <c r="O659" s="2" t="s">
        <v>1004</v>
      </c>
      <c r="Q659" s="2" t="s">
        <v>11</v>
      </c>
      <c r="R659" s="2" t="s">
        <v>31</v>
      </c>
      <c r="T659" s="2" t="s">
        <v>520</v>
      </c>
      <c r="U659" s="3">
        <v>1</v>
      </c>
      <c r="V659" s="3">
        <v>1</v>
      </c>
      <c r="W659" s="4" t="s">
        <v>8080</v>
      </c>
      <c r="X659" s="4" t="s">
        <v>8080</v>
      </c>
      <c r="Y659" s="4" t="s">
        <v>5117</v>
      </c>
      <c r="Z659" s="4" t="s">
        <v>5117</v>
      </c>
      <c r="AA659" s="3">
        <v>261</v>
      </c>
      <c r="AB659" s="3">
        <v>185</v>
      </c>
      <c r="AC659" s="3">
        <v>187</v>
      </c>
      <c r="AD659" s="3">
        <v>1</v>
      </c>
      <c r="AE659" s="3">
        <v>1</v>
      </c>
      <c r="AF659" s="3">
        <v>9</v>
      </c>
      <c r="AG659" s="3">
        <v>9</v>
      </c>
      <c r="AH659" s="3">
        <v>3</v>
      </c>
      <c r="AI659" s="3">
        <v>3</v>
      </c>
      <c r="AJ659" s="3">
        <v>1</v>
      </c>
      <c r="AK659" s="3">
        <v>1</v>
      </c>
      <c r="AL659" s="3">
        <v>6</v>
      </c>
      <c r="AM659" s="3">
        <v>6</v>
      </c>
      <c r="AN659" s="3">
        <v>0</v>
      </c>
      <c r="AO659" s="3">
        <v>0</v>
      </c>
      <c r="AP659" s="3">
        <v>0</v>
      </c>
      <c r="AQ659" s="3">
        <v>0</v>
      </c>
      <c r="AR659" s="2" t="s">
        <v>5</v>
      </c>
      <c r="AS659" s="2" t="s">
        <v>16</v>
      </c>
      <c r="AT659" s="5" t="str">
        <f>HYPERLINK("http://catalog.hathitrust.org/Record/004013611","HathiTrust Record")</f>
        <v>HathiTrust Record</v>
      </c>
      <c r="AU659" s="5" t="str">
        <f>HYPERLINK("https://creighton-primo.hosted.exlibrisgroup.com/primo-explore/search?tab=default_tab&amp;search_scope=EVERYTHING&amp;vid=01CRU&amp;lang=en_US&amp;offset=0&amp;query=any,contains,991000319299702656","Catalog Record")</f>
        <v>Catalog Record</v>
      </c>
      <c r="AV659" s="5" t="str">
        <f>HYPERLINK("http://www.worldcat.org/oclc/40120330","WorldCat Record")</f>
        <v>WorldCat Record</v>
      </c>
      <c r="AW659" s="2" t="s">
        <v>8081</v>
      </c>
      <c r="AX659" s="2" t="s">
        <v>8082</v>
      </c>
      <c r="AY659" s="2" t="s">
        <v>8083</v>
      </c>
      <c r="AZ659" s="2" t="s">
        <v>8083</v>
      </c>
      <c r="BA659" s="2" t="s">
        <v>8084</v>
      </c>
      <c r="BB659" s="2" t="s">
        <v>21</v>
      </c>
      <c r="BD659" s="2" t="s">
        <v>8085</v>
      </c>
      <c r="BE659" s="2" t="s">
        <v>8086</v>
      </c>
      <c r="BF659" s="2" t="s">
        <v>8087</v>
      </c>
    </row>
    <row r="660" spans="1:58" ht="41.25" customHeight="1" x14ac:dyDescent="0.25">
      <c r="A660" s="8" t="s">
        <v>5</v>
      </c>
      <c r="B660" s="1" t="s">
        <v>0</v>
      </c>
      <c r="C660" s="1" t="s">
        <v>1</v>
      </c>
      <c r="D660" s="1" t="s">
        <v>8088</v>
      </c>
      <c r="E660" s="1" t="s">
        <v>8089</v>
      </c>
      <c r="F660" s="1" t="s">
        <v>8090</v>
      </c>
      <c r="H660" s="2" t="s">
        <v>5</v>
      </c>
      <c r="I660" s="2" t="s">
        <v>6</v>
      </c>
      <c r="J660" s="2" t="s">
        <v>5</v>
      </c>
      <c r="K660" s="2" t="s">
        <v>5</v>
      </c>
      <c r="L660" s="2" t="s">
        <v>7</v>
      </c>
      <c r="M660" s="1" t="s">
        <v>8091</v>
      </c>
      <c r="N660" s="1" t="s">
        <v>7953</v>
      </c>
      <c r="O660" s="2" t="s">
        <v>1060</v>
      </c>
      <c r="P660" s="1" t="s">
        <v>1284</v>
      </c>
      <c r="Q660" s="2" t="s">
        <v>11</v>
      </c>
      <c r="R660" s="2" t="s">
        <v>78</v>
      </c>
      <c r="S660" s="1" t="s">
        <v>8092</v>
      </c>
      <c r="T660" s="2" t="s">
        <v>520</v>
      </c>
      <c r="U660" s="3">
        <v>0</v>
      </c>
      <c r="V660" s="3">
        <v>0</v>
      </c>
      <c r="W660" s="4" t="s">
        <v>8093</v>
      </c>
      <c r="X660" s="4" t="s">
        <v>8093</v>
      </c>
      <c r="Y660" s="4" t="s">
        <v>8094</v>
      </c>
      <c r="Z660" s="4" t="s">
        <v>8094</v>
      </c>
      <c r="AA660" s="3">
        <v>317</v>
      </c>
      <c r="AB660" s="3">
        <v>252</v>
      </c>
      <c r="AC660" s="3">
        <v>554</v>
      </c>
      <c r="AD660" s="3">
        <v>1</v>
      </c>
      <c r="AE660" s="3">
        <v>3</v>
      </c>
      <c r="AF660" s="3">
        <v>8</v>
      </c>
      <c r="AG660" s="3">
        <v>12</v>
      </c>
      <c r="AH660" s="3">
        <v>3</v>
      </c>
      <c r="AI660" s="3">
        <v>5</v>
      </c>
      <c r="AJ660" s="3">
        <v>2</v>
      </c>
      <c r="AK660" s="3">
        <v>3</v>
      </c>
      <c r="AL660" s="3">
        <v>4</v>
      </c>
      <c r="AM660" s="3">
        <v>7</v>
      </c>
      <c r="AN660" s="3">
        <v>0</v>
      </c>
      <c r="AO660" s="3">
        <v>0</v>
      </c>
      <c r="AP660" s="3">
        <v>0</v>
      </c>
      <c r="AQ660" s="3">
        <v>0</v>
      </c>
      <c r="AR660" s="2" t="s">
        <v>5</v>
      </c>
      <c r="AS660" s="2" t="s">
        <v>5</v>
      </c>
      <c r="AU660" s="5" t="str">
        <f>HYPERLINK("https://creighton-primo.hosted.exlibrisgroup.com/primo-explore/search?tab=default_tab&amp;search_scope=EVERYTHING&amp;vid=01CRU&amp;lang=en_US&amp;offset=0&amp;query=any,contains,991001745219702656","Catalog Record")</f>
        <v>Catalog Record</v>
      </c>
      <c r="AV660" s="5" t="str">
        <f>HYPERLINK("http://www.worldcat.org/oclc/55624352","WorldCat Record")</f>
        <v>WorldCat Record</v>
      </c>
      <c r="AW660" s="2" t="s">
        <v>8095</v>
      </c>
      <c r="AX660" s="2" t="s">
        <v>8096</v>
      </c>
      <c r="AY660" s="2" t="s">
        <v>8097</v>
      </c>
      <c r="AZ660" s="2" t="s">
        <v>8097</v>
      </c>
      <c r="BA660" s="2" t="s">
        <v>8098</v>
      </c>
      <c r="BB660" s="2" t="s">
        <v>21</v>
      </c>
      <c r="BD660" s="2" t="s">
        <v>8099</v>
      </c>
      <c r="BE660" s="2" t="s">
        <v>8100</v>
      </c>
      <c r="BF660" s="2" t="s">
        <v>8101</v>
      </c>
    </row>
    <row r="661" spans="1:58" ht="41.25" customHeight="1" x14ac:dyDescent="0.25">
      <c r="A661" s="8" t="s">
        <v>5</v>
      </c>
      <c r="B661" s="1" t="s">
        <v>0</v>
      </c>
      <c r="C661" s="1" t="s">
        <v>1</v>
      </c>
      <c r="D661" s="1" t="s">
        <v>8102</v>
      </c>
      <c r="E661" s="1" t="s">
        <v>8103</v>
      </c>
      <c r="F661" s="1" t="s">
        <v>8104</v>
      </c>
      <c r="H661" s="2" t="s">
        <v>5</v>
      </c>
      <c r="I661" s="2" t="s">
        <v>6</v>
      </c>
      <c r="J661" s="2" t="s">
        <v>5</v>
      </c>
      <c r="K661" s="2" t="s">
        <v>5</v>
      </c>
      <c r="L661" s="2" t="s">
        <v>7</v>
      </c>
      <c r="M661" s="1" t="s">
        <v>8105</v>
      </c>
      <c r="N661" s="1" t="s">
        <v>8106</v>
      </c>
      <c r="O661" s="2" t="s">
        <v>794</v>
      </c>
      <c r="P661" s="1" t="s">
        <v>211</v>
      </c>
      <c r="Q661" s="2" t="s">
        <v>11</v>
      </c>
      <c r="R661" s="2" t="s">
        <v>78</v>
      </c>
      <c r="T661" s="2" t="s">
        <v>520</v>
      </c>
      <c r="U661" s="3">
        <v>4</v>
      </c>
      <c r="V661" s="3">
        <v>4</v>
      </c>
      <c r="W661" s="4" t="s">
        <v>8107</v>
      </c>
      <c r="X661" s="4" t="s">
        <v>8107</v>
      </c>
      <c r="Y661" s="4" t="s">
        <v>8108</v>
      </c>
      <c r="Z661" s="4" t="s">
        <v>8108</v>
      </c>
      <c r="AA661" s="3">
        <v>222</v>
      </c>
      <c r="AB661" s="3">
        <v>182</v>
      </c>
      <c r="AC661" s="3">
        <v>496</v>
      </c>
      <c r="AD661" s="3">
        <v>1</v>
      </c>
      <c r="AE661" s="3">
        <v>2</v>
      </c>
      <c r="AF661" s="3">
        <v>6</v>
      </c>
      <c r="AG661" s="3">
        <v>14</v>
      </c>
      <c r="AH661" s="3">
        <v>4</v>
      </c>
      <c r="AI661" s="3">
        <v>7</v>
      </c>
      <c r="AJ661" s="3">
        <v>0</v>
      </c>
      <c r="AK661" s="3">
        <v>3</v>
      </c>
      <c r="AL661" s="3">
        <v>5</v>
      </c>
      <c r="AM661" s="3">
        <v>11</v>
      </c>
      <c r="AN661" s="3">
        <v>0</v>
      </c>
      <c r="AO661" s="3">
        <v>1</v>
      </c>
      <c r="AP661" s="3">
        <v>0</v>
      </c>
      <c r="AQ661" s="3">
        <v>0</v>
      </c>
      <c r="AR661" s="2" t="s">
        <v>5</v>
      </c>
      <c r="AS661" s="2" t="s">
        <v>16</v>
      </c>
      <c r="AT661" s="5" t="str">
        <f>HYPERLINK("http://catalog.hathitrust.org/Record/003094468","HathiTrust Record")</f>
        <v>HathiTrust Record</v>
      </c>
      <c r="AU661" s="5" t="str">
        <f>HYPERLINK("https://creighton-primo.hosted.exlibrisgroup.com/primo-explore/search?tab=default_tab&amp;search_scope=EVERYTHING&amp;vid=01CRU&amp;lang=en_US&amp;offset=0&amp;query=any,contains,991001556639702656","Catalog Record")</f>
        <v>Catalog Record</v>
      </c>
      <c r="AV661" s="5" t="str">
        <f>HYPERLINK("http://www.worldcat.org/oclc/34193938","WorldCat Record")</f>
        <v>WorldCat Record</v>
      </c>
      <c r="AW661" s="2" t="s">
        <v>8109</v>
      </c>
      <c r="AX661" s="2" t="s">
        <v>8110</v>
      </c>
      <c r="AY661" s="2" t="s">
        <v>8111</v>
      </c>
      <c r="AZ661" s="2" t="s">
        <v>8111</v>
      </c>
      <c r="BA661" s="2" t="s">
        <v>8112</v>
      </c>
      <c r="BB661" s="2" t="s">
        <v>21</v>
      </c>
      <c r="BD661" s="2" t="s">
        <v>8113</v>
      </c>
      <c r="BE661" s="2" t="s">
        <v>8114</v>
      </c>
      <c r="BF661" s="2" t="s">
        <v>8115</v>
      </c>
    </row>
    <row r="662" spans="1:58" ht="41.25" customHeight="1" x14ac:dyDescent="0.25">
      <c r="A662" s="8" t="s">
        <v>5</v>
      </c>
      <c r="B662" s="1" t="s">
        <v>0</v>
      </c>
      <c r="C662" s="1" t="s">
        <v>1</v>
      </c>
      <c r="D662" s="1" t="s">
        <v>8116</v>
      </c>
      <c r="E662" s="1" t="s">
        <v>8117</v>
      </c>
      <c r="F662" s="1" t="s">
        <v>8118</v>
      </c>
      <c r="H662" s="2" t="s">
        <v>5</v>
      </c>
      <c r="I662" s="2" t="s">
        <v>6</v>
      </c>
      <c r="J662" s="2" t="s">
        <v>5</v>
      </c>
      <c r="K662" s="2" t="s">
        <v>5</v>
      </c>
      <c r="L662" s="2" t="s">
        <v>7</v>
      </c>
      <c r="M662" s="1" t="s">
        <v>8119</v>
      </c>
      <c r="N662" s="1" t="s">
        <v>8120</v>
      </c>
      <c r="O662" s="2" t="s">
        <v>1391</v>
      </c>
      <c r="P662" s="1" t="s">
        <v>901</v>
      </c>
      <c r="Q662" s="2" t="s">
        <v>11</v>
      </c>
      <c r="R662" s="2" t="s">
        <v>78</v>
      </c>
      <c r="T662" s="2" t="s">
        <v>520</v>
      </c>
      <c r="U662" s="3">
        <v>7</v>
      </c>
      <c r="V662" s="3">
        <v>7</v>
      </c>
      <c r="W662" s="4" t="s">
        <v>8121</v>
      </c>
      <c r="X662" s="4" t="s">
        <v>8121</v>
      </c>
      <c r="Y662" s="4" t="s">
        <v>8122</v>
      </c>
      <c r="Z662" s="4" t="s">
        <v>8122</v>
      </c>
      <c r="AA662" s="3">
        <v>112</v>
      </c>
      <c r="AB662" s="3">
        <v>91</v>
      </c>
      <c r="AC662" s="3">
        <v>457</v>
      </c>
      <c r="AD662" s="3">
        <v>2</v>
      </c>
      <c r="AE662" s="3">
        <v>4</v>
      </c>
      <c r="AF662" s="3">
        <v>3</v>
      </c>
      <c r="AG662" s="3">
        <v>12</v>
      </c>
      <c r="AH662" s="3">
        <v>1</v>
      </c>
      <c r="AI662" s="3">
        <v>5</v>
      </c>
      <c r="AJ662" s="3">
        <v>0</v>
      </c>
      <c r="AK662" s="3">
        <v>3</v>
      </c>
      <c r="AL662" s="3">
        <v>1</v>
      </c>
      <c r="AM662" s="3">
        <v>5</v>
      </c>
      <c r="AN662" s="3">
        <v>1</v>
      </c>
      <c r="AO662" s="3">
        <v>3</v>
      </c>
      <c r="AP662" s="3">
        <v>0</v>
      </c>
      <c r="AQ662" s="3">
        <v>0</v>
      </c>
      <c r="AR662" s="2" t="s">
        <v>5</v>
      </c>
      <c r="AS662" s="2" t="s">
        <v>5</v>
      </c>
      <c r="AU662" s="5" t="str">
        <f>HYPERLINK("https://creighton-primo.hosted.exlibrisgroup.com/primo-explore/search?tab=default_tab&amp;search_scope=EVERYTHING&amp;vid=01CRU&amp;lang=en_US&amp;offset=0&amp;query=any,contains,991000411219702656","Catalog Record")</f>
        <v>Catalog Record</v>
      </c>
      <c r="AV662" s="5" t="str">
        <f>HYPERLINK("http://www.worldcat.org/oclc/54408242","WorldCat Record")</f>
        <v>WorldCat Record</v>
      </c>
      <c r="AW662" s="2" t="s">
        <v>8123</v>
      </c>
      <c r="AX662" s="2" t="s">
        <v>8124</v>
      </c>
      <c r="AY662" s="2" t="s">
        <v>8125</v>
      </c>
      <c r="AZ662" s="2" t="s">
        <v>8125</v>
      </c>
      <c r="BA662" s="2" t="s">
        <v>8126</v>
      </c>
      <c r="BB662" s="2" t="s">
        <v>21</v>
      </c>
      <c r="BD662" s="2" t="s">
        <v>8127</v>
      </c>
      <c r="BE662" s="2" t="s">
        <v>8128</v>
      </c>
      <c r="BF662" s="2" t="s">
        <v>8129</v>
      </c>
    </row>
    <row r="663" spans="1:58" ht="41.25" customHeight="1" x14ac:dyDescent="0.25">
      <c r="A663" s="8" t="s">
        <v>5</v>
      </c>
      <c r="B663" s="1" t="s">
        <v>0</v>
      </c>
      <c r="C663" s="1" t="s">
        <v>1</v>
      </c>
      <c r="D663" s="1" t="s">
        <v>8130</v>
      </c>
      <c r="E663" s="1" t="s">
        <v>8131</v>
      </c>
      <c r="F663" s="1" t="s">
        <v>7825</v>
      </c>
      <c r="H663" s="2" t="s">
        <v>5</v>
      </c>
      <c r="I663" s="2" t="s">
        <v>6</v>
      </c>
      <c r="J663" s="2" t="s">
        <v>5</v>
      </c>
      <c r="K663" s="2" t="s">
        <v>16</v>
      </c>
      <c r="L663" s="2" t="s">
        <v>7</v>
      </c>
      <c r="N663" s="1" t="s">
        <v>8132</v>
      </c>
      <c r="O663" s="2" t="s">
        <v>794</v>
      </c>
      <c r="P663" s="1" t="s">
        <v>8133</v>
      </c>
      <c r="Q663" s="2" t="s">
        <v>11</v>
      </c>
      <c r="R663" s="2" t="s">
        <v>78</v>
      </c>
      <c r="T663" s="2" t="s">
        <v>520</v>
      </c>
      <c r="U663" s="3">
        <v>15</v>
      </c>
      <c r="V663" s="3">
        <v>15</v>
      </c>
      <c r="W663" s="4" t="s">
        <v>8134</v>
      </c>
      <c r="X663" s="4" t="s">
        <v>8134</v>
      </c>
      <c r="Y663" s="4" t="s">
        <v>8135</v>
      </c>
      <c r="Z663" s="4" t="s">
        <v>8135</v>
      </c>
      <c r="AA663" s="3">
        <v>396</v>
      </c>
      <c r="AB663" s="3">
        <v>325</v>
      </c>
      <c r="AC663" s="3">
        <v>1897</v>
      </c>
      <c r="AD663" s="3">
        <v>1</v>
      </c>
      <c r="AE663" s="3">
        <v>17</v>
      </c>
      <c r="AF663" s="3">
        <v>4</v>
      </c>
      <c r="AG663" s="3">
        <v>42</v>
      </c>
      <c r="AH663" s="3">
        <v>1</v>
      </c>
      <c r="AI663" s="3">
        <v>11</v>
      </c>
      <c r="AJ663" s="3">
        <v>2</v>
      </c>
      <c r="AK663" s="3">
        <v>9</v>
      </c>
      <c r="AL663" s="3">
        <v>2</v>
      </c>
      <c r="AM663" s="3">
        <v>16</v>
      </c>
      <c r="AN663" s="3">
        <v>0</v>
      </c>
      <c r="AO663" s="3">
        <v>12</v>
      </c>
      <c r="AP663" s="3">
        <v>0</v>
      </c>
      <c r="AQ663" s="3">
        <v>1</v>
      </c>
      <c r="AR663" s="2" t="s">
        <v>5</v>
      </c>
      <c r="AS663" s="2" t="s">
        <v>16</v>
      </c>
      <c r="AT663" s="5" t="str">
        <f>HYPERLINK("http://catalog.hathitrust.org/Record/003043451","HathiTrust Record")</f>
        <v>HathiTrust Record</v>
      </c>
      <c r="AU663" s="5" t="str">
        <f>HYPERLINK("https://creighton-primo.hosted.exlibrisgroup.com/primo-explore/search?tab=default_tab&amp;search_scope=EVERYTHING&amp;vid=01CRU&amp;lang=en_US&amp;offset=0&amp;query=any,contains,991001506239702656","Catalog Record")</f>
        <v>Catalog Record</v>
      </c>
      <c r="AV663" s="5" t="str">
        <f>HYPERLINK("http://www.worldcat.org/oclc/33077330","WorldCat Record")</f>
        <v>WorldCat Record</v>
      </c>
      <c r="AW663" s="2" t="s">
        <v>7516</v>
      </c>
      <c r="AX663" s="2" t="s">
        <v>8136</v>
      </c>
      <c r="AY663" s="2" t="s">
        <v>8137</v>
      </c>
      <c r="AZ663" s="2" t="s">
        <v>8137</v>
      </c>
      <c r="BA663" s="2" t="s">
        <v>8138</v>
      </c>
      <c r="BB663" s="2" t="s">
        <v>21</v>
      </c>
      <c r="BD663" s="2" t="s">
        <v>8139</v>
      </c>
      <c r="BE663" s="2" t="s">
        <v>8140</v>
      </c>
      <c r="BF663" s="2" t="s">
        <v>8141</v>
      </c>
    </row>
    <row r="664" spans="1:58" ht="41.25" customHeight="1" x14ac:dyDescent="0.25">
      <c r="A664" s="8" t="s">
        <v>5</v>
      </c>
      <c r="B664" s="1" t="s">
        <v>0</v>
      </c>
      <c r="C664" s="1" t="s">
        <v>1</v>
      </c>
      <c r="D664" s="1" t="s">
        <v>8142</v>
      </c>
      <c r="E664" s="1" t="s">
        <v>8143</v>
      </c>
      <c r="F664" s="1" t="s">
        <v>8144</v>
      </c>
      <c r="H664" s="2" t="s">
        <v>5</v>
      </c>
      <c r="I664" s="2" t="s">
        <v>6</v>
      </c>
      <c r="J664" s="2" t="s">
        <v>5</v>
      </c>
      <c r="K664" s="2" t="s">
        <v>16</v>
      </c>
      <c r="L664" s="2" t="s">
        <v>7</v>
      </c>
      <c r="N664" s="1" t="s">
        <v>8145</v>
      </c>
      <c r="O664" s="2" t="s">
        <v>1046</v>
      </c>
      <c r="P664" s="1" t="s">
        <v>8146</v>
      </c>
      <c r="Q664" s="2" t="s">
        <v>11</v>
      </c>
      <c r="R664" s="2" t="s">
        <v>31</v>
      </c>
      <c r="T664" s="2" t="s">
        <v>520</v>
      </c>
      <c r="U664" s="3">
        <v>1</v>
      </c>
      <c r="V664" s="3">
        <v>1</v>
      </c>
      <c r="W664" s="4" t="s">
        <v>8147</v>
      </c>
      <c r="X664" s="4" t="s">
        <v>8147</v>
      </c>
      <c r="Y664" s="4" t="s">
        <v>8148</v>
      </c>
      <c r="Z664" s="4" t="s">
        <v>8148</v>
      </c>
      <c r="AA664" s="3">
        <v>272</v>
      </c>
      <c r="AB664" s="3">
        <v>208</v>
      </c>
      <c r="AC664" s="3">
        <v>559</v>
      </c>
      <c r="AD664" s="3">
        <v>1</v>
      </c>
      <c r="AE664" s="3">
        <v>2</v>
      </c>
      <c r="AF664" s="3">
        <v>5</v>
      </c>
      <c r="AG664" s="3">
        <v>16</v>
      </c>
      <c r="AH664" s="3">
        <v>1</v>
      </c>
      <c r="AI664" s="3">
        <v>6</v>
      </c>
      <c r="AJ664" s="3">
        <v>1</v>
      </c>
      <c r="AK664" s="3">
        <v>4</v>
      </c>
      <c r="AL664" s="3">
        <v>4</v>
      </c>
      <c r="AM664" s="3">
        <v>9</v>
      </c>
      <c r="AN664" s="3">
        <v>0</v>
      </c>
      <c r="AO664" s="3">
        <v>1</v>
      </c>
      <c r="AP664" s="3">
        <v>0</v>
      </c>
      <c r="AQ664" s="3">
        <v>0</v>
      </c>
      <c r="AR664" s="2" t="s">
        <v>5</v>
      </c>
      <c r="AS664" s="2" t="s">
        <v>16</v>
      </c>
      <c r="AT664" s="5" t="str">
        <f>HYPERLINK("http://catalog.hathitrust.org/Record/003799474","HathiTrust Record")</f>
        <v>HathiTrust Record</v>
      </c>
      <c r="AU664" s="5" t="str">
        <f>HYPERLINK("https://creighton-primo.hosted.exlibrisgroup.com/primo-explore/search?tab=default_tab&amp;search_scope=EVERYTHING&amp;vid=01CRU&amp;lang=en_US&amp;offset=0&amp;query=any,contains,991000333269702656","Catalog Record")</f>
        <v>Catalog Record</v>
      </c>
      <c r="AV664" s="5" t="str">
        <f>HYPERLINK("http://www.worldcat.org/oclc/49221920","WorldCat Record")</f>
        <v>WorldCat Record</v>
      </c>
      <c r="AW664" s="2" t="s">
        <v>8149</v>
      </c>
      <c r="AX664" s="2" t="s">
        <v>8150</v>
      </c>
      <c r="AY664" s="2" t="s">
        <v>8151</v>
      </c>
      <c r="AZ664" s="2" t="s">
        <v>8151</v>
      </c>
      <c r="BA664" s="2" t="s">
        <v>8152</v>
      </c>
      <c r="BB664" s="2" t="s">
        <v>21</v>
      </c>
      <c r="BD664" s="2" t="s">
        <v>8153</v>
      </c>
      <c r="BE664" s="2" t="s">
        <v>8154</v>
      </c>
      <c r="BF664" s="2" t="s">
        <v>8155</v>
      </c>
    </row>
    <row r="665" spans="1:58" ht="41.25" customHeight="1" x14ac:dyDescent="0.25">
      <c r="A665" s="8" t="s">
        <v>5</v>
      </c>
      <c r="B665" s="1" t="s">
        <v>0</v>
      </c>
      <c r="C665" s="1" t="s">
        <v>1</v>
      </c>
      <c r="D665" s="1" t="s">
        <v>8156</v>
      </c>
      <c r="E665" s="1" t="s">
        <v>8157</v>
      </c>
      <c r="F665" s="1" t="s">
        <v>8158</v>
      </c>
      <c r="H665" s="2" t="s">
        <v>5</v>
      </c>
      <c r="I665" s="2" t="s">
        <v>6</v>
      </c>
      <c r="J665" s="2" t="s">
        <v>5</v>
      </c>
      <c r="K665" s="2" t="s">
        <v>5</v>
      </c>
      <c r="L665" s="2" t="s">
        <v>7</v>
      </c>
      <c r="M665" s="1" t="s">
        <v>8159</v>
      </c>
      <c r="N665" s="1" t="s">
        <v>8160</v>
      </c>
      <c r="O665" s="2" t="s">
        <v>1378</v>
      </c>
      <c r="Q665" s="2" t="s">
        <v>11</v>
      </c>
      <c r="R665" s="2" t="s">
        <v>31</v>
      </c>
      <c r="T665" s="2" t="s">
        <v>520</v>
      </c>
      <c r="U665" s="3">
        <v>4</v>
      </c>
      <c r="V665" s="3">
        <v>4</v>
      </c>
      <c r="W665" s="4" t="s">
        <v>4201</v>
      </c>
      <c r="X665" s="4" t="s">
        <v>4201</v>
      </c>
      <c r="Y665" s="4" t="s">
        <v>8161</v>
      </c>
      <c r="Z665" s="4" t="s">
        <v>8161</v>
      </c>
      <c r="AA665" s="3">
        <v>59</v>
      </c>
      <c r="AB665" s="3">
        <v>41</v>
      </c>
      <c r="AC665" s="3">
        <v>41</v>
      </c>
      <c r="AD665" s="3">
        <v>1</v>
      </c>
      <c r="AE665" s="3">
        <v>1</v>
      </c>
      <c r="AF665" s="3">
        <v>4</v>
      </c>
      <c r="AG665" s="3">
        <v>4</v>
      </c>
      <c r="AH665" s="3">
        <v>0</v>
      </c>
      <c r="AI665" s="3">
        <v>0</v>
      </c>
      <c r="AJ665" s="3">
        <v>2</v>
      </c>
      <c r="AK665" s="3">
        <v>2</v>
      </c>
      <c r="AL665" s="3">
        <v>3</v>
      </c>
      <c r="AM665" s="3">
        <v>3</v>
      </c>
      <c r="AN665" s="3">
        <v>0</v>
      </c>
      <c r="AO665" s="3">
        <v>0</v>
      </c>
      <c r="AP665" s="3">
        <v>0</v>
      </c>
      <c r="AQ665" s="3">
        <v>0</v>
      </c>
      <c r="AR665" s="2" t="s">
        <v>5</v>
      </c>
      <c r="AS665" s="2" t="s">
        <v>5</v>
      </c>
      <c r="AU665" s="5" t="str">
        <f>HYPERLINK("https://creighton-primo.hosted.exlibrisgroup.com/primo-explore/search?tab=default_tab&amp;search_scope=EVERYTHING&amp;vid=01CRU&amp;lang=en_US&amp;offset=0&amp;query=any,contains,991000598199702656","Catalog Record")</f>
        <v>Catalog Record</v>
      </c>
      <c r="AV665" s="5" t="str">
        <f>HYPERLINK("http://www.worldcat.org/oclc/38112996","WorldCat Record")</f>
        <v>WorldCat Record</v>
      </c>
      <c r="AW665" s="2" t="s">
        <v>8162</v>
      </c>
      <c r="AX665" s="2" t="s">
        <v>8163</v>
      </c>
      <c r="AY665" s="2" t="s">
        <v>8164</v>
      </c>
      <c r="AZ665" s="2" t="s">
        <v>8164</v>
      </c>
      <c r="BA665" s="2" t="s">
        <v>8165</v>
      </c>
      <c r="BB665" s="2" t="s">
        <v>21</v>
      </c>
      <c r="BD665" s="2" t="s">
        <v>8166</v>
      </c>
      <c r="BE665" s="2" t="s">
        <v>8167</v>
      </c>
      <c r="BF665" s="2" t="s">
        <v>8168</v>
      </c>
    </row>
    <row r="666" spans="1:58" ht="41.25" customHeight="1" x14ac:dyDescent="0.25">
      <c r="A666" s="8" t="s">
        <v>5</v>
      </c>
      <c r="B666" s="1" t="s">
        <v>0</v>
      </c>
      <c r="C666" s="1" t="s">
        <v>1</v>
      </c>
      <c r="D666" s="1" t="s">
        <v>8169</v>
      </c>
      <c r="E666" s="1" t="s">
        <v>8170</v>
      </c>
      <c r="F666" s="1" t="s">
        <v>105</v>
      </c>
      <c r="H666" s="2" t="s">
        <v>5</v>
      </c>
      <c r="I666" s="2" t="s">
        <v>6</v>
      </c>
      <c r="J666" s="2" t="s">
        <v>5</v>
      </c>
      <c r="K666" s="2" t="s">
        <v>16</v>
      </c>
      <c r="L666" s="2" t="s">
        <v>7</v>
      </c>
      <c r="N666" s="1" t="s">
        <v>8171</v>
      </c>
      <c r="O666" s="2" t="s">
        <v>4990</v>
      </c>
      <c r="P666" s="1" t="s">
        <v>1284</v>
      </c>
      <c r="Q666" s="2" t="s">
        <v>11</v>
      </c>
      <c r="R666" s="2" t="s">
        <v>31</v>
      </c>
      <c r="T666" s="2" t="s">
        <v>520</v>
      </c>
      <c r="U666" s="3">
        <v>7</v>
      </c>
      <c r="V666" s="3">
        <v>7</v>
      </c>
      <c r="W666" s="4" t="s">
        <v>8172</v>
      </c>
      <c r="X666" s="4" t="s">
        <v>8172</v>
      </c>
      <c r="Y666" s="4" t="s">
        <v>8173</v>
      </c>
      <c r="Z666" s="4" t="s">
        <v>8173</v>
      </c>
      <c r="AA666" s="3">
        <v>301</v>
      </c>
      <c r="AB666" s="3">
        <v>249</v>
      </c>
      <c r="AC666" s="3">
        <v>1666</v>
      </c>
      <c r="AD666" s="3">
        <v>2</v>
      </c>
      <c r="AE666" s="3">
        <v>15</v>
      </c>
      <c r="AF666" s="3">
        <v>8</v>
      </c>
      <c r="AG666" s="3">
        <v>45</v>
      </c>
      <c r="AH666" s="3">
        <v>5</v>
      </c>
      <c r="AI666" s="3">
        <v>16</v>
      </c>
      <c r="AJ666" s="3">
        <v>0</v>
      </c>
      <c r="AK666" s="3">
        <v>8</v>
      </c>
      <c r="AL666" s="3">
        <v>5</v>
      </c>
      <c r="AM666" s="3">
        <v>17</v>
      </c>
      <c r="AN666" s="3">
        <v>1</v>
      </c>
      <c r="AO666" s="3">
        <v>11</v>
      </c>
      <c r="AP666" s="3">
        <v>0</v>
      </c>
      <c r="AQ666" s="3">
        <v>0</v>
      </c>
      <c r="AR666" s="2" t="s">
        <v>5</v>
      </c>
      <c r="AS666" s="2" t="s">
        <v>16</v>
      </c>
      <c r="AT666" s="5" t="str">
        <f>HYPERLINK("http://catalog.hathitrust.org/Record/004580327","HathiTrust Record")</f>
        <v>HathiTrust Record</v>
      </c>
      <c r="AU666" s="5" t="str">
        <f>HYPERLINK("https://creighton-primo.hosted.exlibrisgroup.com/primo-explore/search?tab=default_tab&amp;search_scope=EVERYTHING&amp;vid=01CRU&amp;lang=en_US&amp;offset=0&amp;query=any,contains,991000298919702656","Catalog Record")</f>
        <v>Catalog Record</v>
      </c>
      <c r="AV666" s="5" t="str">
        <f>HYPERLINK("http://www.worldcat.org/oclc/46872999","WorldCat Record")</f>
        <v>WorldCat Record</v>
      </c>
      <c r="AW666" s="2" t="s">
        <v>111</v>
      </c>
      <c r="AX666" s="2" t="s">
        <v>8174</v>
      </c>
      <c r="AY666" s="2" t="s">
        <v>8175</v>
      </c>
      <c r="AZ666" s="2" t="s">
        <v>8175</v>
      </c>
      <c r="BA666" s="2" t="s">
        <v>8176</v>
      </c>
      <c r="BB666" s="2" t="s">
        <v>21</v>
      </c>
      <c r="BD666" s="2" t="s">
        <v>8177</v>
      </c>
      <c r="BE666" s="2" t="s">
        <v>8178</v>
      </c>
      <c r="BF666" s="2" t="s">
        <v>8179</v>
      </c>
    </row>
    <row r="667" spans="1:58" ht="41.25" customHeight="1" x14ac:dyDescent="0.25">
      <c r="A667" s="8" t="s">
        <v>5</v>
      </c>
      <c r="B667" s="1" t="s">
        <v>0</v>
      </c>
      <c r="C667" s="1" t="s">
        <v>1</v>
      </c>
      <c r="D667" s="1" t="s">
        <v>8180</v>
      </c>
      <c r="E667" s="1" t="s">
        <v>8181</v>
      </c>
      <c r="F667" s="1" t="s">
        <v>8182</v>
      </c>
      <c r="H667" s="2" t="s">
        <v>5</v>
      </c>
      <c r="I667" s="2" t="s">
        <v>6</v>
      </c>
      <c r="J667" s="2" t="s">
        <v>5</v>
      </c>
      <c r="K667" s="2" t="s">
        <v>5</v>
      </c>
      <c r="L667" s="2" t="s">
        <v>7</v>
      </c>
      <c r="M667" s="1" t="s">
        <v>7716</v>
      </c>
      <c r="N667" s="1" t="s">
        <v>1602</v>
      </c>
      <c r="O667" s="2" t="s">
        <v>1378</v>
      </c>
      <c r="P667" s="1" t="s">
        <v>1208</v>
      </c>
      <c r="Q667" s="2" t="s">
        <v>11</v>
      </c>
      <c r="R667" s="2" t="s">
        <v>426</v>
      </c>
      <c r="T667" s="2" t="s">
        <v>520</v>
      </c>
      <c r="U667" s="3">
        <v>11</v>
      </c>
      <c r="V667" s="3">
        <v>11</v>
      </c>
      <c r="W667" s="4" t="s">
        <v>8183</v>
      </c>
      <c r="X667" s="4" t="s">
        <v>8183</v>
      </c>
      <c r="Y667" s="4" t="s">
        <v>6662</v>
      </c>
      <c r="Z667" s="4" t="s">
        <v>6662</v>
      </c>
      <c r="AA667" s="3">
        <v>291</v>
      </c>
      <c r="AB667" s="3">
        <v>240</v>
      </c>
      <c r="AC667" s="3">
        <v>247</v>
      </c>
      <c r="AD667" s="3">
        <v>0</v>
      </c>
      <c r="AE667" s="3">
        <v>0</v>
      </c>
      <c r="AF667" s="3">
        <v>4</v>
      </c>
      <c r="AG667" s="3">
        <v>4</v>
      </c>
      <c r="AH667" s="3">
        <v>1</v>
      </c>
      <c r="AI667" s="3">
        <v>1</v>
      </c>
      <c r="AJ667" s="3">
        <v>1</v>
      </c>
      <c r="AK667" s="3">
        <v>1</v>
      </c>
      <c r="AL667" s="3">
        <v>3</v>
      </c>
      <c r="AM667" s="3">
        <v>3</v>
      </c>
      <c r="AN667" s="3">
        <v>0</v>
      </c>
      <c r="AO667" s="3">
        <v>0</v>
      </c>
      <c r="AP667" s="3">
        <v>0</v>
      </c>
      <c r="AQ667" s="3">
        <v>0</v>
      </c>
      <c r="AR667" s="2" t="s">
        <v>5</v>
      </c>
      <c r="AS667" s="2" t="s">
        <v>16</v>
      </c>
      <c r="AT667" s="5" t="str">
        <f>HYPERLINK("http://catalog.hathitrust.org/Record/003186830","HathiTrust Record")</f>
        <v>HathiTrust Record</v>
      </c>
      <c r="AU667" s="5" t="str">
        <f>HYPERLINK("https://creighton-primo.hosted.exlibrisgroup.com/primo-explore/search?tab=default_tab&amp;search_scope=EVERYTHING&amp;vid=01CRU&amp;lang=en_US&amp;offset=0&amp;query=any,contains,991001271439702656","Catalog Record")</f>
        <v>Catalog Record</v>
      </c>
      <c r="AV667" s="5" t="str">
        <f>HYPERLINK("http://www.worldcat.org/oclc/37355339","WorldCat Record")</f>
        <v>WorldCat Record</v>
      </c>
      <c r="AW667" s="2" t="s">
        <v>8184</v>
      </c>
      <c r="AX667" s="2" t="s">
        <v>8185</v>
      </c>
      <c r="AY667" s="2" t="s">
        <v>8186</v>
      </c>
      <c r="AZ667" s="2" t="s">
        <v>8186</v>
      </c>
      <c r="BA667" s="2" t="s">
        <v>8187</v>
      </c>
      <c r="BB667" s="2" t="s">
        <v>21</v>
      </c>
      <c r="BD667" s="2" t="s">
        <v>8188</v>
      </c>
      <c r="BE667" s="2" t="s">
        <v>8189</v>
      </c>
      <c r="BF667" s="2" t="s">
        <v>8190</v>
      </c>
    </row>
    <row r="668" spans="1:58" ht="41.25" customHeight="1" x14ac:dyDescent="0.25">
      <c r="A668" s="8" t="s">
        <v>5</v>
      </c>
      <c r="B668" s="1" t="s">
        <v>0</v>
      </c>
      <c r="C668" s="1" t="s">
        <v>1</v>
      </c>
      <c r="D668" s="1" t="s">
        <v>8191</v>
      </c>
      <c r="E668" s="1" t="s">
        <v>8192</v>
      </c>
      <c r="F668" s="1" t="s">
        <v>8193</v>
      </c>
      <c r="H668" s="2" t="s">
        <v>5</v>
      </c>
      <c r="I668" s="2" t="s">
        <v>6</v>
      </c>
      <c r="J668" s="2" t="s">
        <v>5</v>
      </c>
      <c r="K668" s="2" t="s">
        <v>5</v>
      </c>
      <c r="L668" s="2" t="s">
        <v>7</v>
      </c>
      <c r="N668" s="1" t="s">
        <v>8194</v>
      </c>
      <c r="O668" s="2" t="s">
        <v>107</v>
      </c>
      <c r="P668" s="1" t="s">
        <v>63</v>
      </c>
      <c r="Q668" s="2" t="s">
        <v>11</v>
      </c>
      <c r="R668" s="2" t="s">
        <v>31</v>
      </c>
      <c r="T668" s="2" t="s">
        <v>520</v>
      </c>
      <c r="U668" s="3">
        <v>13</v>
      </c>
      <c r="V668" s="3">
        <v>13</v>
      </c>
      <c r="W668" s="4" t="s">
        <v>8195</v>
      </c>
      <c r="X668" s="4" t="s">
        <v>8195</v>
      </c>
      <c r="Y668" s="4" t="s">
        <v>8196</v>
      </c>
      <c r="Z668" s="4" t="s">
        <v>8196</v>
      </c>
      <c r="AA668" s="3">
        <v>445</v>
      </c>
      <c r="AB668" s="3">
        <v>322</v>
      </c>
      <c r="AC668" s="3">
        <v>351</v>
      </c>
      <c r="AD668" s="3">
        <v>2</v>
      </c>
      <c r="AE668" s="3">
        <v>2</v>
      </c>
      <c r="AF668" s="3">
        <v>4</v>
      </c>
      <c r="AG668" s="3">
        <v>5</v>
      </c>
      <c r="AH668" s="3">
        <v>2</v>
      </c>
      <c r="AI668" s="3">
        <v>2</v>
      </c>
      <c r="AJ668" s="3">
        <v>0</v>
      </c>
      <c r="AK668" s="3">
        <v>0</v>
      </c>
      <c r="AL668" s="3">
        <v>1</v>
      </c>
      <c r="AM668" s="3">
        <v>2</v>
      </c>
      <c r="AN668" s="3">
        <v>1</v>
      </c>
      <c r="AO668" s="3">
        <v>1</v>
      </c>
      <c r="AP668" s="3">
        <v>0</v>
      </c>
      <c r="AQ668" s="3">
        <v>0</v>
      </c>
      <c r="AR668" s="2" t="s">
        <v>5</v>
      </c>
      <c r="AS668" s="2" t="s">
        <v>5</v>
      </c>
      <c r="AU668" s="5" t="str">
        <f>HYPERLINK("https://creighton-primo.hosted.exlibrisgroup.com/primo-explore/search?tab=default_tab&amp;search_scope=EVERYTHING&amp;vid=01CRU&amp;lang=en_US&amp;offset=0&amp;query=any,contains,991001736589702656","Catalog Record")</f>
        <v>Catalog Record</v>
      </c>
      <c r="AV668" s="5" t="str">
        <f>HYPERLINK("http://www.worldcat.org/oclc/61046967","WorldCat Record")</f>
        <v>WorldCat Record</v>
      </c>
      <c r="AW668" s="2" t="s">
        <v>8197</v>
      </c>
      <c r="AX668" s="2" t="s">
        <v>8198</v>
      </c>
      <c r="AY668" s="2" t="s">
        <v>8199</v>
      </c>
      <c r="AZ668" s="2" t="s">
        <v>8199</v>
      </c>
      <c r="BA668" s="2" t="s">
        <v>8200</v>
      </c>
      <c r="BB668" s="2" t="s">
        <v>21</v>
      </c>
      <c r="BD668" s="2" t="s">
        <v>8201</v>
      </c>
      <c r="BE668" s="2" t="s">
        <v>8202</v>
      </c>
      <c r="BF668" s="2" t="s">
        <v>8203</v>
      </c>
    </row>
    <row r="669" spans="1:58" ht="41.25" customHeight="1" x14ac:dyDescent="0.25">
      <c r="A669" s="8" t="s">
        <v>5</v>
      </c>
      <c r="B669" s="1" t="s">
        <v>0</v>
      </c>
      <c r="C669" s="1" t="s">
        <v>1</v>
      </c>
      <c r="D669" s="1" t="s">
        <v>8204</v>
      </c>
      <c r="E669" s="1" t="s">
        <v>8205</v>
      </c>
      <c r="F669" s="1" t="s">
        <v>8206</v>
      </c>
      <c r="H669" s="2" t="s">
        <v>5</v>
      </c>
      <c r="I669" s="2" t="s">
        <v>6</v>
      </c>
      <c r="J669" s="2" t="s">
        <v>5</v>
      </c>
      <c r="K669" s="2" t="s">
        <v>16</v>
      </c>
      <c r="L669" s="2" t="s">
        <v>7</v>
      </c>
      <c r="M669" s="1" t="s">
        <v>8207</v>
      </c>
      <c r="N669" s="1" t="s">
        <v>7953</v>
      </c>
      <c r="O669" s="2" t="s">
        <v>1060</v>
      </c>
      <c r="P669" s="1" t="s">
        <v>63</v>
      </c>
      <c r="Q669" s="2" t="s">
        <v>11</v>
      </c>
      <c r="R669" s="2" t="s">
        <v>78</v>
      </c>
      <c r="T669" s="2" t="s">
        <v>520</v>
      </c>
      <c r="U669" s="3">
        <v>3</v>
      </c>
      <c r="V669" s="3">
        <v>3</v>
      </c>
      <c r="W669" s="4" t="s">
        <v>7941</v>
      </c>
      <c r="X669" s="4" t="s">
        <v>7941</v>
      </c>
      <c r="Y669" s="4" t="s">
        <v>8208</v>
      </c>
      <c r="Z669" s="4" t="s">
        <v>8208</v>
      </c>
      <c r="AA669" s="3">
        <v>324</v>
      </c>
      <c r="AB669" s="3">
        <v>268</v>
      </c>
      <c r="AC669" s="3">
        <v>771</v>
      </c>
      <c r="AD669" s="3">
        <v>2</v>
      </c>
      <c r="AE669" s="3">
        <v>8</v>
      </c>
      <c r="AF669" s="3">
        <v>7</v>
      </c>
      <c r="AG669" s="3">
        <v>20</v>
      </c>
      <c r="AH669" s="3">
        <v>2</v>
      </c>
      <c r="AI669" s="3">
        <v>5</v>
      </c>
      <c r="AJ669" s="3">
        <v>2</v>
      </c>
      <c r="AK669" s="3">
        <v>5</v>
      </c>
      <c r="AL669" s="3">
        <v>4</v>
      </c>
      <c r="AM669" s="3">
        <v>10</v>
      </c>
      <c r="AN669" s="3">
        <v>1</v>
      </c>
      <c r="AO669" s="3">
        <v>5</v>
      </c>
      <c r="AP669" s="3">
        <v>0</v>
      </c>
      <c r="AQ669" s="3">
        <v>0</v>
      </c>
      <c r="AR669" s="2" t="s">
        <v>5</v>
      </c>
      <c r="AS669" s="2" t="s">
        <v>5</v>
      </c>
      <c r="AU669" s="5" t="str">
        <f>HYPERLINK("https://creighton-primo.hosted.exlibrisgroup.com/primo-explore/search?tab=default_tab&amp;search_scope=EVERYTHING&amp;vid=01CRU&amp;lang=en_US&amp;offset=0&amp;query=any,contains,991001731339702656","Catalog Record")</f>
        <v>Catalog Record</v>
      </c>
      <c r="AV669" s="5" t="str">
        <f>HYPERLINK("http://www.worldcat.org/oclc/56014652","WorldCat Record")</f>
        <v>WorldCat Record</v>
      </c>
      <c r="AW669" s="2" t="s">
        <v>8209</v>
      </c>
      <c r="AX669" s="2" t="s">
        <v>8210</v>
      </c>
      <c r="AY669" s="2" t="s">
        <v>8211</v>
      </c>
      <c r="AZ669" s="2" t="s">
        <v>8211</v>
      </c>
      <c r="BA669" s="2" t="s">
        <v>8212</v>
      </c>
      <c r="BB669" s="2" t="s">
        <v>21</v>
      </c>
      <c r="BD669" s="2" t="s">
        <v>8213</v>
      </c>
      <c r="BE669" s="2" t="s">
        <v>8214</v>
      </c>
      <c r="BF669" s="2" t="s">
        <v>8215</v>
      </c>
    </row>
    <row r="670" spans="1:58" ht="41.25" customHeight="1" x14ac:dyDescent="0.25">
      <c r="A670" s="8" t="s">
        <v>5</v>
      </c>
      <c r="B670" s="1" t="s">
        <v>0</v>
      </c>
      <c r="C670" s="1" t="s">
        <v>1</v>
      </c>
      <c r="D670" s="1" t="s">
        <v>8216</v>
      </c>
      <c r="E670" s="1" t="s">
        <v>8217</v>
      </c>
      <c r="F670" s="1" t="s">
        <v>8218</v>
      </c>
      <c r="H670" s="2" t="s">
        <v>5</v>
      </c>
      <c r="I670" s="2" t="s">
        <v>6</v>
      </c>
      <c r="J670" s="2" t="s">
        <v>5</v>
      </c>
      <c r="K670" s="2" t="s">
        <v>16</v>
      </c>
      <c r="L670" s="2" t="s">
        <v>7</v>
      </c>
      <c r="M670" s="1" t="s">
        <v>8207</v>
      </c>
      <c r="N670" s="1" t="s">
        <v>8219</v>
      </c>
      <c r="O670" s="2" t="s">
        <v>1378</v>
      </c>
      <c r="P670" s="1" t="s">
        <v>1208</v>
      </c>
      <c r="Q670" s="2" t="s">
        <v>11</v>
      </c>
      <c r="R670" s="2" t="s">
        <v>78</v>
      </c>
      <c r="T670" s="2" t="s">
        <v>520</v>
      </c>
      <c r="U670" s="3">
        <v>19</v>
      </c>
      <c r="V670" s="3">
        <v>19</v>
      </c>
      <c r="W670" s="4" t="s">
        <v>7717</v>
      </c>
      <c r="X670" s="4" t="s">
        <v>7717</v>
      </c>
      <c r="Y670" s="4" t="s">
        <v>5032</v>
      </c>
      <c r="Z670" s="4" t="s">
        <v>5032</v>
      </c>
      <c r="AA670" s="3">
        <v>199</v>
      </c>
      <c r="AB670" s="3">
        <v>175</v>
      </c>
      <c r="AC670" s="3">
        <v>771</v>
      </c>
      <c r="AD670" s="3">
        <v>2</v>
      </c>
      <c r="AE670" s="3">
        <v>8</v>
      </c>
      <c r="AF670" s="3">
        <v>4</v>
      </c>
      <c r="AG670" s="3">
        <v>20</v>
      </c>
      <c r="AH670" s="3">
        <v>2</v>
      </c>
      <c r="AI670" s="3">
        <v>5</v>
      </c>
      <c r="AJ670" s="3">
        <v>1</v>
      </c>
      <c r="AK670" s="3">
        <v>5</v>
      </c>
      <c r="AL670" s="3">
        <v>1</v>
      </c>
      <c r="AM670" s="3">
        <v>10</v>
      </c>
      <c r="AN670" s="3">
        <v>0</v>
      </c>
      <c r="AO670" s="3">
        <v>5</v>
      </c>
      <c r="AP670" s="3">
        <v>0</v>
      </c>
      <c r="AQ670" s="3">
        <v>0</v>
      </c>
      <c r="AR670" s="2" t="s">
        <v>5</v>
      </c>
      <c r="AS670" s="2" t="s">
        <v>16</v>
      </c>
      <c r="AT670" s="5" t="str">
        <f>HYPERLINK("http://catalog.hathitrust.org/Record/003203153","HathiTrust Record")</f>
        <v>HathiTrust Record</v>
      </c>
      <c r="AU670" s="5" t="str">
        <f>HYPERLINK("https://creighton-primo.hosted.exlibrisgroup.com/primo-explore/search?tab=default_tab&amp;search_scope=EVERYTHING&amp;vid=01CRU&amp;lang=en_US&amp;offset=0&amp;query=any,contains,991000598109702656","Catalog Record")</f>
        <v>Catalog Record</v>
      </c>
      <c r="AV670" s="5" t="str">
        <f>HYPERLINK("http://www.worldcat.org/oclc/37481569","WorldCat Record")</f>
        <v>WorldCat Record</v>
      </c>
      <c r="AW670" s="2" t="s">
        <v>8209</v>
      </c>
      <c r="AX670" s="2" t="s">
        <v>8220</v>
      </c>
      <c r="AY670" s="2" t="s">
        <v>8221</v>
      </c>
      <c r="AZ670" s="2" t="s">
        <v>8221</v>
      </c>
      <c r="BA670" s="2" t="s">
        <v>8222</v>
      </c>
      <c r="BB670" s="2" t="s">
        <v>21</v>
      </c>
      <c r="BD670" s="2" t="s">
        <v>8223</v>
      </c>
      <c r="BE670" s="2" t="s">
        <v>8224</v>
      </c>
      <c r="BF670" s="2" t="s">
        <v>8225</v>
      </c>
    </row>
    <row r="671" spans="1:58" ht="41.25" customHeight="1" x14ac:dyDescent="0.25">
      <c r="A671" s="8" t="s">
        <v>5</v>
      </c>
      <c r="B671" s="1" t="s">
        <v>0</v>
      </c>
      <c r="C671" s="1" t="s">
        <v>1</v>
      </c>
      <c r="D671" s="1" t="s">
        <v>8226</v>
      </c>
      <c r="E671" s="1" t="s">
        <v>8227</v>
      </c>
      <c r="F671" s="1" t="s">
        <v>8228</v>
      </c>
      <c r="H671" s="2" t="s">
        <v>5</v>
      </c>
      <c r="I671" s="2" t="s">
        <v>6</v>
      </c>
      <c r="J671" s="2" t="s">
        <v>5</v>
      </c>
      <c r="K671" s="2" t="s">
        <v>5</v>
      </c>
      <c r="L671" s="2" t="s">
        <v>7</v>
      </c>
      <c r="M671" s="1" t="s">
        <v>8229</v>
      </c>
      <c r="N671" s="1" t="s">
        <v>5004</v>
      </c>
      <c r="O671" s="2" t="s">
        <v>1391</v>
      </c>
      <c r="P671" s="1" t="s">
        <v>211</v>
      </c>
      <c r="Q671" s="2" t="s">
        <v>11</v>
      </c>
      <c r="R671" s="2" t="s">
        <v>31</v>
      </c>
      <c r="T671" s="2" t="s">
        <v>520</v>
      </c>
      <c r="U671" s="3">
        <v>3</v>
      </c>
      <c r="V671" s="3">
        <v>3</v>
      </c>
      <c r="W671" s="4" t="s">
        <v>109</v>
      </c>
      <c r="X671" s="4" t="s">
        <v>109</v>
      </c>
      <c r="Y671" s="4" t="s">
        <v>8230</v>
      </c>
      <c r="Z671" s="4" t="s">
        <v>8230</v>
      </c>
      <c r="AA671" s="3">
        <v>168</v>
      </c>
      <c r="AB671" s="3">
        <v>116</v>
      </c>
      <c r="AC671" s="3">
        <v>235</v>
      </c>
      <c r="AD671" s="3">
        <v>1</v>
      </c>
      <c r="AE671" s="3">
        <v>1</v>
      </c>
      <c r="AF671" s="3">
        <v>4</v>
      </c>
      <c r="AG671" s="3">
        <v>8</v>
      </c>
      <c r="AH671" s="3">
        <v>1</v>
      </c>
      <c r="AI671" s="3">
        <v>3</v>
      </c>
      <c r="AJ671" s="3">
        <v>2</v>
      </c>
      <c r="AK671" s="3">
        <v>2</v>
      </c>
      <c r="AL671" s="3">
        <v>2</v>
      </c>
      <c r="AM671" s="3">
        <v>4</v>
      </c>
      <c r="AN671" s="3">
        <v>0</v>
      </c>
      <c r="AO671" s="3">
        <v>0</v>
      </c>
      <c r="AP671" s="3">
        <v>0</v>
      </c>
      <c r="AQ671" s="3">
        <v>0</v>
      </c>
      <c r="AR671" s="2" t="s">
        <v>5</v>
      </c>
      <c r="AS671" s="2" t="s">
        <v>16</v>
      </c>
      <c r="AT671" s="5" t="str">
        <f>HYPERLINK("http://catalog.hathitrust.org/Record/012269004","HathiTrust Record")</f>
        <v>HathiTrust Record</v>
      </c>
      <c r="AU671" s="5" t="str">
        <f>HYPERLINK("https://creighton-primo.hosted.exlibrisgroup.com/primo-explore/search?tab=default_tab&amp;search_scope=EVERYTHING&amp;vid=01CRU&amp;lang=en_US&amp;offset=0&amp;query=any,contains,991000397409702656","Catalog Record")</f>
        <v>Catalog Record</v>
      </c>
      <c r="AV671" s="5" t="str">
        <f>HYPERLINK("http://www.worldcat.org/oclc/52937970","WorldCat Record")</f>
        <v>WorldCat Record</v>
      </c>
      <c r="AW671" s="2" t="s">
        <v>8231</v>
      </c>
      <c r="AX671" s="2" t="s">
        <v>8232</v>
      </c>
      <c r="AY671" s="2" t="s">
        <v>8233</v>
      </c>
      <c r="AZ671" s="2" t="s">
        <v>8233</v>
      </c>
      <c r="BA671" s="2" t="s">
        <v>8234</v>
      </c>
      <c r="BB671" s="2" t="s">
        <v>21</v>
      </c>
      <c r="BD671" s="2" t="s">
        <v>8235</v>
      </c>
      <c r="BE671" s="2" t="s">
        <v>8236</v>
      </c>
      <c r="BF671" s="2" t="s">
        <v>8237</v>
      </c>
    </row>
    <row r="672" spans="1:58" ht="41.25" customHeight="1" x14ac:dyDescent="0.25">
      <c r="A672" s="8" t="s">
        <v>5</v>
      </c>
      <c r="B672" s="1" t="s">
        <v>0</v>
      </c>
      <c r="C672" s="1" t="s">
        <v>1</v>
      </c>
      <c r="D672" s="1" t="s">
        <v>8238</v>
      </c>
      <c r="E672" s="1" t="s">
        <v>8239</v>
      </c>
      <c r="F672" s="1" t="s">
        <v>8240</v>
      </c>
      <c r="H672" s="2" t="s">
        <v>5</v>
      </c>
      <c r="I672" s="2" t="s">
        <v>6</v>
      </c>
      <c r="J672" s="2" t="s">
        <v>5</v>
      </c>
      <c r="K672" s="2" t="s">
        <v>5</v>
      </c>
      <c r="L672" s="2" t="s">
        <v>7</v>
      </c>
      <c r="M672" s="1" t="s">
        <v>8241</v>
      </c>
      <c r="N672" s="1" t="s">
        <v>1390</v>
      </c>
      <c r="O672" s="2" t="s">
        <v>1391</v>
      </c>
      <c r="Q672" s="2" t="s">
        <v>11</v>
      </c>
      <c r="R672" s="2" t="s">
        <v>78</v>
      </c>
      <c r="T672" s="2" t="s">
        <v>520</v>
      </c>
      <c r="U672" s="3">
        <v>0</v>
      </c>
      <c r="V672" s="3">
        <v>0</v>
      </c>
      <c r="W672" s="4" t="s">
        <v>8093</v>
      </c>
      <c r="X672" s="4" t="s">
        <v>8093</v>
      </c>
      <c r="Y672" s="4" t="s">
        <v>8094</v>
      </c>
      <c r="Z672" s="4" t="s">
        <v>8094</v>
      </c>
      <c r="AA672" s="3">
        <v>142</v>
      </c>
      <c r="AB672" s="3">
        <v>85</v>
      </c>
      <c r="AC672" s="3">
        <v>482</v>
      </c>
      <c r="AD672" s="3">
        <v>1</v>
      </c>
      <c r="AE672" s="3">
        <v>5</v>
      </c>
      <c r="AF672" s="3">
        <v>0</v>
      </c>
      <c r="AG672" s="3">
        <v>20</v>
      </c>
      <c r="AH672" s="3">
        <v>0</v>
      </c>
      <c r="AI672" s="3">
        <v>7</v>
      </c>
      <c r="AJ672" s="3">
        <v>0</v>
      </c>
      <c r="AK672" s="3">
        <v>5</v>
      </c>
      <c r="AL672" s="3">
        <v>0</v>
      </c>
      <c r="AM672" s="3">
        <v>5</v>
      </c>
      <c r="AN672" s="3">
        <v>0</v>
      </c>
      <c r="AO672" s="3">
        <v>4</v>
      </c>
      <c r="AP672" s="3">
        <v>0</v>
      </c>
      <c r="AQ672" s="3">
        <v>1</v>
      </c>
      <c r="AR672" s="2" t="s">
        <v>5</v>
      </c>
      <c r="AS672" s="2" t="s">
        <v>5</v>
      </c>
      <c r="AU672" s="5" t="str">
        <f>HYPERLINK("https://creighton-primo.hosted.exlibrisgroup.com/primo-explore/search?tab=default_tab&amp;search_scope=EVERYTHING&amp;vid=01CRU&amp;lang=en_US&amp;offset=0&amp;query=any,contains,991000551919702656","Catalog Record")</f>
        <v>Catalog Record</v>
      </c>
      <c r="AV672" s="5" t="str">
        <f>HYPERLINK("http://www.worldcat.org/oclc/51478057","WorldCat Record")</f>
        <v>WorldCat Record</v>
      </c>
      <c r="AW672" s="2" t="s">
        <v>8242</v>
      </c>
      <c r="AX672" s="2" t="s">
        <v>8243</v>
      </c>
      <c r="AY672" s="2" t="s">
        <v>8244</v>
      </c>
      <c r="AZ672" s="2" t="s">
        <v>8244</v>
      </c>
      <c r="BA672" s="2" t="s">
        <v>8245</v>
      </c>
      <c r="BB672" s="2" t="s">
        <v>21</v>
      </c>
      <c r="BD672" s="2" t="s">
        <v>8246</v>
      </c>
      <c r="BE672" s="2" t="s">
        <v>8247</v>
      </c>
      <c r="BF672" s="2" t="s">
        <v>8248</v>
      </c>
    </row>
    <row r="673" spans="1:58" ht="41.25" customHeight="1" x14ac:dyDescent="0.25">
      <c r="A673" s="8" t="s">
        <v>5</v>
      </c>
      <c r="B673" s="1" t="s">
        <v>0</v>
      </c>
      <c r="C673" s="1" t="s">
        <v>1</v>
      </c>
      <c r="D673" s="1" t="s">
        <v>8249</v>
      </c>
      <c r="E673" s="1" t="s">
        <v>8250</v>
      </c>
      <c r="F673" s="1" t="s">
        <v>8251</v>
      </c>
      <c r="H673" s="2" t="s">
        <v>5</v>
      </c>
      <c r="I673" s="2" t="s">
        <v>6</v>
      </c>
      <c r="J673" s="2" t="s">
        <v>5</v>
      </c>
      <c r="K673" s="2" t="s">
        <v>5</v>
      </c>
      <c r="L673" s="2" t="s">
        <v>7</v>
      </c>
      <c r="M673" s="1" t="s">
        <v>8252</v>
      </c>
      <c r="N673" s="1" t="s">
        <v>8253</v>
      </c>
      <c r="O673" s="2" t="s">
        <v>1046</v>
      </c>
      <c r="Q673" s="2" t="s">
        <v>11</v>
      </c>
      <c r="R673" s="2" t="s">
        <v>12</v>
      </c>
      <c r="T673" s="2" t="s">
        <v>520</v>
      </c>
      <c r="U673" s="3">
        <v>1</v>
      </c>
      <c r="V673" s="3">
        <v>1</v>
      </c>
      <c r="W673" s="4" t="s">
        <v>8254</v>
      </c>
      <c r="X673" s="4" t="s">
        <v>8254</v>
      </c>
      <c r="Y673" s="4" t="s">
        <v>8254</v>
      </c>
      <c r="Z673" s="4" t="s">
        <v>8254</v>
      </c>
      <c r="AA673" s="3">
        <v>197</v>
      </c>
      <c r="AB673" s="3">
        <v>144</v>
      </c>
      <c r="AC673" s="3">
        <v>150</v>
      </c>
      <c r="AD673" s="3">
        <v>1</v>
      </c>
      <c r="AE673" s="3">
        <v>1</v>
      </c>
      <c r="AF673" s="3">
        <v>6</v>
      </c>
      <c r="AG673" s="3">
        <v>6</v>
      </c>
      <c r="AH673" s="3">
        <v>2</v>
      </c>
      <c r="AI673" s="3">
        <v>2</v>
      </c>
      <c r="AJ673" s="3">
        <v>0</v>
      </c>
      <c r="AK673" s="3">
        <v>0</v>
      </c>
      <c r="AL673" s="3">
        <v>4</v>
      </c>
      <c r="AM673" s="3">
        <v>4</v>
      </c>
      <c r="AN673" s="3">
        <v>0</v>
      </c>
      <c r="AO673" s="3">
        <v>0</v>
      </c>
      <c r="AP673" s="3">
        <v>0</v>
      </c>
      <c r="AQ673" s="3">
        <v>0</v>
      </c>
      <c r="AR673" s="2" t="s">
        <v>5</v>
      </c>
      <c r="AS673" s="2" t="s">
        <v>5</v>
      </c>
      <c r="AU673" s="5" t="str">
        <f>HYPERLINK("https://creighton-primo.hosted.exlibrisgroup.com/primo-explore/search?tab=default_tab&amp;search_scope=EVERYTHING&amp;vid=01CRU&amp;lang=en_US&amp;offset=0&amp;query=any,contains,991000537179702656","Catalog Record")</f>
        <v>Catalog Record</v>
      </c>
      <c r="AV673" s="5" t="str">
        <f>HYPERLINK("http://www.worldcat.org/oclc/49743666","WorldCat Record")</f>
        <v>WorldCat Record</v>
      </c>
      <c r="AW673" s="2" t="s">
        <v>8255</v>
      </c>
      <c r="AX673" s="2" t="s">
        <v>8256</v>
      </c>
      <c r="AY673" s="2" t="s">
        <v>8257</v>
      </c>
      <c r="AZ673" s="2" t="s">
        <v>8257</v>
      </c>
      <c r="BA673" s="2" t="s">
        <v>8258</v>
      </c>
      <c r="BB673" s="2" t="s">
        <v>21</v>
      </c>
      <c r="BD673" s="2" t="s">
        <v>8259</v>
      </c>
      <c r="BE673" s="2" t="s">
        <v>8260</v>
      </c>
      <c r="BF673" s="2" t="s">
        <v>8261</v>
      </c>
    </row>
    <row r="674" spans="1:58" ht="41.25" customHeight="1" x14ac:dyDescent="0.25">
      <c r="A674" s="8" t="s">
        <v>5</v>
      </c>
      <c r="B674" s="1" t="s">
        <v>0</v>
      </c>
      <c r="C674" s="1" t="s">
        <v>1</v>
      </c>
      <c r="D674" s="1" t="s">
        <v>8262</v>
      </c>
      <c r="E674" s="1" t="s">
        <v>8263</v>
      </c>
      <c r="F674" s="1" t="s">
        <v>8264</v>
      </c>
      <c r="G674" s="2" t="s">
        <v>839</v>
      </c>
      <c r="H674" s="2" t="s">
        <v>16</v>
      </c>
      <c r="I674" s="2" t="s">
        <v>6</v>
      </c>
      <c r="J674" s="2" t="s">
        <v>5</v>
      </c>
      <c r="K674" s="2" t="s">
        <v>5</v>
      </c>
      <c r="L674" s="2" t="s">
        <v>7</v>
      </c>
      <c r="M674" s="1" t="s">
        <v>8265</v>
      </c>
      <c r="N674" s="1" t="s">
        <v>8266</v>
      </c>
      <c r="O674" s="2" t="s">
        <v>1195</v>
      </c>
      <c r="Q674" s="2" t="s">
        <v>11</v>
      </c>
      <c r="R674" s="2" t="s">
        <v>1325</v>
      </c>
      <c r="S674" s="1" t="s">
        <v>8267</v>
      </c>
      <c r="T674" s="2" t="s">
        <v>520</v>
      </c>
      <c r="U674" s="3">
        <v>1</v>
      </c>
      <c r="V674" s="3">
        <v>1</v>
      </c>
      <c r="W674" s="4" t="s">
        <v>8268</v>
      </c>
      <c r="X674" s="4" t="s">
        <v>8268</v>
      </c>
      <c r="Y674" s="4" t="s">
        <v>5600</v>
      </c>
      <c r="Z674" s="4" t="s">
        <v>8080</v>
      </c>
      <c r="AA674" s="3">
        <v>151</v>
      </c>
      <c r="AB674" s="3">
        <v>149</v>
      </c>
      <c r="AC674" s="3">
        <v>152</v>
      </c>
      <c r="AD674" s="3">
        <v>2</v>
      </c>
      <c r="AE674" s="3">
        <v>2</v>
      </c>
      <c r="AF674" s="3">
        <v>12</v>
      </c>
      <c r="AG674" s="3">
        <v>12</v>
      </c>
      <c r="AH674" s="3">
        <v>4</v>
      </c>
      <c r="AI674" s="3">
        <v>4</v>
      </c>
      <c r="AJ674" s="3">
        <v>4</v>
      </c>
      <c r="AK674" s="3">
        <v>4</v>
      </c>
      <c r="AL674" s="3">
        <v>6</v>
      </c>
      <c r="AM674" s="3">
        <v>6</v>
      </c>
      <c r="AN674" s="3">
        <v>0</v>
      </c>
      <c r="AO674" s="3">
        <v>0</v>
      </c>
      <c r="AP674" s="3">
        <v>0</v>
      </c>
      <c r="AQ674" s="3">
        <v>0</v>
      </c>
      <c r="AR674" s="2" t="s">
        <v>5</v>
      </c>
      <c r="AS674" s="2" t="s">
        <v>16</v>
      </c>
      <c r="AT674" s="5" t="str">
        <f>HYPERLINK("http://catalog.hathitrust.org/Record/003569906","HathiTrust Record")</f>
        <v>HathiTrust Record</v>
      </c>
      <c r="AU674" s="5" t="str">
        <f>HYPERLINK("https://creighton-primo.hosted.exlibrisgroup.com/primo-explore/search?tab=default_tab&amp;search_scope=EVERYTHING&amp;vid=01CRU&amp;lang=en_US&amp;offset=0&amp;query=any,contains,991000296509702656","Catalog Record")</f>
        <v>Catalog Record</v>
      </c>
      <c r="AV674" s="5" t="str">
        <f>HYPERLINK("http://www.worldcat.org/oclc/44040395","WorldCat Record")</f>
        <v>WorldCat Record</v>
      </c>
      <c r="AW674" s="2" t="s">
        <v>8269</v>
      </c>
      <c r="AX674" s="2" t="s">
        <v>8270</v>
      </c>
      <c r="AY674" s="2" t="s">
        <v>8271</v>
      </c>
      <c r="AZ674" s="2" t="s">
        <v>8271</v>
      </c>
      <c r="BA674" s="2" t="s">
        <v>8272</v>
      </c>
      <c r="BB674" s="2" t="s">
        <v>21</v>
      </c>
      <c r="BD674" s="2" t="s">
        <v>8273</v>
      </c>
      <c r="BE674" s="2" t="s">
        <v>8274</v>
      </c>
      <c r="BF674" s="2" t="s">
        <v>8275</v>
      </c>
    </row>
    <row r="675" spans="1:58" ht="41.25" customHeight="1" x14ac:dyDescent="0.25">
      <c r="A675" s="8" t="s">
        <v>5</v>
      </c>
      <c r="B675" s="1" t="s">
        <v>0</v>
      </c>
      <c r="C675" s="1" t="s">
        <v>1</v>
      </c>
      <c r="D675" s="1" t="s">
        <v>8276</v>
      </c>
      <c r="E675" s="1" t="s">
        <v>8277</v>
      </c>
      <c r="F675" s="1" t="s">
        <v>8264</v>
      </c>
      <c r="G675" s="2" t="s">
        <v>820</v>
      </c>
      <c r="H675" s="2" t="s">
        <v>16</v>
      </c>
      <c r="I675" s="2" t="s">
        <v>6</v>
      </c>
      <c r="J675" s="2" t="s">
        <v>5</v>
      </c>
      <c r="K675" s="2" t="s">
        <v>5</v>
      </c>
      <c r="L675" s="2" t="s">
        <v>7</v>
      </c>
      <c r="M675" s="1" t="s">
        <v>8265</v>
      </c>
      <c r="N675" s="1" t="s">
        <v>8266</v>
      </c>
      <c r="O675" s="2" t="s">
        <v>1195</v>
      </c>
      <c r="Q675" s="2" t="s">
        <v>11</v>
      </c>
      <c r="R675" s="2" t="s">
        <v>1325</v>
      </c>
      <c r="S675" s="1" t="s">
        <v>8267</v>
      </c>
      <c r="T675" s="2" t="s">
        <v>520</v>
      </c>
      <c r="U675" s="3">
        <v>0</v>
      </c>
      <c r="V675" s="3">
        <v>1</v>
      </c>
      <c r="X675" s="4" t="s">
        <v>8268</v>
      </c>
      <c r="Y675" s="4" t="s">
        <v>8080</v>
      </c>
      <c r="Z675" s="4" t="s">
        <v>8080</v>
      </c>
      <c r="AA675" s="3">
        <v>151</v>
      </c>
      <c r="AB675" s="3">
        <v>149</v>
      </c>
      <c r="AC675" s="3">
        <v>152</v>
      </c>
      <c r="AD675" s="3">
        <v>2</v>
      </c>
      <c r="AE675" s="3">
        <v>2</v>
      </c>
      <c r="AF675" s="3">
        <v>12</v>
      </c>
      <c r="AG675" s="3">
        <v>12</v>
      </c>
      <c r="AH675" s="3">
        <v>4</v>
      </c>
      <c r="AI675" s="3">
        <v>4</v>
      </c>
      <c r="AJ675" s="3">
        <v>4</v>
      </c>
      <c r="AK675" s="3">
        <v>4</v>
      </c>
      <c r="AL675" s="3">
        <v>6</v>
      </c>
      <c r="AM675" s="3">
        <v>6</v>
      </c>
      <c r="AN675" s="3">
        <v>0</v>
      </c>
      <c r="AO675" s="3">
        <v>0</v>
      </c>
      <c r="AP675" s="3">
        <v>0</v>
      </c>
      <c r="AQ675" s="3">
        <v>0</v>
      </c>
      <c r="AR675" s="2" t="s">
        <v>5</v>
      </c>
      <c r="AS675" s="2" t="s">
        <v>16</v>
      </c>
      <c r="AT675" s="5" t="str">
        <f>HYPERLINK("http://catalog.hathitrust.org/Record/003569906","HathiTrust Record")</f>
        <v>HathiTrust Record</v>
      </c>
      <c r="AU675" s="5" t="str">
        <f>HYPERLINK("https://creighton-primo.hosted.exlibrisgroup.com/primo-explore/search?tab=default_tab&amp;search_scope=EVERYTHING&amp;vid=01CRU&amp;lang=en_US&amp;offset=0&amp;query=any,contains,991000296509702656","Catalog Record")</f>
        <v>Catalog Record</v>
      </c>
      <c r="AV675" s="5" t="str">
        <f>HYPERLINK("http://www.worldcat.org/oclc/44040395","WorldCat Record")</f>
        <v>WorldCat Record</v>
      </c>
      <c r="AW675" s="2" t="s">
        <v>8269</v>
      </c>
      <c r="AX675" s="2" t="s">
        <v>8270</v>
      </c>
      <c r="AY675" s="2" t="s">
        <v>8271</v>
      </c>
      <c r="AZ675" s="2" t="s">
        <v>8271</v>
      </c>
      <c r="BA675" s="2" t="s">
        <v>8272</v>
      </c>
      <c r="BB675" s="2" t="s">
        <v>21</v>
      </c>
      <c r="BD675" s="2" t="s">
        <v>8273</v>
      </c>
      <c r="BE675" s="2" t="s">
        <v>8278</v>
      </c>
      <c r="BF675" s="2" t="s">
        <v>8279</v>
      </c>
    </row>
    <row r="676" spans="1:58" ht="41.25" customHeight="1" x14ac:dyDescent="0.25">
      <c r="A676" s="8" t="s">
        <v>5</v>
      </c>
      <c r="B676" s="1" t="s">
        <v>0</v>
      </c>
      <c r="C676" s="1" t="s">
        <v>1</v>
      </c>
      <c r="D676" s="1" t="s">
        <v>8280</v>
      </c>
      <c r="E676" s="1" t="s">
        <v>8281</v>
      </c>
      <c r="F676" s="1" t="s">
        <v>8282</v>
      </c>
      <c r="H676" s="2" t="s">
        <v>5</v>
      </c>
      <c r="I676" s="2" t="s">
        <v>6</v>
      </c>
      <c r="J676" s="2" t="s">
        <v>5</v>
      </c>
      <c r="K676" s="2" t="s">
        <v>5</v>
      </c>
      <c r="L676" s="2" t="s">
        <v>7</v>
      </c>
      <c r="N676" s="1" t="s">
        <v>8283</v>
      </c>
      <c r="O676" s="2" t="s">
        <v>151</v>
      </c>
      <c r="Q676" s="2" t="s">
        <v>11</v>
      </c>
      <c r="R676" s="2" t="s">
        <v>31</v>
      </c>
      <c r="S676" s="1" t="s">
        <v>8284</v>
      </c>
      <c r="T676" s="2" t="s">
        <v>520</v>
      </c>
      <c r="U676" s="3">
        <v>3</v>
      </c>
      <c r="V676" s="3">
        <v>3</v>
      </c>
      <c r="W676" s="4" t="s">
        <v>8285</v>
      </c>
      <c r="X676" s="4" t="s">
        <v>8285</v>
      </c>
      <c r="Y676" s="4" t="s">
        <v>5957</v>
      </c>
      <c r="Z676" s="4" t="s">
        <v>5957</v>
      </c>
      <c r="AA676" s="3">
        <v>15</v>
      </c>
      <c r="AB676" s="3">
        <v>15</v>
      </c>
      <c r="AC676" s="3">
        <v>15</v>
      </c>
      <c r="AD676" s="3">
        <v>1</v>
      </c>
      <c r="AE676" s="3">
        <v>1</v>
      </c>
      <c r="AF676" s="3">
        <v>1</v>
      </c>
      <c r="AG676" s="3">
        <v>1</v>
      </c>
      <c r="AH676" s="3">
        <v>0</v>
      </c>
      <c r="AI676" s="3">
        <v>0</v>
      </c>
      <c r="AJ676" s="3">
        <v>0</v>
      </c>
      <c r="AK676" s="3">
        <v>0</v>
      </c>
      <c r="AL676" s="3">
        <v>1</v>
      </c>
      <c r="AM676" s="3">
        <v>1</v>
      </c>
      <c r="AN676" s="3">
        <v>0</v>
      </c>
      <c r="AO676" s="3">
        <v>0</v>
      </c>
      <c r="AP676" s="3">
        <v>0</v>
      </c>
      <c r="AQ676" s="3">
        <v>0</v>
      </c>
      <c r="AR676" s="2" t="s">
        <v>5</v>
      </c>
      <c r="AS676" s="2" t="s">
        <v>5</v>
      </c>
      <c r="AU676" s="5" t="str">
        <f>HYPERLINK("https://creighton-primo.hosted.exlibrisgroup.com/primo-explore/search?tab=default_tab&amp;search_scope=EVERYTHING&amp;vid=01CRU&amp;lang=en_US&amp;offset=0&amp;query=any,contains,991001521829702656","Catalog Record")</f>
        <v>Catalog Record</v>
      </c>
      <c r="AV676" s="5" t="str">
        <f>HYPERLINK("http://www.worldcat.org/oclc/3155217","WorldCat Record")</f>
        <v>WorldCat Record</v>
      </c>
      <c r="AW676" s="2" t="s">
        <v>8286</v>
      </c>
      <c r="AX676" s="2" t="s">
        <v>8287</v>
      </c>
      <c r="AY676" s="2" t="s">
        <v>8288</v>
      </c>
      <c r="AZ676" s="2" t="s">
        <v>8288</v>
      </c>
      <c r="BA676" s="2" t="s">
        <v>8289</v>
      </c>
      <c r="BB676" s="2" t="s">
        <v>21</v>
      </c>
      <c r="BE676" s="2" t="s">
        <v>8290</v>
      </c>
      <c r="BF676" s="2" t="s">
        <v>8291</v>
      </c>
    </row>
    <row r="677" spans="1:58" ht="41.25" customHeight="1" x14ac:dyDescent="0.25">
      <c r="A677" s="8" t="s">
        <v>5</v>
      </c>
      <c r="B677" s="1" t="s">
        <v>0</v>
      </c>
      <c r="C677" s="1" t="s">
        <v>1</v>
      </c>
      <c r="D677" s="1" t="s">
        <v>8292</v>
      </c>
      <c r="E677" s="1" t="s">
        <v>8293</v>
      </c>
      <c r="F677" s="1" t="s">
        <v>8294</v>
      </c>
      <c r="H677" s="2" t="s">
        <v>5</v>
      </c>
      <c r="I677" s="2" t="s">
        <v>6</v>
      </c>
      <c r="J677" s="2" t="s">
        <v>5</v>
      </c>
      <c r="K677" s="2" t="s">
        <v>5</v>
      </c>
      <c r="L677" s="2" t="s">
        <v>7</v>
      </c>
      <c r="M677" s="1" t="s">
        <v>8295</v>
      </c>
      <c r="N677" s="1" t="s">
        <v>8296</v>
      </c>
      <c r="O677" s="2" t="s">
        <v>989</v>
      </c>
      <c r="Q677" s="2" t="s">
        <v>11</v>
      </c>
      <c r="R677" s="2" t="s">
        <v>3356</v>
      </c>
      <c r="T677" s="2" t="s">
        <v>520</v>
      </c>
      <c r="U677" s="3">
        <v>3</v>
      </c>
      <c r="V677" s="3">
        <v>3</v>
      </c>
      <c r="W677" s="4" t="s">
        <v>8297</v>
      </c>
      <c r="X677" s="4" t="s">
        <v>8297</v>
      </c>
      <c r="Y677" s="4" t="s">
        <v>1143</v>
      </c>
      <c r="Z677" s="4" t="s">
        <v>1143</v>
      </c>
      <c r="AA677" s="3">
        <v>236</v>
      </c>
      <c r="AB677" s="3">
        <v>185</v>
      </c>
      <c r="AC677" s="3">
        <v>193</v>
      </c>
      <c r="AD677" s="3">
        <v>2</v>
      </c>
      <c r="AE677" s="3">
        <v>2</v>
      </c>
      <c r="AF677" s="3">
        <v>11</v>
      </c>
      <c r="AG677" s="3">
        <v>11</v>
      </c>
      <c r="AH677" s="3">
        <v>5</v>
      </c>
      <c r="AI677" s="3">
        <v>5</v>
      </c>
      <c r="AJ677" s="3">
        <v>2</v>
      </c>
      <c r="AK677" s="3">
        <v>2</v>
      </c>
      <c r="AL677" s="3">
        <v>5</v>
      </c>
      <c r="AM677" s="3">
        <v>5</v>
      </c>
      <c r="AN677" s="3">
        <v>1</v>
      </c>
      <c r="AO677" s="3">
        <v>1</v>
      </c>
      <c r="AP677" s="3">
        <v>0</v>
      </c>
      <c r="AQ677" s="3">
        <v>0</v>
      </c>
      <c r="AR677" s="2" t="s">
        <v>5</v>
      </c>
      <c r="AS677" s="2" t="s">
        <v>16</v>
      </c>
      <c r="AT677" s="5" t="str">
        <f>HYPERLINK("http://catalog.hathitrust.org/Record/001826523","HathiTrust Record")</f>
        <v>HathiTrust Record</v>
      </c>
      <c r="AU677" s="5" t="str">
        <f>HYPERLINK("https://creighton-primo.hosted.exlibrisgroup.com/primo-explore/search?tab=default_tab&amp;search_scope=EVERYTHING&amp;vid=01CRU&amp;lang=en_US&amp;offset=0&amp;query=any,contains,991001477299702656","Catalog Record")</f>
        <v>Catalog Record</v>
      </c>
      <c r="AV677" s="5" t="str">
        <f>HYPERLINK("http://www.worldcat.org/oclc/19981497","WorldCat Record")</f>
        <v>WorldCat Record</v>
      </c>
      <c r="AW677" s="2" t="s">
        <v>8298</v>
      </c>
      <c r="AX677" s="2" t="s">
        <v>8299</v>
      </c>
      <c r="AY677" s="2" t="s">
        <v>8300</v>
      </c>
      <c r="AZ677" s="2" t="s">
        <v>8300</v>
      </c>
      <c r="BA677" s="2" t="s">
        <v>8301</v>
      </c>
      <c r="BB677" s="2" t="s">
        <v>21</v>
      </c>
      <c r="BD677" s="2" t="s">
        <v>8302</v>
      </c>
      <c r="BE677" s="2" t="s">
        <v>8303</v>
      </c>
      <c r="BF677" s="2" t="s">
        <v>8304</v>
      </c>
    </row>
    <row r="678" spans="1:58" ht="41.25" customHeight="1" x14ac:dyDescent="0.25">
      <c r="A678" s="8" t="s">
        <v>5</v>
      </c>
      <c r="B678" s="1" t="s">
        <v>0</v>
      </c>
      <c r="C678" s="1" t="s">
        <v>1</v>
      </c>
      <c r="D678" s="1" t="s">
        <v>8305</v>
      </c>
      <c r="E678" s="1" t="s">
        <v>8306</v>
      </c>
      <c r="F678" s="1" t="s">
        <v>8307</v>
      </c>
      <c r="H678" s="2" t="s">
        <v>5</v>
      </c>
      <c r="I678" s="2" t="s">
        <v>6</v>
      </c>
      <c r="J678" s="2" t="s">
        <v>5</v>
      </c>
      <c r="K678" s="2" t="s">
        <v>5</v>
      </c>
      <c r="L678" s="2" t="s">
        <v>7</v>
      </c>
      <c r="N678" s="1" t="s">
        <v>3780</v>
      </c>
      <c r="O678" s="2" t="s">
        <v>382</v>
      </c>
      <c r="Q678" s="2" t="s">
        <v>11</v>
      </c>
      <c r="R678" s="2" t="s">
        <v>426</v>
      </c>
      <c r="S678" s="1" t="s">
        <v>8308</v>
      </c>
      <c r="T678" s="2" t="s">
        <v>520</v>
      </c>
      <c r="U678" s="3">
        <v>6</v>
      </c>
      <c r="V678" s="3">
        <v>6</v>
      </c>
      <c r="W678" s="4" t="s">
        <v>8309</v>
      </c>
      <c r="X678" s="4" t="s">
        <v>8309</v>
      </c>
      <c r="Y678" s="4" t="s">
        <v>1249</v>
      </c>
      <c r="Z678" s="4" t="s">
        <v>1249</v>
      </c>
      <c r="AA678" s="3">
        <v>252</v>
      </c>
      <c r="AB678" s="3">
        <v>223</v>
      </c>
      <c r="AC678" s="3">
        <v>230</v>
      </c>
      <c r="AD678" s="3">
        <v>2</v>
      </c>
      <c r="AE678" s="3">
        <v>2</v>
      </c>
      <c r="AF678" s="3">
        <v>10</v>
      </c>
      <c r="AG678" s="3">
        <v>10</v>
      </c>
      <c r="AH678" s="3">
        <v>3</v>
      </c>
      <c r="AI678" s="3">
        <v>3</v>
      </c>
      <c r="AJ678" s="3">
        <v>2</v>
      </c>
      <c r="AK678" s="3">
        <v>2</v>
      </c>
      <c r="AL678" s="3">
        <v>7</v>
      </c>
      <c r="AM678" s="3">
        <v>7</v>
      </c>
      <c r="AN678" s="3">
        <v>0</v>
      </c>
      <c r="AO678" s="3">
        <v>0</v>
      </c>
      <c r="AP678" s="3">
        <v>0</v>
      </c>
      <c r="AQ678" s="3">
        <v>0</v>
      </c>
      <c r="AR678" s="2" t="s">
        <v>5</v>
      </c>
      <c r="AS678" s="2" t="s">
        <v>16</v>
      </c>
      <c r="AT678" s="5" t="str">
        <f>HYPERLINK("http://catalog.hathitrust.org/Record/000391548","HathiTrust Record")</f>
        <v>HathiTrust Record</v>
      </c>
      <c r="AU678" s="5" t="str">
        <f>HYPERLINK("https://creighton-primo.hosted.exlibrisgroup.com/primo-explore/search?tab=default_tab&amp;search_scope=EVERYTHING&amp;vid=01CRU&amp;lang=en_US&amp;offset=0&amp;query=any,contains,991001385909702656","Catalog Record")</f>
        <v>Catalog Record</v>
      </c>
      <c r="AV678" s="5" t="str">
        <f>HYPERLINK("http://www.worldcat.org/oclc/12709343","WorldCat Record")</f>
        <v>WorldCat Record</v>
      </c>
      <c r="AW678" s="2" t="s">
        <v>8310</v>
      </c>
      <c r="AX678" s="2" t="s">
        <v>8311</v>
      </c>
      <c r="AY678" s="2" t="s">
        <v>8312</v>
      </c>
      <c r="AZ678" s="2" t="s">
        <v>8312</v>
      </c>
      <c r="BA678" s="2" t="s">
        <v>8313</v>
      </c>
      <c r="BB678" s="2" t="s">
        <v>21</v>
      </c>
      <c r="BD678" s="2" t="s">
        <v>8314</v>
      </c>
      <c r="BE678" s="2" t="s">
        <v>8315</v>
      </c>
      <c r="BF678" s="2" t="s">
        <v>8316</v>
      </c>
    </row>
    <row r="679" spans="1:58" ht="41.25" customHeight="1" x14ac:dyDescent="0.25">
      <c r="A679" s="8" t="s">
        <v>5</v>
      </c>
      <c r="B679" s="1" t="s">
        <v>0</v>
      </c>
      <c r="C679" s="1" t="s">
        <v>1</v>
      </c>
      <c r="D679" s="1" t="s">
        <v>8317</v>
      </c>
      <c r="E679" s="1" t="s">
        <v>8318</v>
      </c>
      <c r="F679" s="1" t="s">
        <v>8319</v>
      </c>
      <c r="H679" s="2" t="s">
        <v>5</v>
      </c>
      <c r="I679" s="2" t="s">
        <v>6</v>
      </c>
      <c r="J679" s="2" t="s">
        <v>5</v>
      </c>
      <c r="K679" s="2" t="s">
        <v>5</v>
      </c>
      <c r="L679" s="2" t="s">
        <v>7</v>
      </c>
      <c r="N679" s="1" t="s">
        <v>8320</v>
      </c>
      <c r="O679" s="2" t="s">
        <v>888</v>
      </c>
      <c r="Q679" s="2" t="s">
        <v>11</v>
      </c>
      <c r="R679" s="2" t="s">
        <v>12</v>
      </c>
      <c r="S679" s="1" t="s">
        <v>8321</v>
      </c>
      <c r="T679" s="2" t="s">
        <v>520</v>
      </c>
      <c r="U679" s="3">
        <v>1</v>
      </c>
      <c r="V679" s="3">
        <v>1</v>
      </c>
      <c r="W679" s="4" t="s">
        <v>8322</v>
      </c>
      <c r="X679" s="4" t="s">
        <v>8322</v>
      </c>
      <c r="Y679" s="4" t="s">
        <v>604</v>
      </c>
      <c r="Z679" s="4" t="s">
        <v>604</v>
      </c>
      <c r="AA679" s="3">
        <v>274</v>
      </c>
      <c r="AB679" s="3">
        <v>249</v>
      </c>
      <c r="AC679" s="3">
        <v>256</v>
      </c>
      <c r="AD679" s="3">
        <v>1</v>
      </c>
      <c r="AE679" s="3">
        <v>1</v>
      </c>
      <c r="AF679" s="3">
        <v>13</v>
      </c>
      <c r="AG679" s="3">
        <v>13</v>
      </c>
      <c r="AH679" s="3">
        <v>7</v>
      </c>
      <c r="AI679" s="3">
        <v>7</v>
      </c>
      <c r="AJ679" s="3">
        <v>4</v>
      </c>
      <c r="AK679" s="3">
        <v>4</v>
      </c>
      <c r="AL679" s="3">
        <v>8</v>
      </c>
      <c r="AM679" s="3">
        <v>8</v>
      </c>
      <c r="AN679" s="3">
        <v>0</v>
      </c>
      <c r="AO679" s="3">
        <v>0</v>
      </c>
      <c r="AP679" s="3">
        <v>0</v>
      </c>
      <c r="AQ679" s="3">
        <v>0</v>
      </c>
      <c r="AR679" s="2" t="s">
        <v>5</v>
      </c>
      <c r="AS679" s="2" t="s">
        <v>16</v>
      </c>
      <c r="AT679" s="5" t="str">
        <f>HYPERLINK("http://catalog.hathitrust.org/Record/002505068","HathiTrust Record")</f>
        <v>HathiTrust Record</v>
      </c>
      <c r="AU679" s="5" t="str">
        <f>HYPERLINK("https://creighton-primo.hosted.exlibrisgroup.com/primo-explore/search?tab=default_tab&amp;search_scope=EVERYTHING&amp;vid=01CRU&amp;lang=en_US&amp;offset=0&amp;query=any,contains,991000193759702656","Catalog Record")</f>
        <v>Catalog Record</v>
      </c>
      <c r="AV679" s="5" t="str">
        <f>HYPERLINK("http://www.worldcat.org/oclc/10932630","WorldCat Record")</f>
        <v>WorldCat Record</v>
      </c>
      <c r="AW679" s="2" t="s">
        <v>8323</v>
      </c>
      <c r="AX679" s="2" t="s">
        <v>8324</v>
      </c>
      <c r="AY679" s="2" t="s">
        <v>8325</v>
      </c>
      <c r="AZ679" s="2" t="s">
        <v>8325</v>
      </c>
      <c r="BA679" s="2" t="s">
        <v>8326</v>
      </c>
      <c r="BB679" s="2" t="s">
        <v>21</v>
      </c>
      <c r="BD679" s="2" t="s">
        <v>8327</v>
      </c>
      <c r="BE679" s="2" t="s">
        <v>8328</v>
      </c>
      <c r="BF679" s="2" t="s">
        <v>8329</v>
      </c>
    </row>
    <row r="680" spans="1:58" ht="41.25" customHeight="1" x14ac:dyDescent="0.25">
      <c r="A680" s="8" t="s">
        <v>5</v>
      </c>
      <c r="B680" s="1" t="s">
        <v>0</v>
      </c>
      <c r="C680" s="1" t="s">
        <v>1</v>
      </c>
      <c r="D680" s="1" t="s">
        <v>8330</v>
      </c>
      <c r="E680" s="1" t="s">
        <v>8331</v>
      </c>
      <c r="F680" s="1" t="s">
        <v>8332</v>
      </c>
      <c r="H680" s="2" t="s">
        <v>5</v>
      </c>
      <c r="I680" s="2" t="s">
        <v>6</v>
      </c>
      <c r="J680" s="2" t="s">
        <v>5</v>
      </c>
      <c r="K680" s="2" t="s">
        <v>5</v>
      </c>
      <c r="L680" s="2" t="s">
        <v>7</v>
      </c>
      <c r="N680" s="1" t="s">
        <v>8333</v>
      </c>
      <c r="O680" s="2" t="s">
        <v>228</v>
      </c>
      <c r="Q680" s="2" t="s">
        <v>11</v>
      </c>
      <c r="R680" s="2" t="s">
        <v>31</v>
      </c>
      <c r="S680" s="1" t="s">
        <v>8334</v>
      </c>
      <c r="T680" s="2" t="s">
        <v>520</v>
      </c>
      <c r="U680" s="3">
        <v>4</v>
      </c>
      <c r="V680" s="3">
        <v>4</v>
      </c>
      <c r="W680" s="4" t="s">
        <v>8309</v>
      </c>
      <c r="X680" s="4" t="s">
        <v>8309</v>
      </c>
      <c r="Y680" s="4" t="s">
        <v>8335</v>
      </c>
      <c r="Z680" s="4" t="s">
        <v>8335</v>
      </c>
      <c r="AA680" s="3">
        <v>15</v>
      </c>
      <c r="AB680" s="3">
        <v>14</v>
      </c>
      <c r="AC680" s="3">
        <v>14</v>
      </c>
      <c r="AD680" s="3">
        <v>1</v>
      </c>
      <c r="AE680" s="3">
        <v>1</v>
      </c>
      <c r="AF680" s="3">
        <v>1</v>
      </c>
      <c r="AG680" s="3">
        <v>1</v>
      </c>
      <c r="AH680" s="3">
        <v>1</v>
      </c>
      <c r="AI680" s="3">
        <v>1</v>
      </c>
      <c r="AJ680" s="3">
        <v>0</v>
      </c>
      <c r="AK680" s="3">
        <v>0</v>
      </c>
      <c r="AL680" s="3">
        <v>1</v>
      </c>
      <c r="AM680" s="3">
        <v>1</v>
      </c>
      <c r="AN680" s="3">
        <v>0</v>
      </c>
      <c r="AO680" s="3">
        <v>0</v>
      </c>
      <c r="AP680" s="3">
        <v>0</v>
      </c>
      <c r="AQ680" s="3">
        <v>0</v>
      </c>
      <c r="AR680" s="2" t="s">
        <v>5</v>
      </c>
      <c r="AS680" s="2" t="s">
        <v>5</v>
      </c>
      <c r="AU680" s="5" t="str">
        <f>HYPERLINK("https://creighton-primo.hosted.exlibrisgroup.com/primo-explore/search?tab=default_tab&amp;search_scope=EVERYTHING&amp;vid=01CRU&amp;lang=en_US&amp;offset=0&amp;query=any,contains,991001548659702656","Catalog Record")</f>
        <v>Catalog Record</v>
      </c>
      <c r="AV680" s="5" t="str">
        <f>HYPERLINK("http://www.worldcat.org/oclc/9054989","WorldCat Record")</f>
        <v>WorldCat Record</v>
      </c>
      <c r="AW680" s="2" t="s">
        <v>8336</v>
      </c>
      <c r="AX680" s="2" t="s">
        <v>8337</v>
      </c>
      <c r="AY680" s="2" t="s">
        <v>8338</v>
      </c>
      <c r="AZ680" s="2" t="s">
        <v>8338</v>
      </c>
      <c r="BA680" s="2" t="s">
        <v>8339</v>
      </c>
      <c r="BB680" s="2" t="s">
        <v>21</v>
      </c>
      <c r="BE680" s="2" t="s">
        <v>8340</v>
      </c>
      <c r="BF680" s="2" t="s">
        <v>8341</v>
      </c>
    </row>
    <row r="681" spans="1:58" ht="41.25" customHeight="1" x14ac:dyDescent="0.25">
      <c r="A681" s="8" t="s">
        <v>5</v>
      </c>
      <c r="B681" s="1" t="s">
        <v>0</v>
      </c>
      <c r="C681" s="1" t="s">
        <v>1</v>
      </c>
      <c r="D681" s="1" t="s">
        <v>8342</v>
      </c>
      <c r="E681" s="1" t="s">
        <v>8343</v>
      </c>
      <c r="F681" s="1" t="s">
        <v>8344</v>
      </c>
      <c r="H681" s="2" t="s">
        <v>5</v>
      </c>
      <c r="I681" s="2" t="s">
        <v>6</v>
      </c>
      <c r="J681" s="2" t="s">
        <v>5</v>
      </c>
      <c r="K681" s="2" t="s">
        <v>5</v>
      </c>
      <c r="L681" s="2" t="s">
        <v>7</v>
      </c>
      <c r="N681" s="1" t="s">
        <v>6227</v>
      </c>
      <c r="O681" s="2" t="s">
        <v>136</v>
      </c>
      <c r="Q681" s="2" t="s">
        <v>11</v>
      </c>
      <c r="R681" s="2" t="s">
        <v>1140</v>
      </c>
      <c r="S681" s="1" t="s">
        <v>8345</v>
      </c>
      <c r="T681" s="2" t="s">
        <v>520</v>
      </c>
      <c r="U681" s="3">
        <v>3</v>
      </c>
      <c r="V681" s="3">
        <v>3</v>
      </c>
      <c r="W681" s="4" t="s">
        <v>8346</v>
      </c>
      <c r="X681" s="4" t="s">
        <v>8346</v>
      </c>
      <c r="Y681" s="4" t="s">
        <v>8347</v>
      </c>
      <c r="Z681" s="4" t="s">
        <v>8347</v>
      </c>
      <c r="AA681" s="3">
        <v>81</v>
      </c>
      <c r="AB681" s="3">
        <v>73</v>
      </c>
      <c r="AC681" s="3">
        <v>76</v>
      </c>
      <c r="AD681" s="3">
        <v>1</v>
      </c>
      <c r="AE681" s="3">
        <v>1</v>
      </c>
      <c r="AF681" s="3">
        <v>4</v>
      </c>
      <c r="AG681" s="3">
        <v>4</v>
      </c>
      <c r="AH681" s="3">
        <v>2</v>
      </c>
      <c r="AI681" s="3">
        <v>2</v>
      </c>
      <c r="AJ681" s="3">
        <v>0</v>
      </c>
      <c r="AK681" s="3">
        <v>0</v>
      </c>
      <c r="AL681" s="3">
        <v>3</v>
      </c>
      <c r="AM681" s="3">
        <v>3</v>
      </c>
      <c r="AN681" s="3">
        <v>0</v>
      </c>
      <c r="AO681" s="3">
        <v>0</v>
      </c>
      <c r="AP681" s="3">
        <v>0</v>
      </c>
      <c r="AQ681" s="3">
        <v>0</v>
      </c>
      <c r="AR681" s="2" t="s">
        <v>5</v>
      </c>
      <c r="AS681" s="2" t="s">
        <v>16</v>
      </c>
      <c r="AT681" s="5" t="str">
        <f>HYPERLINK("http://catalog.hathitrust.org/Record/002549633","HathiTrust Record")</f>
        <v>HathiTrust Record</v>
      </c>
      <c r="AU681" s="5" t="str">
        <f>HYPERLINK("https://creighton-primo.hosted.exlibrisgroup.com/primo-explore/search?tab=default_tab&amp;search_scope=EVERYTHING&amp;vid=01CRU&amp;lang=en_US&amp;offset=0&amp;query=any,contains,991001430009702656","Catalog Record")</f>
        <v>Catalog Record</v>
      </c>
      <c r="AV681" s="5" t="str">
        <f>HYPERLINK("http://www.worldcat.org/oclc/23219859","WorldCat Record")</f>
        <v>WorldCat Record</v>
      </c>
      <c r="AW681" s="2" t="s">
        <v>8348</v>
      </c>
      <c r="AX681" s="2" t="s">
        <v>8349</v>
      </c>
      <c r="AY681" s="2" t="s">
        <v>8350</v>
      </c>
      <c r="AZ681" s="2" t="s">
        <v>8350</v>
      </c>
      <c r="BA681" s="2" t="s">
        <v>8351</v>
      </c>
      <c r="BB681" s="2" t="s">
        <v>21</v>
      </c>
      <c r="BD681" s="2" t="s">
        <v>8352</v>
      </c>
      <c r="BE681" s="2" t="s">
        <v>8353</v>
      </c>
      <c r="BF681" s="2" t="s">
        <v>8354</v>
      </c>
    </row>
    <row r="682" spans="1:58" ht="41.25" customHeight="1" x14ac:dyDescent="0.25">
      <c r="A682" s="8" t="s">
        <v>5</v>
      </c>
      <c r="B682" s="1" t="s">
        <v>0</v>
      </c>
      <c r="C682" s="1" t="s">
        <v>1</v>
      </c>
      <c r="D682" s="1" t="s">
        <v>8355</v>
      </c>
      <c r="E682" s="1" t="s">
        <v>8356</v>
      </c>
      <c r="F682" s="1" t="s">
        <v>8357</v>
      </c>
      <c r="H682" s="2" t="s">
        <v>5</v>
      </c>
      <c r="I682" s="2" t="s">
        <v>6</v>
      </c>
      <c r="J682" s="2" t="s">
        <v>5</v>
      </c>
      <c r="K682" s="2" t="s">
        <v>5</v>
      </c>
      <c r="L682" s="2" t="s">
        <v>7</v>
      </c>
      <c r="M682" s="1" t="s">
        <v>5043</v>
      </c>
      <c r="N682" s="1" t="s">
        <v>8358</v>
      </c>
      <c r="O682" s="2" t="s">
        <v>872</v>
      </c>
      <c r="Q682" s="2" t="s">
        <v>11</v>
      </c>
      <c r="R682" s="2" t="s">
        <v>426</v>
      </c>
      <c r="S682" s="1" t="s">
        <v>8359</v>
      </c>
      <c r="T682" s="2" t="s">
        <v>520</v>
      </c>
      <c r="U682" s="3">
        <v>6</v>
      </c>
      <c r="V682" s="3">
        <v>6</v>
      </c>
      <c r="W682" s="4" t="s">
        <v>8360</v>
      </c>
      <c r="X682" s="4" t="s">
        <v>8360</v>
      </c>
      <c r="Y682" s="4" t="s">
        <v>8361</v>
      </c>
      <c r="Z682" s="4" t="s">
        <v>8361</v>
      </c>
      <c r="AA682" s="3">
        <v>106</v>
      </c>
      <c r="AB682" s="3">
        <v>100</v>
      </c>
      <c r="AC682" s="3">
        <v>111</v>
      </c>
      <c r="AD682" s="3">
        <v>2</v>
      </c>
      <c r="AE682" s="3">
        <v>2</v>
      </c>
      <c r="AF682" s="3">
        <v>5</v>
      </c>
      <c r="AG682" s="3">
        <v>5</v>
      </c>
      <c r="AH682" s="3">
        <v>2</v>
      </c>
      <c r="AI682" s="3">
        <v>2</v>
      </c>
      <c r="AJ682" s="3">
        <v>0</v>
      </c>
      <c r="AK682" s="3">
        <v>0</v>
      </c>
      <c r="AL682" s="3">
        <v>4</v>
      </c>
      <c r="AM682" s="3">
        <v>4</v>
      </c>
      <c r="AN682" s="3">
        <v>0</v>
      </c>
      <c r="AO682" s="3">
        <v>0</v>
      </c>
      <c r="AP682" s="3">
        <v>0</v>
      </c>
      <c r="AQ682" s="3">
        <v>0</v>
      </c>
      <c r="AR682" s="2" t="s">
        <v>5</v>
      </c>
      <c r="AS682" s="2" t="s">
        <v>16</v>
      </c>
      <c r="AT682" s="5" t="str">
        <f>HYPERLINK("http://catalog.hathitrust.org/Record/002237770","HathiTrust Record")</f>
        <v>HathiTrust Record</v>
      </c>
      <c r="AU682" s="5" t="str">
        <f>HYPERLINK("https://creighton-primo.hosted.exlibrisgroup.com/primo-explore/search?tab=default_tab&amp;search_scope=EVERYTHING&amp;vid=01CRU&amp;lang=en_US&amp;offset=0&amp;query=any,contains,991001309249702656","Catalog Record")</f>
        <v>Catalog Record</v>
      </c>
      <c r="AV682" s="5" t="str">
        <f>HYPERLINK("http://www.worldcat.org/oclc/19220457","WorldCat Record")</f>
        <v>WorldCat Record</v>
      </c>
      <c r="AW682" s="2" t="s">
        <v>8362</v>
      </c>
      <c r="AX682" s="2" t="s">
        <v>8363</v>
      </c>
      <c r="AY682" s="2" t="s">
        <v>8364</v>
      </c>
      <c r="AZ682" s="2" t="s">
        <v>8364</v>
      </c>
      <c r="BA682" s="2" t="s">
        <v>8365</v>
      </c>
      <c r="BB682" s="2" t="s">
        <v>21</v>
      </c>
      <c r="BE682" s="2" t="s">
        <v>8366</v>
      </c>
      <c r="BF682" s="2" t="s">
        <v>8367</v>
      </c>
    </row>
    <row r="683" spans="1:58" ht="41.25" customHeight="1" x14ac:dyDescent="0.25">
      <c r="A683" s="8" t="s">
        <v>5</v>
      </c>
      <c r="B683" s="1" t="s">
        <v>0</v>
      </c>
      <c r="C683" s="1" t="s">
        <v>1</v>
      </c>
      <c r="D683" s="1" t="s">
        <v>8368</v>
      </c>
      <c r="E683" s="1" t="s">
        <v>8369</v>
      </c>
      <c r="F683" s="1" t="s">
        <v>8370</v>
      </c>
      <c r="H683" s="2" t="s">
        <v>5</v>
      </c>
      <c r="I683" s="2" t="s">
        <v>6</v>
      </c>
      <c r="J683" s="2" t="s">
        <v>5</v>
      </c>
      <c r="K683" s="2" t="s">
        <v>5</v>
      </c>
      <c r="L683" s="2" t="s">
        <v>7</v>
      </c>
      <c r="M683" s="1" t="s">
        <v>8371</v>
      </c>
      <c r="N683" s="1" t="s">
        <v>8372</v>
      </c>
      <c r="O683" s="2" t="s">
        <v>939</v>
      </c>
      <c r="Q683" s="2" t="s">
        <v>11</v>
      </c>
      <c r="R683" s="2" t="s">
        <v>426</v>
      </c>
      <c r="S683" s="1" t="s">
        <v>8373</v>
      </c>
      <c r="T683" s="2" t="s">
        <v>520</v>
      </c>
      <c r="U683" s="3">
        <v>6</v>
      </c>
      <c r="V683" s="3">
        <v>6</v>
      </c>
      <c r="W683" s="4" t="s">
        <v>8374</v>
      </c>
      <c r="X683" s="4" t="s">
        <v>8374</v>
      </c>
      <c r="Y683" s="4" t="s">
        <v>1962</v>
      </c>
      <c r="Z683" s="4" t="s">
        <v>1962</v>
      </c>
      <c r="AA683" s="3">
        <v>197</v>
      </c>
      <c r="AB683" s="3">
        <v>155</v>
      </c>
      <c r="AC683" s="3">
        <v>162</v>
      </c>
      <c r="AD683" s="3">
        <v>1</v>
      </c>
      <c r="AE683" s="3">
        <v>1</v>
      </c>
      <c r="AF683" s="3">
        <v>6</v>
      </c>
      <c r="AG683" s="3">
        <v>6</v>
      </c>
      <c r="AH683" s="3">
        <v>2</v>
      </c>
      <c r="AI683" s="3">
        <v>2</v>
      </c>
      <c r="AJ683" s="3">
        <v>1</v>
      </c>
      <c r="AK683" s="3">
        <v>1</v>
      </c>
      <c r="AL683" s="3">
        <v>4</v>
      </c>
      <c r="AM683" s="3">
        <v>4</v>
      </c>
      <c r="AN683" s="3">
        <v>0</v>
      </c>
      <c r="AO683" s="3">
        <v>0</v>
      </c>
      <c r="AP683" s="3">
        <v>0</v>
      </c>
      <c r="AQ683" s="3">
        <v>0</v>
      </c>
      <c r="AR683" s="2" t="s">
        <v>5</v>
      </c>
      <c r="AS683" s="2" t="s">
        <v>16</v>
      </c>
      <c r="AT683" s="5" t="str">
        <f>HYPERLINK("http://catalog.hathitrust.org/Record/000901764","HathiTrust Record")</f>
        <v>HathiTrust Record</v>
      </c>
      <c r="AU683" s="5" t="str">
        <f>HYPERLINK("https://creighton-primo.hosted.exlibrisgroup.com/primo-explore/search?tab=default_tab&amp;search_scope=EVERYTHING&amp;vid=01CRU&amp;lang=en_US&amp;offset=0&amp;query=any,contains,991001416749702656","Catalog Record")</f>
        <v>Catalog Record</v>
      </c>
      <c r="AV683" s="5" t="str">
        <f>HYPERLINK("http://www.worldcat.org/oclc/16683966","WorldCat Record")</f>
        <v>WorldCat Record</v>
      </c>
      <c r="AW683" s="2" t="s">
        <v>8375</v>
      </c>
      <c r="AX683" s="2" t="s">
        <v>8376</v>
      </c>
      <c r="AY683" s="2" t="s">
        <v>8377</v>
      </c>
      <c r="AZ683" s="2" t="s">
        <v>8377</v>
      </c>
      <c r="BA683" s="2" t="s">
        <v>8378</v>
      </c>
      <c r="BB683" s="2" t="s">
        <v>21</v>
      </c>
      <c r="BD683" s="2" t="s">
        <v>8379</v>
      </c>
      <c r="BE683" s="2" t="s">
        <v>8380</v>
      </c>
      <c r="BF683" s="2" t="s">
        <v>8381</v>
      </c>
    </row>
    <row r="684" spans="1:58" ht="41.25" customHeight="1" x14ac:dyDescent="0.25">
      <c r="A684" s="8" t="s">
        <v>5</v>
      </c>
      <c r="B684" s="1" t="s">
        <v>0</v>
      </c>
      <c r="C684" s="1" t="s">
        <v>1</v>
      </c>
      <c r="D684" s="1" t="s">
        <v>8382</v>
      </c>
      <c r="E684" s="1" t="s">
        <v>8383</v>
      </c>
      <c r="F684" s="1" t="s">
        <v>8384</v>
      </c>
      <c r="H684" s="2" t="s">
        <v>5</v>
      </c>
      <c r="I684" s="2" t="s">
        <v>6</v>
      </c>
      <c r="J684" s="2" t="s">
        <v>5</v>
      </c>
      <c r="K684" s="2" t="s">
        <v>5</v>
      </c>
      <c r="L684" s="2" t="s">
        <v>7</v>
      </c>
      <c r="N684" s="1" t="s">
        <v>8385</v>
      </c>
      <c r="O684" s="2" t="s">
        <v>393</v>
      </c>
      <c r="Q684" s="2" t="s">
        <v>11</v>
      </c>
      <c r="R684" s="2" t="s">
        <v>426</v>
      </c>
      <c r="T684" s="2" t="s">
        <v>520</v>
      </c>
      <c r="U684" s="3">
        <v>2</v>
      </c>
      <c r="V684" s="3">
        <v>2</v>
      </c>
      <c r="W684" s="4" t="s">
        <v>8374</v>
      </c>
      <c r="X684" s="4" t="s">
        <v>8374</v>
      </c>
      <c r="Y684" s="4" t="s">
        <v>168</v>
      </c>
      <c r="Z684" s="4" t="s">
        <v>168</v>
      </c>
      <c r="AA684" s="3">
        <v>112</v>
      </c>
      <c r="AB684" s="3">
        <v>102</v>
      </c>
      <c r="AC684" s="3">
        <v>104</v>
      </c>
      <c r="AD684" s="3">
        <v>1</v>
      </c>
      <c r="AE684" s="3">
        <v>1</v>
      </c>
      <c r="AF684" s="3">
        <v>6</v>
      </c>
      <c r="AG684" s="3">
        <v>6</v>
      </c>
      <c r="AH684" s="3">
        <v>1</v>
      </c>
      <c r="AI684" s="3">
        <v>1</v>
      </c>
      <c r="AJ684" s="3">
        <v>2</v>
      </c>
      <c r="AK684" s="3">
        <v>2</v>
      </c>
      <c r="AL684" s="3">
        <v>3</v>
      </c>
      <c r="AM684" s="3">
        <v>3</v>
      </c>
      <c r="AN684" s="3">
        <v>0</v>
      </c>
      <c r="AO684" s="3">
        <v>0</v>
      </c>
      <c r="AP684" s="3">
        <v>0</v>
      </c>
      <c r="AQ684" s="3">
        <v>0</v>
      </c>
      <c r="AR684" s="2" t="s">
        <v>5</v>
      </c>
      <c r="AS684" s="2" t="s">
        <v>16</v>
      </c>
      <c r="AT684" s="5" t="str">
        <f>HYPERLINK("http://catalog.hathitrust.org/Record/000105194","HathiTrust Record")</f>
        <v>HathiTrust Record</v>
      </c>
      <c r="AU684" s="5" t="str">
        <f>HYPERLINK("https://creighton-primo.hosted.exlibrisgroup.com/primo-explore/search?tab=default_tab&amp;search_scope=EVERYTHING&amp;vid=01CRU&amp;lang=en_US&amp;offset=0&amp;query=any,contains,991001132009702656","Catalog Record")</f>
        <v>Catalog Record</v>
      </c>
      <c r="AV684" s="5" t="str">
        <f>HYPERLINK("http://www.worldcat.org/oclc/7923769","WorldCat Record")</f>
        <v>WorldCat Record</v>
      </c>
      <c r="AW684" s="2" t="s">
        <v>8386</v>
      </c>
      <c r="AX684" s="2" t="s">
        <v>8387</v>
      </c>
      <c r="AY684" s="2" t="s">
        <v>8388</v>
      </c>
      <c r="AZ684" s="2" t="s">
        <v>8388</v>
      </c>
      <c r="BA684" s="2" t="s">
        <v>8389</v>
      </c>
      <c r="BB684" s="2" t="s">
        <v>21</v>
      </c>
      <c r="BE684" s="2" t="s">
        <v>8390</v>
      </c>
      <c r="BF684" s="2" t="s">
        <v>8391</v>
      </c>
    </row>
    <row r="685" spans="1:58" ht="41.25" customHeight="1" x14ac:dyDescent="0.25">
      <c r="A685" s="8" t="s">
        <v>5</v>
      </c>
      <c r="B685" s="1" t="s">
        <v>0</v>
      </c>
      <c r="C685" s="1" t="s">
        <v>1</v>
      </c>
      <c r="D685" s="1" t="s">
        <v>8392</v>
      </c>
      <c r="E685" s="1" t="s">
        <v>8393</v>
      </c>
      <c r="F685" s="1" t="s">
        <v>8394</v>
      </c>
      <c r="H685" s="2" t="s">
        <v>5</v>
      </c>
      <c r="I685" s="2" t="s">
        <v>6</v>
      </c>
      <c r="J685" s="2" t="s">
        <v>5</v>
      </c>
      <c r="K685" s="2" t="s">
        <v>5</v>
      </c>
      <c r="L685" s="2" t="s">
        <v>7</v>
      </c>
      <c r="M685" s="1" t="s">
        <v>8395</v>
      </c>
      <c r="N685" s="1" t="s">
        <v>1403</v>
      </c>
      <c r="O685" s="2" t="s">
        <v>285</v>
      </c>
      <c r="Q685" s="2" t="s">
        <v>11</v>
      </c>
      <c r="R685" s="2" t="s">
        <v>12</v>
      </c>
      <c r="S685" s="1" t="s">
        <v>8396</v>
      </c>
      <c r="T685" s="2" t="s">
        <v>520</v>
      </c>
      <c r="U685" s="3">
        <v>2</v>
      </c>
      <c r="V685" s="3">
        <v>2</v>
      </c>
      <c r="W685" s="4" t="s">
        <v>5313</v>
      </c>
      <c r="X685" s="4" t="s">
        <v>5313</v>
      </c>
      <c r="Y685" s="4" t="s">
        <v>1249</v>
      </c>
      <c r="Z685" s="4" t="s">
        <v>1249</v>
      </c>
      <c r="AA685" s="3">
        <v>88</v>
      </c>
      <c r="AB685" s="3">
        <v>77</v>
      </c>
      <c r="AC685" s="3">
        <v>79</v>
      </c>
      <c r="AD685" s="3">
        <v>1</v>
      </c>
      <c r="AE685" s="3">
        <v>1</v>
      </c>
      <c r="AF685" s="3">
        <v>2</v>
      </c>
      <c r="AG685" s="3">
        <v>2</v>
      </c>
      <c r="AH685" s="3">
        <v>0</v>
      </c>
      <c r="AI685" s="3">
        <v>0</v>
      </c>
      <c r="AJ685" s="3">
        <v>1</v>
      </c>
      <c r="AK685" s="3">
        <v>1</v>
      </c>
      <c r="AL685" s="3">
        <v>2</v>
      </c>
      <c r="AM685" s="3">
        <v>2</v>
      </c>
      <c r="AN685" s="3">
        <v>0</v>
      </c>
      <c r="AO685" s="3">
        <v>0</v>
      </c>
      <c r="AP685" s="3">
        <v>0</v>
      </c>
      <c r="AQ685" s="3">
        <v>0</v>
      </c>
      <c r="AR685" s="2" t="s">
        <v>5</v>
      </c>
      <c r="AS685" s="2" t="s">
        <v>16</v>
      </c>
      <c r="AT685" s="5" t="str">
        <f>HYPERLINK("http://catalog.hathitrust.org/Record/000759757","HathiTrust Record")</f>
        <v>HathiTrust Record</v>
      </c>
      <c r="AU685" s="5" t="str">
        <f>HYPERLINK("https://creighton-primo.hosted.exlibrisgroup.com/primo-explore/search?tab=default_tab&amp;search_scope=EVERYTHING&amp;vid=01CRU&amp;lang=en_US&amp;offset=0&amp;query=any,contains,991001387129702656","Catalog Record")</f>
        <v>Catalog Record</v>
      </c>
      <c r="AV685" s="5" t="str">
        <f>HYPERLINK("http://www.worldcat.org/oclc/5670883","WorldCat Record")</f>
        <v>WorldCat Record</v>
      </c>
      <c r="AW685" s="2" t="s">
        <v>8397</v>
      </c>
      <c r="AX685" s="2" t="s">
        <v>8398</v>
      </c>
      <c r="AY685" s="2" t="s">
        <v>8399</v>
      </c>
      <c r="AZ685" s="2" t="s">
        <v>8399</v>
      </c>
      <c r="BA685" s="2" t="s">
        <v>8400</v>
      </c>
      <c r="BB685" s="2" t="s">
        <v>21</v>
      </c>
      <c r="BE685" s="2" t="s">
        <v>8401</v>
      </c>
      <c r="BF685" s="2" t="s">
        <v>8402</v>
      </c>
    </row>
    <row r="686" spans="1:58" ht="41.25" customHeight="1" x14ac:dyDescent="0.25">
      <c r="A686" s="8" t="s">
        <v>5</v>
      </c>
      <c r="B686" s="1" t="s">
        <v>0</v>
      </c>
      <c r="C686" s="1" t="s">
        <v>1</v>
      </c>
      <c r="D686" s="1" t="s">
        <v>8403</v>
      </c>
      <c r="E686" s="1" t="s">
        <v>8404</v>
      </c>
      <c r="F686" s="1" t="s">
        <v>8405</v>
      </c>
      <c r="H686" s="2" t="s">
        <v>5</v>
      </c>
      <c r="I686" s="2" t="s">
        <v>6</v>
      </c>
      <c r="J686" s="2" t="s">
        <v>5</v>
      </c>
      <c r="K686" s="2" t="s">
        <v>5</v>
      </c>
      <c r="L686" s="2" t="s">
        <v>7</v>
      </c>
      <c r="M686" s="1" t="s">
        <v>8406</v>
      </c>
      <c r="N686" s="1" t="s">
        <v>1403</v>
      </c>
      <c r="O686" s="2" t="s">
        <v>285</v>
      </c>
      <c r="Q686" s="2" t="s">
        <v>11</v>
      </c>
      <c r="R686" s="2" t="s">
        <v>12</v>
      </c>
      <c r="S686" s="1" t="s">
        <v>8407</v>
      </c>
      <c r="T686" s="2" t="s">
        <v>520</v>
      </c>
      <c r="U686" s="3">
        <v>2</v>
      </c>
      <c r="V686" s="3">
        <v>2</v>
      </c>
      <c r="W686" s="4" t="s">
        <v>1405</v>
      </c>
      <c r="X686" s="4" t="s">
        <v>1405</v>
      </c>
      <c r="Y686" s="4" t="s">
        <v>736</v>
      </c>
      <c r="Z686" s="4" t="s">
        <v>736</v>
      </c>
      <c r="AA686" s="3">
        <v>71</v>
      </c>
      <c r="AB686" s="3">
        <v>63</v>
      </c>
      <c r="AC686" s="3">
        <v>63</v>
      </c>
      <c r="AD686" s="3">
        <v>2</v>
      </c>
      <c r="AE686" s="3">
        <v>2</v>
      </c>
      <c r="AF686" s="3">
        <v>4</v>
      </c>
      <c r="AG686" s="3">
        <v>4</v>
      </c>
      <c r="AH686" s="3">
        <v>1</v>
      </c>
      <c r="AI686" s="3">
        <v>1</v>
      </c>
      <c r="AJ686" s="3">
        <v>0</v>
      </c>
      <c r="AK686" s="3">
        <v>0</v>
      </c>
      <c r="AL686" s="3">
        <v>2</v>
      </c>
      <c r="AM686" s="3">
        <v>2</v>
      </c>
      <c r="AN686" s="3">
        <v>1</v>
      </c>
      <c r="AO686" s="3">
        <v>1</v>
      </c>
      <c r="AP686" s="3">
        <v>0</v>
      </c>
      <c r="AQ686" s="3">
        <v>0</v>
      </c>
      <c r="AR686" s="2" t="s">
        <v>5</v>
      </c>
      <c r="AS686" s="2" t="s">
        <v>5</v>
      </c>
      <c r="AU686" s="5" t="str">
        <f>HYPERLINK("https://creighton-primo.hosted.exlibrisgroup.com/primo-explore/search?tab=default_tab&amp;search_scope=EVERYTHING&amp;vid=01CRU&amp;lang=en_US&amp;offset=0&amp;query=any,contains,991001389949702656","Catalog Record")</f>
        <v>Catalog Record</v>
      </c>
      <c r="AV686" s="5" t="str">
        <f>HYPERLINK("http://www.worldcat.org/oclc/5089318","WorldCat Record")</f>
        <v>WorldCat Record</v>
      </c>
      <c r="AW686" s="2" t="s">
        <v>8408</v>
      </c>
      <c r="AX686" s="2" t="s">
        <v>8409</v>
      </c>
      <c r="AY686" s="2" t="s">
        <v>8410</v>
      </c>
      <c r="AZ686" s="2" t="s">
        <v>8410</v>
      </c>
      <c r="BA686" s="2" t="s">
        <v>8411</v>
      </c>
      <c r="BB686" s="2" t="s">
        <v>21</v>
      </c>
      <c r="BE686" s="2" t="s">
        <v>8412</v>
      </c>
      <c r="BF686" s="2" t="s">
        <v>8413</v>
      </c>
    </row>
    <row r="687" spans="1:58" ht="41.25" customHeight="1" x14ac:dyDescent="0.25">
      <c r="A687" s="8" t="s">
        <v>5</v>
      </c>
      <c r="B687" s="1" t="s">
        <v>0</v>
      </c>
      <c r="C687" s="1" t="s">
        <v>1</v>
      </c>
      <c r="D687" s="1" t="s">
        <v>8414</v>
      </c>
      <c r="E687" s="1" t="s">
        <v>8415</v>
      </c>
      <c r="F687" s="1" t="s">
        <v>8416</v>
      </c>
      <c r="H687" s="2" t="s">
        <v>5</v>
      </c>
      <c r="I687" s="2" t="s">
        <v>6</v>
      </c>
      <c r="J687" s="2" t="s">
        <v>5</v>
      </c>
      <c r="K687" s="2" t="s">
        <v>5</v>
      </c>
      <c r="L687" s="2" t="s">
        <v>7</v>
      </c>
      <c r="M687" s="1" t="s">
        <v>8417</v>
      </c>
      <c r="N687" s="1" t="s">
        <v>8418</v>
      </c>
      <c r="O687" s="2" t="s">
        <v>1102</v>
      </c>
      <c r="Q687" s="2" t="s">
        <v>11</v>
      </c>
      <c r="R687" s="2" t="s">
        <v>426</v>
      </c>
      <c r="T687" s="2" t="s">
        <v>520</v>
      </c>
      <c r="U687" s="3">
        <v>8</v>
      </c>
      <c r="V687" s="3">
        <v>8</v>
      </c>
      <c r="W687" s="4" t="s">
        <v>8419</v>
      </c>
      <c r="X687" s="4" t="s">
        <v>8419</v>
      </c>
      <c r="Y687" s="4" t="s">
        <v>168</v>
      </c>
      <c r="Z687" s="4" t="s">
        <v>168</v>
      </c>
      <c r="AA687" s="3">
        <v>155</v>
      </c>
      <c r="AB687" s="3">
        <v>142</v>
      </c>
      <c r="AC687" s="3">
        <v>144</v>
      </c>
      <c r="AD687" s="3">
        <v>1</v>
      </c>
      <c r="AE687" s="3">
        <v>1</v>
      </c>
      <c r="AF687" s="3">
        <v>6</v>
      </c>
      <c r="AG687" s="3">
        <v>6</v>
      </c>
      <c r="AH687" s="3">
        <v>0</v>
      </c>
      <c r="AI687" s="3">
        <v>0</v>
      </c>
      <c r="AJ687" s="3">
        <v>2</v>
      </c>
      <c r="AK687" s="3">
        <v>2</v>
      </c>
      <c r="AL687" s="3">
        <v>3</v>
      </c>
      <c r="AM687" s="3">
        <v>3</v>
      </c>
      <c r="AN687" s="3">
        <v>0</v>
      </c>
      <c r="AO687" s="3">
        <v>0</v>
      </c>
      <c r="AP687" s="3">
        <v>1</v>
      </c>
      <c r="AQ687" s="3">
        <v>1</v>
      </c>
      <c r="AR687" s="2" t="s">
        <v>5</v>
      </c>
      <c r="AS687" s="2" t="s">
        <v>16</v>
      </c>
      <c r="AT687" s="5" t="str">
        <f>HYPERLINK("http://catalog.hathitrust.org/Record/000588269","HathiTrust Record")</f>
        <v>HathiTrust Record</v>
      </c>
      <c r="AU687" s="5" t="str">
        <f>HYPERLINK("https://creighton-primo.hosted.exlibrisgroup.com/primo-explore/search?tab=default_tab&amp;search_scope=EVERYTHING&amp;vid=01CRU&amp;lang=en_US&amp;offset=0&amp;query=any,contains,991001413959702656","Catalog Record")</f>
        <v>Catalog Record</v>
      </c>
      <c r="AV687" s="5" t="str">
        <f>HYPERLINK("http://www.worldcat.org/oclc/13156898","WorldCat Record")</f>
        <v>WorldCat Record</v>
      </c>
      <c r="AW687" s="2" t="s">
        <v>8420</v>
      </c>
      <c r="AX687" s="2" t="s">
        <v>8421</v>
      </c>
      <c r="AY687" s="2" t="s">
        <v>8422</v>
      </c>
      <c r="AZ687" s="2" t="s">
        <v>8422</v>
      </c>
      <c r="BA687" s="2" t="s">
        <v>8423</v>
      </c>
      <c r="BB687" s="2" t="s">
        <v>21</v>
      </c>
      <c r="BD687" s="2" t="s">
        <v>8424</v>
      </c>
      <c r="BE687" s="2" t="s">
        <v>8425</v>
      </c>
      <c r="BF687" s="2" t="s">
        <v>8426</v>
      </c>
    </row>
    <row r="688" spans="1:58" ht="41.25" customHeight="1" x14ac:dyDescent="0.25">
      <c r="A688" s="8" t="s">
        <v>5</v>
      </c>
      <c r="B688" s="1" t="s">
        <v>0</v>
      </c>
      <c r="C688" s="1" t="s">
        <v>1</v>
      </c>
      <c r="D688" s="1" t="s">
        <v>8427</v>
      </c>
      <c r="E688" s="1" t="s">
        <v>8428</v>
      </c>
      <c r="F688" s="1" t="s">
        <v>8429</v>
      </c>
      <c r="H688" s="2" t="s">
        <v>5</v>
      </c>
      <c r="I688" s="2" t="s">
        <v>6</v>
      </c>
      <c r="J688" s="2" t="s">
        <v>5</v>
      </c>
      <c r="K688" s="2" t="s">
        <v>5</v>
      </c>
      <c r="L688" s="2" t="s">
        <v>7</v>
      </c>
      <c r="N688" s="1" t="s">
        <v>8430</v>
      </c>
      <c r="O688" s="2" t="s">
        <v>1195</v>
      </c>
      <c r="P688" s="1" t="s">
        <v>8431</v>
      </c>
      <c r="Q688" s="2" t="s">
        <v>11</v>
      </c>
      <c r="R688" s="2" t="s">
        <v>8432</v>
      </c>
      <c r="T688" s="2" t="s">
        <v>520</v>
      </c>
      <c r="U688" s="3">
        <v>2</v>
      </c>
      <c r="V688" s="3">
        <v>2</v>
      </c>
      <c r="W688" s="4" t="s">
        <v>8433</v>
      </c>
      <c r="X688" s="4" t="s">
        <v>8433</v>
      </c>
      <c r="Y688" s="4" t="s">
        <v>8434</v>
      </c>
      <c r="Z688" s="4" t="s">
        <v>8434</v>
      </c>
      <c r="AA688" s="3">
        <v>3</v>
      </c>
      <c r="AB688" s="3">
        <v>3</v>
      </c>
      <c r="AC688" s="3">
        <v>3</v>
      </c>
      <c r="AD688" s="3">
        <v>1</v>
      </c>
      <c r="AE688" s="3">
        <v>1</v>
      </c>
      <c r="AF688" s="3">
        <v>0</v>
      </c>
      <c r="AG688" s="3">
        <v>0</v>
      </c>
      <c r="AH688" s="3">
        <v>0</v>
      </c>
      <c r="AI688" s="3">
        <v>0</v>
      </c>
      <c r="AJ688" s="3">
        <v>0</v>
      </c>
      <c r="AK688" s="3">
        <v>0</v>
      </c>
      <c r="AL688" s="3">
        <v>0</v>
      </c>
      <c r="AM688" s="3">
        <v>0</v>
      </c>
      <c r="AN688" s="3">
        <v>0</v>
      </c>
      <c r="AO688" s="3">
        <v>0</v>
      </c>
      <c r="AP688" s="3">
        <v>0</v>
      </c>
      <c r="AQ688" s="3">
        <v>0</v>
      </c>
      <c r="AR688" s="2" t="s">
        <v>5</v>
      </c>
      <c r="AS688" s="2" t="s">
        <v>5</v>
      </c>
      <c r="AU688" s="5" t="str">
        <f>HYPERLINK("https://creighton-primo.hosted.exlibrisgroup.com/primo-explore/search?tab=default_tab&amp;search_scope=EVERYTHING&amp;vid=01CRU&amp;lang=en_US&amp;offset=0&amp;query=any,contains,991000501009702656","Catalog Record")</f>
        <v>Catalog Record</v>
      </c>
      <c r="AV688" s="5" t="str">
        <f>HYPERLINK("http://www.worldcat.org/oclc/40759976","WorldCat Record")</f>
        <v>WorldCat Record</v>
      </c>
      <c r="AW688" s="2" t="s">
        <v>8435</v>
      </c>
      <c r="AX688" s="2" t="s">
        <v>8436</v>
      </c>
      <c r="AY688" s="2" t="s">
        <v>8437</v>
      </c>
      <c r="AZ688" s="2" t="s">
        <v>8437</v>
      </c>
      <c r="BA688" s="2" t="s">
        <v>8438</v>
      </c>
      <c r="BB688" s="2" t="s">
        <v>21</v>
      </c>
      <c r="BD688" s="2" t="s">
        <v>8439</v>
      </c>
      <c r="BE688" s="2" t="s">
        <v>8440</v>
      </c>
      <c r="BF688" s="2" t="s">
        <v>8441</v>
      </c>
    </row>
    <row r="689" spans="1:58" ht="41.25" customHeight="1" x14ac:dyDescent="0.25">
      <c r="A689" s="8" t="s">
        <v>5</v>
      </c>
      <c r="B689" s="1" t="s">
        <v>0</v>
      </c>
      <c r="C689" s="1" t="s">
        <v>1</v>
      </c>
      <c r="D689" s="1" t="s">
        <v>8442</v>
      </c>
      <c r="E689" s="1" t="s">
        <v>8443</v>
      </c>
      <c r="F689" s="1" t="s">
        <v>8444</v>
      </c>
      <c r="H689" s="2" t="s">
        <v>5</v>
      </c>
      <c r="I689" s="2" t="s">
        <v>6</v>
      </c>
      <c r="J689" s="2" t="s">
        <v>5</v>
      </c>
      <c r="K689" s="2" t="s">
        <v>5</v>
      </c>
      <c r="L689" s="2" t="s">
        <v>7</v>
      </c>
      <c r="N689" s="1" t="s">
        <v>2175</v>
      </c>
      <c r="O689" s="2" t="s">
        <v>382</v>
      </c>
      <c r="Q689" s="2" t="s">
        <v>11</v>
      </c>
      <c r="R689" s="2" t="s">
        <v>426</v>
      </c>
      <c r="T689" s="2" t="s">
        <v>520</v>
      </c>
      <c r="U689" s="3">
        <v>7</v>
      </c>
      <c r="V689" s="3">
        <v>7</v>
      </c>
      <c r="W689" s="4" t="s">
        <v>8445</v>
      </c>
      <c r="X689" s="4" t="s">
        <v>8445</v>
      </c>
      <c r="Y689" s="4" t="s">
        <v>168</v>
      </c>
      <c r="Z689" s="4" t="s">
        <v>168</v>
      </c>
      <c r="AA689" s="3">
        <v>162</v>
      </c>
      <c r="AB689" s="3">
        <v>155</v>
      </c>
      <c r="AC689" s="3">
        <v>155</v>
      </c>
      <c r="AD689" s="3">
        <v>1</v>
      </c>
      <c r="AE689" s="3">
        <v>1</v>
      </c>
      <c r="AF689" s="3">
        <v>5</v>
      </c>
      <c r="AG689" s="3">
        <v>5</v>
      </c>
      <c r="AH689" s="3">
        <v>1</v>
      </c>
      <c r="AI689" s="3">
        <v>1</v>
      </c>
      <c r="AJ689" s="3">
        <v>1</v>
      </c>
      <c r="AK689" s="3">
        <v>1</v>
      </c>
      <c r="AL689" s="3">
        <v>5</v>
      </c>
      <c r="AM689" s="3">
        <v>5</v>
      </c>
      <c r="AN689" s="3">
        <v>0</v>
      </c>
      <c r="AO689" s="3">
        <v>0</v>
      </c>
      <c r="AP689" s="3">
        <v>0</v>
      </c>
      <c r="AQ689" s="3">
        <v>0</v>
      </c>
      <c r="AR689" s="2" t="s">
        <v>5</v>
      </c>
      <c r="AS689" s="2" t="s">
        <v>5</v>
      </c>
      <c r="AU689" s="5" t="str">
        <f>HYPERLINK("https://creighton-primo.hosted.exlibrisgroup.com/primo-explore/search?tab=default_tab&amp;search_scope=EVERYTHING&amp;vid=01CRU&amp;lang=en_US&amp;offset=0&amp;query=any,contains,991001413919702656","Catalog Record")</f>
        <v>Catalog Record</v>
      </c>
      <c r="AV689" s="5" t="str">
        <f>HYPERLINK("http://www.worldcat.org/oclc/11622228","WorldCat Record")</f>
        <v>WorldCat Record</v>
      </c>
      <c r="AW689" s="2" t="s">
        <v>8446</v>
      </c>
      <c r="AX689" s="2" t="s">
        <v>8447</v>
      </c>
      <c r="AY689" s="2" t="s">
        <v>8448</v>
      </c>
      <c r="AZ689" s="2" t="s">
        <v>8448</v>
      </c>
      <c r="BA689" s="2" t="s">
        <v>8449</v>
      </c>
      <c r="BB689" s="2" t="s">
        <v>21</v>
      </c>
      <c r="BD689" s="2" t="s">
        <v>8450</v>
      </c>
      <c r="BE689" s="2" t="s">
        <v>8451</v>
      </c>
      <c r="BF689" s="2" t="s">
        <v>8452</v>
      </c>
    </row>
    <row r="690" spans="1:58" ht="41.25" customHeight="1" x14ac:dyDescent="0.25">
      <c r="A690" s="8" t="s">
        <v>5</v>
      </c>
      <c r="B690" s="1" t="s">
        <v>0</v>
      </c>
      <c r="C690" s="1" t="s">
        <v>1</v>
      </c>
      <c r="D690" s="1" t="s">
        <v>8453</v>
      </c>
      <c r="E690" s="1" t="s">
        <v>8454</v>
      </c>
      <c r="F690" s="1" t="s">
        <v>8455</v>
      </c>
      <c r="H690" s="2" t="s">
        <v>5</v>
      </c>
      <c r="I690" s="2" t="s">
        <v>6</v>
      </c>
      <c r="J690" s="2" t="s">
        <v>5</v>
      </c>
      <c r="K690" s="2" t="s">
        <v>5</v>
      </c>
      <c r="L690" s="2" t="s">
        <v>7</v>
      </c>
      <c r="M690" s="1" t="s">
        <v>8456</v>
      </c>
      <c r="N690" s="1" t="s">
        <v>7116</v>
      </c>
      <c r="O690" s="2" t="s">
        <v>1339</v>
      </c>
      <c r="Q690" s="2" t="s">
        <v>11</v>
      </c>
      <c r="R690" s="2" t="s">
        <v>426</v>
      </c>
      <c r="T690" s="2" t="s">
        <v>520</v>
      </c>
      <c r="U690" s="3">
        <v>3</v>
      </c>
      <c r="V690" s="3">
        <v>3</v>
      </c>
      <c r="W690" s="4" t="s">
        <v>8445</v>
      </c>
      <c r="X690" s="4" t="s">
        <v>8445</v>
      </c>
      <c r="Y690" s="4" t="s">
        <v>8457</v>
      </c>
      <c r="Z690" s="4" t="s">
        <v>8457</v>
      </c>
      <c r="AA690" s="3">
        <v>215</v>
      </c>
      <c r="AB690" s="3">
        <v>202</v>
      </c>
      <c r="AC690" s="3">
        <v>209</v>
      </c>
      <c r="AD690" s="3">
        <v>2</v>
      </c>
      <c r="AE690" s="3">
        <v>2</v>
      </c>
      <c r="AF690" s="3">
        <v>8</v>
      </c>
      <c r="AG690" s="3">
        <v>8</v>
      </c>
      <c r="AH690" s="3">
        <v>3</v>
      </c>
      <c r="AI690" s="3">
        <v>3</v>
      </c>
      <c r="AJ690" s="3">
        <v>2</v>
      </c>
      <c r="AK690" s="3">
        <v>2</v>
      </c>
      <c r="AL690" s="3">
        <v>4</v>
      </c>
      <c r="AM690" s="3">
        <v>4</v>
      </c>
      <c r="AN690" s="3">
        <v>0</v>
      </c>
      <c r="AO690" s="3">
        <v>0</v>
      </c>
      <c r="AP690" s="3">
        <v>0</v>
      </c>
      <c r="AQ690" s="3">
        <v>0</v>
      </c>
      <c r="AR690" s="2" t="s">
        <v>5</v>
      </c>
      <c r="AS690" s="2" t="s">
        <v>16</v>
      </c>
      <c r="AT690" s="5" t="str">
        <f>HYPERLINK("http://catalog.hathitrust.org/Record/000854841","HathiTrust Record")</f>
        <v>HathiTrust Record</v>
      </c>
      <c r="AU690" s="5" t="str">
        <f>HYPERLINK("https://creighton-primo.hosted.exlibrisgroup.com/primo-explore/search?tab=default_tab&amp;search_scope=EVERYTHING&amp;vid=01CRU&amp;lang=en_US&amp;offset=0&amp;query=any,contains,991001177139702656","Catalog Record")</f>
        <v>Catalog Record</v>
      </c>
      <c r="AV690" s="5" t="str">
        <f>HYPERLINK("http://www.worldcat.org/oclc/16085049","WorldCat Record")</f>
        <v>WorldCat Record</v>
      </c>
      <c r="AW690" s="2" t="s">
        <v>8458</v>
      </c>
      <c r="AX690" s="2" t="s">
        <v>8459</v>
      </c>
      <c r="AY690" s="2" t="s">
        <v>8460</v>
      </c>
      <c r="AZ690" s="2" t="s">
        <v>8460</v>
      </c>
      <c r="BA690" s="2" t="s">
        <v>8461</v>
      </c>
      <c r="BB690" s="2" t="s">
        <v>21</v>
      </c>
      <c r="BD690" s="2" t="s">
        <v>8462</v>
      </c>
      <c r="BE690" s="2" t="s">
        <v>8463</v>
      </c>
      <c r="BF690" s="2" t="s">
        <v>8464</v>
      </c>
    </row>
    <row r="691" spans="1:58" ht="41.25" customHeight="1" x14ac:dyDescent="0.25">
      <c r="A691" s="8" t="s">
        <v>5</v>
      </c>
      <c r="B691" s="1" t="s">
        <v>0</v>
      </c>
      <c r="C691" s="1" t="s">
        <v>1</v>
      </c>
      <c r="D691" s="1" t="s">
        <v>8465</v>
      </c>
      <c r="E691" s="1" t="s">
        <v>8466</v>
      </c>
      <c r="F691" s="1" t="s">
        <v>8467</v>
      </c>
      <c r="H691" s="2" t="s">
        <v>5</v>
      </c>
      <c r="I691" s="2" t="s">
        <v>6</v>
      </c>
      <c r="J691" s="2" t="s">
        <v>5</v>
      </c>
      <c r="K691" s="2" t="s">
        <v>5</v>
      </c>
      <c r="L691" s="2" t="s">
        <v>7</v>
      </c>
      <c r="M691" s="1" t="s">
        <v>8468</v>
      </c>
      <c r="N691" s="1" t="s">
        <v>8469</v>
      </c>
      <c r="O691" s="2" t="s">
        <v>354</v>
      </c>
      <c r="Q691" s="2" t="s">
        <v>11</v>
      </c>
      <c r="R691" s="2" t="s">
        <v>426</v>
      </c>
      <c r="S691" s="1" t="s">
        <v>8470</v>
      </c>
      <c r="T691" s="2" t="s">
        <v>520</v>
      </c>
      <c r="U691" s="3">
        <v>2</v>
      </c>
      <c r="V691" s="3">
        <v>2</v>
      </c>
      <c r="W691" s="4" t="s">
        <v>8471</v>
      </c>
      <c r="X691" s="4" t="s">
        <v>8471</v>
      </c>
      <c r="Y691" s="4" t="s">
        <v>96</v>
      </c>
      <c r="Z691" s="4" t="s">
        <v>96</v>
      </c>
      <c r="AA691" s="3">
        <v>84</v>
      </c>
      <c r="AB691" s="3">
        <v>79</v>
      </c>
      <c r="AC691" s="3">
        <v>82</v>
      </c>
      <c r="AD691" s="3">
        <v>1</v>
      </c>
      <c r="AE691" s="3">
        <v>1</v>
      </c>
      <c r="AF691" s="3">
        <v>4</v>
      </c>
      <c r="AG691" s="3">
        <v>4</v>
      </c>
      <c r="AH691" s="3">
        <v>1</v>
      </c>
      <c r="AI691" s="3">
        <v>1</v>
      </c>
      <c r="AJ691" s="3">
        <v>1</v>
      </c>
      <c r="AK691" s="3">
        <v>1</v>
      </c>
      <c r="AL691" s="3">
        <v>3</v>
      </c>
      <c r="AM691" s="3">
        <v>3</v>
      </c>
      <c r="AN691" s="3">
        <v>0</v>
      </c>
      <c r="AO691" s="3">
        <v>0</v>
      </c>
      <c r="AP691" s="3">
        <v>0</v>
      </c>
      <c r="AQ691" s="3">
        <v>0</v>
      </c>
      <c r="AR691" s="2" t="s">
        <v>5</v>
      </c>
      <c r="AS691" s="2" t="s">
        <v>16</v>
      </c>
      <c r="AT691" s="5" t="str">
        <f>HYPERLINK("http://catalog.hathitrust.org/Record/000223645","HathiTrust Record")</f>
        <v>HathiTrust Record</v>
      </c>
      <c r="AU691" s="5" t="str">
        <f>HYPERLINK("https://creighton-primo.hosted.exlibrisgroup.com/primo-explore/search?tab=default_tab&amp;search_scope=EVERYTHING&amp;vid=01CRU&amp;lang=en_US&amp;offset=0&amp;query=any,contains,991001132159702656","Catalog Record")</f>
        <v>Catalog Record</v>
      </c>
      <c r="AV691" s="5" t="str">
        <f>HYPERLINK("http://www.worldcat.org/oclc/7975970","WorldCat Record")</f>
        <v>WorldCat Record</v>
      </c>
      <c r="AW691" s="2" t="s">
        <v>8472</v>
      </c>
      <c r="AX691" s="2" t="s">
        <v>8473</v>
      </c>
      <c r="AY691" s="2" t="s">
        <v>8474</v>
      </c>
      <c r="AZ691" s="2" t="s">
        <v>8474</v>
      </c>
      <c r="BA691" s="2" t="s">
        <v>8475</v>
      </c>
      <c r="BB691" s="2" t="s">
        <v>21</v>
      </c>
      <c r="BE691" s="2" t="s">
        <v>8476</v>
      </c>
      <c r="BF691" s="2" t="s">
        <v>8477</v>
      </c>
    </row>
    <row r="692" spans="1:58" ht="41.25" customHeight="1" x14ac:dyDescent="0.25">
      <c r="A692" s="8" t="s">
        <v>5</v>
      </c>
      <c r="B692" s="1" t="s">
        <v>0</v>
      </c>
      <c r="C692" s="1" t="s">
        <v>1</v>
      </c>
      <c r="D692" s="1" t="s">
        <v>8478</v>
      </c>
      <c r="E692" s="1" t="s">
        <v>8479</v>
      </c>
      <c r="F692" s="1" t="s">
        <v>8480</v>
      </c>
      <c r="H692" s="2" t="s">
        <v>5</v>
      </c>
      <c r="I692" s="2" t="s">
        <v>6</v>
      </c>
      <c r="J692" s="2" t="s">
        <v>5</v>
      </c>
      <c r="K692" s="2" t="s">
        <v>16</v>
      </c>
      <c r="L692" s="2" t="s">
        <v>7</v>
      </c>
      <c r="M692" s="1" t="s">
        <v>8481</v>
      </c>
      <c r="N692" s="1" t="s">
        <v>8296</v>
      </c>
      <c r="O692" s="2" t="s">
        <v>989</v>
      </c>
      <c r="P692" s="1" t="s">
        <v>211</v>
      </c>
      <c r="Q692" s="2" t="s">
        <v>11</v>
      </c>
      <c r="R692" s="2" t="s">
        <v>426</v>
      </c>
      <c r="T692" s="2" t="s">
        <v>520</v>
      </c>
      <c r="U692" s="3">
        <v>17</v>
      </c>
      <c r="V692" s="3">
        <v>17</v>
      </c>
      <c r="W692" s="4" t="s">
        <v>8482</v>
      </c>
      <c r="X692" s="4" t="s">
        <v>8482</v>
      </c>
      <c r="Y692" s="4" t="s">
        <v>2775</v>
      </c>
      <c r="Z692" s="4" t="s">
        <v>2775</v>
      </c>
      <c r="AA692" s="3">
        <v>439</v>
      </c>
      <c r="AB692" s="3">
        <v>328</v>
      </c>
      <c r="AC692" s="3">
        <v>847</v>
      </c>
      <c r="AD692" s="3">
        <v>2</v>
      </c>
      <c r="AE692" s="3">
        <v>4</v>
      </c>
      <c r="AF692" s="3">
        <v>10</v>
      </c>
      <c r="AG692" s="3">
        <v>31</v>
      </c>
      <c r="AH692" s="3">
        <v>5</v>
      </c>
      <c r="AI692" s="3">
        <v>13</v>
      </c>
      <c r="AJ692" s="3">
        <v>2</v>
      </c>
      <c r="AK692" s="3">
        <v>6</v>
      </c>
      <c r="AL692" s="3">
        <v>5</v>
      </c>
      <c r="AM692" s="3">
        <v>16</v>
      </c>
      <c r="AN692" s="3">
        <v>1</v>
      </c>
      <c r="AO692" s="3">
        <v>3</v>
      </c>
      <c r="AP692" s="3">
        <v>0</v>
      </c>
      <c r="AQ692" s="3">
        <v>0</v>
      </c>
      <c r="AR692" s="2" t="s">
        <v>5</v>
      </c>
      <c r="AS692" s="2" t="s">
        <v>16</v>
      </c>
      <c r="AT692" s="5" t="str">
        <f>HYPERLINK("http://catalog.hathitrust.org/Record/001827640","HathiTrust Record")</f>
        <v>HathiTrust Record</v>
      </c>
      <c r="AU692" s="5" t="str">
        <f>HYPERLINK("https://creighton-primo.hosted.exlibrisgroup.com/primo-explore/search?tab=default_tab&amp;search_scope=EVERYTHING&amp;vid=01CRU&amp;lang=en_US&amp;offset=0&amp;query=any,contains,991001451899702656","Catalog Record")</f>
        <v>Catalog Record</v>
      </c>
      <c r="AV692" s="5" t="str">
        <f>HYPERLINK("http://www.worldcat.org/oclc/19455594","WorldCat Record")</f>
        <v>WorldCat Record</v>
      </c>
      <c r="AW692" s="2" t="s">
        <v>8483</v>
      </c>
      <c r="AX692" s="2" t="s">
        <v>8484</v>
      </c>
      <c r="AY692" s="2" t="s">
        <v>8485</v>
      </c>
      <c r="AZ692" s="2" t="s">
        <v>8485</v>
      </c>
      <c r="BA692" s="2" t="s">
        <v>8486</v>
      </c>
      <c r="BB692" s="2" t="s">
        <v>21</v>
      </c>
      <c r="BD692" s="2" t="s">
        <v>8487</v>
      </c>
      <c r="BE692" s="2" t="s">
        <v>8488</v>
      </c>
      <c r="BF692" s="2" t="s">
        <v>8489</v>
      </c>
    </row>
    <row r="693" spans="1:58" ht="41.25" customHeight="1" x14ac:dyDescent="0.25">
      <c r="A693" s="8" t="s">
        <v>5</v>
      </c>
      <c r="B693" s="1" t="s">
        <v>0</v>
      </c>
      <c r="C693" s="1" t="s">
        <v>1</v>
      </c>
      <c r="D693" s="1" t="s">
        <v>8490</v>
      </c>
      <c r="E693" s="1" t="s">
        <v>8491</v>
      </c>
      <c r="F693" s="1" t="s">
        <v>8480</v>
      </c>
      <c r="H693" s="2" t="s">
        <v>5</v>
      </c>
      <c r="I693" s="2" t="s">
        <v>6</v>
      </c>
      <c r="J693" s="2" t="s">
        <v>5</v>
      </c>
      <c r="K693" s="2" t="s">
        <v>16</v>
      </c>
      <c r="L693" s="2" t="s">
        <v>7</v>
      </c>
      <c r="M693" s="1" t="s">
        <v>8481</v>
      </c>
      <c r="N693" s="1" t="s">
        <v>8492</v>
      </c>
      <c r="O693" s="2" t="s">
        <v>4990</v>
      </c>
      <c r="P693" s="1" t="s">
        <v>1208</v>
      </c>
      <c r="Q693" s="2" t="s">
        <v>11</v>
      </c>
      <c r="R693" s="2" t="s">
        <v>229</v>
      </c>
      <c r="T693" s="2" t="s">
        <v>520</v>
      </c>
      <c r="U693" s="3">
        <v>7</v>
      </c>
      <c r="V693" s="3">
        <v>7</v>
      </c>
      <c r="W693" s="4" t="s">
        <v>8493</v>
      </c>
      <c r="X693" s="4" t="s">
        <v>8493</v>
      </c>
      <c r="Y693" s="4" t="s">
        <v>7297</v>
      </c>
      <c r="Z693" s="4" t="s">
        <v>7297</v>
      </c>
      <c r="AA693" s="3">
        <v>632</v>
      </c>
      <c r="AB693" s="3">
        <v>497</v>
      </c>
      <c r="AC693" s="3">
        <v>847</v>
      </c>
      <c r="AD693" s="3">
        <v>3</v>
      </c>
      <c r="AE693" s="3">
        <v>4</v>
      </c>
      <c r="AF693" s="3">
        <v>22</v>
      </c>
      <c r="AG693" s="3">
        <v>31</v>
      </c>
      <c r="AH693" s="3">
        <v>10</v>
      </c>
      <c r="AI693" s="3">
        <v>13</v>
      </c>
      <c r="AJ693" s="3">
        <v>2</v>
      </c>
      <c r="AK693" s="3">
        <v>6</v>
      </c>
      <c r="AL693" s="3">
        <v>12</v>
      </c>
      <c r="AM693" s="3">
        <v>16</v>
      </c>
      <c r="AN693" s="3">
        <v>2</v>
      </c>
      <c r="AO693" s="3">
        <v>3</v>
      </c>
      <c r="AP693" s="3">
        <v>0</v>
      </c>
      <c r="AQ693" s="3">
        <v>0</v>
      </c>
      <c r="AR693" s="2" t="s">
        <v>5</v>
      </c>
      <c r="AS693" s="2" t="s">
        <v>16</v>
      </c>
      <c r="AT693" s="5" t="str">
        <f>HYPERLINK("http://catalog.hathitrust.org/Record/004174145","HathiTrust Record")</f>
        <v>HathiTrust Record</v>
      </c>
      <c r="AU693" s="5" t="str">
        <f>HYPERLINK("https://creighton-primo.hosted.exlibrisgroup.com/primo-explore/search?tab=default_tab&amp;search_scope=EVERYTHING&amp;vid=01CRU&amp;lang=en_US&amp;offset=0&amp;query=any,contains,991000295099702656","Catalog Record")</f>
        <v>Catalog Record</v>
      </c>
      <c r="AV693" s="5" t="str">
        <f>HYPERLINK("http://www.worldcat.org/oclc/45500356","WorldCat Record")</f>
        <v>WorldCat Record</v>
      </c>
      <c r="AW693" s="2" t="s">
        <v>8483</v>
      </c>
      <c r="AX693" s="2" t="s">
        <v>8494</v>
      </c>
      <c r="AY693" s="2" t="s">
        <v>8495</v>
      </c>
      <c r="AZ693" s="2" t="s">
        <v>8495</v>
      </c>
      <c r="BA693" s="2" t="s">
        <v>8496</v>
      </c>
      <c r="BB693" s="2" t="s">
        <v>21</v>
      </c>
      <c r="BE693" s="2" t="s">
        <v>8497</v>
      </c>
      <c r="BF693" s="2" t="s">
        <v>8498</v>
      </c>
    </row>
    <row r="694" spans="1:58" ht="41.25" customHeight="1" x14ac:dyDescent="0.25">
      <c r="A694" s="8" t="s">
        <v>5</v>
      </c>
      <c r="B694" s="1" t="s">
        <v>0</v>
      </c>
      <c r="C694" s="1" t="s">
        <v>1</v>
      </c>
      <c r="D694" s="1" t="s">
        <v>8499</v>
      </c>
      <c r="E694" s="1" t="s">
        <v>8500</v>
      </c>
      <c r="F694" s="1" t="s">
        <v>8501</v>
      </c>
      <c r="H694" s="2" t="s">
        <v>5</v>
      </c>
      <c r="I694" s="2" t="s">
        <v>6</v>
      </c>
      <c r="J694" s="2" t="s">
        <v>5</v>
      </c>
      <c r="K694" s="2" t="s">
        <v>16</v>
      </c>
      <c r="L694" s="2" t="s">
        <v>6</v>
      </c>
      <c r="M694" s="1" t="s">
        <v>8502</v>
      </c>
      <c r="N694" s="1" t="s">
        <v>8503</v>
      </c>
      <c r="O694" s="2" t="s">
        <v>210</v>
      </c>
      <c r="P694" s="1" t="s">
        <v>901</v>
      </c>
      <c r="Q694" s="2" t="s">
        <v>11</v>
      </c>
      <c r="R694" s="2" t="s">
        <v>12</v>
      </c>
      <c r="T694" s="2" t="s">
        <v>520</v>
      </c>
      <c r="U694" s="3">
        <v>16</v>
      </c>
      <c r="V694" s="3">
        <v>16</v>
      </c>
      <c r="W694" s="4" t="s">
        <v>8504</v>
      </c>
      <c r="X694" s="4" t="s">
        <v>8504</v>
      </c>
      <c r="Y694" s="4" t="s">
        <v>8505</v>
      </c>
      <c r="Z694" s="4" t="s">
        <v>8505</v>
      </c>
      <c r="AA694" s="3">
        <v>593</v>
      </c>
      <c r="AB694" s="3">
        <v>448</v>
      </c>
      <c r="AC694" s="3">
        <v>1656</v>
      </c>
      <c r="AD694" s="3">
        <v>1</v>
      </c>
      <c r="AE694" s="3">
        <v>17</v>
      </c>
      <c r="AF694" s="3">
        <v>17</v>
      </c>
      <c r="AG694" s="3">
        <v>69</v>
      </c>
      <c r="AH694" s="3">
        <v>7</v>
      </c>
      <c r="AI694" s="3">
        <v>25</v>
      </c>
      <c r="AJ694" s="3">
        <v>3</v>
      </c>
      <c r="AK694" s="3">
        <v>12</v>
      </c>
      <c r="AL694" s="3">
        <v>10</v>
      </c>
      <c r="AM694" s="3">
        <v>25</v>
      </c>
      <c r="AN694" s="3">
        <v>0</v>
      </c>
      <c r="AO694" s="3">
        <v>14</v>
      </c>
      <c r="AP694" s="3">
        <v>1</v>
      </c>
      <c r="AQ694" s="3">
        <v>6</v>
      </c>
      <c r="AR694" s="2" t="s">
        <v>5</v>
      </c>
      <c r="AS694" s="2" t="s">
        <v>5</v>
      </c>
      <c r="AU694" s="5" t="str">
        <f>HYPERLINK("https://creighton-primo.hosted.exlibrisgroup.com/primo-explore/search?tab=default_tab&amp;search_scope=EVERYTHING&amp;vid=01CRU&amp;lang=en_US&amp;offset=0&amp;query=any,contains,991001033059702656","Catalog Record")</f>
        <v>Catalog Record</v>
      </c>
      <c r="AV694" s="5" t="str">
        <f>HYPERLINK("http://www.worldcat.org/oclc/23687643","WorldCat Record")</f>
        <v>WorldCat Record</v>
      </c>
      <c r="AW694" s="2" t="s">
        <v>8506</v>
      </c>
      <c r="AX694" s="2" t="s">
        <v>8507</v>
      </c>
      <c r="AY694" s="2" t="s">
        <v>8508</v>
      </c>
      <c r="AZ694" s="2" t="s">
        <v>8508</v>
      </c>
      <c r="BA694" s="2" t="s">
        <v>8509</v>
      </c>
      <c r="BB694" s="2" t="s">
        <v>21</v>
      </c>
      <c r="BD694" s="2" t="s">
        <v>8510</v>
      </c>
      <c r="BE694" s="2" t="s">
        <v>8511</v>
      </c>
      <c r="BF694" s="2" t="s">
        <v>8512</v>
      </c>
    </row>
    <row r="695" spans="1:58" ht="41.25" customHeight="1" x14ac:dyDescent="0.25">
      <c r="A695" s="8" t="s">
        <v>5</v>
      </c>
      <c r="B695" s="1" t="s">
        <v>0</v>
      </c>
      <c r="C695" s="1" t="s">
        <v>1</v>
      </c>
      <c r="D695" s="1" t="s">
        <v>8513</v>
      </c>
      <c r="E695" s="1" t="s">
        <v>8514</v>
      </c>
      <c r="F695" s="1" t="s">
        <v>8515</v>
      </c>
      <c r="H695" s="2" t="s">
        <v>5</v>
      </c>
      <c r="I695" s="2" t="s">
        <v>6</v>
      </c>
      <c r="J695" s="2" t="s">
        <v>5</v>
      </c>
      <c r="K695" s="2" t="s">
        <v>5</v>
      </c>
      <c r="L695" s="2" t="s">
        <v>7</v>
      </c>
      <c r="M695" s="1" t="s">
        <v>8516</v>
      </c>
      <c r="N695" s="1" t="s">
        <v>3892</v>
      </c>
      <c r="O695" s="2" t="s">
        <v>1195</v>
      </c>
      <c r="P695" s="1" t="s">
        <v>211</v>
      </c>
      <c r="Q695" s="2" t="s">
        <v>11</v>
      </c>
      <c r="R695" s="2" t="s">
        <v>271</v>
      </c>
      <c r="S695" s="1" t="s">
        <v>8517</v>
      </c>
      <c r="T695" s="2" t="s">
        <v>520</v>
      </c>
      <c r="U695" s="3">
        <v>4</v>
      </c>
      <c r="V695" s="3">
        <v>4</v>
      </c>
      <c r="W695" s="4" t="s">
        <v>1298</v>
      </c>
      <c r="X695" s="4" t="s">
        <v>1298</v>
      </c>
      <c r="Y695" s="4" t="s">
        <v>5600</v>
      </c>
      <c r="Z695" s="4" t="s">
        <v>5600</v>
      </c>
      <c r="AA695" s="3">
        <v>421</v>
      </c>
      <c r="AB695" s="3">
        <v>353</v>
      </c>
      <c r="AC695" s="3">
        <v>356</v>
      </c>
      <c r="AD695" s="3">
        <v>3</v>
      </c>
      <c r="AE695" s="3">
        <v>3</v>
      </c>
      <c r="AF695" s="3">
        <v>20</v>
      </c>
      <c r="AG695" s="3">
        <v>20</v>
      </c>
      <c r="AH695" s="3">
        <v>9</v>
      </c>
      <c r="AI695" s="3">
        <v>9</v>
      </c>
      <c r="AJ695" s="3">
        <v>5</v>
      </c>
      <c r="AK695" s="3">
        <v>5</v>
      </c>
      <c r="AL695" s="3">
        <v>9</v>
      </c>
      <c r="AM695" s="3">
        <v>9</v>
      </c>
      <c r="AN695" s="3">
        <v>1</v>
      </c>
      <c r="AO695" s="3">
        <v>1</v>
      </c>
      <c r="AP695" s="3">
        <v>0</v>
      </c>
      <c r="AQ695" s="3">
        <v>0</v>
      </c>
      <c r="AR695" s="2" t="s">
        <v>5</v>
      </c>
      <c r="AS695" s="2" t="s">
        <v>16</v>
      </c>
      <c r="AT695" s="5" t="str">
        <f>HYPERLINK("http://catalog.hathitrust.org/Record/003541470","HathiTrust Record")</f>
        <v>HathiTrust Record</v>
      </c>
      <c r="AU695" s="5" t="str">
        <f>HYPERLINK("https://creighton-primo.hosted.exlibrisgroup.com/primo-explore/search?tab=default_tab&amp;search_scope=EVERYTHING&amp;vid=01CRU&amp;lang=en_US&amp;offset=0&amp;query=any,contains,991000296039702656","Catalog Record")</f>
        <v>Catalog Record</v>
      </c>
      <c r="AV695" s="5" t="str">
        <f>HYPERLINK("http://www.worldcat.org/oclc/43801020","WorldCat Record")</f>
        <v>WorldCat Record</v>
      </c>
      <c r="AW695" s="2" t="s">
        <v>8518</v>
      </c>
      <c r="AX695" s="2" t="s">
        <v>8519</v>
      </c>
      <c r="AY695" s="2" t="s">
        <v>8520</v>
      </c>
      <c r="AZ695" s="2" t="s">
        <v>8520</v>
      </c>
      <c r="BA695" s="2" t="s">
        <v>8521</v>
      </c>
      <c r="BB695" s="2" t="s">
        <v>21</v>
      </c>
      <c r="BD695" s="2" t="s">
        <v>8522</v>
      </c>
      <c r="BE695" s="2" t="s">
        <v>8523</v>
      </c>
      <c r="BF695" s="2" t="s">
        <v>8524</v>
      </c>
    </row>
    <row r="696" spans="1:58" ht="41.25" customHeight="1" x14ac:dyDescent="0.25">
      <c r="A696" s="8" t="s">
        <v>5</v>
      </c>
      <c r="B696" s="1" t="s">
        <v>0</v>
      </c>
      <c r="C696" s="1" t="s">
        <v>1</v>
      </c>
      <c r="D696" s="1" t="s">
        <v>8525</v>
      </c>
      <c r="E696" s="1" t="s">
        <v>8526</v>
      </c>
      <c r="F696" s="1" t="s">
        <v>8527</v>
      </c>
      <c r="H696" s="2" t="s">
        <v>5</v>
      </c>
      <c r="I696" s="2" t="s">
        <v>6</v>
      </c>
      <c r="J696" s="2" t="s">
        <v>5</v>
      </c>
      <c r="K696" s="2" t="s">
        <v>16</v>
      </c>
      <c r="L696" s="2" t="s">
        <v>7</v>
      </c>
      <c r="M696" s="1" t="s">
        <v>8528</v>
      </c>
      <c r="N696" s="1" t="s">
        <v>8529</v>
      </c>
      <c r="O696" s="2" t="s">
        <v>1378</v>
      </c>
      <c r="Q696" s="2" t="s">
        <v>11</v>
      </c>
      <c r="R696" s="2" t="s">
        <v>12</v>
      </c>
      <c r="T696" s="2" t="s">
        <v>520</v>
      </c>
      <c r="U696" s="3">
        <v>11</v>
      </c>
      <c r="V696" s="3">
        <v>11</v>
      </c>
      <c r="W696" s="4" t="s">
        <v>2139</v>
      </c>
      <c r="X696" s="4" t="s">
        <v>2139</v>
      </c>
      <c r="Y696" s="4" t="s">
        <v>7443</v>
      </c>
      <c r="Z696" s="4" t="s">
        <v>7443</v>
      </c>
      <c r="AA696" s="3">
        <v>246</v>
      </c>
      <c r="AB696" s="3">
        <v>187</v>
      </c>
      <c r="AC696" s="3">
        <v>990</v>
      </c>
      <c r="AD696" s="3">
        <v>2</v>
      </c>
      <c r="AE696" s="3">
        <v>4</v>
      </c>
      <c r="AF696" s="3">
        <v>7</v>
      </c>
      <c r="AG696" s="3">
        <v>29</v>
      </c>
      <c r="AH696" s="3">
        <v>3</v>
      </c>
      <c r="AI696" s="3">
        <v>11</v>
      </c>
      <c r="AJ696" s="3">
        <v>1</v>
      </c>
      <c r="AK696" s="3">
        <v>5</v>
      </c>
      <c r="AL696" s="3">
        <v>4</v>
      </c>
      <c r="AM696" s="3">
        <v>15</v>
      </c>
      <c r="AN696" s="3">
        <v>1</v>
      </c>
      <c r="AO696" s="3">
        <v>3</v>
      </c>
      <c r="AP696" s="3">
        <v>0</v>
      </c>
      <c r="AQ696" s="3">
        <v>0</v>
      </c>
      <c r="AR696" s="2" t="s">
        <v>5</v>
      </c>
      <c r="AS696" s="2" t="s">
        <v>5</v>
      </c>
      <c r="AU696" s="5" t="str">
        <f>HYPERLINK("https://creighton-primo.hosted.exlibrisgroup.com/primo-explore/search?tab=default_tab&amp;search_scope=EVERYTHING&amp;vid=01CRU&amp;lang=en_US&amp;offset=0&amp;query=any,contains,991000596099702656","Catalog Record")</f>
        <v>Catalog Record</v>
      </c>
      <c r="AV696" s="5" t="str">
        <f>HYPERLINK("http://www.worldcat.org/oclc/37696623","WorldCat Record")</f>
        <v>WorldCat Record</v>
      </c>
      <c r="AW696" s="2" t="s">
        <v>8530</v>
      </c>
      <c r="AX696" s="2" t="s">
        <v>8531</v>
      </c>
      <c r="AY696" s="2" t="s">
        <v>8532</v>
      </c>
      <c r="AZ696" s="2" t="s">
        <v>8532</v>
      </c>
      <c r="BA696" s="2" t="s">
        <v>8533</v>
      </c>
      <c r="BB696" s="2" t="s">
        <v>21</v>
      </c>
      <c r="BD696" s="2" t="s">
        <v>8534</v>
      </c>
      <c r="BE696" s="2" t="s">
        <v>8535</v>
      </c>
      <c r="BF696" s="2" t="s">
        <v>8536</v>
      </c>
    </row>
    <row r="697" spans="1:58" ht="41.25" customHeight="1" x14ac:dyDescent="0.25">
      <c r="A697" s="8" t="s">
        <v>5</v>
      </c>
      <c r="B697" s="1" t="s">
        <v>0</v>
      </c>
      <c r="C697" s="1" t="s">
        <v>1</v>
      </c>
      <c r="D697" s="1" t="s">
        <v>8537</v>
      </c>
      <c r="E697" s="1" t="s">
        <v>8538</v>
      </c>
      <c r="F697" s="1" t="s">
        <v>8539</v>
      </c>
      <c r="H697" s="2" t="s">
        <v>5</v>
      </c>
      <c r="I697" s="2" t="s">
        <v>6</v>
      </c>
      <c r="J697" s="2" t="s">
        <v>5</v>
      </c>
      <c r="K697" s="2" t="s">
        <v>5</v>
      </c>
      <c r="L697" s="2" t="s">
        <v>7</v>
      </c>
      <c r="N697" s="1" t="s">
        <v>8540</v>
      </c>
      <c r="O697" s="2" t="s">
        <v>393</v>
      </c>
      <c r="Q697" s="2" t="s">
        <v>11</v>
      </c>
      <c r="R697" s="2" t="s">
        <v>426</v>
      </c>
      <c r="T697" s="2" t="s">
        <v>520</v>
      </c>
      <c r="U697" s="3">
        <v>4</v>
      </c>
      <c r="V697" s="3">
        <v>4</v>
      </c>
      <c r="W697" s="4" t="s">
        <v>8541</v>
      </c>
      <c r="X697" s="4" t="s">
        <v>8541</v>
      </c>
      <c r="Y697" s="4" t="s">
        <v>96</v>
      </c>
      <c r="Z697" s="4" t="s">
        <v>96</v>
      </c>
      <c r="AA697" s="3">
        <v>144</v>
      </c>
      <c r="AB697" s="3">
        <v>127</v>
      </c>
      <c r="AC697" s="3">
        <v>128</v>
      </c>
      <c r="AD697" s="3">
        <v>2</v>
      </c>
      <c r="AE697" s="3">
        <v>2</v>
      </c>
      <c r="AF697" s="3">
        <v>7</v>
      </c>
      <c r="AG697" s="3">
        <v>7</v>
      </c>
      <c r="AH697" s="3">
        <v>1</v>
      </c>
      <c r="AI697" s="3">
        <v>1</v>
      </c>
      <c r="AJ697" s="3">
        <v>2</v>
      </c>
      <c r="AK697" s="3">
        <v>2</v>
      </c>
      <c r="AL697" s="3">
        <v>6</v>
      </c>
      <c r="AM697" s="3">
        <v>6</v>
      </c>
      <c r="AN697" s="3">
        <v>1</v>
      </c>
      <c r="AO697" s="3">
        <v>1</v>
      </c>
      <c r="AP697" s="3">
        <v>0</v>
      </c>
      <c r="AQ697" s="3">
        <v>0</v>
      </c>
      <c r="AR697" s="2" t="s">
        <v>5</v>
      </c>
      <c r="AS697" s="2" t="s">
        <v>16</v>
      </c>
      <c r="AT697" s="5" t="str">
        <f>HYPERLINK("http://catalog.hathitrust.org/Record/008466386","HathiTrust Record")</f>
        <v>HathiTrust Record</v>
      </c>
      <c r="AU697" s="5" t="str">
        <f>HYPERLINK("https://creighton-primo.hosted.exlibrisgroup.com/primo-explore/search?tab=default_tab&amp;search_scope=EVERYTHING&amp;vid=01CRU&amp;lang=en_US&amp;offset=0&amp;query=any,contains,991001133129702656","Catalog Record")</f>
        <v>Catalog Record</v>
      </c>
      <c r="AV697" s="5" t="str">
        <f>HYPERLINK("http://www.worldcat.org/oclc/8473614","WorldCat Record")</f>
        <v>WorldCat Record</v>
      </c>
      <c r="AW697" s="2" t="s">
        <v>8542</v>
      </c>
      <c r="AX697" s="2" t="s">
        <v>8543</v>
      </c>
      <c r="AY697" s="2" t="s">
        <v>8544</v>
      </c>
      <c r="AZ697" s="2" t="s">
        <v>8544</v>
      </c>
      <c r="BA697" s="2" t="s">
        <v>8545</v>
      </c>
      <c r="BB697" s="2" t="s">
        <v>21</v>
      </c>
      <c r="BD697" s="2" t="s">
        <v>8546</v>
      </c>
      <c r="BE697" s="2" t="s">
        <v>8547</v>
      </c>
      <c r="BF697" s="2" t="s">
        <v>8548</v>
      </c>
    </row>
    <row r="698" spans="1:58" ht="41.25" customHeight="1" x14ac:dyDescent="0.25">
      <c r="A698" s="8" t="s">
        <v>5</v>
      </c>
      <c r="B698" s="1" t="s">
        <v>0</v>
      </c>
      <c r="C698" s="1" t="s">
        <v>1</v>
      </c>
      <c r="D698" s="1" t="s">
        <v>8549</v>
      </c>
      <c r="E698" s="1" t="s">
        <v>8550</v>
      </c>
      <c r="F698" s="1" t="s">
        <v>8551</v>
      </c>
      <c r="H698" s="2" t="s">
        <v>5</v>
      </c>
      <c r="I698" s="2" t="s">
        <v>6</v>
      </c>
      <c r="J698" s="2" t="s">
        <v>5</v>
      </c>
      <c r="K698" s="2" t="s">
        <v>5</v>
      </c>
      <c r="L698" s="2" t="s">
        <v>7</v>
      </c>
      <c r="M698" s="1" t="s">
        <v>1296</v>
      </c>
      <c r="N698" s="1" t="s">
        <v>8552</v>
      </c>
      <c r="O698" s="2" t="s">
        <v>228</v>
      </c>
      <c r="Q698" s="2" t="s">
        <v>11</v>
      </c>
      <c r="R698" s="2" t="s">
        <v>426</v>
      </c>
      <c r="T698" s="2" t="s">
        <v>520</v>
      </c>
      <c r="U698" s="3">
        <v>8</v>
      </c>
      <c r="V698" s="3">
        <v>8</v>
      </c>
      <c r="W698" s="4" t="s">
        <v>1298</v>
      </c>
      <c r="X698" s="4" t="s">
        <v>1298</v>
      </c>
      <c r="Y698" s="4" t="s">
        <v>96</v>
      </c>
      <c r="Z698" s="4" t="s">
        <v>96</v>
      </c>
      <c r="AA698" s="3">
        <v>461</v>
      </c>
      <c r="AB698" s="3">
        <v>358</v>
      </c>
      <c r="AC698" s="3">
        <v>361</v>
      </c>
      <c r="AD698" s="3">
        <v>5</v>
      </c>
      <c r="AE698" s="3">
        <v>5</v>
      </c>
      <c r="AF698" s="3">
        <v>17</v>
      </c>
      <c r="AG698" s="3">
        <v>17</v>
      </c>
      <c r="AH698" s="3">
        <v>10</v>
      </c>
      <c r="AI698" s="3">
        <v>10</v>
      </c>
      <c r="AJ698" s="3">
        <v>3</v>
      </c>
      <c r="AK698" s="3">
        <v>3</v>
      </c>
      <c r="AL698" s="3">
        <v>6</v>
      </c>
      <c r="AM698" s="3">
        <v>6</v>
      </c>
      <c r="AN698" s="3">
        <v>3</v>
      </c>
      <c r="AO698" s="3">
        <v>3</v>
      </c>
      <c r="AP698" s="3">
        <v>0</v>
      </c>
      <c r="AQ698" s="3">
        <v>0</v>
      </c>
      <c r="AR698" s="2" t="s">
        <v>5</v>
      </c>
      <c r="AS698" s="2" t="s">
        <v>16</v>
      </c>
      <c r="AT698" s="5" t="str">
        <f>HYPERLINK("http://catalog.hathitrust.org/Record/000192547","HathiTrust Record")</f>
        <v>HathiTrust Record</v>
      </c>
      <c r="AU698" s="5" t="str">
        <f>HYPERLINK("https://creighton-primo.hosted.exlibrisgroup.com/primo-explore/search?tab=default_tab&amp;search_scope=EVERYTHING&amp;vid=01CRU&amp;lang=en_US&amp;offset=0&amp;query=any,contains,991001132309702656","Catalog Record")</f>
        <v>Catalog Record</v>
      </c>
      <c r="AV698" s="5" t="str">
        <f>HYPERLINK("http://www.worldcat.org/oclc/7978009","WorldCat Record")</f>
        <v>WorldCat Record</v>
      </c>
      <c r="AW698" s="2" t="s">
        <v>8553</v>
      </c>
      <c r="AX698" s="2" t="s">
        <v>8554</v>
      </c>
      <c r="AY698" s="2" t="s">
        <v>8555</v>
      </c>
      <c r="AZ698" s="2" t="s">
        <v>8555</v>
      </c>
      <c r="BA698" s="2" t="s">
        <v>8556</v>
      </c>
      <c r="BB698" s="2" t="s">
        <v>21</v>
      </c>
      <c r="BD698" s="2" t="s">
        <v>8557</v>
      </c>
      <c r="BE698" s="2" t="s">
        <v>8558</v>
      </c>
      <c r="BF698" s="2" t="s">
        <v>8559</v>
      </c>
    </row>
    <row r="699" spans="1:58" ht="41.25" customHeight="1" x14ac:dyDescent="0.25">
      <c r="A699" s="8" t="s">
        <v>5</v>
      </c>
      <c r="B699" s="1" t="s">
        <v>0</v>
      </c>
      <c r="C699" s="1" t="s">
        <v>1</v>
      </c>
      <c r="D699" s="1" t="s">
        <v>8560</v>
      </c>
      <c r="E699" s="1" t="s">
        <v>8561</v>
      </c>
      <c r="F699" s="1" t="s">
        <v>8562</v>
      </c>
      <c r="H699" s="2" t="s">
        <v>5</v>
      </c>
      <c r="I699" s="2" t="s">
        <v>6</v>
      </c>
      <c r="J699" s="2" t="s">
        <v>5</v>
      </c>
      <c r="K699" s="2" t="s">
        <v>16</v>
      </c>
      <c r="L699" s="2" t="s">
        <v>7</v>
      </c>
      <c r="M699" s="1" t="s">
        <v>8563</v>
      </c>
      <c r="N699" s="1" t="s">
        <v>8564</v>
      </c>
      <c r="O699" s="2" t="s">
        <v>62</v>
      </c>
      <c r="Q699" s="2" t="s">
        <v>11</v>
      </c>
      <c r="R699" s="2" t="s">
        <v>12</v>
      </c>
      <c r="T699" s="2" t="s">
        <v>520</v>
      </c>
      <c r="U699" s="3">
        <v>9</v>
      </c>
      <c r="V699" s="3">
        <v>9</v>
      </c>
      <c r="W699" s="4" t="s">
        <v>8565</v>
      </c>
      <c r="X699" s="4" t="s">
        <v>8565</v>
      </c>
      <c r="Y699" s="4" t="s">
        <v>96</v>
      </c>
      <c r="Z699" s="4" t="s">
        <v>96</v>
      </c>
      <c r="AA699" s="3">
        <v>331</v>
      </c>
      <c r="AB699" s="3">
        <v>265</v>
      </c>
      <c r="AC699" s="3">
        <v>978</v>
      </c>
      <c r="AD699" s="3">
        <v>2</v>
      </c>
      <c r="AE699" s="3">
        <v>6</v>
      </c>
      <c r="AF699" s="3">
        <v>14</v>
      </c>
      <c r="AG699" s="3">
        <v>38</v>
      </c>
      <c r="AH699" s="3">
        <v>7</v>
      </c>
      <c r="AI699" s="3">
        <v>17</v>
      </c>
      <c r="AJ699" s="3">
        <v>3</v>
      </c>
      <c r="AK699" s="3">
        <v>6</v>
      </c>
      <c r="AL699" s="3">
        <v>6</v>
      </c>
      <c r="AM699" s="3">
        <v>14</v>
      </c>
      <c r="AN699" s="3">
        <v>0</v>
      </c>
      <c r="AO699" s="3">
        <v>4</v>
      </c>
      <c r="AP699" s="3">
        <v>0</v>
      </c>
      <c r="AQ699" s="3">
        <v>2</v>
      </c>
      <c r="AR699" s="2" t="s">
        <v>5</v>
      </c>
      <c r="AS699" s="2" t="s">
        <v>16</v>
      </c>
      <c r="AT699" s="5" t="str">
        <f>HYPERLINK("http://catalog.hathitrust.org/Record/000174304","HathiTrust Record")</f>
        <v>HathiTrust Record</v>
      </c>
      <c r="AU699" s="5" t="str">
        <f>HYPERLINK("https://creighton-primo.hosted.exlibrisgroup.com/primo-explore/search?tab=default_tab&amp;search_scope=EVERYTHING&amp;vid=01CRU&amp;lang=en_US&amp;offset=0&amp;query=any,contains,991001132439702656","Catalog Record")</f>
        <v>Catalog Record</v>
      </c>
      <c r="AV699" s="5" t="str">
        <f>HYPERLINK("http://www.worldcat.org/oclc/3917728","WorldCat Record")</f>
        <v>WorldCat Record</v>
      </c>
      <c r="AW699" s="2" t="s">
        <v>8566</v>
      </c>
      <c r="AX699" s="2" t="s">
        <v>8567</v>
      </c>
      <c r="AY699" s="2" t="s">
        <v>8568</v>
      </c>
      <c r="AZ699" s="2" t="s">
        <v>8568</v>
      </c>
      <c r="BA699" s="2" t="s">
        <v>8569</v>
      </c>
      <c r="BB699" s="2" t="s">
        <v>21</v>
      </c>
      <c r="BD699" s="2" t="s">
        <v>8570</v>
      </c>
      <c r="BE699" s="2" t="s">
        <v>8571</v>
      </c>
      <c r="BF699" s="2" t="s">
        <v>8572</v>
      </c>
    </row>
    <row r="700" spans="1:58" ht="41.25" customHeight="1" x14ac:dyDescent="0.25">
      <c r="A700" s="8" t="s">
        <v>5</v>
      </c>
      <c r="B700" s="1" t="s">
        <v>0</v>
      </c>
      <c r="C700" s="1" t="s">
        <v>1</v>
      </c>
      <c r="D700" s="1" t="s">
        <v>8573</v>
      </c>
      <c r="E700" s="1" t="s">
        <v>8574</v>
      </c>
      <c r="F700" s="1" t="s">
        <v>8562</v>
      </c>
      <c r="H700" s="2" t="s">
        <v>5</v>
      </c>
      <c r="I700" s="2" t="s">
        <v>6</v>
      </c>
      <c r="J700" s="2" t="s">
        <v>5</v>
      </c>
      <c r="K700" s="2" t="s">
        <v>16</v>
      </c>
      <c r="L700" s="2" t="s">
        <v>7</v>
      </c>
      <c r="M700" s="1" t="s">
        <v>8563</v>
      </c>
      <c r="N700" s="1" t="s">
        <v>8575</v>
      </c>
      <c r="O700" s="2" t="s">
        <v>136</v>
      </c>
      <c r="P700" s="1" t="s">
        <v>901</v>
      </c>
      <c r="Q700" s="2" t="s">
        <v>11</v>
      </c>
      <c r="R700" s="2" t="s">
        <v>3356</v>
      </c>
      <c r="T700" s="2" t="s">
        <v>520</v>
      </c>
      <c r="U700" s="3">
        <v>8</v>
      </c>
      <c r="V700" s="3">
        <v>8</v>
      </c>
      <c r="W700" s="4" t="s">
        <v>1298</v>
      </c>
      <c r="X700" s="4" t="s">
        <v>1298</v>
      </c>
      <c r="Y700" s="4" t="s">
        <v>8576</v>
      </c>
      <c r="Z700" s="4" t="s">
        <v>8576</v>
      </c>
      <c r="AA700" s="3">
        <v>358</v>
      </c>
      <c r="AB700" s="3">
        <v>258</v>
      </c>
      <c r="AC700" s="3">
        <v>978</v>
      </c>
      <c r="AD700" s="3">
        <v>3</v>
      </c>
      <c r="AE700" s="3">
        <v>6</v>
      </c>
      <c r="AF700" s="3">
        <v>7</v>
      </c>
      <c r="AG700" s="3">
        <v>38</v>
      </c>
      <c r="AH700" s="3">
        <v>2</v>
      </c>
      <c r="AI700" s="3">
        <v>17</v>
      </c>
      <c r="AJ700" s="3">
        <v>1</v>
      </c>
      <c r="AK700" s="3">
        <v>6</v>
      </c>
      <c r="AL700" s="3">
        <v>4</v>
      </c>
      <c r="AM700" s="3">
        <v>14</v>
      </c>
      <c r="AN700" s="3">
        <v>1</v>
      </c>
      <c r="AO700" s="3">
        <v>4</v>
      </c>
      <c r="AP700" s="3">
        <v>0</v>
      </c>
      <c r="AQ700" s="3">
        <v>2</v>
      </c>
      <c r="AR700" s="2" t="s">
        <v>5</v>
      </c>
      <c r="AS700" s="2" t="s">
        <v>16</v>
      </c>
      <c r="AT700" s="5" t="str">
        <f>HYPERLINK("http://catalog.hathitrust.org/Record/002450368","HathiTrust Record")</f>
        <v>HathiTrust Record</v>
      </c>
      <c r="AU700" s="5" t="str">
        <f>HYPERLINK("https://creighton-primo.hosted.exlibrisgroup.com/primo-explore/search?tab=default_tab&amp;search_scope=EVERYTHING&amp;vid=01CRU&amp;lang=en_US&amp;offset=0&amp;query=any,contains,991001028779702656","Catalog Record")</f>
        <v>Catalog Record</v>
      </c>
      <c r="AV700" s="5" t="str">
        <f>HYPERLINK("http://www.worldcat.org/oclc/22764768","WorldCat Record")</f>
        <v>WorldCat Record</v>
      </c>
      <c r="AW700" s="2" t="s">
        <v>8566</v>
      </c>
      <c r="AX700" s="2" t="s">
        <v>8577</v>
      </c>
      <c r="AY700" s="2" t="s">
        <v>8578</v>
      </c>
      <c r="AZ700" s="2" t="s">
        <v>8578</v>
      </c>
      <c r="BA700" s="2" t="s">
        <v>8579</v>
      </c>
      <c r="BB700" s="2" t="s">
        <v>21</v>
      </c>
      <c r="BD700" s="2" t="s">
        <v>8580</v>
      </c>
      <c r="BE700" s="2" t="s">
        <v>8581</v>
      </c>
      <c r="BF700" s="2" t="s">
        <v>8582</v>
      </c>
    </row>
    <row r="701" spans="1:58" ht="41.25" customHeight="1" x14ac:dyDescent="0.25">
      <c r="A701" s="8" t="s">
        <v>5</v>
      </c>
      <c r="B701" s="1" t="s">
        <v>0</v>
      </c>
      <c r="C701" s="1" t="s">
        <v>1</v>
      </c>
      <c r="D701" s="1" t="s">
        <v>8583</v>
      </c>
      <c r="E701" s="1" t="s">
        <v>8584</v>
      </c>
      <c r="F701" s="1" t="s">
        <v>8585</v>
      </c>
      <c r="H701" s="2" t="s">
        <v>5</v>
      </c>
      <c r="I701" s="2" t="s">
        <v>6</v>
      </c>
      <c r="J701" s="2" t="s">
        <v>5</v>
      </c>
      <c r="K701" s="2" t="s">
        <v>5</v>
      </c>
      <c r="L701" s="2" t="s">
        <v>7</v>
      </c>
      <c r="M701" s="1" t="s">
        <v>8586</v>
      </c>
      <c r="N701" s="1" t="s">
        <v>8587</v>
      </c>
      <c r="O701" s="2" t="s">
        <v>989</v>
      </c>
      <c r="Q701" s="2" t="s">
        <v>11</v>
      </c>
      <c r="R701" s="2" t="s">
        <v>369</v>
      </c>
      <c r="T701" s="2" t="s">
        <v>520</v>
      </c>
      <c r="U701" s="3">
        <v>14</v>
      </c>
      <c r="V701" s="3">
        <v>14</v>
      </c>
      <c r="W701" s="4" t="s">
        <v>8588</v>
      </c>
      <c r="X701" s="4" t="s">
        <v>8588</v>
      </c>
      <c r="Y701" s="4" t="s">
        <v>8589</v>
      </c>
      <c r="Z701" s="4" t="s">
        <v>8589</v>
      </c>
      <c r="AA701" s="3">
        <v>20</v>
      </c>
      <c r="AB701" s="3">
        <v>18</v>
      </c>
      <c r="AC701" s="3">
        <v>18</v>
      </c>
      <c r="AD701" s="3">
        <v>1</v>
      </c>
      <c r="AE701" s="3">
        <v>1</v>
      </c>
      <c r="AF701" s="3">
        <v>1</v>
      </c>
      <c r="AG701" s="3">
        <v>1</v>
      </c>
      <c r="AH701" s="3">
        <v>0</v>
      </c>
      <c r="AI701" s="3">
        <v>0</v>
      </c>
      <c r="AJ701" s="3">
        <v>1</v>
      </c>
      <c r="AK701" s="3">
        <v>1</v>
      </c>
      <c r="AL701" s="3">
        <v>1</v>
      </c>
      <c r="AM701" s="3">
        <v>1</v>
      </c>
      <c r="AN701" s="3">
        <v>0</v>
      </c>
      <c r="AO701" s="3">
        <v>0</v>
      </c>
      <c r="AP701" s="3">
        <v>0</v>
      </c>
      <c r="AQ701" s="3">
        <v>0</v>
      </c>
      <c r="AR701" s="2" t="s">
        <v>5</v>
      </c>
      <c r="AS701" s="2" t="s">
        <v>5</v>
      </c>
      <c r="AU701" s="5" t="str">
        <f>HYPERLINK("https://creighton-primo.hosted.exlibrisgroup.com/primo-explore/search?tab=default_tab&amp;search_scope=EVERYTHING&amp;vid=01CRU&amp;lang=en_US&amp;offset=0&amp;query=any,contains,991001549679702656","Catalog Record")</f>
        <v>Catalog Record</v>
      </c>
      <c r="AV701" s="5" t="str">
        <f>HYPERLINK("http://www.worldcat.org/oclc/22255702","WorldCat Record")</f>
        <v>WorldCat Record</v>
      </c>
      <c r="AW701" s="2" t="s">
        <v>8590</v>
      </c>
      <c r="AX701" s="2" t="s">
        <v>8591</v>
      </c>
      <c r="AY701" s="2" t="s">
        <v>8592</v>
      </c>
      <c r="AZ701" s="2" t="s">
        <v>8592</v>
      </c>
      <c r="BA701" s="2" t="s">
        <v>8593</v>
      </c>
      <c r="BB701" s="2" t="s">
        <v>21</v>
      </c>
      <c r="BD701" s="2" t="s">
        <v>8594</v>
      </c>
      <c r="BE701" s="2" t="s">
        <v>8595</v>
      </c>
      <c r="BF701" s="2" t="s">
        <v>8596</v>
      </c>
    </row>
    <row r="702" spans="1:58" ht="41.25" customHeight="1" x14ac:dyDescent="0.25">
      <c r="A702" s="8" t="s">
        <v>5</v>
      </c>
      <c r="B702" s="1" t="s">
        <v>0</v>
      </c>
      <c r="C702" s="1" t="s">
        <v>1</v>
      </c>
      <c r="D702" s="1" t="s">
        <v>8597</v>
      </c>
      <c r="E702" s="1" t="s">
        <v>8598</v>
      </c>
      <c r="F702" s="1" t="s">
        <v>8599</v>
      </c>
      <c r="H702" s="2" t="s">
        <v>5</v>
      </c>
      <c r="I702" s="2" t="s">
        <v>6</v>
      </c>
      <c r="J702" s="2" t="s">
        <v>5</v>
      </c>
      <c r="K702" s="2" t="s">
        <v>5</v>
      </c>
      <c r="L702" s="2" t="s">
        <v>7</v>
      </c>
      <c r="N702" s="1" t="s">
        <v>8600</v>
      </c>
      <c r="O702" s="2" t="s">
        <v>382</v>
      </c>
      <c r="Q702" s="2" t="s">
        <v>11</v>
      </c>
      <c r="R702" s="2" t="s">
        <v>31</v>
      </c>
      <c r="S702" s="1" t="s">
        <v>8601</v>
      </c>
      <c r="T702" s="2" t="s">
        <v>520</v>
      </c>
      <c r="U702" s="3">
        <v>6</v>
      </c>
      <c r="V702" s="3">
        <v>6</v>
      </c>
      <c r="W702" s="4" t="s">
        <v>8602</v>
      </c>
      <c r="X702" s="4" t="s">
        <v>8602</v>
      </c>
      <c r="Y702" s="4" t="s">
        <v>5957</v>
      </c>
      <c r="Z702" s="4" t="s">
        <v>5957</v>
      </c>
      <c r="AA702" s="3">
        <v>125</v>
      </c>
      <c r="AB702" s="3">
        <v>114</v>
      </c>
      <c r="AC702" s="3">
        <v>125</v>
      </c>
      <c r="AD702" s="3">
        <v>2</v>
      </c>
      <c r="AE702" s="3">
        <v>2</v>
      </c>
      <c r="AF702" s="3">
        <v>8</v>
      </c>
      <c r="AG702" s="3">
        <v>8</v>
      </c>
      <c r="AH702" s="3">
        <v>4</v>
      </c>
      <c r="AI702" s="3">
        <v>4</v>
      </c>
      <c r="AJ702" s="3">
        <v>1</v>
      </c>
      <c r="AK702" s="3">
        <v>1</v>
      </c>
      <c r="AL702" s="3">
        <v>5</v>
      </c>
      <c r="AM702" s="3">
        <v>5</v>
      </c>
      <c r="AN702" s="3">
        <v>0</v>
      </c>
      <c r="AO702" s="3">
        <v>0</v>
      </c>
      <c r="AP702" s="3">
        <v>0</v>
      </c>
      <c r="AQ702" s="3">
        <v>0</v>
      </c>
      <c r="AR702" s="2" t="s">
        <v>5</v>
      </c>
      <c r="AS702" s="2" t="s">
        <v>16</v>
      </c>
      <c r="AT702" s="5" t="str">
        <f>HYPERLINK("http://catalog.hathitrust.org/Record/000468417","HathiTrust Record")</f>
        <v>HathiTrust Record</v>
      </c>
      <c r="AU702" s="5" t="str">
        <f>HYPERLINK("https://creighton-primo.hosted.exlibrisgroup.com/primo-explore/search?tab=default_tab&amp;search_scope=EVERYTHING&amp;vid=01CRU&amp;lang=en_US&amp;offset=0&amp;query=any,contains,991001521309702656","Catalog Record")</f>
        <v>Catalog Record</v>
      </c>
      <c r="AV702" s="5" t="str">
        <f>HYPERLINK("http://www.worldcat.org/oclc/13580814","WorldCat Record")</f>
        <v>WorldCat Record</v>
      </c>
      <c r="AW702" s="2" t="s">
        <v>8603</v>
      </c>
      <c r="AX702" s="2" t="s">
        <v>8604</v>
      </c>
      <c r="AY702" s="2" t="s">
        <v>8605</v>
      </c>
      <c r="AZ702" s="2" t="s">
        <v>8605</v>
      </c>
      <c r="BA702" s="2" t="s">
        <v>8606</v>
      </c>
      <c r="BB702" s="2" t="s">
        <v>21</v>
      </c>
      <c r="BE702" s="2" t="s">
        <v>8607</v>
      </c>
      <c r="BF702" s="2" t="s">
        <v>8608</v>
      </c>
    </row>
    <row r="703" spans="1:58" ht="41.25" customHeight="1" x14ac:dyDescent="0.25">
      <c r="A703" s="8" t="s">
        <v>5</v>
      </c>
      <c r="B703" s="1" t="s">
        <v>0</v>
      </c>
      <c r="C703" s="1" t="s">
        <v>1</v>
      </c>
      <c r="D703" s="1" t="s">
        <v>8609</v>
      </c>
      <c r="E703" s="1" t="s">
        <v>8610</v>
      </c>
      <c r="F703" s="1" t="s">
        <v>8611</v>
      </c>
      <c r="H703" s="2" t="s">
        <v>5</v>
      </c>
      <c r="I703" s="2" t="s">
        <v>6</v>
      </c>
      <c r="J703" s="2" t="s">
        <v>5</v>
      </c>
      <c r="K703" s="2" t="s">
        <v>5</v>
      </c>
      <c r="L703" s="2" t="s">
        <v>7</v>
      </c>
      <c r="N703" s="1" t="s">
        <v>8612</v>
      </c>
      <c r="O703" s="2" t="s">
        <v>939</v>
      </c>
      <c r="Q703" s="2" t="s">
        <v>11</v>
      </c>
      <c r="R703" s="2" t="s">
        <v>31</v>
      </c>
      <c r="S703" s="1" t="s">
        <v>8613</v>
      </c>
      <c r="T703" s="2" t="s">
        <v>520</v>
      </c>
      <c r="U703" s="3">
        <v>5</v>
      </c>
      <c r="V703" s="3">
        <v>5</v>
      </c>
      <c r="W703" s="4" t="s">
        <v>6609</v>
      </c>
      <c r="X703" s="4" t="s">
        <v>6609</v>
      </c>
      <c r="Y703" s="4" t="s">
        <v>8614</v>
      </c>
      <c r="Z703" s="4" t="s">
        <v>8614</v>
      </c>
      <c r="AA703" s="3">
        <v>156</v>
      </c>
      <c r="AB703" s="3">
        <v>142</v>
      </c>
      <c r="AC703" s="3">
        <v>152</v>
      </c>
      <c r="AD703" s="3">
        <v>1</v>
      </c>
      <c r="AE703" s="3">
        <v>1</v>
      </c>
      <c r="AF703" s="3">
        <v>6</v>
      </c>
      <c r="AG703" s="3">
        <v>6</v>
      </c>
      <c r="AH703" s="3">
        <v>2</v>
      </c>
      <c r="AI703" s="3">
        <v>2</v>
      </c>
      <c r="AJ703" s="3">
        <v>0</v>
      </c>
      <c r="AK703" s="3">
        <v>0</v>
      </c>
      <c r="AL703" s="3">
        <v>4</v>
      </c>
      <c r="AM703" s="3">
        <v>4</v>
      </c>
      <c r="AN703" s="3">
        <v>0</v>
      </c>
      <c r="AO703" s="3">
        <v>0</v>
      </c>
      <c r="AP703" s="3">
        <v>0</v>
      </c>
      <c r="AQ703" s="3">
        <v>0</v>
      </c>
      <c r="AR703" s="2" t="s">
        <v>5</v>
      </c>
      <c r="AS703" s="2" t="s">
        <v>16</v>
      </c>
      <c r="AT703" s="5" t="str">
        <f>HYPERLINK("http://catalog.hathitrust.org/Record/000951835","HathiTrust Record")</f>
        <v>HathiTrust Record</v>
      </c>
      <c r="AU703" s="5" t="str">
        <f>HYPERLINK("https://creighton-primo.hosted.exlibrisgroup.com/primo-explore/search?tab=default_tab&amp;search_scope=EVERYTHING&amp;vid=01CRU&amp;lang=en_US&amp;offset=0&amp;query=any,contains,991000760039702656","Catalog Record")</f>
        <v>Catalog Record</v>
      </c>
      <c r="AV703" s="5" t="str">
        <f>HYPERLINK("http://www.worldcat.org/oclc/20631731","WorldCat Record")</f>
        <v>WorldCat Record</v>
      </c>
      <c r="AW703" s="2" t="s">
        <v>8615</v>
      </c>
      <c r="AX703" s="2" t="s">
        <v>8616</v>
      </c>
      <c r="AY703" s="2" t="s">
        <v>8617</v>
      </c>
      <c r="AZ703" s="2" t="s">
        <v>8617</v>
      </c>
      <c r="BA703" s="2" t="s">
        <v>8618</v>
      </c>
      <c r="BB703" s="2" t="s">
        <v>21</v>
      </c>
      <c r="BE703" s="2" t="s">
        <v>8619</v>
      </c>
      <c r="BF703" s="2" t="s">
        <v>8620</v>
      </c>
    </row>
    <row r="704" spans="1:58" ht="41.25" customHeight="1" x14ac:dyDescent="0.25">
      <c r="A704" s="8" t="s">
        <v>5</v>
      </c>
      <c r="B704" s="1" t="s">
        <v>0</v>
      </c>
      <c r="C704" s="1" t="s">
        <v>1</v>
      </c>
      <c r="D704" s="1" t="s">
        <v>8621</v>
      </c>
      <c r="E704" s="1" t="s">
        <v>8622</v>
      </c>
      <c r="F704" s="1" t="s">
        <v>8623</v>
      </c>
      <c r="H704" s="2" t="s">
        <v>5</v>
      </c>
      <c r="I704" s="2" t="s">
        <v>6</v>
      </c>
      <c r="J704" s="2" t="s">
        <v>5</v>
      </c>
      <c r="K704" s="2" t="s">
        <v>5</v>
      </c>
      <c r="L704" s="2" t="s">
        <v>7</v>
      </c>
      <c r="N704" s="1" t="s">
        <v>8624</v>
      </c>
      <c r="O704" s="2" t="s">
        <v>210</v>
      </c>
      <c r="Q704" s="2" t="s">
        <v>11</v>
      </c>
      <c r="R704" s="2" t="s">
        <v>1325</v>
      </c>
      <c r="S704" s="1" t="s">
        <v>8625</v>
      </c>
      <c r="T704" s="2" t="s">
        <v>520</v>
      </c>
      <c r="U704" s="3">
        <v>4</v>
      </c>
      <c r="V704" s="3">
        <v>4</v>
      </c>
      <c r="W704" s="4" t="s">
        <v>2104</v>
      </c>
      <c r="X704" s="4" t="s">
        <v>2104</v>
      </c>
      <c r="Y704" s="4" t="s">
        <v>604</v>
      </c>
      <c r="Z704" s="4" t="s">
        <v>604</v>
      </c>
      <c r="AA704" s="3">
        <v>305</v>
      </c>
      <c r="AB704" s="3">
        <v>286</v>
      </c>
      <c r="AC704" s="3">
        <v>293</v>
      </c>
      <c r="AD704" s="3">
        <v>4</v>
      </c>
      <c r="AE704" s="3">
        <v>4</v>
      </c>
      <c r="AF704" s="3">
        <v>19</v>
      </c>
      <c r="AG704" s="3">
        <v>19</v>
      </c>
      <c r="AH704" s="3">
        <v>9</v>
      </c>
      <c r="AI704" s="3">
        <v>9</v>
      </c>
      <c r="AJ704" s="3">
        <v>4</v>
      </c>
      <c r="AK704" s="3">
        <v>4</v>
      </c>
      <c r="AL704" s="3">
        <v>8</v>
      </c>
      <c r="AM704" s="3">
        <v>8</v>
      </c>
      <c r="AN704" s="3">
        <v>2</v>
      </c>
      <c r="AO704" s="3">
        <v>2</v>
      </c>
      <c r="AP704" s="3">
        <v>0</v>
      </c>
      <c r="AQ704" s="3">
        <v>0</v>
      </c>
      <c r="AR704" s="2" t="s">
        <v>5</v>
      </c>
      <c r="AS704" s="2" t="s">
        <v>16</v>
      </c>
      <c r="AT704" s="5" t="str">
        <f>HYPERLINK("http://catalog.hathitrust.org/Record/002622607","HathiTrust Record")</f>
        <v>HathiTrust Record</v>
      </c>
      <c r="AU704" s="5" t="str">
        <f>HYPERLINK("https://creighton-primo.hosted.exlibrisgroup.com/primo-explore/search?tab=default_tab&amp;search_scope=EVERYTHING&amp;vid=01CRU&amp;lang=en_US&amp;offset=0&amp;query=any,contains,991000238459702656","Catalog Record")</f>
        <v>Catalog Record</v>
      </c>
      <c r="AV704" s="5" t="str">
        <f>HYPERLINK("http://www.worldcat.org/oclc/27438074","WorldCat Record")</f>
        <v>WorldCat Record</v>
      </c>
      <c r="AW704" s="2" t="s">
        <v>8626</v>
      </c>
      <c r="AX704" s="2" t="s">
        <v>8627</v>
      </c>
      <c r="AY704" s="2" t="s">
        <v>8628</v>
      </c>
      <c r="AZ704" s="2" t="s">
        <v>8628</v>
      </c>
      <c r="BA704" s="2" t="s">
        <v>8629</v>
      </c>
      <c r="BB704" s="2" t="s">
        <v>21</v>
      </c>
      <c r="BD704" s="2" t="s">
        <v>8630</v>
      </c>
      <c r="BE704" s="2" t="s">
        <v>8631</v>
      </c>
      <c r="BF704" s="2" t="s">
        <v>8632</v>
      </c>
    </row>
    <row r="705" spans="1:58" ht="41.25" customHeight="1" x14ac:dyDescent="0.25">
      <c r="A705" s="8" t="s">
        <v>5</v>
      </c>
      <c r="B705" s="1" t="s">
        <v>0</v>
      </c>
      <c r="C705" s="1" t="s">
        <v>1</v>
      </c>
      <c r="D705" s="1" t="s">
        <v>8633</v>
      </c>
      <c r="E705" s="1" t="s">
        <v>8634</v>
      </c>
      <c r="F705" s="1" t="s">
        <v>8635</v>
      </c>
      <c r="H705" s="2" t="s">
        <v>5</v>
      </c>
      <c r="I705" s="2" t="s">
        <v>6</v>
      </c>
      <c r="J705" s="2" t="s">
        <v>5</v>
      </c>
      <c r="K705" s="2" t="s">
        <v>5</v>
      </c>
      <c r="L705" s="2" t="s">
        <v>7</v>
      </c>
      <c r="M705" s="1" t="s">
        <v>8636</v>
      </c>
      <c r="N705" s="1" t="s">
        <v>8637</v>
      </c>
      <c r="O705" s="2" t="s">
        <v>393</v>
      </c>
      <c r="Q705" s="2" t="s">
        <v>11</v>
      </c>
      <c r="R705" s="2" t="s">
        <v>426</v>
      </c>
      <c r="T705" s="2" t="s">
        <v>520</v>
      </c>
      <c r="U705" s="3">
        <v>2</v>
      </c>
      <c r="V705" s="3">
        <v>2</v>
      </c>
      <c r="W705" s="4" t="s">
        <v>8638</v>
      </c>
      <c r="X705" s="4" t="s">
        <v>8638</v>
      </c>
      <c r="Y705" s="4" t="s">
        <v>329</v>
      </c>
      <c r="Z705" s="4" t="s">
        <v>329</v>
      </c>
      <c r="AA705" s="3">
        <v>407</v>
      </c>
      <c r="AB705" s="3">
        <v>332</v>
      </c>
      <c r="AC705" s="3">
        <v>339</v>
      </c>
      <c r="AD705" s="3">
        <v>3</v>
      </c>
      <c r="AE705" s="3">
        <v>3</v>
      </c>
      <c r="AF705" s="3">
        <v>19</v>
      </c>
      <c r="AG705" s="3">
        <v>19</v>
      </c>
      <c r="AH705" s="3">
        <v>8</v>
      </c>
      <c r="AI705" s="3">
        <v>8</v>
      </c>
      <c r="AJ705" s="3">
        <v>4</v>
      </c>
      <c r="AK705" s="3">
        <v>4</v>
      </c>
      <c r="AL705" s="3">
        <v>9</v>
      </c>
      <c r="AM705" s="3">
        <v>9</v>
      </c>
      <c r="AN705" s="3">
        <v>2</v>
      </c>
      <c r="AO705" s="3">
        <v>2</v>
      </c>
      <c r="AP705" s="3">
        <v>0</v>
      </c>
      <c r="AQ705" s="3">
        <v>0</v>
      </c>
      <c r="AR705" s="2" t="s">
        <v>5</v>
      </c>
      <c r="AS705" s="2" t="s">
        <v>16</v>
      </c>
      <c r="AT705" s="5" t="str">
        <f>HYPERLINK("http://catalog.hathitrust.org/Record/000137937","HathiTrust Record")</f>
        <v>HathiTrust Record</v>
      </c>
      <c r="AU705" s="5" t="str">
        <f>HYPERLINK("https://creighton-primo.hosted.exlibrisgroup.com/primo-explore/search?tab=default_tab&amp;search_scope=EVERYTHING&amp;vid=01CRU&amp;lang=en_US&amp;offset=0&amp;query=any,contains,991000738799702656","Catalog Record")</f>
        <v>Catalog Record</v>
      </c>
      <c r="AV705" s="5" t="str">
        <f>HYPERLINK("http://www.worldcat.org/oclc/6864155","WorldCat Record")</f>
        <v>WorldCat Record</v>
      </c>
      <c r="AW705" s="2" t="s">
        <v>8639</v>
      </c>
      <c r="AX705" s="2" t="s">
        <v>8640</v>
      </c>
      <c r="AY705" s="2" t="s">
        <v>8641</v>
      </c>
      <c r="AZ705" s="2" t="s">
        <v>8641</v>
      </c>
      <c r="BA705" s="2" t="s">
        <v>8642</v>
      </c>
      <c r="BB705" s="2" t="s">
        <v>21</v>
      </c>
      <c r="BD705" s="2" t="s">
        <v>8643</v>
      </c>
      <c r="BE705" s="2" t="s">
        <v>8644</v>
      </c>
      <c r="BF705" s="2" t="s">
        <v>8645</v>
      </c>
    </row>
    <row r="706" spans="1:58" ht="41.25" customHeight="1" x14ac:dyDescent="0.25">
      <c r="A706" s="8" t="s">
        <v>5</v>
      </c>
      <c r="B706" s="1" t="s">
        <v>0</v>
      </c>
      <c r="C706" s="1" t="s">
        <v>1</v>
      </c>
      <c r="D706" s="1" t="s">
        <v>8646</v>
      </c>
      <c r="E706" s="1" t="s">
        <v>8647</v>
      </c>
      <c r="F706" s="1" t="s">
        <v>8648</v>
      </c>
      <c r="H706" s="2" t="s">
        <v>5</v>
      </c>
      <c r="I706" s="2" t="s">
        <v>6</v>
      </c>
      <c r="J706" s="2" t="s">
        <v>5</v>
      </c>
      <c r="K706" s="2" t="s">
        <v>5</v>
      </c>
      <c r="L706" s="2" t="s">
        <v>7</v>
      </c>
      <c r="M706" s="1" t="s">
        <v>8649</v>
      </c>
      <c r="N706" s="1" t="s">
        <v>8650</v>
      </c>
      <c r="O706" s="2" t="s">
        <v>8651</v>
      </c>
      <c r="Q706" s="2" t="s">
        <v>11</v>
      </c>
      <c r="R706" s="2" t="s">
        <v>93</v>
      </c>
      <c r="T706" s="2" t="s">
        <v>520</v>
      </c>
      <c r="U706" s="3">
        <v>4</v>
      </c>
      <c r="V706" s="3">
        <v>4</v>
      </c>
      <c r="W706" s="4" t="s">
        <v>8493</v>
      </c>
      <c r="X706" s="4" t="s">
        <v>8493</v>
      </c>
      <c r="Y706" s="4" t="s">
        <v>8652</v>
      </c>
      <c r="Z706" s="4" t="s">
        <v>8652</v>
      </c>
      <c r="AA706" s="3">
        <v>47</v>
      </c>
      <c r="AB706" s="3">
        <v>44</v>
      </c>
      <c r="AC706" s="3">
        <v>46</v>
      </c>
      <c r="AD706" s="3">
        <v>1</v>
      </c>
      <c r="AE706" s="3">
        <v>1</v>
      </c>
      <c r="AF706" s="3">
        <v>1</v>
      </c>
      <c r="AG706" s="3">
        <v>1</v>
      </c>
      <c r="AH706" s="3">
        <v>0</v>
      </c>
      <c r="AI706" s="3">
        <v>0</v>
      </c>
      <c r="AJ706" s="3">
        <v>1</v>
      </c>
      <c r="AK706" s="3">
        <v>1</v>
      </c>
      <c r="AL706" s="3">
        <v>1</v>
      </c>
      <c r="AM706" s="3">
        <v>1</v>
      </c>
      <c r="AN706" s="3">
        <v>0</v>
      </c>
      <c r="AO706" s="3">
        <v>0</v>
      </c>
      <c r="AP706" s="3">
        <v>0</v>
      </c>
      <c r="AQ706" s="3">
        <v>0</v>
      </c>
      <c r="AR706" s="2" t="s">
        <v>5</v>
      </c>
      <c r="AS706" s="2" t="s">
        <v>16</v>
      </c>
      <c r="AT706" s="5" t="str">
        <f>HYPERLINK("http://catalog.hathitrust.org/Record/001575512","HathiTrust Record")</f>
        <v>HathiTrust Record</v>
      </c>
      <c r="AU706" s="5" t="str">
        <f>HYPERLINK("https://creighton-primo.hosted.exlibrisgroup.com/primo-explore/search?tab=default_tab&amp;search_scope=EVERYTHING&amp;vid=01CRU&amp;lang=en_US&amp;offset=0&amp;query=any,contains,991001448229702656","Catalog Record")</f>
        <v>Catalog Record</v>
      </c>
      <c r="AV706" s="5" t="str">
        <f>HYPERLINK("http://www.worldcat.org/oclc/14724126","WorldCat Record")</f>
        <v>WorldCat Record</v>
      </c>
      <c r="AW706" s="2" t="s">
        <v>8653</v>
      </c>
      <c r="AX706" s="2" t="s">
        <v>8654</v>
      </c>
      <c r="AY706" s="2" t="s">
        <v>8655</v>
      </c>
      <c r="AZ706" s="2" t="s">
        <v>8655</v>
      </c>
      <c r="BA706" s="2" t="s">
        <v>8656</v>
      </c>
      <c r="BB706" s="2" t="s">
        <v>21</v>
      </c>
      <c r="BE706" s="2" t="s">
        <v>8657</v>
      </c>
      <c r="BF706" s="2" t="s">
        <v>8658</v>
      </c>
    </row>
    <row r="707" spans="1:58" ht="41.25" customHeight="1" x14ac:dyDescent="0.25">
      <c r="A707" s="8" t="s">
        <v>5</v>
      </c>
      <c r="B707" s="1" t="s">
        <v>0</v>
      </c>
      <c r="C707" s="1" t="s">
        <v>1</v>
      </c>
      <c r="D707" s="1" t="s">
        <v>8659</v>
      </c>
      <c r="E707" s="1" t="s">
        <v>8660</v>
      </c>
      <c r="F707" s="1" t="s">
        <v>8661</v>
      </c>
      <c r="H707" s="2" t="s">
        <v>5</v>
      </c>
      <c r="I707" s="2" t="s">
        <v>6</v>
      </c>
      <c r="J707" s="2" t="s">
        <v>5</v>
      </c>
      <c r="K707" s="2" t="s">
        <v>5</v>
      </c>
      <c r="L707" s="2" t="s">
        <v>7</v>
      </c>
      <c r="M707" s="1" t="s">
        <v>8662</v>
      </c>
      <c r="N707" s="1" t="s">
        <v>8663</v>
      </c>
      <c r="O707" s="2" t="s">
        <v>1246</v>
      </c>
      <c r="Q707" s="2" t="s">
        <v>11</v>
      </c>
      <c r="R707" s="2" t="s">
        <v>575</v>
      </c>
      <c r="T707" s="2" t="s">
        <v>520</v>
      </c>
      <c r="U707" s="3">
        <v>1</v>
      </c>
      <c r="V707" s="3">
        <v>1</v>
      </c>
      <c r="W707" s="4" t="s">
        <v>8664</v>
      </c>
      <c r="X707" s="4" t="s">
        <v>8664</v>
      </c>
      <c r="Y707" s="4" t="s">
        <v>96</v>
      </c>
      <c r="Z707" s="4" t="s">
        <v>96</v>
      </c>
      <c r="AA707" s="3">
        <v>53</v>
      </c>
      <c r="AB707" s="3">
        <v>49</v>
      </c>
      <c r="AC707" s="3">
        <v>186</v>
      </c>
      <c r="AD707" s="3">
        <v>1</v>
      </c>
      <c r="AE707" s="3">
        <v>5</v>
      </c>
      <c r="AF707" s="3">
        <v>3</v>
      </c>
      <c r="AG707" s="3">
        <v>10</v>
      </c>
      <c r="AH707" s="3">
        <v>0</v>
      </c>
      <c r="AI707" s="3">
        <v>0</v>
      </c>
      <c r="AJ707" s="3">
        <v>1</v>
      </c>
      <c r="AK707" s="3">
        <v>2</v>
      </c>
      <c r="AL707" s="3">
        <v>2</v>
      </c>
      <c r="AM707" s="3">
        <v>4</v>
      </c>
      <c r="AN707" s="3">
        <v>0</v>
      </c>
      <c r="AO707" s="3">
        <v>4</v>
      </c>
      <c r="AP707" s="3">
        <v>0</v>
      </c>
      <c r="AQ707" s="3">
        <v>0</v>
      </c>
      <c r="AR707" s="2" t="s">
        <v>5</v>
      </c>
      <c r="AS707" s="2" t="s">
        <v>5</v>
      </c>
      <c r="AU707" s="5" t="str">
        <f>HYPERLINK("https://creighton-primo.hosted.exlibrisgroup.com/primo-explore/search?tab=default_tab&amp;search_scope=EVERYTHING&amp;vid=01CRU&amp;lang=en_US&amp;offset=0&amp;query=any,contains,991001132459702656","Catalog Record")</f>
        <v>Catalog Record</v>
      </c>
      <c r="AV707" s="5" t="str">
        <f>HYPERLINK("http://www.worldcat.org/oclc/751485","WorldCat Record")</f>
        <v>WorldCat Record</v>
      </c>
      <c r="AW707" s="2" t="s">
        <v>8665</v>
      </c>
      <c r="AX707" s="2" t="s">
        <v>8666</v>
      </c>
      <c r="AY707" s="2" t="s">
        <v>8667</v>
      </c>
      <c r="AZ707" s="2" t="s">
        <v>8667</v>
      </c>
      <c r="BA707" s="2" t="s">
        <v>8668</v>
      </c>
      <c r="BB707" s="2" t="s">
        <v>21</v>
      </c>
      <c r="BE707" s="2" t="s">
        <v>8669</v>
      </c>
      <c r="BF707" s="2" t="s">
        <v>8670</v>
      </c>
    </row>
    <row r="708" spans="1:58" ht="41.25" customHeight="1" x14ac:dyDescent="0.25">
      <c r="A708" s="8" t="s">
        <v>5</v>
      </c>
      <c r="B708" s="1" t="s">
        <v>0</v>
      </c>
      <c r="C708" s="1" t="s">
        <v>1</v>
      </c>
      <c r="D708" s="1" t="s">
        <v>8671</v>
      </c>
      <c r="E708" s="1" t="s">
        <v>8672</v>
      </c>
      <c r="F708" s="1" t="s">
        <v>8673</v>
      </c>
      <c r="H708" s="2" t="s">
        <v>5</v>
      </c>
      <c r="I708" s="2" t="s">
        <v>6</v>
      </c>
      <c r="J708" s="2" t="s">
        <v>5</v>
      </c>
      <c r="K708" s="2" t="s">
        <v>5</v>
      </c>
      <c r="L708" s="2" t="s">
        <v>7</v>
      </c>
      <c r="M708" s="1" t="s">
        <v>8674</v>
      </c>
      <c r="N708" s="1" t="s">
        <v>8675</v>
      </c>
      <c r="O708" s="2" t="s">
        <v>794</v>
      </c>
      <c r="Q708" s="2" t="s">
        <v>11</v>
      </c>
      <c r="R708" s="2" t="s">
        <v>78</v>
      </c>
      <c r="T708" s="2" t="s">
        <v>520</v>
      </c>
      <c r="U708" s="3">
        <v>3</v>
      </c>
      <c r="V708" s="3">
        <v>3</v>
      </c>
      <c r="W708" s="4" t="s">
        <v>8676</v>
      </c>
      <c r="X708" s="4" t="s">
        <v>8676</v>
      </c>
      <c r="Y708" s="4" t="s">
        <v>8677</v>
      </c>
      <c r="Z708" s="4" t="s">
        <v>8677</v>
      </c>
      <c r="AA708" s="3">
        <v>430</v>
      </c>
      <c r="AB708" s="3">
        <v>360</v>
      </c>
      <c r="AC708" s="3">
        <v>363</v>
      </c>
      <c r="AD708" s="3">
        <v>4</v>
      </c>
      <c r="AE708" s="3">
        <v>4</v>
      </c>
      <c r="AF708" s="3">
        <v>26</v>
      </c>
      <c r="AG708" s="3">
        <v>26</v>
      </c>
      <c r="AH708" s="3">
        <v>9</v>
      </c>
      <c r="AI708" s="3">
        <v>9</v>
      </c>
      <c r="AJ708" s="3">
        <v>3</v>
      </c>
      <c r="AK708" s="3">
        <v>3</v>
      </c>
      <c r="AL708" s="3">
        <v>12</v>
      </c>
      <c r="AM708" s="3">
        <v>12</v>
      </c>
      <c r="AN708" s="3">
        <v>3</v>
      </c>
      <c r="AO708" s="3">
        <v>3</v>
      </c>
      <c r="AP708" s="3">
        <v>5</v>
      </c>
      <c r="AQ708" s="3">
        <v>5</v>
      </c>
      <c r="AR708" s="2" t="s">
        <v>5</v>
      </c>
      <c r="AS708" s="2" t="s">
        <v>16</v>
      </c>
      <c r="AT708" s="5" t="str">
        <f>HYPERLINK("http://catalog.hathitrust.org/Record/003036543","HathiTrust Record")</f>
        <v>HathiTrust Record</v>
      </c>
      <c r="AU708" s="5" t="str">
        <f>HYPERLINK("https://creighton-primo.hosted.exlibrisgroup.com/primo-explore/search?tab=default_tab&amp;search_scope=EVERYTHING&amp;vid=01CRU&amp;lang=en_US&amp;offset=0&amp;query=any,contains,991000323229702656","Catalog Record")</f>
        <v>Catalog Record</v>
      </c>
      <c r="AV708" s="5" t="str">
        <f>HYPERLINK("http://www.worldcat.org/oclc/33246743","WorldCat Record")</f>
        <v>WorldCat Record</v>
      </c>
      <c r="AW708" s="2" t="s">
        <v>8678</v>
      </c>
      <c r="AX708" s="2" t="s">
        <v>8679</v>
      </c>
      <c r="AY708" s="2" t="s">
        <v>8680</v>
      </c>
      <c r="AZ708" s="2" t="s">
        <v>8680</v>
      </c>
      <c r="BA708" s="2" t="s">
        <v>8681</v>
      </c>
      <c r="BB708" s="2" t="s">
        <v>21</v>
      </c>
      <c r="BD708" s="2" t="s">
        <v>8682</v>
      </c>
      <c r="BE708" s="2" t="s">
        <v>8683</v>
      </c>
      <c r="BF708" s="2" t="s">
        <v>8684</v>
      </c>
    </row>
    <row r="709" spans="1:58" ht="41.25" customHeight="1" x14ac:dyDescent="0.25">
      <c r="A709" s="8" t="s">
        <v>5</v>
      </c>
      <c r="B709" s="1" t="s">
        <v>0</v>
      </c>
      <c r="C709" s="1" t="s">
        <v>1</v>
      </c>
      <c r="D709" s="1" t="s">
        <v>8685</v>
      </c>
      <c r="E709" s="1" t="s">
        <v>8686</v>
      </c>
      <c r="F709" s="1" t="s">
        <v>8687</v>
      </c>
      <c r="H709" s="2" t="s">
        <v>5</v>
      </c>
      <c r="I709" s="2" t="s">
        <v>6</v>
      </c>
      <c r="J709" s="2" t="s">
        <v>5</v>
      </c>
      <c r="K709" s="2" t="s">
        <v>5</v>
      </c>
      <c r="L709" s="2" t="s">
        <v>7</v>
      </c>
      <c r="M709" s="1" t="s">
        <v>8688</v>
      </c>
      <c r="N709" s="1" t="s">
        <v>8689</v>
      </c>
      <c r="O709" s="2" t="s">
        <v>601</v>
      </c>
      <c r="P709" s="1" t="s">
        <v>211</v>
      </c>
      <c r="Q709" s="2" t="s">
        <v>11</v>
      </c>
      <c r="R709" s="2" t="s">
        <v>31</v>
      </c>
      <c r="T709" s="2" t="s">
        <v>520</v>
      </c>
      <c r="U709" s="3">
        <v>16</v>
      </c>
      <c r="V709" s="3">
        <v>16</v>
      </c>
      <c r="W709" s="4" t="s">
        <v>8676</v>
      </c>
      <c r="X709" s="4" t="s">
        <v>8676</v>
      </c>
      <c r="Y709" s="4" t="s">
        <v>548</v>
      </c>
      <c r="Z709" s="4" t="s">
        <v>548</v>
      </c>
      <c r="AA709" s="3">
        <v>415</v>
      </c>
      <c r="AB709" s="3">
        <v>302</v>
      </c>
      <c r="AC709" s="3">
        <v>468</v>
      </c>
      <c r="AD709" s="3">
        <v>1</v>
      </c>
      <c r="AE709" s="3">
        <v>4</v>
      </c>
      <c r="AF709" s="3">
        <v>10</v>
      </c>
      <c r="AG709" s="3">
        <v>20</v>
      </c>
      <c r="AH709" s="3">
        <v>4</v>
      </c>
      <c r="AI709" s="3">
        <v>9</v>
      </c>
      <c r="AJ709" s="3">
        <v>3</v>
      </c>
      <c r="AK709" s="3">
        <v>4</v>
      </c>
      <c r="AL709" s="3">
        <v>4</v>
      </c>
      <c r="AM709" s="3">
        <v>9</v>
      </c>
      <c r="AN709" s="3">
        <v>0</v>
      </c>
      <c r="AO709" s="3">
        <v>2</v>
      </c>
      <c r="AP709" s="3">
        <v>0</v>
      </c>
      <c r="AQ709" s="3">
        <v>0</v>
      </c>
      <c r="AR709" s="2" t="s">
        <v>5</v>
      </c>
      <c r="AS709" s="2" t="s">
        <v>5</v>
      </c>
      <c r="AU709" s="5" t="str">
        <f>HYPERLINK("https://creighton-primo.hosted.exlibrisgroup.com/primo-explore/search?tab=default_tab&amp;search_scope=EVERYTHING&amp;vid=01CRU&amp;lang=en_US&amp;offset=0&amp;query=any,contains,991000688239702656","Catalog Record")</f>
        <v>Catalog Record</v>
      </c>
      <c r="AV709" s="5" t="str">
        <f>HYPERLINK("http://www.worldcat.org/oclc/30359178","WorldCat Record")</f>
        <v>WorldCat Record</v>
      </c>
      <c r="AW709" s="2" t="s">
        <v>8690</v>
      </c>
      <c r="AX709" s="2" t="s">
        <v>8691</v>
      </c>
      <c r="AY709" s="2" t="s">
        <v>8692</v>
      </c>
      <c r="AZ709" s="2" t="s">
        <v>8692</v>
      </c>
      <c r="BA709" s="2" t="s">
        <v>8693</v>
      </c>
      <c r="BB709" s="2" t="s">
        <v>21</v>
      </c>
      <c r="BD709" s="2" t="s">
        <v>8694</v>
      </c>
      <c r="BE709" s="2" t="s">
        <v>8695</v>
      </c>
      <c r="BF709" s="2" t="s">
        <v>8696</v>
      </c>
    </row>
    <row r="710" spans="1:58" ht="41.25" customHeight="1" x14ac:dyDescent="0.25">
      <c r="A710" s="8" t="s">
        <v>5</v>
      </c>
      <c r="B710" s="1" t="s">
        <v>0</v>
      </c>
      <c r="C710" s="1" t="s">
        <v>1</v>
      </c>
      <c r="D710" s="1" t="s">
        <v>8697</v>
      </c>
      <c r="E710" s="1" t="s">
        <v>8698</v>
      </c>
      <c r="F710" s="1" t="s">
        <v>8699</v>
      </c>
      <c r="H710" s="2" t="s">
        <v>5</v>
      </c>
      <c r="I710" s="2" t="s">
        <v>6</v>
      </c>
      <c r="J710" s="2" t="s">
        <v>5</v>
      </c>
      <c r="K710" s="2" t="s">
        <v>16</v>
      </c>
      <c r="L710" s="2" t="s">
        <v>7</v>
      </c>
      <c r="M710" s="1" t="s">
        <v>8688</v>
      </c>
      <c r="N710" s="1" t="s">
        <v>8700</v>
      </c>
      <c r="O710" s="2" t="s">
        <v>1863</v>
      </c>
      <c r="P710" s="1" t="s">
        <v>901</v>
      </c>
      <c r="Q710" s="2" t="s">
        <v>11</v>
      </c>
      <c r="R710" s="2" t="s">
        <v>12</v>
      </c>
      <c r="T710" s="2" t="s">
        <v>520</v>
      </c>
      <c r="U710" s="3">
        <v>6</v>
      </c>
      <c r="V710" s="3">
        <v>6</v>
      </c>
      <c r="W710" s="4" t="s">
        <v>1298</v>
      </c>
      <c r="X710" s="4" t="s">
        <v>1298</v>
      </c>
      <c r="Y710" s="4" t="s">
        <v>8701</v>
      </c>
      <c r="Z710" s="4" t="s">
        <v>8701</v>
      </c>
      <c r="AA710" s="3">
        <v>382</v>
      </c>
      <c r="AB710" s="3">
        <v>309</v>
      </c>
      <c r="AC710" s="3">
        <v>918</v>
      </c>
      <c r="AD710" s="3">
        <v>2</v>
      </c>
      <c r="AE710" s="3">
        <v>7</v>
      </c>
      <c r="AF710" s="3">
        <v>17</v>
      </c>
      <c r="AG710" s="3">
        <v>45</v>
      </c>
      <c r="AH710" s="3">
        <v>7</v>
      </c>
      <c r="AI710" s="3">
        <v>20</v>
      </c>
      <c r="AJ710" s="3">
        <v>4</v>
      </c>
      <c r="AK710" s="3">
        <v>9</v>
      </c>
      <c r="AL710" s="3">
        <v>8</v>
      </c>
      <c r="AM710" s="3">
        <v>17</v>
      </c>
      <c r="AN710" s="3">
        <v>1</v>
      </c>
      <c r="AO710" s="3">
        <v>6</v>
      </c>
      <c r="AP710" s="3">
        <v>0</v>
      </c>
      <c r="AQ710" s="3">
        <v>1</v>
      </c>
      <c r="AR710" s="2" t="s">
        <v>5</v>
      </c>
      <c r="AS710" s="2" t="s">
        <v>16</v>
      </c>
      <c r="AT710" s="5" t="str">
        <f>HYPERLINK("http://catalog.hathitrust.org/Record/004206058","HathiTrust Record")</f>
        <v>HathiTrust Record</v>
      </c>
      <c r="AU710" s="5" t="str">
        <f>HYPERLINK("https://creighton-primo.hosted.exlibrisgroup.com/primo-explore/search?tab=default_tab&amp;search_scope=EVERYTHING&amp;vid=01CRU&amp;lang=en_US&amp;offset=0&amp;query=any,contains,991001709339702656","Catalog Record")</f>
        <v>Catalog Record</v>
      </c>
      <c r="AV710" s="5" t="str">
        <f>HYPERLINK("http://www.worldcat.org/oclc/46829391","WorldCat Record")</f>
        <v>WorldCat Record</v>
      </c>
      <c r="AW710" s="2" t="s">
        <v>8702</v>
      </c>
      <c r="AX710" s="2" t="s">
        <v>8703</v>
      </c>
      <c r="AY710" s="2" t="s">
        <v>8704</v>
      </c>
      <c r="AZ710" s="2" t="s">
        <v>8704</v>
      </c>
      <c r="BA710" s="2" t="s">
        <v>8705</v>
      </c>
      <c r="BB710" s="2" t="s">
        <v>21</v>
      </c>
      <c r="BD710" s="2" t="s">
        <v>8706</v>
      </c>
      <c r="BE710" s="2" t="s">
        <v>8707</v>
      </c>
      <c r="BF710" s="2" t="s">
        <v>8708</v>
      </c>
    </row>
    <row r="711" spans="1:58" ht="41.25" customHeight="1" x14ac:dyDescent="0.25">
      <c r="A711" s="8" t="s">
        <v>5</v>
      </c>
      <c r="B711" s="1" t="s">
        <v>0</v>
      </c>
      <c r="C711" s="1" t="s">
        <v>1</v>
      </c>
      <c r="D711" s="1" t="s">
        <v>8709</v>
      </c>
      <c r="E711" s="1" t="s">
        <v>8710</v>
      </c>
      <c r="F711" s="1" t="s">
        <v>8711</v>
      </c>
      <c r="H711" s="2" t="s">
        <v>5</v>
      </c>
      <c r="I711" s="2" t="s">
        <v>6</v>
      </c>
      <c r="J711" s="2" t="s">
        <v>5</v>
      </c>
      <c r="K711" s="2" t="s">
        <v>5</v>
      </c>
      <c r="L711" s="2" t="s">
        <v>7</v>
      </c>
      <c r="M711" s="1" t="s">
        <v>8712</v>
      </c>
      <c r="N711" s="1" t="s">
        <v>8713</v>
      </c>
      <c r="O711" s="2" t="s">
        <v>888</v>
      </c>
      <c r="Q711" s="2" t="s">
        <v>11</v>
      </c>
      <c r="R711" s="2" t="s">
        <v>229</v>
      </c>
      <c r="S711" s="1" t="s">
        <v>8714</v>
      </c>
      <c r="T711" s="2" t="s">
        <v>520</v>
      </c>
      <c r="U711" s="3">
        <v>19</v>
      </c>
      <c r="V711" s="3">
        <v>19</v>
      </c>
      <c r="W711" s="4" t="s">
        <v>8715</v>
      </c>
      <c r="X711" s="4" t="s">
        <v>8715</v>
      </c>
      <c r="Y711" s="4" t="s">
        <v>96</v>
      </c>
      <c r="Z711" s="4" t="s">
        <v>96</v>
      </c>
      <c r="AA711" s="3">
        <v>364</v>
      </c>
      <c r="AB711" s="3">
        <v>286</v>
      </c>
      <c r="AC711" s="3">
        <v>288</v>
      </c>
      <c r="AD711" s="3">
        <v>3</v>
      </c>
      <c r="AE711" s="3">
        <v>3</v>
      </c>
      <c r="AF711" s="3">
        <v>16</v>
      </c>
      <c r="AG711" s="3">
        <v>16</v>
      </c>
      <c r="AH711" s="3">
        <v>6</v>
      </c>
      <c r="AI711" s="3">
        <v>6</v>
      </c>
      <c r="AJ711" s="3">
        <v>3</v>
      </c>
      <c r="AK711" s="3">
        <v>3</v>
      </c>
      <c r="AL711" s="3">
        <v>10</v>
      </c>
      <c r="AM711" s="3">
        <v>10</v>
      </c>
      <c r="AN711" s="3">
        <v>1</v>
      </c>
      <c r="AO711" s="3">
        <v>1</v>
      </c>
      <c r="AP711" s="3">
        <v>0</v>
      </c>
      <c r="AQ711" s="3">
        <v>0</v>
      </c>
      <c r="AR711" s="2" t="s">
        <v>5</v>
      </c>
      <c r="AS711" s="2" t="s">
        <v>16</v>
      </c>
      <c r="AT711" s="5" t="str">
        <f>HYPERLINK("http://catalog.hathitrust.org/Record/000247952","HathiTrust Record")</f>
        <v>HathiTrust Record</v>
      </c>
      <c r="AU711" s="5" t="str">
        <f>HYPERLINK("https://creighton-primo.hosted.exlibrisgroup.com/primo-explore/search?tab=default_tab&amp;search_scope=EVERYTHING&amp;vid=01CRU&amp;lang=en_US&amp;offset=0&amp;query=any,contains,991001132539702656","Catalog Record")</f>
        <v>Catalog Record</v>
      </c>
      <c r="AV711" s="5" t="str">
        <f>HYPERLINK("http://www.worldcat.org/oclc/9896319","WorldCat Record")</f>
        <v>WorldCat Record</v>
      </c>
      <c r="AW711" s="2" t="s">
        <v>8716</v>
      </c>
      <c r="AX711" s="2" t="s">
        <v>8717</v>
      </c>
      <c r="AY711" s="2" t="s">
        <v>8718</v>
      </c>
      <c r="AZ711" s="2" t="s">
        <v>8718</v>
      </c>
      <c r="BA711" s="2" t="s">
        <v>8719</v>
      </c>
      <c r="BB711" s="2" t="s">
        <v>21</v>
      </c>
      <c r="BD711" s="2" t="s">
        <v>8720</v>
      </c>
      <c r="BE711" s="2" t="s">
        <v>8721</v>
      </c>
      <c r="BF711" s="2" t="s">
        <v>8722</v>
      </c>
    </row>
    <row r="712" spans="1:58" ht="41.25" customHeight="1" x14ac:dyDescent="0.25">
      <c r="A712" s="8" t="s">
        <v>5</v>
      </c>
      <c r="B712" s="1" t="s">
        <v>0</v>
      </c>
      <c r="C712" s="1" t="s">
        <v>1</v>
      </c>
      <c r="D712" s="1" t="s">
        <v>8723</v>
      </c>
      <c r="E712" s="1" t="s">
        <v>8724</v>
      </c>
      <c r="F712" s="1" t="s">
        <v>8725</v>
      </c>
      <c r="H712" s="2" t="s">
        <v>5</v>
      </c>
      <c r="I712" s="2" t="s">
        <v>6</v>
      </c>
      <c r="J712" s="2" t="s">
        <v>5</v>
      </c>
      <c r="K712" s="2" t="s">
        <v>5</v>
      </c>
      <c r="L712" s="2" t="s">
        <v>7</v>
      </c>
      <c r="M712" s="1" t="s">
        <v>8726</v>
      </c>
      <c r="N712" s="1" t="s">
        <v>1808</v>
      </c>
      <c r="O712" s="2" t="s">
        <v>939</v>
      </c>
      <c r="Q712" s="2" t="s">
        <v>11</v>
      </c>
      <c r="R712" s="2" t="s">
        <v>12</v>
      </c>
      <c r="S712" s="1" t="s">
        <v>8727</v>
      </c>
      <c r="T712" s="2" t="s">
        <v>520</v>
      </c>
      <c r="U712" s="3">
        <v>7</v>
      </c>
      <c r="V712" s="3">
        <v>7</v>
      </c>
      <c r="W712" s="4" t="s">
        <v>1298</v>
      </c>
      <c r="X712" s="4" t="s">
        <v>1298</v>
      </c>
      <c r="Y712" s="4" t="s">
        <v>8614</v>
      </c>
      <c r="Z712" s="4" t="s">
        <v>8614</v>
      </c>
      <c r="AA712" s="3">
        <v>274</v>
      </c>
      <c r="AB712" s="3">
        <v>241</v>
      </c>
      <c r="AC712" s="3">
        <v>244</v>
      </c>
      <c r="AD712" s="3">
        <v>3</v>
      </c>
      <c r="AE712" s="3">
        <v>3</v>
      </c>
      <c r="AF712" s="3">
        <v>14</v>
      </c>
      <c r="AG712" s="3">
        <v>14</v>
      </c>
      <c r="AH712" s="3">
        <v>4</v>
      </c>
      <c r="AI712" s="3">
        <v>4</v>
      </c>
      <c r="AJ712" s="3">
        <v>3</v>
      </c>
      <c r="AK712" s="3">
        <v>3</v>
      </c>
      <c r="AL712" s="3">
        <v>9</v>
      </c>
      <c r="AM712" s="3">
        <v>9</v>
      </c>
      <c r="AN712" s="3">
        <v>1</v>
      </c>
      <c r="AO712" s="3">
        <v>1</v>
      </c>
      <c r="AP712" s="3">
        <v>0</v>
      </c>
      <c r="AQ712" s="3">
        <v>0</v>
      </c>
      <c r="AR712" s="2" t="s">
        <v>5</v>
      </c>
      <c r="AS712" s="2" t="s">
        <v>16</v>
      </c>
      <c r="AT712" s="5" t="str">
        <f>HYPERLINK("http://catalog.hathitrust.org/Record/001099890","HathiTrust Record")</f>
        <v>HathiTrust Record</v>
      </c>
      <c r="AU712" s="5" t="str">
        <f>HYPERLINK("https://creighton-primo.hosted.exlibrisgroup.com/primo-explore/search?tab=default_tab&amp;search_scope=EVERYTHING&amp;vid=01CRU&amp;lang=en_US&amp;offset=0&amp;query=any,contains,991000760539702656","Catalog Record")</f>
        <v>Catalog Record</v>
      </c>
      <c r="AV712" s="5" t="str">
        <f>HYPERLINK("http://www.worldcat.org/oclc/18340085","WorldCat Record")</f>
        <v>WorldCat Record</v>
      </c>
      <c r="AW712" s="2" t="s">
        <v>8728</v>
      </c>
      <c r="AX712" s="2" t="s">
        <v>8729</v>
      </c>
      <c r="AY712" s="2" t="s">
        <v>8730</v>
      </c>
      <c r="AZ712" s="2" t="s">
        <v>8730</v>
      </c>
      <c r="BA712" s="2" t="s">
        <v>8731</v>
      </c>
      <c r="BB712" s="2" t="s">
        <v>21</v>
      </c>
      <c r="BD712" s="2" t="s">
        <v>8732</v>
      </c>
      <c r="BE712" s="2" t="s">
        <v>8733</v>
      </c>
      <c r="BF712" s="2" t="s">
        <v>8734</v>
      </c>
    </row>
    <row r="713" spans="1:58" ht="41.25" customHeight="1" x14ac:dyDescent="0.25">
      <c r="A713" s="8" t="s">
        <v>5</v>
      </c>
      <c r="B713" s="1" t="s">
        <v>0</v>
      </c>
      <c r="C713" s="1" t="s">
        <v>1</v>
      </c>
      <c r="D713" s="1" t="s">
        <v>8735</v>
      </c>
      <c r="E713" s="1" t="s">
        <v>8736</v>
      </c>
      <c r="F713" s="1" t="s">
        <v>8737</v>
      </c>
      <c r="G713" s="2" t="s">
        <v>820</v>
      </c>
      <c r="H713" s="2" t="s">
        <v>5</v>
      </c>
      <c r="I713" s="2" t="s">
        <v>6</v>
      </c>
      <c r="J713" s="2" t="s">
        <v>5</v>
      </c>
      <c r="K713" s="2" t="s">
        <v>5</v>
      </c>
      <c r="L713" s="2" t="s">
        <v>7</v>
      </c>
      <c r="M713" s="1" t="s">
        <v>8738</v>
      </c>
      <c r="N713" s="1" t="s">
        <v>2689</v>
      </c>
      <c r="O713" s="2" t="s">
        <v>989</v>
      </c>
      <c r="Q713" s="2" t="s">
        <v>11</v>
      </c>
      <c r="R713" s="2" t="s">
        <v>1140</v>
      </c>
      <c r="S713" s="1" t="s">
        <v>8739</v>
      </c>
      <c r="T713" s="2" t="s">
        <v>520</v>
      </c>
      <c r="U713" s="3">
        <v>10</v>
      </c>
      <c r="V713" s="3">
        <v>10</v>
      </c>
      <c r="W713" s="4" t="s">
        <v>8740</v>
      </c>
      <c r="X713" s="4" t="s">
        <v>8740</v>
      </c>
      <c r="Y713" s="4" t="s">
        <v>8741</v>
      </c>
      <c r="Z713" s="4" t="s">
        <v>8741</v>
      </c>
      <c r="AA713" s="3">
        <v>83</v>
      </c>
      <c r="AB713" s="3">
        <v>64</v>
      </c>
      <c r="AC713" s="3">
        <v>69</v>
      </c>
      <c r="AD713" s="3">
        <v>1</v>
      </c>
      <c r="AE713" s="3">
        <v>1</v>
      </c>
      <c r="AF713" s="3">
        <v>4</v>
      </c>
      <c r="AG713" s="3">
        <v>4</v>
      </c>
      <c r="AH713" s="3">
        <v>2</v>
      </c>
      <c r="AI713" s="3">
        <v>2</v>
      </c>
      <c r="AJ713" s="3">
        <v>0</v>
      </c>
      <c r="AK713" s="3">
        <v>0</v>
      </c>
      <c r="AL713" s="3">
        <v>3</v>
      </c>
      <c r="AM713" s="3">
        <v>3</v>
      </c>
      <c r="AN713" s="3">
        <v>0</v>
      </c>
      <c r="AO713" s="3">
        <v>0</v>
      </c>
      <c r="AP713" s="3">
        <v>0</v>
      </c>
      <c r="AQ713" s="3">
        <v>0</v>
      </c>
      <c r="AR713" s="2" t="s">
        <v>5</v>
      </c>
      <c r="AS713" s="2" t="s">
        <v>5</v>
      </c>
      <c r="AU713" s="5" t="str">
        <f>HYPERLINK("https://creighton-primo.hosted.exlibrisgroup.com/primo-explore/search?tab=default_tab&amp;search_scope=EVERYTHING&amp;vid=01CRU&amp;lang=en_US&amp;offset=0&amp;query=any,contains,991000780109702656","Catalog Record")</f>
        <v>Catalog Record</v>
      </c>
      <c r="AV713" s="5" t="str">
        <f>HYPERLINK("http://www.worldcat.org/oclc/20692132","WorldCat Record")</f>
        <v>WorldCat Record</v>
      </c>
      <c r="AW713" s="2" t="s">
        <v>8742</v>
      </c>
      <c r="AX713" s="2" t="s">
        <v>8743</v>
      </c>
      <c r="AY713" s="2" t="s">
        <v>8744</v>
      </c>
      <c r="AZ713" s="2" t="s">
        <v>8744</v>
      </c>
      <c r="BA713" s="2" t="s">
        <v>8745</v>
      </c>
      <c r="BB713" s="2" t="s">
        <v>21</v>
      </c>
      <c r="BD713" s="2" t="s">
        <v>8746</v>
      </c>
      <c r="BE713" s="2" t="s">
        <v>8747</v>
      </c>
      <c r="BF713" s="2" t="s">
        <v>8748</v>
      </c>
    </row>
    <row r="714" spans="1:58" ht="41.25" customHeight="1" x14ac:dyDescent="0.25">
      <c r="A714" s="8" t="s">
        <v>5</v>
      </c>
      <c r="B714" s="1" t="s">
        <v>0</v>
      </c>
      <c r="C714" s="1" t="s">
        <v>1</v>
      </c>
      <c r="D714" s="1" t="s">
        <v>8749</v>
      </c>
      <c r="E714" s="1" t="s">
        <v>8750</v>
      </c>
      <c r="F714" s="1" t="s">
        <v>8751</v>
      </c>
      <c r="H714" s="2" t="s">
        <v>5</v>
      </c>
      <c r="I714" s="2" t="s">
        <v>6</v>
      </c>
      <c r="J714" s="2" t="s">
        <v>5</v>
      </c>
      <c r="K714" s="2" t="s">
        <v>5</v>
      </c>
      <c r="L714" s="2" t="s">
        <v>7</v>
      </c>
      <c r="M714" s="1" t="s">
        <v>8752</v>
      </c>
      <c r="N714" s="1" t="s">
        <v>8753</v>
      </c>
      <c r="O714" s="2" t="s">
        <v>1102</v>
      </c>
      <c r="Q714" s="2" t="s">
        <v>11</v>
      </c>
      <c r="R714" s="2" t="s">
        <v>426</v>
      </c>
      <c r="T714" s="2" t="s">
        <v>520</v>
      </c>
      <c r="U714" s="3">
        <v>7</v>
      </c>
      <c r="V714" s="3">
        <v>7</v>
      </c>
      <c r="W714" s="4" t="s">
        <v>8754</v>
      </c>
      <c r="X714" s="4" t="s">
        <v>8754</v>
      </c>
      <c r="Y714" s="4" t="s">
        <v>8755</v>
      </c>
      <c r="Z714" s="4" t="s">
        <v>8755</v>
      </c>
      <c r="AA714" s="3">
        <v>45</v>
      </c>
      <c r="AB714" s="3">
        <v>36</v>
      </c>
      <c r="AC714" s="3">
        <v>38</v>
      </c>
      <c r="AD714" s="3">
        <v>1</v>
      </c>
      <c r="AE714" s="3">
        <v>1</v>
      </c>
      <c r="AF714" s="3">
        <v>1</v>
      </c>
      <c r="AG714" s="3">
        <v>1</v>
      </c>
      <c r="AH714" s="3">
        <v>0</v>
      </c>
      <c r="AI714" s="3">
        <v>0</v>
      </c>
      <c r="AJ714" s="3">
        <v>0</v>
      </c>
      <c r="AK714" s="3">
        <v>0</v>
      </c>
      <c r="AL714" s="3">
        <v>1</v>
      </c>
      <c r="AM714" s="3">
        <v>1</v>
      </c>
      <c r="AN714" s="3">
        <v>0</v>
      </c>
      <c r="AO714" s="3">
        <v>0</v>
      </c>
      <c r="AP714" s="3">
        <v>0</v>
      </c>
      <c r="AQ714" s="3">
        <v>0</v>
      </c>
      <c r="AR714" s="2" t="s">
        <v>5</v>
      </c>
      <c r="AS714" s="2" t="s">
        <v>16</v>
      </c>
      <c r="AT714" s="5" t="str">
        <f>HYPERLINK("http://catalog.hathitrust.org/Record/000830985","HathiTrust Record")</f>
        <v>HathiTrust Record</v>
      </c>
      <c r="AU714" s="5" t="str">
        <f>HYPERLINK("https://creighton-primo.hosted.exlibrisgroup.com/primo-explore/search?tab=default_tab&amp;search_scope=EVERYTHING&amp;vid=01CRU&amp;lang=en_US&amp;offset=0&amp;query=any,contains,991001104049702656","Catalog Record")</f>
        <v>Catalog Record</v>
      </c>
      <c r="AV714" s="5" t="str">
        <f>HYPERLINK("http://www.worldcat.org/oclc/13426006","WorldCat Record")</f>
        <v>WorldCat Record</v>
      </c>
      <c r="AW714" s="2" t="s">
        <v>8756</v>
      </c>
      <c r="AX714" s="2" t="s">
        <v>8757</v>
      </c>
      <c r="AY714" s="2" t="s">
        <v>8758</v>
      </c>
      <c r="AZ714" s="2" t="s">
        <v>8758</v>
      </c>
      <c r="BA714" s="2" t="s">
        <v>8759</v>
      </c>
      <c r="BB714" s="2" t="s">
        <v>21</v>
      </c>
      <c r="BD714" s="2" t="s">
        <v>8760</v>
      </c>
      <c r="BE714" s="2" t="s">
        <v>8761</v>
      </c>
      <c r="BF714" s="2" t="s">
        <v>8762</v>
      </c>
    </row>
    <row r="715" spans="1:58" ht="41.25" customHeight="1" x14ac:dyDescent="0.25">
      <c r="A715" s="8" t="s">
        <v>5</v>
      </c>
      <c r="B715" s="1" t="s">
        <v>0</v>
      </c>
      <c r="C715" s="1" t="s">
        <v>1</v>
      </c>
      <c r="D715" s="1" t="s">
        <v>8763</v>
      </c>
      <c r="E715" s="1" t="s">
        <v>8764</v>
      </c>
      <c r="F715" s="1" t="s">
        <v>8765</v>
      </c>
      <c r="H715" s="2" t="s">
        <v>5</v>
      </c>
      <c r="I715" s="2" t="s">
        <v>6</v>
      </c>
      <c r="J715" s="2" t="s">
        <v>5</v>
      </c>
      <c r="K715" s="2" t="s">
        <v>5</v>
      </c>
      <c r="L715" s="2" t="s">
        <v>7</v>
      </c>
      <c r="N715" s="1" t="s">
        <v>8766</v>
      </c>
      <c r="O715" s="2" t="s">
        <v>107</v>
      </c>
      <c r="P715" s="1" t="s">
        <v>1284</v>
      </c>
      <c r="Q715" s="2" t="s">
        <v>11</v>
      </c>
      <c r="R715" s="2" t="s">
        <v>3571</v>
      </c>
      <c r="T715" s="2" t="s">
        <v>520</v>
      </c>
      <c r="U715" s="3">
        <v>0</v>
      </c>
      <c r="V715" s="3">
        <v>0</v>
      </c>
      <c r="W715" s="4" t="s">
        <v>8767</v>
      </c>
      <c r="X715" s="4" t="s">
        <v>8767</v>
      </c>
      <c r="Y715" s="4" t="s">
        <v>8768</v>
      </c>
      <c r="Z715" s="4" t="s">
        <v>8768</v>
      </c>
      <c r="AA715" s="3">
        <v>277</v>
      </c>
      <c r="AB715" s="3">
        <v>105</v>
      </c>
      <c r="AC715" s="3">
        <v>247</v>
      </c>
      <c r="AD715" s="3">
        <v>2</v>
      </c>
      <c r="AE715" s="3">
        <v>2</v>
      </c>
      <c r="AF715" s="3">
        <v>4</v>
      </c>
      <c r="AG715" s="3">
        <v>6</v>
      </c>
      <c r="AH715" s="3">
        <v>0</v>
      </c>
      <c r="AI715" s="3">
        <v>2</v>
      </c>
      <c r="AJ715" s="3">
        <v>1</v>
      </c>
      <c r="AK715" s="3">
        <v>1</v>
      </c>
      <c r="AL715" s="3">
        <v>3</v>
      </c>
      <c r="AM715" s="3">
        <v>5</v>
      </c>
      <c r="AN715" s="3">
        <v>1</v>
      </c>
      <c r="AO715" s="3">
        <v>1</v>
      </c>
      <c r="AP715" s="3">
        <v>0</v>
      </c>
      <c r="AQ715" s="3">
        <v>0</v>
      </c>
      <c r="AR715" s="2" t="s">
        <v>5</v>
      </c>
      <c r="AS715" s="2" t="s">
        <v>5</v>
      </c>
      <c r="AU715" s="5" t="str">
        <f>HYPERLINK("https://creighton-primo.hosted.exlibrisgroup.com/primo-explore/search?tab=default_tab&amp;search_scope=EVERYTHING&amp;vid=01CRU&amp;lang=en_US&amp;offset=0&amp;query=any,contains,991000662489702656","Catalog Record")</f>
        <v>Catalog Record</v>
      </c>
      <c r="AV715" s="5" t="str">
        <f>HYPERLINK("http://www.worldcat.org/oclc/67374622","WorldCat Record")</f>
        <v>WorldCat Record</v>
      </c>
      <c r="AW715" s="2" t="s">
        <v>8769</v>
      </c>
      <c r="AX715" s="2" t="s">
        <v>8770</v>
      </c>
      <c r="AY715" s="2" t="s">
        <v>8771</v>
      </c>
      <c r="AZ715" s="2" t="s">
        <v>8771</v>
      </c>
      <c r="BA715" s="2" t="s">
        <v>8772</v>
      </c>
      <c r="BB715" s="2" t="s">
        <v>21</v>
      </c>
      <c r="BD715" s="2" t="s">
        <v>8773</v>
      </c>
      <c r="BE715" s="2" t="s">
        <v>8774</v>
      </c>
      <c r="BF715" s="2" t="s">
        <v>8775</v>
      </c>
    </row>
    <row r="716" spans="1:58" ht="41.25" customHeight="1" x14ac:dyDescent="0.25">
      <c r="A716" s="8" t="s">
        <v>5</v>
      </c>
      <c r="B716" s="1" t="s">
        <v>0</v>
      </c>
      <c r="C716" s="1" t="s">
        <v>1</v>
      </c>
      <c r="D716" s="1" t="s">
        <v>8776</v>
      </c>
      <c r="E716" s="1" t="s">
        <v>8777</v>
      </c>
      <c r="F716" s="1" t="s">
        <v>8778</v>
      </c>
      <c r="H716" s="2" t="s">
        <v>5</v>
      </c>
      <c r="I716" s="2" t="s">
        <v>6</v>
      </c>
      <c r="J716" s="2" t="s">
        <v>5</v>
      </c>
      <c r="K716" s="2" t="s">
        <v>5</v>
      </c>
      <c r="L716" s="2" t="s">
        <v>7</v>
      </c>
      <c r="M716" s="1" t="s">
        <v>8779</v>
      </c>
      <c r="N716" s="1" t="s">
        <v>8780</v>
      </c>
      <c r="O716" s="2" t="s">
        <v>1863</v>
      </c>
      <c r="Q716" s="2" t="s">
        <v>11</v>
      </c>
      <c r="R716" s="2" t="s">
        <v>229</v>
      </c>
      <c r="S716" s="1" t="s">
        <v>8781</v>
      </c>
      <c r="T716" s="2" t="s">
        <v>520</v>
      </c>
      <c r="U716" s="3">
        <v>1</v>
      </c>
      <c r="V716" s="3">
        <v>1</v>
      </c>
      <c r="W716" s="4" t="s">
        <v>8493</v>
      </c>
      <c r="X716" s="4" t="s">
        <v>8493</v>
      </c>
      <c r="Y716" s="4" t="s">
        <v>8782</v>
      </c>
      <c r="Z716" s="4" t="s">
        <v>8782</v>
      </c>
      <c r="AA716" s="3">
        <v>241</v>
      </c>
      <c r="AB716" s="3">
        <v>190</v>
      </c>
      <c r="AC716" s="3">
        <v>325</v>
      </c>
      <c r="AD716" s="3">
        <v>3</v>
      </c>
      <c r="AE716" s="3">
        <v>3</v>
      </c>
      <c r="AF716" s="3">
        <v>8</v>
      </c>
      <c r="AG716" s="3">
        <v>15</v>
      </c>
      <c r="AH716" s="3">
        <v>3</v>
      </c>
      <c r="AI716" s="3">
        <v>6</v>
      </c>
      <c r="AJ716" s="3">
        <v>0</v>
      </c>
      <c r="AK716" s="3">
        <v>1</v>
      </c>
      <c r="AL716" s="3">
        <v>4</v>
      </c>
      <c r="AM716" s="3">
        <v>6</v>
      </c>
      <c r="AN716" s="3">
        <v>2</v>
      </c>
      <c r="AO716" s="3">
        <v>2</v>
      </c>
      <c r="AP716" s="3">
        <v>0</v>
      </c>
      <c r="AQ716" s="3">
        <v>1</v>
      </c>
      <c r="AR716" s="2" t="s">
        <v>5</v>
      </c>
      <c r="AS716" s="2" t="s">
        <v>16</v>
      </c>
      <c r="AT716" s="5" t="str">
        <f>HYPERLINK("http://catalog.hathitrust.org/Record/003569054","HathiTrust Record")</f>
        <v>HathiTrust Record</v>
      </c>
      <c r="AU716" s="5" t="str">
        <f>HYPERLINK("https://creighton-primo.hosted.exlibrisgroup.com/primo-explore/search?tab=default_tab&amp;search_scope=EVERYTHING&amp;vid=01CRU&amp;lang=en_US&amp;offset=0&amp;query=any,contains,991000348469702656","Catalog Record")</f>
        <v>Catalog Record</v>
      </c>
      <c r="AV716" s="5" t="str">
        <f>HYPERLINK("http://www.worldcat.org/oclc/47177699","WorldCat Record")</f>
        <v>WorldCat Record</v>
      </c>
      <c r="AW716" s="2" t="s">
        <v>8783</v>
      </c>
      <c r="AX716" s="2" t="s">
        <v>8784</v>
      </c>
      <c r="AY716" s="2" t="s">
        <v>8785</v>
      </c>
      <c r="AZ716" s="2" t="s">
        <v>8785</v>
      </c>
      <c r="BA716" s="2" t="s">
        <v>8786</v>
      </c>
      <c r="BB716" s="2" t="s">
        <v>21</v>
      </c>
      <c r="BD716" s="2" t="s">
        <v>8787</v>
      </c>
      <c r="BE716" s="2" t="s">
        <v>8788</v>
      </c>
      <c r="BF716" s="2" t="s">
        <v>8789</v>
      </c>
    </row>
    <row r="717" spans="1:58" ht="41.25" customHeight="1" x14ac:dyDescent="0.25">
      <c r="A717" s="8" t="s">
        <v>5</v>
      </c>
      <c r="B717" s="1" t="s">
        <v>0</v>
      </c>
      <c r="C717" s="1" t="s">
        <v>1</v>
      </c>
      <c r="D717" s="1" t="s">
        <v>8790</v>
      </c>
      <c r="E717" s="1" t="s">
        <v>8791</v>
      </c>
      <c r="F717" s="1" t="s">
        <v>8792</v>
      </c>
      <c r="H717" s="2" t="s">
        <v>5</v>
      </c>
      <c r="I717" s="2" t="s">
        <v>6</v>
      </c>
      <c r="J717" s="2" t="s">
        <v>5</v>
      </c>
      <c r="K717" s="2" t="s">
        <v>5</v>
      </c>
      <c r="L717" s="2" t="s">
        <v>7</v>
      </c>
      <c r="M717" s="1" t="s">
        <v>8793</v>
      </c>
      <c r="N717" s="1" t="s">
        <v>8794</v>
      </c>
      <c r="O717" s="2" t="s">
        <v>939</v>
      </c>
      <c r="Q717" s="2" t="s">
        <v>11</v>
      </c>
      <c r="R717" s="2" t="s">
        <v>93</v>
      </c>
      <c r="T717" s="2" t="s">
        <v>520</v>
      </c>
      <c r="U717" s="3">
        <v>8</v>
      </c>
      <c r="V717" s="3">
        <v>8</v>
      </c>
      <c r="W717" s="4" t="s">
        <v>8795</v>
      </c>
      <c r="X717" s="4" t="s">
        <v>8795</v>
      </c>
      <c r="Y717" s="4" t="s">
        <v>8796</v>
      </c>
      <c r="Z717" s="4" t="s">
        <v>8796</v>
      </c>
      <c r="AA717" s="3">
        <v>2</v>
      </c>
      <c r="AB717" s="3">
        <v>2</v>
      </c>
      <c r="AC717" s="3">
        <v>2</v>
      </c>
      <c r="AD717" s="3">
        <v>1</v>
      </c>
      <c r="AE717" s="3">
        <v>1</v>
      </c>
      <c r="AF717" s="3">
        <v>0</v>
      </c>
      <c r="AG717" s="3">
        <v>0</v>
      </c>
      <c r="AH717" s="3">
        <v>0</v>
      </c>
      <c r="AI717" s="3">
        <v>0</v>
      </c>
      <c r="AJ717" s="3">
        <v>0</v>
      </c>
      <c r="AK717" s="3">
        <v>0</v>
      </c>
      <c r="AL717" s="3">
        <v>0</v>
      </c>
      <c r="AM717" s="3">
        <v>0</v>
      </c>
      <c r="AN717" s="3">
        <v>0</v>
      </c>
      <c r="AO717" s="3">
        <v>0</v>
      </c>
      <c r="AP717" s="3">
        <v>0</v>
      </c>
      <c r="AQ717" s="3">
        <v>0</v>
      </c>
      <c r="AR717" s="2" t="s">
        <v>5</v>
      </c>
      <c r="AS717" s="2" t="s">
        <v>5</v>
      </c>
      <c r="AU717" s="5" t="str">
        <f>HYPERLINK("https://creighton-primo.hosted.exlibrisgroup.com/primo-explore/search?tab=default_tab&amp;search_scope=EVERYTHING&amp;vid=01CRU&amp;lang=en_US&amp;offset=0&amp;query=any,contains,991001105089702656","Catalog Record")</f>
        <v>Catalog Record</v>
      </c>
      <c r="AV717" s="5" t="str">
        <f>HYPERLINK("http://www.worldcat.org/oclc/10981039","WorldCat Record")</f>
        <v>WorldCat Record</v>
      </c>
      <c r="AW717" s="2" t="s">
        <v>8797</v>
      </c>
      <c r="AX717" s="2" t="s">
        <v>8798</v>
      </c>
      <c r="AY717" s="2" t="s">
        <v>8799</v>
      </c>
      <c r="AZ717" s="2" t="s">
        <v>8799</v>
      </c>
      <c r="BA717" s="2" t="s">
        <v>8800</v>
      </c>
      <c r="BB717" s="2" t="s">
        <v>21</v>
      </c>
      <c r="BE717" s="2" t="s">
        <v>8801</v>
      </c>
      <c r="BF717" s="2" t="s">
        <v>8802</v>
      </c>
    </row>
    <row r="718" spans="1:58" ht="41.25" customHeight="1" x14ac:dyDescent="0.25">
      <c r="A718" s="8" t="s">
        <v>5</v>
      </c>
      <c r="B718" s="1" t="s">
        <v>0</v>
      </c>
      <c r="C718" s="1" t="s">
        <v>1</v>
      </c>
      <c r="D718" s="1" t="s">
        <v>8803</v>
      </c>
      <c r="E718" s="1" t="s">
        <v>8804</v>
      </c>
      <c r="F718" s="1" t="s">
        <v>8805</v>
      </c>
      <c r="H718" s="2" t="s">
        <v>5</v>
      </c>
      <c r="I718" s="2" t="s">
        <v>6</v>
      </c>
      <c r="J718" s="2" t="s">
        <v>5</v>
      </c>
      <c r="K718" s="2" t="s">
        <v>5</v>
      </c>
      <c r="L718" s="2" t="s">
        <v>7</v>
      </c>
      <c r="M718" s="1" t="s">
        <v>8806</v>
      </c>
      <c r="N718" s="1" t="s">
        <v>8807</v>
      </c>
      <c r="O718" s="2" t="s">
        <v>1004</v>
      </c>
      <c r="P718" s="1" t="s">
        <v>901</v>
      </c>
      <c r="Q718" s="2" t="s">
        <v>11</v>
      </c>
      <c r="R718" s="2" t="s">
        <v>3571</v>
      </c>
      <c r="T718" s="2" t="s">
        <v>520</v>
      </c>
      <c r="U718" s="3">
        <v>9</v>
      </c>
      <c r="V718" s="3">
        <v>9</v>
      </c>
      <c r="W718" s="4" t="s">
        <v>8808</v>
      </c>
      <c r="X718" s="4" t="s">
        <v>8808</v>
      </c>
      <c r="Y718" s="4" t="s">
        <v>8809</v>
      </c>
      <c r="Z718" s="4" t="s">
        <v>8809</v>
      </c>
      <c r="AA718" s="3">
        <v>308</v>
      </c>
      <c r="AB718" s="3">
        <v>164</v>
      </c>
      <c r="AC718" s="3">
        <v>196</v>
      </c>
      <c r="AD718" s="3">
        <v>1</v>
      </c>
      <c r="AE718" s="3">
        <v>1</v>
      </c>
      <c r="AF718" s="3">
        <v>6</v>
      </c>
      <c r="AG718" s="3">
        <v>7</v>
      </c>
      <c r="AH718" s="3">
        <v>2</v>
      </c>
      <c r="AI718" s="3">
        <v>3</v>
      </c>
      <c r="AJ718" s="3">
        <v>2</v>
      </c>
      <c r="AK718" s="3">
        <v>2</v>
      </c>
      <c r="AL718" s="3">
        <v>5</v>
      </c>
      <c r="AM718" s="3">
        <v>6</v>
      </c>
      <c r="AN718" s="3">
        <v>0</v>
      </c>
      <c r="AO718" s="3">
        <v>0</v>
      </c>
      <c r="AP718" s="3">
        <v>0</v>
      </c>
      <c r="AQ718" s="3">
        <v>0</v>
      </c>
      <c r="AR718" s="2" t="s">
        <v>5</v>
      </c>
      <c r="AS718" s="2" t="s">
        <v>5</v>
      </c>
      <c r="AU718" s="5" t="str">
        <f>HYPERLINK("https://creighton-primo.hosted.exlibrisgroup.com/primo-explore/search?tab=default_tab&amp;search_scope=EVERYTHING&amp;vid=01CRU&amp;lang=en_US&amp;offset=0&amp;query=any,contains,991001338269702656","Catalog Record")</f>
        <v>Catalog Record</v>
      </c>
      <c r="AV718" s="5" t="str">
        <f>HYPERLINK("http://www.worldcat.org/oclc/40075796","WorldCat Record")</f>
        <v>WorldCat Record</v>
      </c>
      <c r="AW718" s="2" t="s">
        <v>8810</v>
      </c>
      <c r="AX718" s="2" t="s">
        <v>8811</v>
      </c>
      <c r="AY718" s="2" t="s">
        <v>8812</v>
      </c>
      <c r="AZ718" s="2" t="s">
        <v>8812</v>
      </c>
      <c r="BA718" s="2" t="s">
        <v>8813</v>
      </c>
      <c r="BB718" s="2" t="s">
        <v>21</v>
      </c>
      <c r="BD718" s="2" t="s">
        <v>8814</v>
      </c>
      <c r="BE718" s="2" t="s">
        <v>8815</v>
      </c>
      <c r="BF718" s="2" t="s">
        <v>8816</v>
      </c>
    </row>
    <row r="719" spans="1:58" ht="41.25" customHeight="1" x14ac:dyDescent="0.25">
      <c r="A719" s="8" t="s">
        <v>5</v>
      </c>
      <c r="B719" s="1" t="s">
        <v>0</v>
      </c>
      <c r="C719" s="1" t="s">
        <v>1</v>
      </c>
      <c r="D719" s="1" t="s">
        <v>8817</v>
      </c>
      <c r="E719" s="1" t="s">
        <v>8818</v>
      </c>
      <c r="F719" s="1" t="s">
        <v>8819</v>
      </c>
      <c r="H719" s="2" t="s">
        <v>5</v>
      </c>
      <c r="I719" s="2" t="s">
        <v>6</v>
      </c>
      <c r="J719" s="2" t="s">
        <v>5</v>
      </c>
      <c r="K719" s="2" t="s">
        <v>5</v>
      </c>
      <c r="L719" s="2" t="s">
        <v>7</v>
      </c>
      <c r="M719" s="1" t="s">
        <v>8820</v>
      </c>
      <c r="N719" s="1" t="s">
        <v>8821</v>
      </c>
      <c r="O719" s="2" t="s">
        <v>354</v>
      </c>
      <c r="Q719" s="2" t="s">
        <v>11</v>
      </c>
      <c r="R719" s="2" t="s">
        <v>426</v>
      </c>
      <c r="T719" s="2" t="s">
        <v>520</v>
      </c>
      <c r="U719" s="3">
        <v>2</v>
      </c>
      <c r="V719" s="3">
        <v>2</v>
      </c>
      <c r="W719" s="4" t="s">
        <v>8808</v>
      </c>
      <c r="X719" s="4" t="s">
        <v>8808</v>
      </c>
      <c r="Y719" s="4" t="s">
        <v>96</v>
      </c>
      <c r="Z719" s="4" t="s">
        <v>96</v>
      </c>
      <c r="AA719" s="3">
        <v>175</v>
      </c>
      <c r="AB719" s="3">
        <v>148</v>
      </c>
      <c r="AC719" s="3">
        <v>153</v>
      </c>
      <c r="AD719" s="3">
        <v>2</v>
      </c>
      <c r="AE719" s="3">
        <v>2</v>
      </c>
      <c r="AF719" s="3">
        <v>6</v>
      </c>
      <c r="AG719" s="3">
        <v>6</v>
      </c>
      <c r="AH719" s="3">
        <v>1</v>
      </c>
      <c r="AI719" s="3">
        <v>1</v>
      </c>
      <c r="AJ719" s="3">
        <v>1</v>
      </c>
      <c r="AK719" s="3">
        <v>1</v>
      </c>
      <c r="AL719" s="3">
        <v>4</v>
      </c>
      <c r="AM719" s="3">
        <v>4</v>
      </c>
      <c r="AN719" s="3">
        <v>1</v>
      </c>
      <c r="AO719" s="3">
        <v>1</v>
      </c>
      <c r="AP719" s="3">
        <v>0</v>
      </c>
      <c r="AQ719" s="3">
        <v>0</v>
      </c>
      <c r="AR719" s="2" t="s">
        <v>5</v>
      </c>
      <c r="AS719" s="2" t="s">
        <v>5</v>
      </c>
      <c r="AU719" s="5" t="str">
        <f>HYPERLINK("https://creighton-primo.hosted.exlibrisgroup.com/primo-explore/search?tab=default_tab&amp;search_scope=EVERYTHING&amp;vid=01CRU&amp;lang=en_US&amp;offset=0&amp;query=any,contains,991001134529702656","Catalog Record")</f>
        <v>Catalog Record</v>
      </c>
      <c r="AV719" s="5" t="str">
        <f>HYPERLINK("http://www.worldcat.org/oclc/6735062","WorldCat Record")</f>
        <v>WorldCat Record</v>
      </c>
      <c r="AW719" s="2" t="s">
        <v>8822</v>
      </c>
      <c r="AX719" s="2" t="s">
        <v>8823</v>
      </c>
      <c r="AY719" s="2" t="s">
        <v>8824</v>
      </c>
      <c r="AZ719" s="2" t="s">
        <v>8824</v>
      </c>
      <c r="BA719" s="2" t="s">
        <v>8825</v>
      </c>
      <c r="BB719" s="2" t="s">
        <v>21</v>
      </c>
      <c r="BD719" s="2" t="s">
        <v>8826</v>
      </c>
      <c r="BE719" s="2" t="s">
        <v>8827</v>
      </c>
      <c r="BF719" s="2" t="s">
        <v>8828</v>
      </c>
    </row>
    <row r="720" spans="1:58" ht="41.25" customHeight="1" x14ac:dyDescent="0.25">
      <c r="A720" s="8" t="s">
        <v>5</v>
      </c>
      <c r="B720" s="1" t="s">
        <v>0</v>
      </c>
      <c r="C720" s="1" t="s">
        <v>1</v>
      </c>
      <c r="D720" s="1" t="s">
        <v>8829</v>
      </c>
      <c r="E720" s="1" t="s">
        <v>8830</v>
      </c>
      <c r="F720" s="1" t="s">
        <v>8831</v>
      </c>
      <c r="H720" s="2" t="s">
        <v>5</v>
      </c>
      <c r="I720" s="2" t="s">
        <v>6</v>
      </c>
      <c r="J720" s="2" t="s">
        <v>5</v>
      </c>
      <c r="K720" s="2" t="s">
        <v>5</v>
      </c>
      <c r="L720" s="2" t="s">
        <v>7</v>
      </c>
      <c r="M720" s="1" t="s">
        <v>6116</v>
      </c>
      <c r="N720" s="1" t="s">
        <v>6881</v>
      </c>
      <c r="O720" s="2" t="s">
        <v>601</v>
      </c>
      <c r="Q720" s="2" t="s">
        <v>11</v>
      </c>
      <c r="R720" s="2" t="s">
        <v>8832</v>
      </c>
      <c r="S720" s="1" t="s">
        <v>8833</v>
      </c>
      <c r="T720" s="2" t="s">
        <v>520</v>
      </c>
      <c r="U720" s="3">
        <v>0</v>
      </c>
      <c r="V720" s="3">
        <v>0</v>
      </c>
      <c r="W720" s="4" t="s">
        <v>2104</v>
      </c>
      <c r="X720" s="4" t="s">
        <v>2104</v>
      </c>
      <c r="Y720" s="4" t="s">
        <v>604</v>
      </c>
      <c r="Z720" s="4" t="s">
        <v>604</v>
      </c>
      <c r="AA720" s="3">
        <v>137</v>
      </c>
      <c r="AB720" s="3">
        <v>131</v>
      </c>
      <c r="AC720" s="3">
        <v>141</v>
      </c>
      <c r="AD720" s="3">
        <v>2</v>
      </c>
      <c r="AE720" s="3">
        <v>2</v>
      </c>
      <c r="AF720" s="3">
        <v>10</v>
      </c>
      <c r="AG720" s="3">
        <v>10</v>
      </c>
      <c r="AH720" s="3">
        <v>2</v>
      </c>
      <c r="AI720" s="3">
        <v>2</v>
      </c>
      <c r="AJ720" s="3">
        <v>3</v>
      </c>
      <c r="AK720" s="3">
        <v>3</v>
      </c>
      <c r="AL720" s="3">
        <v>5</v>
      </c>
      <c r="AM720" s="3">
        <v>5</v>
      </c>
      <c r="AN720" s="3">
        <v>0</v>
      </c>
      <c r="AO720" s="3">
        <v>0</v>
      </c>
      <c r="AP720" s="3">
        <v>0</v>
      </c>
      <c r="AQ720" s="3">
        <v>0</v>
      </c>
      <c r="AR720" s="2" t="s">
        <v>5</v>
      </c>
      <c r="AS720" s="2" t="s">
        <v>16</v>
      </c>
      <c r="AT720" s="5" t="str">
        <f>HYPERLINK("http://catalog.hathitrust.org/Record/003004363","HathiTrust Record")</f>
        <v>HathiTrust Record</v>
      </c>
      <c r="AU720" s="5" t="str">
        <f>HYPERLINK("https://creighton-primo.hosted.exlibrisgroup.com/primo-explore/search?tab=default_tab&amp;search_scope=EVERYTHING&amp;vid=01CRU&amp;lang=en_US&amp;offset=0&amp;query=any,contains,991000255969702656","Catalog Record")</f>
        <v>Catalog Record</v>
      </c>
      <c r="AV720" s="5" t="str">
        <f>HYPERLINK("http://www.worldcat.org/oclc/33076929","WorldCat Record")</f>
        <v>WorldCat Record</v>
      </c>
      <c r="AW720" s="2" t="s">
        <v>8834</v>
      </c>
      <c r="AX720" s="2" t="s">
        <v>8835</v>
      </c>
      <c r="AY720" s="2" t="s">
        <v>8836</v>
      </c>
      <c r="AZ720" s="2" t="s">
        <v>8836</v>
      </c>
      <c r="BA720" s="2" t="s">
        <v>8837</v>
      </c>
      <c r="BB720" s="2" t="s">
        <v>21</v>
      </c>
      <c r="BD720" s="2" t="s">
        <v>8838</v>
      </c>
      <c r="BE720" s="2" t="s">
        <v>8839</v>
      </c>
      <c r="BF720" s="2" t="s">
        <v>8840</v>
      </c>
    </row>
    <row r="721" spans="1:58" ht="41.25" customHeight="1" x14ac:dyDescent="0.25">
      <c r="A721" s="8" t="s">
        <v>5</v>
      </c>
      <c r="B721" s="1" t="s">
        <v>0</v>
      </c>
      <c r="C721" s="1" t="s">
        <v>1</v>
      </c>
      <c r="D721" s="1" t="s">
        <v>8841</v>
      </c>
      <c r="E721" s="1" t="s">
        <v>8842</v>
      </c>
      <c r="F721" s="1" t="s">
        <v>8843</v>
      </c>
      <c r="H721" s="2" t="s">
        <v>5</v>
      </c>
      <c r="I721" s="2" t="s">
        <v>6</v>
      </c>
      <c r="J721" s="2" t="s">
        <v>5</v>
      </c>
      <c r="K721" s="2" t="s">
        <v>5</v>
      </c>
      <c r="L721" s="2" t="s">
        <v>7</v>
      </c>
      <c r="M721" s="1" t="s">
        <v>6116</v>
      </c>
      <c r="N721" s="1" t="s">
        <v>8844</v>
      </c>
      <c r="O721" s="2" t="s">
        <v>136</v>
      </c>
      <c r="Q721" s="2" t="s">
        <v>11</v>
      </c>
      <c r="R721" s="2" t="s">
        <v>12</v>
      </c>
      <c r="S721" s="1" t="s">
        <v>8845</v>
      </c>
      <c r="T721" s="2" t="s">
        <v>520</v>
      </c>
      <c r="U721" s="3">
        <v>0</v>
      </c>
      <c r="V721" s="3">
        <v>0</v>
      </c>
      <c r="W721" s="4" t="s">
        <v>2104</v>
      </c>
      <c r="X721" s="4" t="s">
        <v>2104</v>
      </c>
      <c r="Y721" s="4" t="s">
        <v>604</v>
      </c>
      <c r="Z721" s="4" t="s">
        <v>604</v>
      </c>
      <c r="AA721" s="3">
        <v>256</v>
      </c>
      <c r="AB721" s="3">
        <v>221</v>
      </c>
      <c r="AC721" s="3">
        <v>221</v>
      </c>
      <c r="AD721" s="3">
        <v>3</v>
      </c>
      <c r="AE721" s="3">
        <v>3</v>
      </c>
      <c r="AF721" s="3">
        <v>12</v>
      </c>
      <c r="AG721" s="3">
        <v>12</v>
      </c>
      <c r="AH721" s="3">
        <v>5</v>
      </c>
      <c r="AI721" s="3">
        <v>5</v>
      </c>
      <c r="AJ721" s="3">
        <v>2</v>
      </c>
      <c r="AK721" s="3">
        <v>2</v>
      </c>
      <c r="AL721" s="3">
        <v>5</v>
      </c>
      <c r="AM721" s="3">
        <v>5</v>
      </c>
      <c r="AN721" s="3">
        <v>1</v>
      </c>
      <c r="AO721" s="3">
        <v>1</v>
      </c>
      <c r="AP721" s="3">
        <v>0</v>
      </c>
      <c r="AQ721" s="3">
        <v>0</v>
      </c>
      <c r="AR721" s="2" t="s">
        <v>5</v>
      </c>
      <c r="AS721" s="2" t="s">
        <v>5</v>
      </c>
      <c r="AU721" s="5" t="str">
        <f>HYPERLINK("https://creighton-primo.hosted.exlibrisgroup.com/primo-explore/search?tab=default_tab&amp;search_scope=EVERYTHING&amp;vid=01CRU&amp;lang=en_US&amp;offset=0&amp;query=any,contains,991000230109702656","Catalog Record")</f>
        <v>Catalog Record</v>
      </c>
      <c r="AV721" s="5" t="str">
        <f>HYPERLINK("http://www.worldcat.org/oclc/24340528","WorldCat Record")</f>
        <v>WorldCat Record</v>
      </c>
      <c r="AW721" s="2" t="s">
        <v>8846</v>
      </c>
      <c r="AX721" s="2" t="s">
        <v>8847</v>
      </c>
      <c r="AY721" s="2" t="s">
        <v>8848</v>
      </c>
      <c r="AZ721" s="2" t="s">
        <v>8848</v>
      </c>
      <c r="BA721" s="2" t="s">
        <v>8849</v>
      </c>
      <c r="BB721" s="2" t="s">
        <v>21</v>
      </c>
      <c r="BD721" s="2" t="s">
        <v>8850</v>
      </c>
      <c r="BE721" s="2" t="s">
        <v>8851</v>
      </c>
      <c r="BF721" s="2" t="s">
        <v>8852</v>
      </c>
    </row>
    <row r="722" spans="1:58" ht="41.25" customHeight="1" x14ac:dyDescent="0.25">
      <c r="A722" s="8" t="s">
        <v>5</v>
      </c>
      <c r="B722" s="1" t="s">
        <v>0</v>
      </c>
      <c r="C722" s="1" t="s">
        <v>1</v>
      </c>
      <c r="D722" s="1" t="s">
        <v>8853</v>
      </c>
      <c r="E722" s="1" t="s">
        <v>8854</v>
      </c>
      <c r="F722" s="1" t="s">
        <v>8855</v>
      </c>
      <c r="H722" s="2" t="s">
        <v>5</v>
      </c>
      <c r="I722" s="2" t="s">
        <v>6</v>
      </c>
      <c r="J722" s="2" t="s">
        <v>5</v>
      </c>
      <c r="K722" s="2" t="s">
        <v>5</v>
      </c>
      <c r="L722" s="2" t="s">
        <v>7</v>
      </c>
      <c r="M722" s="1" t="s">
        <v>8856</v>
      </c>
      <c r="N722" s="1" t="s">
        <v>3355</v>
      </c>
      <c r="O722" s="2" t="s">
        <v>382</v>
      </c>
      <c r="Q722" s="2" t="s">
        <v>11</v>
      </c>
      <c r="R722" s="2" t="s">
        <v>426</v>
      </c>
      <c r="T722" s="2" t="s">
        <v>520</v>
      </c>
      <c r="U722" s="3">
        <v>8</v>
      </c>
      <c r="V722" s="3">
        <v>8</v>
      </c>
      <c r="W722" s="4" t="s">
        <v>1298</v>
      </c>
      <c r="X722" s="4" t="s">
        <v>1298</v>
      </c>
      <c r="Y722" s="4" t="s">
        <v>329</v>
      </c>
      <c r="Z722" s="4" t="s">
        <v>329</v>
      </c>
      <c r="AA722" s="3">
        <v>372</v>
      </c>
      <c r="AB722" s="3">
        <v>311</v>
      </c>
      <c r="AC722" s="3">
        <v>348</v>
      </c>
      <c r="AD722" s="3">
        <v>6</v>
      </c>
      <c r="AE722" s="3">
        <v>6</v>
      </c>
      <c r="AF722" s="3">
        <v>18</v>
      </c>
      <c r="AG722" s="3">
        <v>19</v>
      </c>
      <c r="AH722" s="3">
        <v>7</v>
      </c>
      <c r="AI722" s="3">
        <v>7</v>
      </c>
      <c r="AJ722" s="3">
        <v>2</v>
      </c>
      <c r="AK722" s="3">
        <v>3</v>
      </c>
      <c r="AL722" s="3">
        <v>8</v>
      </c>
      <c r="AM722" s="3">
        <v>8</v>
      </c>
      <c r="AN722" s="3">
        <v>4</v>
      </c>
      <c r="AO722" s="3">
        <v>4</v>
      </c>
      <c r="AP722" s="3">
        <v>1</v>
      </c>
      <c r="AQ722" s="3">
        <v>1</v>
      </c>
      <c r="AR722" s="2" t="s">
        <v>5</v>
      </c>
      <c r="AS722" s="2" t="s">
        <v>16</v>
      </c>
      <c r="AT722" s="5" t="str">
        <f>HYPERLINK("http://catalog.hathitrust.org/Record/000462561","HathiTrust Record")</f>
        <v>HathiTrust Record</v>
      </c>
      <c r="AU722" s="5" t="str">
        <f>HYPERLINK("https://creighton-primo.hosted.exlibrisgroup.com/primo-explore/search?tab=default_tab&amp;search_scope=EVERYTHING&amp;vid=01CRU&amp;lang=en_US&amp;offset=0&amp;query=any,contains,991000738929702656","Catalog Record")</f>
        <v>Catalog Record</v>
      </c>
      <c r="AV722" s="5" t="str">
        <f>HYPERLINK("http://www.worldcat.org/oclc/11549571","WorldCat Record")</f>
        <v>WorldCat Record</v>
      </c>
      <c r="AW722" s="2" t="s">
        <v>8857</v>
      </c>
      <c r="AX722" s="2" t="s">
        <v>8858</v>
      </c>
      <c r="AY722" s="2" t="s">
        <v>8859</v>
      </c>
      <c r="AZ722" s="2" t="s">
        <v>8859</v>
      </c>
      <c r="BA722" s="2" t="s">
        <v>8860</v>
      </c>
      <c r="BB722" s="2" t="s">
        <v>21</v>
      </c>
      <c r="BD722" s="2" t="s">
        <v>8861</v>
      </c>
      <c r="BE722" s="2" t="s">
        <v>8862</v>
      </c>
      <c r="BF722" s="2" t="s">
        <v>8863</v>
      </c>
    </row>
    <row r="723" spans="1:58" ht="41.25" customHeight="1" x14ac:dyDescent="0.25">
      <c r="A723" s="8" t="s">
        <v>5</v>
      </c>
      <c r="B723" s="1" t="s">
        <v>0</v>
      </c>
      <c r="C723" s="1" t="s">
        <v>1</v>
      </c>
      <c r="D723" s="1" t="s">
        <v>8864</v>
      </c>
      <c r="E723" s="1" t="s">
        <v>8865</v>
      </c>
      <c r="F723" s="1" t="s">
        <v>8866</v>
      </c>
      <c r="H723" s="2" t="s">
        <v>5</v>
      </c>
      <c r="I723" s="2" t="s">
        <v>6</v>
      </c>
      <c r="J723" s="2" t="s">
        <v>5</v>
      </c>
      <c r="K723" s="2" t="s">
        <v>5</v>
      </c>
      <c r="L723" s="2" t="s">
        <v>7</v>
      </c>
      <c r="M723" s="1" t="s">
        <v>8856</v>
      </c>
      <c r="N723" s="1" t="s">
        <v>8867</v>
      </c>
      <c r="O723" s="2" t="s">
        <v>393</v>
      </c>
      <c r="Q723" s="2" t="s">
        <v>11</v>
      </c>
      <c r="R723" s="2" t="s">
        <v>426</v>
      </c>
      <c r="T723" s="2" t="s">
        <v>520</v>
      </c>
      <c r="U723" s="3">
        <v>8</v>
      </c>
      <c r="V723" s="3">
        <v>8</v>
      </c>
      <c r="W723" s="4" t="s">
        <v>1298</v>
      </c>
      <c r="X723" s="4" t="s">
        <v>1298</v>
      </c>
      <c r="Y723" s="4" t="s">
        <v>8868</v>
      </c>
      <c r="Z723" s="4" t="s">
        <v>8868</v>
      </c>
      <c r="AA723" s="3">
        <v>365</v>
      </c>
      <c r="AB723" s="3">
        <v>310</v>
      </c>
      <c r="AC723" s="3">
        <v>340</v>
      </c>
      <c r="AD723" s="3">
        <v>1</v>
      </c>
      <c r="AE723" s="3">
        <v>1</v>
      </c>
      <c r="AF723" s="3">
        <v>15</v>
      </c>
      <c r="AG723" s="3">
        <v>15</v>
      </c>
      <c r="AH723" s="3">
        <v>9</v>
      </c>
      <c r="AI723" s="3">
        <v>9</v>
      </c>
      <c r="AJ723" s="3">
        <v>1</v>
      </c>
      <c r="AK723" s="3">
        <v>1</v>
      </c>
      <c r="AL723" s="3">
        <v>9</v>
      </c>
      <c r="AM723" s="3">
        <v>9</v>
      </c>
      <c r="AN723" s="3">
        <v>0</v>
      </c>
      <c r="AO723" s="3">
        <v>0</v>
      </c>
      <c r="AP723" s="3">
        <v>1</v>
      </c>
      <c r="AQ723" s="3">
        <v>1</v>
      </c>
      <c r="AR723" s="2" t="s">
        <v>5</v>
      </c>
      <c r="AS723" s="2" t="s">
        <v>16</v>
      </c>
      <c r="AT723" s="5" t="str">
        <f>HYPERLINK("http://catalog.hathitrust.org/Record/000104121","HathiTrust Record")</f>
        <v>HathiTrust Record</v>
      </c>
      <c r="AU723" s="5" t="str">
        <f>HYPERLINK("https://creighton-primo.hosted.exlibrisgroup.com/primo-explore/search?tab=default_tab&amp;search_scope=EVERYTHING&amp;vid=01CRU&amp;lang=en_US&amp;offset=0&amp;query=any,contains,991001134709702656","Catalog Record")</f>
        <v>Catalog Record</v>
      </c>
      <c r="AV723" s="5" t="str">
        <f>HYPERLINK("http://www.worldcat.org/oclc/6375961","WorldCat Record")</f>
        <v>WorldCat Record</v>
      </c>
      <c r="AW723" s="2" t="s">
        <v>8869</v>
      </c>
      <c r="AX723" s="2" t="s">
        <v>8870</v>
      </c>
      <c r="AY723" s="2" t="s">
        <v>8871</v>
      </c>
      <c r="AZ723" s="2" t="s">
        <v>8871</v>
      </c>
      <c r="BA723" s="2" t="s">
        <v>8872</v>
      </c>
      <c r="BB723" s="2" t="s">
        <v>21</v>
      </c>
      <c r="BD723" s="2" t="s">
        <v>8873</v>
      </c>
      <c r="BE723" s="2" t="s">
        <v>8874</v>
      </c>
      <c r="BF723" s="2" t="s">
        <v>8875</v>
      </c>
    </row>
    <row r="724" spans="1:58" ht="41.25" customHeight="1" x14ac:dyDescent="0.25">
      <c r="A724" s="8" t="s">
        <v>5</v>
      </c>
      <c r="B724" s="1" t="s">
        <v>0</v>
      </c>
      <c r="C724" s="1" t="s">
        <v>1</v>
      </c>
      <c r="D724" s="1" t="s">
        <v>8876</v>
      </c>
      <c r="E724" s="1" t="s">
        <v>8877</v>
      </c>
      <c r="F724" s="1" t="s">
        <v>8878</v>
      </c>
      <c r="H724" s="2" t="s">
        <v>5</v>
      </c>
      <c r="I724" s="2" t="s">
        <v>6</v>
      </c>
      <c r="J724" s="2" t="s">
        <v>5</v>
      </c>
      <c r="K724" s="2" t="s">
        <v>5</v>
      </c>
      <c r="L724" s="2" t="s">
        <v>7</v>
      </c>
      <c r="M724" s="1" t="s">
        <v>8879</v>
      </c>
      <c r="N724" s="1" t="s">
        <v>6276</v>
      </c>
      <c r="O724" s="2" t="s">
        <v>4990</v>
      </c>
      <c r="Q724" s="2" t="s">
        <v>11</v>
      </c>
      <c r="R724" s="2" t="s">
        <v>229</v>
      </c>
      <c r="T724" s="2" t="s">
        <v>520</v>
      </c>
      <c r="U724" s="3">
        <v>1</v>
      </c>
      <c r="V724" s="3">
        <v>1</v>
      </c>
      <c r="W724" s="4" t="s">
        <v>8676</v>
      </c>
      <c r="X724" s="4" t="s">
        <v>8676</v>
      </c>
      <c r="Y724" s="4" t="s">
        <v>4876</v>
      </c>
      <c r="Z724" s="4" t="s">
        <v>4876</v>
      </c>
      <c r="AA724" s="3">
        <v>268</v>
      </c>
      <c r="AB724" s="3">
        <v>200</v>
      </c>
      <c r="AC724" s="3">
        <v>202</v>
      </c>
      <c r="AD724" s="3">
        <v>1</v>
      </c>
      <c r="AE724" s="3">
        <v>1</v>
      </c>
      <c r="AF724" s="3">
        <v>13</v>
      </c>
      <c r="AG724" s="3">
        <v>13</v>
      </c>
      <c r="AH724" s="3">
        <v>5</v>
      </c>
      <c r="AI724" s="3">
        <v>5</v>
      </c>
      <c r="AJ724" s="3">
        <v>1</v>
      </c>
      <c r="AK724" s="3">
        <v>1</v>
      </c>
      <c r="AL724" s="3">
        <v>9</v>
      </c>
      <c r="AM724" s="3">
        <v>9</v>
      </c>
      <c r="AN724" s="3">
        <v>0</v>
      </c>
      <c r="AO724" s="3">
        <v>0</v>
      </c>
      <c r="AP724" s="3">
        <v>0</v>
      </c>
      <c r="AQ724" s="3">
        <v>0</v>
      </c>
      <c r="AR724" s="2" t="s">
        <v>5</v>
      </c>
      <c r="AS724" s="2" t="s">
        <v>16</v>
      </c>
      <c r="AT724" s="5" t="str">
        <f>HYPERLINK("http://catalog.hathitrust.org/Record/004200649","HathiTrust Record")</f>
        <v>HathiTrust Record</v>
      </c>
      <c r="AU724" s="5" t="str">
        <f>HYPERLINK("https://creighton-primo.hosted.exlibrisgroup.com/primo-explore/search?tab=default_tab&amp;search_scope=EVERYTHING&amp;vid=01CRU&amp;lang=en_US&amp;offset=0&amp;query=any,contains,991000371319702656","Catalog Record")</f>
        <v>Catalog Record</v>
      </c>
      <c r="AV724" s="5" t="str">
        <f>HYPERLINK("http://www.worldcat.org/oclc/46463290","WorldCat Record")</f>
        <v>WorldCat Record</v>
      </c>
      <c r="AW724" s="2" t="s">
        <v>8880</v>
      </c>
      <c r="AX724" s="2" t="s">
        <v>8881</v>
      </c>
      <c r="AY724" s="2" t="s">
        <v>8882</v>
      </c>
      <c r="AZ724" s="2" t="s">
        <v>8882</v>
      </c>
      <c r="BA724" s="2" t="s">
        <v>8883</v>
      </c>
      <c r="BB724" s="2" t="s">
        <v>21</v>
      </c>
      <c r="BD724" s="2" t="s">
        <v>8884</v>
      </c>
      <c r="BE724" s="2" t="s">
        <v>8885</v>
      </c>
      <c r="BF724" s="2" t="s">
        <v>8886</v>
      </c>
    </row>
    <row r="725" spans="1:58" ht="41.25" customHeight="1" x14ac:dyDescent="0.25">
      <c r="A725" s="8" t="s">
        <v>5</v>
      </c>
      <c r="B725" s="1" t="s">
        <v>0</v>
      </c>
      <c r="C725" s="1" t="s">
        <v>1</v>
      </c>
      <c r="D725" s="1" t="s">
        <v>8887</v>
      </c>
      <c r="E725" s="1" t="s">
        <v>8888</v>
      </c>
      <c r="F725" s="1" t="s">
        <v>8889</v>
      </c>
      <c r="H725" s="2" t="s">
        <v>5</v>
      </c>
      <c r="I725" s="2" t="s">
        <v>6</v>
      </c>
      <c r="J725" s="2" t="s">
        <v>5</v>
      </c>
      <c r="K725" s="2" t="s">
        <v>5</v>
      </c>
      <c r="L725" s="2" t="s">
        <v>7</v>
      </c>
      <c r="N725" s="1" t="s">
        <v>1911</v>
      </c>
      <c r="O725" s="2" t="s">
        <v>734</v>
      </c>
      <c r="Q725" s="2" t="s">
        <v>11</v>
      </c>
      <c r="R725" s="2" t="s">
        <v>426</v>
      </c>
      <c r="T725" s="2" t="s">
        <v>520</v>
      </c>
      <c r="U725" s="3">
        <v>15</v>
      </c>
      <c r="V725" s="3">
        <v>15</v>
      </c>
      <c r="W725" s="4" t="s">
        <v>8890</v>
      </c>
      <c r="X725" s="4" t="s">
        <v>8890</v>
      </c>
      <c r="Y725" s="4" t="s">
        <v>96</v>
      </c>
      <c r="Z725" s="4" t="s">
        <v>96</v>
      </c>
      <c r="AA725" s="3">
        <v>331</v>
      </c>
      <c r="AB725" s="3">
        <v>282</v>
      </c>
      <c r="AC725" s="3">
        <v>289</v>
      </c>
      <c r="AD725" s="3">
        <v>3</v>
      </c>
      <c r="AE725" s="3">
        <v>3</v>
      </c>
      <c r="AF725" s="3">
        <v>16</v>
      </c>
      <c r="AG725" s="3">
        <v>16</v>
      </c>
      <c r="AH725" s="3">
        <v>6</v>
      </c>
      <c r="AI725" s="3">
        <v>6</v>
      </c>
      <c r="AJ725" s="3">
        <v>4</v>
      </c>
      <c r="AK725" s="3">
        <v>4</v>
      </c>
      <c r="AL725" s="3">
        <v>9</v>
      </c>
      <c r="AM725" s="3">
        <v>9</v>
      </c>
      <c r="AN725" s="3">
        <v>2</v>
      </c>
      <c r="AO725" s="3">
        <v>2</v>
      </c>
      <c r="AP725" s="3">
        <v>0</v>
      </c>
      <c r="AQ725" s="3">
        <v>0</v>
      </c>
      <c r="AR725" s="2" t="s">
        <v>5</v>
      </c>
      <c r="AS725" s="2" t="s">
        <v>16</v>
      </c>
      <c r="AT725" s="5" t="str">
        <f>HYPERLINK("http://catalog.hathitrust.org/Record/000308119","HathiTrust Record")</f>
        <v>HathiTrust Record</v>
      </c>
      <c r="AU725" s="5" t="str">
        <f>HYPERLINK("https://creighton-primo.hosted.exlibrisgroup.com/primo-explore/search?tab=default_tab&amp;search_scope=EVERYTHING&amp;vid=01CRU&amp;lang=en_US&amp;offset=0&amp;query=any,contains,991001134759702656","Catalog Record")</f>
        <v>Catalog Record</v>
      </c>
      <c r="AV725" s="5" t="str">
        <f>HYPERLINK("http://www.worldcat.org/oclc/8805280","WorldCat Record")</f>
        <v>WorldCat Record</v>
      </c>
      <c r="AW725" s="2" t="s">
        <v>8891</v>
      </c>
      <c r="AX725" s="2" t="s">
        <v>8892</v>
      </c>
      <c r="AY725" s="2" t="s">
        <v>8893</v>
      </c>
      <c r="AZ725" s="2" t="s">
        <v>8893</v>
      </c>
      <c r="BA725" s="2" t="s">
        <v>8894</v>
      </c>
      <c r="BB725" s="2" t="s">
        <v>21</v>
      </c>
      <c r="BD725" s="2" t="s">
        <v>8895</v>
      </c>
      <c r="BE725" s="2" t="s">
        <v>8896</v>
      </c>
      <c r="BF725" s="2" t="s">
        <v>8897</v>
      </c>
    </row>
    <row r="726" spans="1:58" ht="41.25" customHeight="1" x14ac:dyDescent="0.25">
      <c r="A726" s="8" t="s">
        <v>5</v>
      </c>
      <c r="B726" s="1" t="s">
        <v>0</v>
      </c>
      <c r="C726" s="1" t="s">
        <v>1</v>
      </c>
      <c r="D726" s="1" t="s">
        <v>8898</v>
      </c>
      <c r="E726" s="1" t="s">
        <v>8899</v>
      </c>
      <c r="F726" s="1" t="s">
        <v>8900</v>
      </c>
      <c r="H726" s="2" t="s">
        <v>5</v>
      </c>
      <c r="I726" s="2" t="s">
        <v>6</v>
      </c>
      <c r="J726" s="2" t="s">
        <v>5</v>
      </c>
      <c r="K726" s="2" t="s">
        <v>5</v>
      </c>
      <c r="L726" s="2" t="s">
        <v>7</v>
      </c>
      <c r="M726" s="1" t="s">
        <v>8481</v>
      </c>
      <c r="N726" s="1" t="s">
        <v>8901</v>
      </c>
      <c r="O726" s="2" t="s">
        <v>601</v>
      </c>
      <c r="P726" s="1" t="s">
        <v>211</v>
      </c>
      <c r="Q726" s="2" t="s">
        <v>11</v>
      </c>
      <c r="R726" s="2" t="s">
        <v>3356</v>
      </c>
      <c r="T726" s="2" t="s">
        <v>520</v>
      </c>
      <c r="U726" s="3">
        <v>6</v>
      </c>
      <c r="V726" s="3">
        <v>6</v>
      </c>
      <c r="W726" s="4" t="s">
        <v>1653</v>
      </c>
      <c r="X726" s="4" t="s">
        <v>1653</v>
      </c>
      <c r="Y726" s="4" t="s">
        <v>5993</v>
      </c>
      <c r="Z726" s="4" t="s">
        <v>5993</v>
      </c>
      <c r="AA726" s="3">
        <v>371</v>
      </c>
      <c r="AB726" s="3">
        <v>254</v>
      </c>
      <c r="AC726" s="3">
        <v>406</v>
      </c>
      <c r="AD726" s="3">
        <v>3</v>
      </c>
      <c r="AE726" s="3">
        <v>3</v>
      </c>
      <c r="AF726" s="3">
        <v>16</v>
      </c>
      <c r="AG726" s="3">
        <v>19</v>
      </c>
      <c r="AH726" s="3">
        <v>5</v>
      </c>
      <c r="AI726" s="3">
        <v>8</v>
      </c>
      <c r="AJ726" s="3">
        <v>4</v>
      </c>
      <c r="AK726" s="3">
        <v>4</v>
      </c>
      <c r="AL726" s="3">
        <v>9</v>
      </c>
      <c r="AM726" s="3">
        <v>9</v>
      </c>
      <c r="AN726" s="3">
        <v>2</v>
      </c>
      <c r="AO726" s="3">
        <v>2</v>
      </c>
      <c r="AP726" s="3">
        <v>0</v>
      </c>
      <c r="AQ726" s="3">
        <v>0</v>
      </c>
      <c r="AR726" s="2" t="s">
        <v>5</v>
      </c>
      <c r="AS726" s="2" t="s">
        <v>5</v>
      </c>
      <c r="AU726" s="5" t="str">
        <f>HYPERLINK("https://creighton-primo.hosted.exlibrisgroup.com/primo-explore/search?tab=default_tab&amp;search_scope=EVERYTHING&amp;vid=01CRU&amp;lang=en_US&amp;offset=0&amp;query=any,contains,991000688919702656","Catalog Record")</f>
        <v>Catalog Record</v>
      </c>
      <c r="AV726" s="5" t="str">
        <f>HYPERLINK("http://www.worldcat.org/oclc/30891731","WorldCat Record")</f>
        <v>WorldCat Record</v>
      </c>
      <c r="AW726" s="2" t="s">
        <v>8902</v>
      </c>
      <c r="AX726" s="2" t="s">
        <v>8903</v>
      </c>
      <c r="AY726" s="2" t="s">
        <v>8904</v>
      </c>
      <c r="AZ726" s="2" t="s">
        <v>8904</v>
      </c>
      <c r="BA726" s="2" t="s">
        <v>8905</v>
      </c>
      <c r="BB726" s="2" t="s">
        <v>21</v>
      </c>
      <c r="BD726" s="2" t="s">
        <v>8906</v>
      </c>
      <c r="BE726" s="2" t="s">
        <v>8907</v>
      </c>
      <c r="BF726" s="2" t="s">
        <v>8908</v>
      </c>
    </row>
    <row r="727" spans="1:58" ht="41.25" customHeight="1" x14ac:dyDescent="0.25">
      <c r="A727" s="8" t="s">
        <v>5</v>
      </c>
      <c r="B727" s="1" t="s">
        <v>0</v>
      </c>
      <c r="C727" s="1" t="s">
        <v>1</v>
      </c>
      <c r="D727" s="1" t="s">
        <v>8909</v>
      </c>
      <c r="E727" s="1" t="s">
        <v>8910</v>
      </c>
      <c r="F727" s="1" t="s">
        <v>8911</v>
      </c>
      <c r="H727" s="2" t="s">
        <v>5</v>
      </c>
      <c r="I727" s="2" t="s">
        <v>6</v>
      </c>
      <c r="J727" s="2" t="s">
        <v>5</v>
      </c>
      <c r="K727" s="2" t="s">
        <v>16</v>
      </c>
      <c r="L727" s="2" t="s">
        <v>7</v>
      </c>
      <c r="M727" s="1" t="s">
        <v>8912</v>
      </c>
      <c r="N727" s="1" t="s">
        <v>1729</v>
      </c>
      <c r="O727" s="2" t="s">
        <v>1378</v>
      </c>
      <c r="P727" s="1" t="s">
        <v>1284</v>
      </c>
      <c r="Q727" s="2" t="s">
        <v>11</v>
      </c>
      <c r="R727" s="2" t="s">
        <v>78</v>
      </c>
      <c r="T727" s="2" t="s">
        <v>520</v>
      </c>
      <c r="U727" s="3">
        <v>2</v>
      </c>
      <c r="V727" s="3">
        <v>2</v>
      </c>
      <c r="W727" s="4" t="s">
        <v>8913</v>
      </c>
      <c r="X727" s="4" t="s">
        <v>8913</v>
      </c>
      <c r="Y727" s="4" t="s">
        <v>8914</v>
      </c>
      <c r="Z727" s="4" t="s">
        <v>8914</v>
      </c>
      <c r="AA727" s="3">
        <v>560</v>
      </c>
      <c r="AB727" s="3">
        <v>439</v>
      </c>
      <c r="AC727" s="3">
        <v>839</v>
      </c>
      <c r="AD727" s="3">
        <v>3</v>
      </c>
      <c r="AE727" s="3">
        <v>8</v>
      </c>
      <c r="AF727" s="3">
        <v>20</v>
      </c>
      <c r="AG727" s="3">
        <v>34</v>
      </c>
      <c r="AH727" s="3">
        <v>7</v>
      </c>
      <c r="AI727" s="3">
        <v>14</v>
      </c>
      <c r="AJ727" s="3">
        <v>3</v>
      </c>
      <c r="AK727" s="3">
        <v>6</v>
      </c>
      <c r="AL727" s="3">
        <v>11</v>
      </c>
      <c r="AM727" s="3">
        <v>15</v>
      </c>
      <c r="AN727" s="3">
        <v>2</v>
      </c>
      <c r="AO727" s="3">
        <v>5</v>
      </c>
      <c r="AP727" s="3">
        <v>0</v>
      </c>
      <c r="AQ727" s="3">
        <v>0</v>
      </c>
      <c r="AR727" s="2" t="s">
        <v>5</v>
      </c>
      <c r="AS727" s="2" t="s">
        <v>5</v>
      </c>
      <c r="AU727" s="5" t="str">
        <f>HYPERLINK("https://creighton-primo.hosted.exlibrisgroup.com/primo-explore/search?tab=default_tab&amp;search_scope=EVERYTHING&amp;vid=01CRU&amp;lang=en_US&amp;offset=0&amp;query=any,contains,991001427469702656","Catalog Record")</f>
        <v>Catalog Record</v>
      </c>
      <c r="AV727" s="5" t="str">
        <f>HYPERLINK("http://www.worldcat.org/oclc/37410529","WorldCat Record")</f>
        <v>WorldCat Record</v>
      </c>
      <c r="AW727" s="2" t="s">
        <v>8915</v>
      </c>
      <c r="AX727" s="2" t="s">
        <v>8916</v>
      </c>
      <c r="AY727" s="2" t="s">
        <v>8917</v>
      </c>
      <c r="AZ727" s="2" t="s">
        <v>8917</v>
      </c>
      <c r="BA727" s="2" t="s">
        <v>8918</v>
      </c>
      <c r="BB727" s="2" t="s">
        <v>21</v>
      </c>
      <c r="BD727" s="2" t="s">
        <v>8919</v>
      </c>
      <c r="BE727" s="2" t="s">
        <v>8920</v>
      </c>
      <c r="BF727" s="2" t="s">
        <v>8921</v>
      </c>
    </row>
    <row r="728" spans="1:58" ht="41.25" customHeight="1" x14ac:dyDescent="0.25">
      <c r="A728" s="8" t="s">
        <v>5</v>
      </c>
      <c r="B728" s="1" t="s">
        <v>0</v>
      </c>
      <c r="C728" s="1" t="s">
        <v>1</v>
      </c>
      <c r="D728" s="1" t="s">
        <v>8922</v>
      </c>
      <c r="E728" s="1" t="s">
        <v>8923</v>
      </c>
      <c r="F728" s="1" t="s">
        <v>8924</v>
      </c>
      <c r="H728" s="2" t="s">
        <v>5</v>
      </c>
      <c r="I728" s="2" t="s">
        <v>6</v>
      </c>
      <c r="J728" s="2" t="s">
        <v>5</v>
      </c>
      <c r="K728" s="2" t="s">
        <v>5</v>
      </c>
      <c r="L728" s="2" t="s">
        <v>7</v>
      </c>
      <c r="M728" s="1" t="s">
        <v>8516</v>
      </c>
      <c r="N728" s="1" t="s">
        <v>8925</v>
      </c>
      <c r="O728" s="2" t="s">
        <v>989</v>
      </c>
      <c r="Q728" s="2" t="s">
        <v>11</v>
      </c>
      <c r="R728" s="2" t="s">
        <v>426</v>
      </c>
      <c r="T728" s="2" t="s">
        <v>520</v>
      </c>
      <c r="U728" s="3">
        <v>5</v>
      </c>
      <c r="V728" s="3">
        <v>5</v>
      </c>
      <c r="W728" s="4" t="s">
        <v>1298</v>
      </c>
      <c r="X728" s="4" t="s">
        <v>1298</v>
      </c>
      <c r="Y728" s="4" t="s">
        <v>8926</v>
      </c>
      <c r="Z728" s="4" t="s">
        <v>8926</v>
      </c>
      <c r="AA728" s="3">
        <v>370</v>
      </c>
      <c r="AB728" s="3">
        <v>297</v>
      </c>
      <c r="AC728" s="3">
        <v>297</v>
      </c>
      <c r="AD728" s="3">
        <v>2</v>
      </c>
      <c r="AE728" s="3">
        <v>2</v>
      </c>
      <c r="AF728" s="3">
        <v>20</v>
      </c>
      <c r="AG728" s="3">
        <v>20</v>
      </c>
      <c r="AH728" s="3">
        <v>8</v>
      </c>
      <c r="AI728" s="3">
        <v>8</v>
      </c>
      <c r="AJ728" s="3">
        <v>4</v>
      </c>
      <c r="AK728" s="3">
        <v>4</v>
      </c>
      <c r="AL728" s="3">
        <v>12</v>
      </c>
      <c r="AM728" s="3">
        <v>12</v>
      </c>
      <c r="AN728" s="3">
        <v>1</v>
      </c>
      <c r="AO728" s="3">
        <v>1</v>
      </c>
      <c r="AP728" s="3">
        <v>0</v>
      </c>
      <c r="AQ728" s="3">
        <v>0</v>
      </c>
      <c r="AR728" s="2" t="s">
        <v>5</v>
      </c>
      <c r="AS728" s="2" t="s">
        <v>5</v>
      </c>
      <c r="AU728" s="5" t="str">
        <f>HYPERLINK("https://creighton-primo.hosted.exlibrisgroup.com/primo-explore/search?tab=default_tab&amp;search_scope=EVERYTHING&amp;vid=01CRU&amp;lang=en_US&amp;offset=0&amp;query=any,contains,991001450179702656","Catalog Record")</f>
        <v>Catalog Record</v>
      </c>
      <c r="AV728" s="5" t="str">
        <f>HYPERLINK("http://www.worldcat.org/oclc/19980987","WorldCat Record")</f>
        <v>WorldCat Record</v>
      </c>
      <c r="AW728" s="2" t="s">
        <v>8927</v>
      </c>
      <c r="AX728" s="2" t="s">
        <v>8928</v>
      </c>
      <c r="AY728" s="2" t="s">
        <v>8929</v>
      </c>
      <c r="AZ728" s="2" t="s">
        <v>8929</v>
      </c>
      <c r="BA728" s="2" t="s">
        <v>8930</v>
      </c>
      <c r="BB728" s="2" t="s">
        <v>21</v>
      </c>
      <c r="BD728" s="2" t="s">
        <v>8931</v>
      </c>
      <c r="BE728" s="2" t="s">
        <v>8932</v>
      </c>
      <c r="BF728" s="2" t="s">
        <v>8933</v>
      </c>
    </row>
    <row r="729" spans="1:58" ht="41.25" customHeight="1" x14ac:dyDescent="0.25">
      <c r="A729" s="8" t="s">
        <v>5</v>
      </c>
      <c r="B729" s="1" t="s">
        <v>0</v>
      </c>
      <c r="C729" s="1" t="s">
        <v>1</v>
      </c>
      <c r="D729" s="1" t="s">
        <v>8934</v>
      </c>
      <c r="E729" s="1" t="s">
        <v>8935</v>
      </c>
      <c r="F729" s="1" t="s">
        <v>8936</v>
      </c>
      <c r="H729" s="2" t="s">
        <v>5</v>
      </c>
      <c r="I729" s="2" t="s">
        <v>6</v>
      </c>
      <c r="J729" s="2" t="s">
        <v>5</v>
      </c>
      <c r="K729" s="2" t="s">
        <v>5</v>
      </c>
      <c r="L729" s="2" t="s">
        <v>7</v>
      </c>
      <c r="N729" s="1" t="s">
        <v>1588</v>
      </c>
      <c r="O729" s="2" t="s">
        <v>1102</v>
      </c>
      <c r="Q729" s="2" t="s">
        <v>11</v>
      </c>
      <c r="R729" s="2" t="s">
        <v>426</v>
      </c>
      <c r="S729" s="1" t="s">
        <v>8937</v>
      </c>
      <c r="T729" s="2" t="s">
        <v>520</v>
      </c>
      <c r="U729" s="3">
        <v>25</v>
      </c>
      <c r="V729" s="3">
        <v>25</v>
      </c>
      <c r="W729" s="4" t="s">
        <v>8938</v>
      </c>
      <c r="X729" s="4" t="s">
        <v>8938</v>
      </c>
      <c r="Y729" s="4" t="s">
        <v>1591</v>
      </c>
      <c r="Z729" s="4" t="s">
        <v>1591</v>
      </c>
      <c r="AA729" s="3">
        <v>333</v>
      </c>
      <c r="AB729" s="3">
        <v>276</v>
      </c>
      <c r="AC729" s="3">
        <v>283</v>
      </c>
      <c r="AD729" s="3">
        <v>4</v>
      </c>
      <c r="AE729" s="3">
        <v>4</v>
      </c>
      <c r="AF729" s="3">
        <v>16</v>
      </c>
      <c r="AG729" s="3">
        <v>16</v>
      </c>
      <c r="AH729" s="3">
        <v>7</v>
      </c>
      <c r="AI729" s="3">
        <v>7</v>
      </c>
      <c r="AJ729" s="3">
        <v>3</v>
      </c>
      <c r="AK729" s="3">
        <v>3</v>
      </c>
      <c r="AL729" s="3">
        <v>7</v>
      </c>
      <c r="AM729" s="3">
        <v>7</v>
      </c>
      <c r="AN729" s="3">
        <v>2</v>
      </c>
      <c r="AO729" s="3">
        <v>2</v>
      </c>
      <c r="AP729" s="3">
        <v>0</v>
      </c>
      <c r="AQ729" s="3">
        <v>0</v>
      </c>
      <c r="AR729" s="2" t="s">
        <v>5</v>
      </c>
      <c r="AS729" s="2" t="s">
        <v>16</v>
      </c>
      <c r="AT729" s="5" t="str">
        <f>HYPERLINK("http://catalog.hathitrust.org/Record/000837122","HathiTrust Record")</f>
        <v>HathiTrust Record</v>
      </c>
      <c r="AU729" s="5" t="str">
        <f>HYPERLINK("https://creighton-primo.hosted.exlibrisgroup.com/primo-explore/search?tab=default_tab&amp;search_scope=EVERYTHING&amp;vid=01CRU&amp;lang=en_US&amp;offset=0&amp;query=any,contains,991001374339702656","Catalog Record")</f>
        <v>Catalog Record</v>
      </c>
      <c r="AV729" s="5" t="str">
        <f>HYPERLINK("http://www.worldcat.org/oclc/13871363","WorldCat Record")</f>
        <v>WorldCat Record</v>
      </c>
      <c r="AW729" s="2" t="s">
        <v>8939</v>
      </c>
      <c r="AX729" s="2" t="s">
        <v>8940</v>
      </c>
      <c r="AY729" s="2" t="s">
        <v>8941</v>
      </c>
      <c r="AZ729" s="2" t="s">
        <v>8941</v>
      </c>
      <c r="BA729" s="2" t="s">
        <v>8942</v>
      </c>
      <c r="BB729" s="2" t="s">
        <v>21</v>
      </c>
      <c r="BD729" s="2" t="s">
        <v>8943</v>
      </c>
      <c r="BE729" s="2" t="s">
        <v>8944</v>
      </c>
      <c r="BF729" s="2" t="s">
        <v>8945</v>
      </c>
    </row>
    <row r="730" spans="1:58" ht="41.25" customHeight="1" x14ac:dyDescent="0.25">
      <c r="A730" s="8" t="s">
        <v>5</v>
      </c>
      <c r="B730" s="1" t="s">
        <v>0</v>
      </c>
      <c r="C730" s="1" t="s">
        <v>1</v>
      </c>
      <c r="D730" s="1" t="s">
        <v>8946</v>
      </c>
      <c r="E730" s="1" t="s">
        <v>8947</v>
      </c>
      <c r="F730" s="1" t="s">
        <v>8948</v>
      </c>
      <c r="H730" s="2" t="s">
        <v>5</v>
      </c>
      <c r="I730" s="2" t="s">
        <v>6</v>
      </c>
      <c r="J730" s="2" t="s">
        <v>5</v>
      </c>
      <c r="K730" s="2" t="s">
        <v>5</v>
      </c>
      <c r="L730" s="2" t="s">
        <v>7</v>
      </c>
      <c r="N730" s="1" t="s">
        <v>8949</v>
      </c>
      <c r="O730" s="2" t="s">
        <v>210</v>
      </c>
      <c r="Q730" s="2" t="s">
        <v>11</v>
      </c>
      <c r="R730" s="2" t="s">
        <v>78</v>
      </c>
      <c r="T730" s="2" t="s">
        <v>520</v>
      </c>
      <c r="U730" s="3">
        <v>12</v>
      </c>
      <c r="V730" s="3">
        <v>12</v>
      </c>
      <c r="W730" s="4" t="s">
        <v>8950</v>
      </c>
      <c r="X730" s="4" t="s">
        <v>8950</v>
      </c>
      <c r="Y730" s="4" t="s">
        <v>8505</v>
      </c>
      <c r="Z730" s="4" t="s">
        <v>8505</v>
      </c>
      <c r="AA730" s="3">
        <v>292</v>
      </c>
      <c r="AB730" s="3">
        <v>242</v>
      </c>
      <c r="AC730" s="3">
        <v>249</v>
      </c>
      <c r="AD730" s="3">
        <v>3</v>
      </c>
      <c r="AE730" s="3">
        <v>3</v>
      </c>
      <c r="AF730" s="3">
        <v>14</v>
      </c>
      <c r="AG730" s="3">
        <v>14</v>
      </c>
      <c r="AH730" s="3">
        <v>7</v>
      </c>
      <c r="AI730" s="3">
        <v>7</v>
      </c>
      <c r="AJ730" s="3">
        <v>2</v>
      </c>
      <c r="AK730" s="3">
        <v>2</v>
      </c>
      <c r="AL730" s="3">
        <v>10</v>
      </c>
      <c r="AM730" s="3">
        <v>10</v>
      </c>
      <c r="AN730" s="3">
        <v>1</v>
      </c>
      <c r="AO730" s="3">
        <v>1</v>
      </c>
      <c r="AP730" s="3">
        <v>0</v>
      </c>
      <c r="AQ730" s="3">
        <v>0</v>
      </c>
      <c r="AR730" s="2" t="s">
        <v>5</v>
      </c>
      <c r="AS730" s="2" t="s">
        <v>16</v>
      </c>
      <c r="AT730" s="5" t="str">
        <f>HYPERLINK("http://catalog.hathitrust.org/Record/002604005","HathiTrust Record")</f>
        <v>HathiTrust Record</v>
      </c>
      <c r="AU730" s="5" t="str">
        <f>HYPERLINK("https://creighton-primo.hosted.exlibrisgroup.com/primo-explore/search?tab=default_tab&amp;search_scope=EVERYTHING&amp;vid=01CRU&amp;lang=en_US&amp;offset=0&amp;query=any,contains,991001035729702656","Catalog Record")</f>
        <v>Catalog Record</v>
      </c>
      <c r="AV730" s="5" t="str">
        <f>HYPERLINK("http://www.worldcat.org/oclc/23766278","WorldCat Record")</f>
        <v>WorldCat Record</v>
      </c>
      <c r="AW730" s="2" t="s">
        <v>8951</v>
      </c>
      <c r="AX730" s="2" t="s">
        <v>8952</v>
      </c>
      <c r="AY730" s="2" t="s">
        <v>8953</v>
      </c>
      <c r="AZ730" s="2" t="s">
        <v>8953</v>
      </c>
      <c r="BA730" s="2" t="s">
        <v>8954</v>
      </c>
      <c r="BB730" s="2" t="s">
        <v>21</v>
      </c>
      <c r="BD730" s="2" t="s">
        <v>8955</v>
      </c>
      <c r="BE730" s="2" t="s">
        <v>8956</v>
      </c>
      <c r="BF730" s="2" t="s">
        <v>8957</v>
      </c>
    </row>
    <row r="731" spans="1:58" ht="41.25" customHeight="1" x14ac:dyDescent="0.25">
      <c r="A731" s="8" t="s">
        <v>5</v>
      </c>
      <c r="B731" s="1" t="s">
        <v>0</v>
      </c>
      <c r="C731" s="1" t="s">
        <v>1</v>
      </c>
      <c r="D731" s="1" t="s">
        <v>8958</v>
      </c>
      <c r="E731" s="1" t="s">
        <v>8959</v>
      </c>
      <c r="F731" s="1" t="s">
        <v>8960</v>
      </c>
      <c r="H731" s="2" t="s">
        <v>5</v>
      </c>
      <c r="I731" s="2" t="s">
        <v>6</v>
      </c>
      <c r="J731" s="2" t="s">
        <v>5</v>
      </c>
      <c r="K731" s="2" t="s">
        <v>5</v>
      </c>
      <c r="L731" s="2" t="s">
        <v>7</v>
      </c>
      <c r="M731" s="1" t="s">
        <v>8961</v>
      </c>
      <c r="N731" s="1" t="s">
        <v>8962</v>
      </c>
      <c r="O731" s="2" t="s">
        <v>1391</v>
      </c>
      <c r="P731" s="1" t="s">
        <v>63</v>
      </c>
      <c r="Q731" s="2" t="s">
        <v>11</v>
      </c>
      <c r="R731" s="2" t="s">
        <v>31</v>
      </c>
      <c r="T731" s="2" t="s">
        <v>520</v>
      </c>
      <c r="U731" s="3">
        <v>5</v>
      </c>
      <c r="V731" s="3">
        <v>5</v>
      </c>
      <c r="W731" s="4" t="s">
        <v>8963</v>
      </c>
      <c r="X731" s="4" t="s">
        <v>8963</v>
      </c>
      <c r="Y731" s="4" t="s">
        <v>8964</v>
      </c>
      <c r="Z731" s="4" t="s">
        <v>8964</v>
      </c>
      <c r="AA731" s="3">
        <v>365</v>
      </c>
      <c r="AB731" s="3">
        <v>279</v>
      </c>
      <c r="AC731" s="3">
        <v>282</v>
      </c>
      <c r="AD731" s="3">
        <v>3</v>
      </c>
      <c r="AE731" s="3">
        <v>3</v>
      </c>
      <c r="AF731" s="3">
        <v>15</v>
      </c>
      <c r="AG731" s="3">
        <v>15</v>
      </c>
      <c r="AH731" s="3">
        <v>7</v>
      </c>
      <c r="AI731" s="3">
        <v>7</v>
      </c>
      <c r="AJ731" s="3">
        <v>2</v>
      </c>
      <c r="AK731" s="3">
        <v>2</v>
      </c>
      <c r="AL731" s="3">
        <v>8</v>
      </c>
      <c r="AM731" s="3">
        <v>8</v>
      </c>
      <c r="AN731" s="3">
        <v>2</v>
      </c>
      <c r="AO731" s="3">
        <v>2</v>
      </c>
      <c r="AP731" s="3">
        <v>0</v>
      </c>
      <c r="AQ731" s="3">
        <v>0</v>
      </c>
      <c r="AR731" s="2" t="s">
        <v>5</v>
      </c>
      <c r="AS731" s="2" t="s">
        <v>16</v>
      </c>
      <c r="AT731" s="5" t="str">
        <f>HYPERLINK("http://catalog.hathitrust.org/Record/004355079","HathiTrust Record")</f>
        <v>HathiTrust Record</v>
      </c>
      <c r="AU731" s="5" t="str">
        <f>HYPERLINK("https://creighton-primo.hosted.exlibrisgroup.com/primo-explore/search?tab=default_tab&amp;search_scope=EVERYTHING&amp;vid=01CRU&amp;lang=en_US&amp;offset=0&amp;query=any,contains,991000367549702656","Catalog Record")</f>
        <v>Catalog Record</v>
      </c>
      <c r="AV731" s="5" t="str">
        <f>HYPERLINK("http://www.worldcat.org/oclc/53620601","WorldCat Record")</f>
        <v>WorldCat Record</v>
      </c>
      <c r="AW731" s="2" t="s">
        <v>8965</v>
      </c>
      <c r="AX731" s="2" t="s">
        <v>8966</v>
      </c>
      <c r="AY731" s="2" t="s">
        <v>8967</v>
      </c>
      <c r="AZ731" s="2" t="s">
        <v>8967</v>
      </c>
      <c r="BA731" s="2" t="s">
        <v>8968</v>
      </c>
      <c r="BB731" s="2" t="s">
        <v>21</v>
      </c>
      <c r="BD731" s="2" t="s">
        <v>8969</v>
      </c>
      <c r="BE731" s="2" t="s">
        <v>8970</v>
      </c>
      <c r="BF731" s="2" t="s">
        <v>8971</v>
      </c>
    </row>
    <row r="732" spans="1:58" ht="41.25" customHeight="1" x14ac:dyDescent="0.25">
      <c r="A732" s="8" t="s">
        <v>5</v>
      </c>
      <c r="B732" s="1" t="s">
        <v>0</v>
      </c>
      <c r="C732" s="1" t="s">
        <v>1</v>
      </c>
      <c r="D732" s="1" t="s">
        <v>8972</v>
      </c>
      <c r="E732" s="1" t="s">
        <v>8973</v>
      </c>
      <c r="F732" s="1" t="s">
        <v>8974</v>
      </c>
      <c r="H732" s="2" t="s">
        <v>5</v>
      </c>
      <c r="I732" s="2" t="s">
        <v>6</v>
      </c>
      <c r="J732" s="2" t="s">
        <v>5</v>
      </c>
      <c r="K732" s="2" t="s">
        <v>5</v>
      </c>
      <c r="L732" s="2" t="s">
        <v>7</v>
      </c>
      <c r="M732" s="1" t="s">
        <v>8961</v>
      </c>
      <c r="N732" s="1" t="s">
        <v>8975</v>
      </c>
      <c r="O732" s="2" t="s">
        <v>601</v>
      </c>
      <c r="P732" s="1" t="s">
        <v>1208</v>
      </c>
      <c r="Q732" s="2" t="s">
        <v>11</v>
      </c>
      <c r="R732" s="2" t="s">
        <v>426</v>
      </c>
      <c r="T732" s="2" t="s">
        <v>520</v>
      </c>
      <c r="U732" s="3">
        <v>7</v>
      </c>
      <c r="V732" s="3">
        <v>7</v>
      </c>
      <c r="W732" s="4" t="s">
        <v>8976</v>
      </c>
      <c r="X732" s="4" t="s">
        <v>8976</v>
      </c>
      <c r="Y732" s="4" t="s">
        <v>8977</v>
      </c>
      <c r="Z732" s="4" t="s">
        <v>8977</v>
      </c>
      <c r="AA732" s="3">
        <v>360</v>
      </c>
      <c r="AB732" s="3">
        <v>253</v>
      </c>
      <c r="AC732" s="3">
        <v>547</v>
      </c>
      <c r="AD732" s="3">
        <v>1</v>
      </c>
      <c r="AE732" s="3">
        <v>4</v>
      </c>
      <c r="AF732" s="3">
        <v>14</v>
      </c>
      <c r="AG732" s="3">
        <v>25</v>
      </c>
      <c r="AH732" s="3">
        <v>5</v>
      </c>
      <c r="AI732" s="3">
        <v>10</v>
      </c>
      <c r="AJ732" s="3">
        <v>5</v>
      </c>
      <c r="AK732" s="3">
        <v>5</v>
      </c>
      <c r="AL732" s="3">
        <v>8</v>
      </c>
      <c r="AM732" s="3">
        <v>14</v>
      </c>
      <c r="AN732" s="3">
        <v>0</v>
      </c>
      <c r="AO732" s="3">
        <v>2</v>
      </c>
      <c r="AP732" s="3">
        <v>0</v>
      </c>
      <c r="AQ732" s="3">
        <v>0</v>
      </c>
      <c r="AR732" s="2" t="s">
        <v>5</v>
      </c>
      <c r="AS732" s="2" t="s">
        <v>16</v>
      </c>
      <c r="AT732" s="5" t="str">
        <f>HYPERLINK("http://catalog.hathitrust.org/Record/002906005","HathiTrust Record")</f>
        <v>HathiTrust Record</v>
      </c>
      <c r="AU732" s="5" t="str">
        <f>HYPERLINK("https://creighton-primo.hosted.exlibrisgroup.com/primo-explore/search?tab=default_tab&amp;search_scope=EVERYTHING&amp;vid=01CRU&amp;lang=en_US&amp;offset=0&amp;query=any,contains,991001403649702656","Catalog Record")</f>
        <v>Catalog Record</v>
      </c>
      <c r="AV732" s="5" t="str">
        <f>HYPERLINK("http://www.worldcat.org/oclc/31597013","WorldCat Record")</f>
        <v>WorldCat Record</v>
      </c>
      <c r="AW732" s="2" t="s">
        <v>8978</v>
      </c>
      <c r="AX732" s="2" t="s">
        <v>8979</v>
      </c>
      <c r="AY732" s="2" t="s">
        <v>8980</v>
      </c>
      <c r="AZ732" s="2" t="s">
        <v>8980</v>
      </c>
      <c r="BA732" s="2" t="s">
        <v>8981</v>
      </c>
      <c r="BB732" s="2" t="s">
        <v>21</v>
      </c>
      <c r="BD732" s="2" t="s">
        <v>8982</v>
      </c>
      <c r="BE732" s="2" t="s">
        <v>8983</v>
      </c>
      <c r="BF732" s="2" t="s">
        <v>8984</v>
      </c>
    </row>
    <row r="733" spans="1:58" ht="41.25" customHeight="1" x14ac:dyDescent="0.25">
      <c r="A733" s="8" t="s">
        <v>5</v>
      </c>
      <c r="B733" s="1" t="s">
        <v>0</v>
      </c>
      <c r="C733" s="1" t="s">
        <v>1</v>
      </c>
      <c r="D733" s="1" t="s">
        <v>8985</v>
      </c>
      <c r="E733" s="1" t="s">
        <v>8986</v>
      </c>
      <c r="F733" s="1" t="s">
        <v>8987</v>
      </c>
      <c r="H733" s="2" t="s">
        <v>5</v>
      </c>
      <c r="I733" s="2" t="s">
        <v>6</v>
      </c>
      <c r="J733" s="2" t="s">
        <v>5</v>
      </c>
      <c r="K733" s="2" t="s">
        <v>5</v>
      </c>
      <c r="L733" s="2" t="s">
        <v>7</v>
      </c>
      <c r="N733" s="1" t="s">
        <v>8988</v>
      </c>
      <c r="O733" s="2" t="s">
        <v>1195</v>
      </c>
      <c r="P733" s="1" t="s">
        <v>211</v>
      </c>
      <c r="Q733" s="2" t="s">
        <v>11</v>
      </c>
      <c r="R733" s="2" t="s">
        <v>78</v>
      </c>
      <c r="T733" s="2" t="s">
        <v>520</v>
      </c>
      <c r="U733" s="3">
        <v>9</v>
      </c>
      <c r="V733" s="3">
        <v>9</v>
      </c>
      <c r="W733" s="4" t="s">
        <v>8989</v>
      </c>
      <c r="X733" s="4" t="s">
        <v>8989</v>
      </c>
      <c r="Y733" s="4" t="s">
        <v>2140</v>
      </c>
      <c r="Z733" s="4" t="s">
        <v>2140</v>
      </c>
      <c r="AA733" s="3">
        <v>351</v>
      </c>
      <c r="AB733" s="3">
        <v>265</v>
      </c>
      <c r="AC733" s="3">
        <v>363</v>
      </c>
      <c r="AD733" s="3">
        <v>2</v>
      </c>
      <c r="AE733" s="3">
        <v>2</v>
      </c>
      <c r="AF733" s="3">
        <v>13</v>
      </c>
      <c r="AG733" s="3">
        <v>16</v>
      </c>
      <c r="AH733" s="3">
        <v>4</v>
      </c>
      <c r="AI733" s="3">
        <v>6</v>
      </c>
      <c r="AJ733" s="3">
        <v>4</v>
      </c>
      <c r="AK733" s="3">
        <v>4</v>
      </c>
      <c r="AL733" s="3">
        <v>8</v>
      </c>
      <c r="AM733" s="3">
        <v>10</v>
      </c>
      <c r="AN733" s="3">
        <v>1</v>
      </c>
      <c r="AO733" s="3">
        <v>1</v>
      </c>
      <c r="AP733" s="3">
        <v>0</v>
      </c>
      <c r="AQ733" s="3">
        <v>0</v>
      </c>
      <c r="AR733" s="2" t="s">
        <v>5</v>
      </c>
      <c r="AS733" s="2" t="s">
        <v>16</v>
      </c>
      <c r="AT733" s="5" t="str">
        <f>HYPERLINK("http://catalog.hathitrust.org/Record/004074974","HathiTrust Record")</f>
        <v>HathiTrust Record</v>
      </c>
      <c r="AU733" s="5" t="str">
        <f>HYPERLINK("https://creighton-primo.hosted.exlibrisgroup.com/primo-explore/search?tab=default_tab&amp;search_scope=EVERYTHING&amp;vid=01CRU&amp;lang=en_US&amp;offset=0&amp;query=any,contains,991000319849702656","Catalog Record")</f>
        <v>Catalog Record</v>
      </c>
      <c r="AV733" s="5" t="str">
        <f>HYPERLINK("http://www.worldcat.org/oclc/41326069","WorldCat Record")</f>
        <v>WorldCat Record</v>
      </c>
      <c r="AW733" s="2" t="s">
        <v>8990</v>
      </c>
      <c r="AX733" s="2" t="s">
        <v>8991</v>
      </c>
      <c r="AY733" s="2" t="s">
        <v>8992</v>
      </c>
      <c r="AZ733" s="2" t="s">
        <v>8992</v>
      </c>
      <c r="BA733" s="2" t="s">
        <v>8993</v>
      </c>
      <c r="BB733" s="2" t="s">
        <v>21</v>
      </c>
      <c r="BD733" s="2" t="s">
        <v>8994</v>
      </c>
      <c r="BE733" s="2" t="s">
        <v>8995</v>
      </c>
      <c r="BF733" s="2" t="s">
        <v>8996</v>
      </c>
    </row>
    <row r="734" spans="1:58" ht="41.25" customHeight="1" x14ac:dyDescent="0.25">
      <c r="A734" s="8" t="s">
        <v>5</v>
      </c>
      <c r="B734" s="1" t="s">
        <v>0</v>
      </c>
      <c r="C734" s="1" t="s">
        <v>1</v>
      </c>
      <c r="D734" s="1" t="s">
        <v>8997</v>
      </c>
      <c r="E734" s="1" t="s">
        <v>8998</v>
      </c>
      <c r="F734" s="1" t="s">
        <v>8999</v>
      </c>
      <c r="H734" s="2" t="s">
        <v>5</v>
      </c>
      <c r="I734" s="2" t="s">
        <v>6</v>
      </c>
      <c r="J734" s="2" t="s">
        <v>5</v>
      </c>
      <c r="K734" s="2" t="s">
        <v>5</v>
      </c>
      <c r="L734" s="2" t="s">
        <v>7</v>
      </c>
      <c r="N734" s="1" t="s">
        <v>2250</v>
      </c>
      <c r="O734" s="2" t="s">
        <v>228</v>
      </c>
      <c r="Q734" s="2" t="s">
        <v>11</v>
      </c>
      <c r="R734" s="2" t="s">
        <v>426</v>
      </c>
      <c r="T734" s="2" t="s">
        <v>520</v>
      </c>
      <c r="U734" s="3">
        <v>9</v>
      </c>
      <c r="V734" s="3">
        <v>9</v>
      </c>
      <c r="W734" s="4" t="s">
        <v>8172</v>
      </c>
      <c r="X734" s="4" t="s">
        <v>8172</v>
      </c>
      <c r="Y734" s="4" t="s">
        <v>329</v>
      </c>
      <c r="Z734" s="4" t="s">
        <v>329</v>
      </c>
      <c r="AA734" s="3">
        <v>278</v>
      </c>
      <c r="AB734" s="3">
        <v>203</v>
      </c>
      <c r="AC734" s="3">
        <v>205</v>
      </c>
      <c r="AD734" s="3">
        <v>2</v>
      </c>
      <c r="AE734" s="3">
        <v>2</v>
      </c>
      <c r="AF734" s="3">
        <v>10</v>
      </c>
      <c r="AG734" s="3">
        <v>10</v>
      </c>
      <c r="AH734" s="3">
        <v>4</v>
      </c>
      <c r="AI734" s="3">
        <v>4</v>
      </c>
      <c r="AJ734" s="3">
        <v>1</v>
      </c>
      <c r="AK734" s="3">
        <v>1</v>
      </c>
      <c r="AL734" s="3">
        <v>5</v>
      </c>
      <c r="AM734" s="3">
        <v>5</v>
      </c>
      <c r="AN734" s="3">
        <v>1</v>
      </c>
      <c r="AO734" s="3">
        <v>1</v>
      </c>
      <c r="AP734" s="3">
        <v>0</v>
      </c>
      <c r="AQ734" s="3">
        <v>0</v>
      </c>
      <c r="AR734" s="2" t="s">
        <v>5</v>
      </c>
      <c r="AS734" s="2" t="s">
        <v>16</v>
      </c>
      <c r="AT734" s="5" t="str">
        <f>HYPERLINK("http://catalog.hathitrust.org/Record/000102507","HathiTrust Record")</f>
        <v>HathiTrust Record</v>
      </c>
      <c r="AU734" s="5" t="str">
        <f>HYPERLINK("https://creighton-primo.hosted.exlibrisgroup.com/primo-explore/search?tab=default_tab&amp;search_scope=EVERYTHING&amp;vid=01CRU&amp;lang=en_US&amp;offset=0&amp;query=any,contains,991001131059702656","Catalog Record")</f>
        <v>Catalog Record</v>
      </c>
      <c r="AV734" s="5" t="str">
        <f>HYPERLINK("http://www.worldcat.org/oclc/7773969","WorldCat Record")</f>
        <v>WorldCat Record</v>
      </c>
      <c r="AW734" s="2" t="s">
        <v>9000</v>
      </c>
      <c r="AX734" s="2" t="s">
        <v>9001</v>
      </c>
      <c r="AY734" s="2" t="s">
        <v>9002</v>
      </c>
      <c r="AZ734" s="2" t="s">
        <v>9002</v>
      </c>
      <c r="BA734" s="2" t="s">
        <v>9003</v>
      </c>
      <c r="BB734" s="2" t="s">
        <v>21</v>
      </c>
      <c r="BD734" s="2" t="s">
        <v>9004</v>
      </c>
      <c r="BE734" s="2" t="s">
        <v>9005</v>
      </c>
      <c r="BF734" s="2" t="s">
        <v>9006</v>
      </c>
    </row>
    <row r="735" spans="1:58" ht="41.25" customHeight="1" x14ac:dyDescent="0.25">
      <c r="A735" s="8" t="s">
        <v>5</v>
      </c>
      <c r="B735" s="1" t="s">
        <v>0</v>
      </c>
      <c r="C735" s="1" t="s">
        <v>1</v>
      </c>
      <c r="D735" s="1" t="s">
        <v>9007</v>
      </c>
      <c r="E735" s="1" t="s">
        <v>9008</v>
      </c>
      <c r="F735" s="1" t="s">
        <v>9009</v>
      </c>
      <c r="H735" s="2" t="s">
        <v>5</v>
      </c>
      <c r="I735" s="2" t="s">
        <v>6</v>
      </c>
      <c r="J735" s="2" t="s">
        <v>5</v>
      </c>
      <c r="K735" s="2" t="s">
        <v>5</v>
      </c>
      <c r="L735" s="2" t="s">
        <v>7</v>
      </c>
      <c r="M735" s="1" t="s">
        <v>9010</v>
      </c>
      <c r="N735" s="1" t="s">
        <v>9011</v>
      </c>
      <c r="O735" s="2" t="s">
        <v>382</v>
      </c>
      <c r="Q735" s="2" t="s">
        <v>11</v>
      </c>
      <c r="R735" s="2" t="s">
        <v>426</v>
      </c>
      <c r="T735" s="2" t="s">
        <v>520</v>
      </c>
      <c r="U735" s="3">
        <v>14</v>
      </c>
      <c r="V735" s="3">
        <v>14</v>
      </c>
      <c r="W735" s="4" t="s">
        <v>9012</v>
      </c>
      <c r="X735" s="4" t="s">
        <v>9012</v>
      </c>
      <c r="Y735" s="4" t="s">
        <v>9013</v>
      </c>
      <c r="Z735" s="4" t="s">
        <v>9013</v>
      </c>
      <c r="AA735" s="3">
        <v>237</v>
      </c>
      <c r="AB735" s="3">
        <v>199</v>
      </c>
      <c r="AC735" s="3">
        <v>206</v>
      </c>
      <c r="AD735" s="3">
        <v>3</v>
      </c>
      <c r="AE735" s="3">
        <v>3</v>
      </c>
      <c r="AF735" s="3">
        <v>13</v>
      </c>
      <c r="AG735" s="3">
        <v>13</v>
      </c>
      <c r="AH735" s="3">
        <v>5</v>
      </c>
      <c r="AI735" s="3">
        <v>5</v>
      </c>
      <c r="AJ735" s="3">
        <v>2</v>
      </c>
      <c r="AK735" s="3">
        <v>2</v>
      </c>
      <c r="AL735" s="3">
        <v>6</v>
      </c>
      <c r="AM735" s="3">
        <v>6</v>
      </c>
      <c r="AN735" s="3">
        <v>2</v>
      </c>
      <c r="AO735" s="3">
        <v>2</v>
      </c>
      <c r="AP735" s="3">
        <v>0</v>
      </c>
      <c r="AQ735" s="3">
        <v>0</v>
      </c>
      <c r="AR735" s="2" t="s">
        <v>5</v>
      </c>
      <c r="AS735" s="2" t="s">
        <v>16</v>
      </c>
      <c r="AT735" s="5" t="str">
        <f>HYPERLINK("http://catalog.hathitrust.org/Record/000446869","HathiTrust Record")</f>
        <v>HathiTrust Record</v>
      </c>
      <c r="AU735" s="5" t="str">
        <f>HYPERLINK("https://creighton-primo.hosted.exlibrisgroup.com/primo-explore/search?tab=default_tab&amp;search_scope=EVERYTHING&amp;vid=01CRU&amp;lang=en_US&amp;offset=0&amp;query=any,contains,991001130969702656","Catalog Record")</f>
        <v>Catalog Record</v>
      </c>
      <c r="AV735" s="5" t="str">
        <f>HYPERLINK("http://www.worldcat.org/oclc/11574713","WorldCat Record")</f>
        <v>WorldCat Record</v>
      </c>
      <c r="AW735" s="2" t="s">
        <v>9014</v>
      </c>
      <c r="AX735" s="2" t="s">
        <v>9015</v>
      </c>
      <c r="AY735" s="2" t="s">
        <v>9016</v>
      </c>
      <c r="AZ735" s="2" t="s">
        <v>9016</v>
      </c>
      <c r="BA735" s="2" t="s">
        <v>9017</v>
      </c>
      <c r="BB735" s="2" t="s">
        <v>21</v>
      </c>
      <c r="BD735" s="2" t="s">
        <v>9018</v>
      </c>
      <c r="BE735" s="2" t="s">
        <v>9019</v>
      </c>
      <c r="BF735" s="2" t="s">
        <v>9020</v>
      </c>
    </row>
    <row r="736" spans="1:58" ht="41.25" customHeight="1" x14ac:dyDescent="0.25">
      <c r="A736" s="8" t="s">
        <v>5</v>
      </c>
      <c r="B736" s="1" t="s">
        <v>0</v>
      </c>
      <c r="C736" s="1" t="s">
        <v>1</v>
      </c>
      <c r="D736" s="1" t="s">
        <v>9021</v>
      </c>
      <c r="E736" s="1" t="s">
        <v>9022</v>
      </c>
      <c r="F736" s="1" t="s">
        <v>9023</v>
      </c>
      <c r="H736" s="2" t="s">
        <v>5</v>
      </c>
      <c r="I736" s="2" t="s">
        <v>6</v>
      </c>
      <c r="J736" s="2" t="s">
        <v>5</v>
      </c>
      <c r="K736" s="2" t="s">
        <v>16</v>
      </c>
      <c r="L736" s="2" t="s">
        <v>974</v>
      </c>
      <c r="N736" s="1" t="s">
        <v>4756</v>
      </c>
      <c r="O736" s="2" t="s">
        <v>939</v>
      </c>
      <c r="Q736" s="2" t="s">
        <v>11</v>
      </c>
      <c r="R736" s="2" t="s">
        <v>426</v>
      </c>
      <c r="T736" s="2" t="s">
        <v>520</v>
      </c>
      <c r="U736" s="3">
        <v>8</v>
      </c>
      <c r="V736" s="3">
        <v>8</v>
      </c>
      <c r="W736" s="4" t="s">
        <v>9024</v>
      </c>
      <c r="X736" s="4" t="s">
        <v>9024</v>
      </c>
      <c r="Y736" s="4" t="s">
        <v>9025</v>
      </c>
      <c r="Z736" s="4" t="s">
        <v>9025</v>
      </c>
      <c r="AA736" s="3">
        <v>266</v>
      </c>
      <c r="AB736" s="3">
        <v>226</v>
      </c>
      <c r="AC736" s="3">
        <v>1843</v>
      </c>
      <c r="AD736" s="3">
        <v>1</v>
      </c>
      <c r="AE736" s="3">
        <v>39</v>
      </c>
      <c r="AF736" s="3">
        <v>6</v>
      </c>
      <c r="AG736" s="3">
        <v>52</v>
      </c>
      <c r="AH736" s="3">
        <v>2</v>
      </c>
      <c r="AI736" s="3">
        <v>19</v>
      </c>
      <c r="AJ736" s="3">
        <v>1</v>
      </c>
      <c r="AK736" s="3">
        <v>10</v>
      </c>
      <c r="AL736" s="3">
        <v>4</v>
      </c>
      <c r="AM736" s="3">
        <v>15</v>
      </c>
      <c r="AN736" s="3">
        <v>0</v>
      </c>
      <c r="AO736" s="3">
        <v>15</v>
      </c>
      <c r="AP736" s="3">
        <v>0</v>
      </c>
      <c r="AQ736" s="3">
        <v>1</v>
      </c>
      <c r="AR736" s="2" t="s">
        <v>5</v>
      </c>
      <c r="AS736" s="2" t="s">
        <v>16</v>
      </c>
      <c r="AT736" s="5" t="str">
        <f>HYPERLINK("http://catalog.hathitrust.org/Record/000926567","HathiTrust Record")</f>
        <v>HathiTrust Record</v>
      </c>
      <c r="AU736" s="5" t="str">
        <f>HYPERLINK("https://creighton-primo.hosted.exlibrisgroup.com/primo-explore/search?tab=default_tab&amp;search_scope=EVERYTHING&amp;vid=01CRU&amp;lang=en_US&amp;offset=0&amp;query=any,contains,991001106129702656","Catalog Record")</f>
        <v>Catalog Record</v>
      </c>
      <c r="AV736" s="5" t="str">
        <f>HYPERLINK("http://www.worldcat.org/oclc/17917935","WorldCat Record")</f>
        <v>WorldCat Record</v>
      </c>
      <c r="AW736" s="2" t="s">
        <v>9026</v>
      </c>
      <c r="AX736" s="2" t="s">
        <v>9027</v>
      </c>
      <c r="AY736" s="2" t="s">
        <v>9028</v>
      </c>
      <c r="AZ736" s="2" t="s">
        <v>9028</v>
      </c>
      <c r="BA736" s="2" t="s">
        <v>9029</v>
      </c>
      <c r="BB736" s="2" t="s">
        <v>21</v>
      </c>
      <c r="BD736" s="2" t="s">
        <v>9030</v>
      </c>
      <c r="BE736" s="2" t="s">
        <v>9031</v>
      </c>
      <c r="BF736" s="2" t="s">
        <v>9032</v>
      </c>
    </row>
    <row r="737" spans="1:58" ht="41.25" customHeight="1" x14ac:dyDescent="0.25">
      <c r="A737" s="8" t="s">
        <v>5</v>
      </c>
      <c r="B737" s="1" t="s">
        <v>0</v>
      </c>
      <c r="C737" s="1" t="s">
        <v>1</v>
      </c>
      <c r="D737" s="1" t="s">
        <v>9033</v>
      </c>
      <c r="E737" s="1" t="s">
        <v>9034</v>
      </c>
      <c r="F737" s="1" t="s">
        <v>9035</v>
      </c>
      <c r="H737" s="2" t="s">
        <v>5</v>
      </c>
      <c r="I737" s="2" t="s">
        <v>6</v>
      </c>
      <c r="J737" s="2" t="s">
        <v>5</v>
      </c>
      <c r="K737" s="2" t="s">
        <v>16</v>
      </c>
      <c r="L737" s="2" t="s">
        <v>7</v>
      </c>
      <c r="M737" s="1" t="s">
        <v>9036</v>
      </c>
      <c r="N737" s="1" t="s">
        <v>6893</v>
      </c>
      <c r="O737" s="2" t="s">
        <v>1046</v>
      </c>
      <c r="P737" s="1" t="s">
        <v>1284</v>
      </c>
      <c r="Q737" s="2" t="s">
        <v>11</v>
      </c>
      <c r="R737" s="2" t="s">
        <v>78</v>
      </c>
      <c r="T737" s="2" t="s">
        <v>520</v>
      </c>
      <c r="U737" s="3">
        <v>1</v>
      </c>
      <c r="V737" s="3">
        <v>1</v>
      </c>
      <c r="W737" s="4" t="s">
        <v>9037</v>
      </c>
      <c r="X737" s="4" t="s">
        <v>9037</v>
      </c>
      <c r="Y737" s="4" t="s">
        <v>9038</v>
      </c>
      <c r="Z737" s="4" t="s">
        <v>9038</v>
      </c>
      <c r="AA737" s="3">
        <v>295</v>
      </c>
      <c r="AB737" s="3">
        <v>210</v>
      </c>
      <c r="AC737" s="3">
        <v>626</v>
      </c>
      <c r="AD737" s="3">
        <v>1</v>
      </c>
      <c r="AE737" s="3">
        <v>5</v>
      </c>
      <c r="AF737" s="3">
        <v>4</v>
      </c>
      <c r="AG737" s="3">
        <v>15</v>
      </c>
      <c r="AH737" s="3">
        <v>2</v>
      </c>
      <c r="AI737" s="3">
        <v>4</v>
      </c>
      <c r="AJ737" s="3">
        <v>0</v>
      </c>
      <c r="AK737" s="3">
        <v>2</v>
      </c>
      <c r="AL737" s="3">
        <v>3</v>
      </c>
      <c r="AM737" s="3">
        <v>7</v>
      </c>
      <c r="AN737" s="3">
        <v>0</v>
      </c>
      <c r="AO737" s="3">
        <v>4</v>
      </c>
      <c r="AP737" s="3">
        <v>0</v>
      </c>
      <c r="AQ737" s="3">
        <v>0</v>
      </c>
      <c r="AR737" s="2" t="s">
        <v>5</v>
      </c>
      <c r="AS737" s="2" t="s">
        <v>5</v>
      </c>
      <c r="AU737" s="5" t="str">
        <f>HYPERLINK("https://creighton-primo.hosted.exlibrisgroup.com/primo-explore/search?tab=default_tab&amp;search_scope=EVERYTHING&amp;vid=01CRU&amp;lang=en_US&amp;offset=0&amp;query=any,contains,991000349559702656","Catalog Record")</f>
        <v>Catalog Record</v>
      </c>
      <c r="AV737" s="5" t="str">
        <f>HYPERLINK("http://www.worldcat.org/oclc/50244338","WorldCat Record")</f>
        <v>WorldCat Record</v>
      </c>
      <c r="AW737" s="2" t="s">
        <v>9039</v>
      </c>
      <c r="AX737" s="2" t="s">
        <v>9040</v>
      </c>
      <c r="AY737" s="2" t="s">
        <v>9041</v>
      </c>
      <c r="AZ737" s="2" t="s">
        <v>9041</v>
      </c>
      <c r="BA737" s="2" t="s">
        <v>9042</v>
      </c>
      <c r="BB737" s="2" t="s">
        <v>21</v>
      </c>
      <c r="BD737" s="2" t="s">
        <v>9043</v>
      </c>
      <c r="BE737" s="2" t="s">
        <v>9044</v>
      </c>
      <c r="BF737" s="2" t="s">
        <v>9045</v>
      </c>
    </row>
    <row r="738" spans="1:58" ht="41.25" customHeight="1" x14ac:dyDescent="0.25">
      <c r="A738" s="8" t="s">
        <v>5</v>
      </c>
      <c r="B738" s="1" t="s">
        <v>0</v>
      </c>
      <c r="C738" s="1" t="s">
        <v>1</v>
      </c>
      <c r="D738" s="1" t="s">
        <v>9046</v>
      </c>
      <c r="E738" s="1" t="s">
        <v>9047</v>
      </c>
      <c r="F738" s="1" t="s">
        <v>9035</v>
      </c>
      <c r="H738" s="2" t="s">
        <v>5</v>
      </c>
      <c r="I738" s="2" t="s">
        <v>6</v>
      </c>
      <c r="J738" s="2" t="s">
        <v>5</v>
      </c>
      <c r="K738" s="2" t="s">
        <v>16</v>
      </c>
      <c r="L738" s="2" t="s">
        <v>7</v>
      </c>
      <c r="M738" s="1" t="s">
        <v>9036</v>
      </c>
      <c r="N738" s="1" t="s">
        <v>6349</v>
      </c>
      <c r="O738" s="2" t="s">
        <v>107</v>
      </c>
      <c r="P738" s="1" t="s">
        <v>63</v>
      </c>
      <c r="Q738" s="2" t="s">
        <v>11</v>
      </c>
      <c r="R738" s="2" t="s">
        <v>78</v>
      </c>
      <c r="T738" s="2" t="s">
        <v>520</v>
      </c>
      <c r="U738" s="3">
        <v>1</v>
      </c>
      <c r="V738" s="3">
        <v>1</v>
      </c>
      <c r="W738" s="4" t="s">
        <v>9048</v>
      </c>
      <c r="X738" s="4" t="s">
        <v>9048</v>
      </c>
      <c r="Y738" s="4" t="s">
        <v>9049</v>
      </c>
      <c r="Z738" s="4" t="s">
        <v>9049</v>
      </c>
      <c r="AA738" s="3">
        <v>358</v>
      </c>
      <c r="AB738" s="3">
        <v>269</v>
      </c>
      <c r="AC738" s="3">
        <v>626</v>
      </c>
      <c r="AD738" s="3">
        <v>2</v>
      </c>
      <c r="AE738" s="3">
        <v>5</v>
      </c>
      <c r="AF738" s="3">
        <v>6</v>
      </c>
      <c r="AG738" s="3">
        <v>15</v>
      </c>
      <c r="AH738" s="3">
        <v>2</v>
      </c>
      <c r="AI738" s="3">
        <v>4</v>
      </c>
      <c r="AJ738" s="3">
        <v>1</v>
      </c>
      <c r="AK738" s="3">
        <v>2</v>
      </c>
      <c r="AL738" s="3">
        <v>2</v>
      </c>
      <c r="AM738" s="3">
        <v>7</v>
      </c>
      <c r="AN738" s="3">
        <v>1</v>
      </c>
      <c r="AO738" s="3">
        <v>4</v>
      </c>
      <c r="AP738" s="3">
        <v>0</v>
      </c>
      <c r="AQ738" s="3">
        <v>0</v>
      </c>
      <c r="AR738" s="2" t="s">
        <v>5</v>
      </c>
      <c r="AS738" s="2" t="s">
        <v>5</v>
      </c>
      <c r="AU738" s="5" t="str">
        <f>HYPERLINK("https://creighton-primo.hosted.exlibrisgroup.com/primo-explore/search?tab=default_tab&amp;search_scope=EVERYTHING&amp;vid=01CRU&amp;lang=en_US&amp;offset=0&amp;query=any,contains,991001738339702656","Catalog Record")</f>
        <v>Catalog Record</v>
      </c>
      <c r="AV738" s="5" t="str">
        <f>HYPERLINK("http://www.worldcat.org/oclc/61162303","WorldCat Record")</f>
        <v>WorldCat Record</v>
      </c>
      <c r="AW738" s="2" t="s">
        <v>9039</v>
      </c>
      <c r="AX738" s="2" t="s">
        <v>9050</v>
      </c>
      <c r="AY738" s="2" t="s">
        <v>9051</v>
      </c>
      <c r="AZ738" s="2" t="s">
        <v>9051</v>
      </c>
      <c r="BA738" s="2" t="s">
        <v>9052</v>
      </c>
      <c r="BB738" s="2" t="s">
        <v>21</v>
      </c>
      <c r="BD738" s="2" t="s">
        <v>9053</v>
      </c>
      <c r="BE738" s="2" t="s">
        <v>9054</v>
      </c>
      <c r="BF738" s="2" t="s">
        <v>9055</v>
      </c>
    </row>
    <row r="739" spans="1:58" ht="41.25" customHeight="1" x14ac:dyDescent="0.25">
      <c r="A739" s="8" t="s">
        <v>5</v>
      </c>
      <c r="B739" s="1" t="s">
        <v>0</v>
      </c>
      <c r="C739" s="1" t="s">
        <v>1</v>
      </c>
      <c r="D739" s="1" t="s">
        <v>9056</v>
      </c>
      <c r="E739" s="1" t="s">
        <v>9057</v>
      </c>
      <c r="F739" s="1" t="s">
        <v>9058</v>
      </c>
      <c r="H739" s="2" t="s">
        <v>5</v>
      </c>
      <c r="I739" s="2" t="s">
        <v>6</v>
      </c>
      <c r="J739" s="2" t="s">
        <v>5</v>
      </c>
      <c r="K739" s="2" t="s">
        <v>16</v>
      </c>
      <c r="L739" s="2" t="s">
        <v>7</v>
      </c>
      <c r="M739" s="1" t="s">
        <v>9059</v>
      </c>
      <c r="N739" s="1" t="s">
        <v>7953</v>
      </c>
      <c r="O739" s="2" t="s">
        <v>1060</v>
      </c>
      <c r="P739" s="1" t="s">
        <v>211</v>
      </c>
      <c r="Q739" s="2" t="s">
        <v>11</v>
      </c>
      <c r="R739" s="2" t="s">
        <v>78</v>
      </c>
      <c r="T739" s="2" t="s">
        <v>520</v>
      </c>
      <c r="U739" s="3">
        <v>0</v>
      </c>
      <c r="V739" s="3">
        <v>0</v>
      </c>
      <c r="W739" s="4" t="s">
        <v>9060</v>
      </c>
      <c r="X739" s="4" t="s">
        <v>9060</v>
      </c>
      <c r="Y739" s="4" t="s">
        <v>9061</v>
      </c>
      <c r="Z739" s="4" t="s">
        <v>9061</v>
      </c>
      <c r="AA739" s="3">
        <v>354</v>
      </c>
      <c r="AB739" s="3">
        <v>251</v>
      </c>
      <c r="AC739" s="3">
        <v>593</v>
      </c>
      <c r="AD739" s="3">
        <v>1</v>
      </c>
      <c r="AE739" s="3">
        <v>2</v>
      </c>
      <c r="AF739" s="3">
        <v>8</v>
      </c>
      <c r="AG739" s="3">
        <v>21</v>
      </c>
      <c r="AH739" s="3">
        <v>3</v>
      </c>
      <c r="AI739" s="3">
        <v>9</v>
      </c>
      <c r="AJ739" s="3">
        <v>2</v>
      </c>
      <c r="AK739" s="3">
        <v>5</v>
      </c>
      <c r="AL739" s="3">
        <v>4</v>
      </c>
      <c r="AM739" s="3">
        <v>12</v>
      </c>
      <c r="AN739" s="3">
        <v>0</v>
      </c>
      <c r="AO739" s="3">
        <v>0</v>
      </c>
      <c r="AP739" s="3">
        <v>0</v>
      </c>
      <c r="AQ739" s="3">
        <v>0</v>
      </c>
      <c r="AR739" s="2" t="s">
        <v>5</v>
      </c>
      <c r="AS739" s="2" t="s">
        <v>5</v>
      </c>
      <c r="AU739" s="5" t="str">
        <f>HYPERLINK("https://creighton-primo.hosted.exlibrisgroup.com/primo-explore/search?tab=default_tab&amp;search_scope=EVERYTHING&amp;vid=01CRU&amp;lang=en_US&amp;offset=0&amp;query=any,contains,991000390689702656","Catalog Record")</f>
        <v>Catalog Record</v>
      </c>
      <c r="AV739" s="5" t="str">
        <f>HYPERLINK("http://www.worldcat.org/oclc/54408200","WorldCat Record")</f>
        <v>WorldCat Record</v>
      </c>
      <c r="AW739" s="2" t="s">
        <v>9062</v>
      </c>
      <c r="AX739" s="2" t="s">
        <v>9063</v>
      </c>
      <c r="AY739" s="2" t="s">
        <v>9064</v>
      </c>
      <c r="AZ739" s="2" t="s">
        <v>9064</v>
      </c>
      <c r="BA739" s="2" t="s">
        <v>9065</v>
      </c>
      <c r="BB739" s="2" t="s">
        <v>21</v>
      </c>
      <c r="BD739" s="2" t="s">
        <v>9066</v>
      </c>
      <c r="BE739" s="2" t="s">
        <v>9067</v>
      </c>
      <c r="BF739" s="2" t="s">
        <v>9068</v>
      </c>
    </row>
    <row r="740" spans="1:58" ht="41.25" customHeight="1" x14ac:dyDescent="0.25">
      <c r="A740" s="8" t="s">
        <v>5</v>
      </c>
      <c r="B740" s="1" t="s">
        <v>0</v>
      </c>
      <c r="C740" s="1" t="s">
        <v>1</v>
      </c>
      <c r="D740" s="1" t="s">
        <v>9069</v>
      </c>
      <c r="E740" s="1" t="s">
        <v>9070</v>
      </c>
      <c r="F740" s="1" t="s">
        <v>9058</v>
      </c>
      <c r="H740" s="2" t="s">
        <v>5</v>
      </c>
      <c r="I740" s="2" t="s">
        <v>6</v>
      </c>
      <c r="J740" s="2" t="s">
        <v>5</v>
      </c>
      <c r="K740" s="2" t="s">
        <v>16</v>
      </c>
      <c r="L740" s="2" t="s">
        <v>7</v>
      </c>
      <c r="M740" s="1" t="s">
        <v>9059</v>
      </c>
      <c r="N740" s="1" t="s">
        <v>9071</v>
      </c>
      <c r="O740" s="2" t="s">
        <v>9072</v>
      </c>
      <c r="P740" s="1" t="s">
        <v>901</v>
      </c>
      <c r="Q740" s="2" t="s">
        <v>11</v>
      </c>
      <c r="R740" s="2" t="s">
        <v>78</v>
      </c>
      <c r="T740" s="2" t="s">
        <v>520</v>
      </c>
      <c r="U740" s="3">
        <v>3</v>
      </c>
      <c r="V740" s="3">
        <v>3</v>
      </c>
      <c r="W740" s="4" t="s">
        <v>9073</v>
      </c>
      <c r="X740" s="4" t="s">
        <v>9073</v>
      </c>
      <c r="Y740" s="4" t="s">
        <v>9074</v>
      </c>
      <c r="Z740" s="4" t="s">
        <v>9074</v>
      </c>
      <c r="AA740" s="3">
        <v>352</v>
      </c>
      <c r="AB740" s="3">
        <v>239</v>
      </c>
      <c r="AC740" s="3">
        <v>593</v>
      </c>
      <c r="AD740" s="3">
        <v>1</v>
      </c>
      <c r="AE740" s="3">
        <v>2</v>
      </c>
      <c r="AF740" s="3">
        <v>5</v>
      </c>
      <c r="AG740" s="3">
        <v>21</v>
      </c>
      <c r="AH740" s="3">
        <v>0</v>
      </c>
      <c r="AI740" s="3">
        <v>9</v>
      </c>
      <c r="AJ740" s="3">
        <v>2</v>
      </c>
      <c r="AK740" s="3">
        <v>5</v>
      </c>
      <c r="AL740" s="3">
        <v>3</v>
      </c>
      <c r="AM740" s="3">
        <v>12</v>
      </c>
      <c r="AN740" s="3">
        <v>0</v>
      </c>
      <c r="AO740" s="3">
        <v>0</v>
      </c>
      <c r="AP740" s="3">
        <v>0</v>
      </c>
      <c r="AQ740" s="3">
        <v>0</v>
      </c>
      <c r="AR740" s="2" t="s">
        <v>5</v>
      </c>
      <c r="AS740" s="2" t="s">
        <v>5</v>
      </c>
      <c r="AU740" s="5" t="str">
        <f>HYPERLINK("https://creighton-primo.hosted.exlibrisgroup.com/primo-explore/search?tab=default_tab&amp;search_scope=EVERYTHING&amp;vid=01CRU&amp;lang=en_US&amp;offset=0&amp;query=any,contains,991001803119702656","Catalog Record")</f>
        <v>Catalog Record</v>
      </c>
      <c r="AV740" s="5" t="str">
        <f>HYPERLINK("http://www.worldcat.org/oclc/280354584","WorldCat Record")</f>
        <v>WorldCat Record</v>
      </c>
      <c r="AW740" s="2" t="s">
        <v>9062</v>
      </c>
      <c r="AX740" s="2" t="s">
        <v>9075</v>
      </c>
      <c r="AY740" s="2" t="s">
        <v>9076</v>
      </c>
      <c r="AZ740" s="2" t="s">
        <v>9076</v>
      </c>
      <c r="BA740" s="2" t="s">
        <v>9077</v>
      </c>
      <c r="BB740" s="2" t="s">
        <v>21</v>
      </c>
      <c r="BD740" s="2" t="s">
        <v>9078</v>
      </c>
      <c r="BE740" s="2" t="s">
        <v>9079</v>
      </c>
      <c r="BF740" s="2" t="s">
        <v>9080</v>
      </c>
    </row>
    <row r="741" spans="1:58" ht="41.25" customHeight="1" x14ac:dyDescent="0.25">
      <c r="A741" s="8" t="s">
        <v>5</v>
      </c>
      <c r="B741" s="1" t="s">
        <v>0</v>
      </c>
      <c r="C741" s="1" t="s">
        <v>1</v>
      </c>
      <c r="D741" s="1" t="s">
        <v>9081</v>
      </c>
      <c r="E741" s="1" t="s">
        <v>9082</v>
      </c>
      <c r="F741" s="1" t="s">
        <v>9083</v>
      </c>
      <c r="H741" s="2" t="s">
        <v>5</v>
      </c>
      <c r="I741" s="2" t="s">
        <v>6</v>
      </c>
      <c r="J741" s="2" t="s">
        <v>5</v>
      </c>
      <c r="K741" s="2" t="s">
        <v>5</v>
      </c>
      <c r="L741" s="2" t="s">
        <v>7</v>
      </c>
      <c r="M741" s="1" t="s">
        <v>9084</v>
      </c>
      <c r="N741" s="1" t="s">
        <v>9085</v>
      </c>
      <c r="O741" s="2" t="s">
        <v>734</v>
      </c>
      <c r="Q741" s="2" t="s">
        <v>11</v>
      </c>
      <c r="R741" s="2" t="s">
        <v>3356</v>
      </c>
      <c r="T741" s="2" t="s">
        <v>520</v>
      </c>
      <c r="U741" s="3">
        <v>19</v>
      </c>
      <c r="V741" s="3">
        <v>19</v>
      </c>
      <c r="W741" s="4" t="s">
        <v>7814</v>
      </c>
      <c r="X741" s="4" t="s">
        <v>7814</v>
      </c>
      <c r="Y741" s="4" t="s">
        <v>329</v>
      </c>
      <c r="Z741" s="4" t="s">
        <v>329</v>
      </c>
      <c r="AA741" s="3">
        <v>279</v>
      </c>
      <c r="AB741" s="3">
        <v>218</v>
      </c>
      <c r="AC741" s="3">
        <v>812</v>
      </c>
      <c r="AD741" s="3">
        <v>1</v>
      </c>
      <c r="AE741" s="3">
        <v>6</v>
      </c>
      <c r="AF741" s="3">
        <v>11</v>
      </c>
      <c r="AG741" s="3">
        <v>41</v>
      </c>
      <c r="AH741" s="3">
        <v>4</v>
      </c>
      <c r="AI741" s="3">
        <v>18</v>
      </c>
      <c r="AJ741" s="3">
        <v>3</v>
      </c>
      <c r="AK741" s="3">
        <v>10</v>
      </c>
      <c r="AL741" s="3">
        <v>6</v>
      </c>
      <c r="AM741" s="3">
        <v>15</v>
      </c>
      <c r="AN741" s="3">
        <v>0</v>
      </c>
      <c r="AO741" s="3">
        <v>5</v>
      </c>
      <c r="AP741" s="3">
        <v>0</v>
      </c>
      <c r="AQ741" s="3">
        <v>1</v>
      </c>
      <c r="AR741" s="2" t="s">
        <v>5</v>
      </c>
      <c r="AS741" s="2" t="s">
        <v>16</v>
      </c>
      <c r="AT741" s="5" t="str">
        <f>HYPERLINK("http://catalog.hathitrust.org/Record/000275714","HathiTrust Record")</f>
        <v>HathiTrust Record</v>
      </c>
      <c r="AU741" s="5" t="str">
        <f>HYPERLINK("https://creighton-primo.hosted.exlibrisgroup.com/primo-explore/search?tab=default_tab&amp;search_scope=EVERYTHING&amp;vid=01CRU&amp;lang=en_US&amp;offset=0&amp;query=any,contains,991001131109702656","Catalog Record")</f>
        <v>Catalog Record</v>
      </c>
      <c r="AV741" s="5" t="str">
        <f>HYPERLINK("http://www.worldcat.org/oclc/8786114","WorldCat Record")</f>
        <v>WorldCat Record</v>
      </c>
      <c r="AW741" s="2" t="s">
        <v>9086</v>
      </c>
      <c r="AX741" s="2" t="s">
        <v>9087</v>
      </c>
      <c r="AY741" s="2" t="s">
        <v>9088</v>
      </c>
      <c r="AZ741" s="2" t="s">
        <v>9088</v>
      </c>
      <c r="BA741" s="2" t="s">
        <v>9089</v>
      </c>
      <c r="BB741" s="2" t="s">
        <v>21</v>
      </c>
      <c r="BD741" s="2" t="s">
        <v>9090</v>
      </c>
      <c r="BE741" s="2" t="s">
        <v>9091</v>
      </c>
      <c r="BF741" s="2" t="s">
        <v>9092</v>
      </c>
    </row>
    <row r="742" spans="1:58" ht="41.25" customHeight="1" x14ac:dyDescent="0.25">
      <c r="A742" s="8" t="s">
        <v>5</v>
      </c>
      <c r="B742" s="1" t="s">
        <v>0</v>
      </c>
      <c r="C742" s="1" t="s">
        <v>1</v>
      </c>
      <c r="D742" s="1" t="s">
        <v>9093</v>
      </c>
      <c r="E742" s="1" t="s">
        <v>9094</v>
      </c>
      <c r="F742" s="1" t="s">
        <v>9095</v>
      </c>
      <c r="H742" s="2" t="s">
        <v>5</v>
      </c>
      <c r="I742" s="2" t="s">
        <v>6</v>
      </c>
      <c r="J742" s="2" t="s">
        <v>5</v>
      </c>
      <c r="K742" s="2" t="s">
        <v>5</v>
      </c>
      <c r="L742" s="2" t="s">
        <v>7</v>
      </c>
      <c r="M742" s="1" t="s">
        <v>9096</v>
      </c>
      <c r="N742" s="1" t="s">
        <v>6455</v>
      </c>
      <c r="O742" s="2" t="s">
        <v>393</v>
      </c>
      <c r="Q742" s="2" t="s">
        <v>11</v>
      </c>
      <c r="R742" s="2" t="s">
        <v>12</v>
      </c>
      <c r="T742" s="2" t="s">
        <v>520</v>
      </c>
      <c r="U742" s="3">
        <v>37</v>
      </c>
      <c r="V742" s="3">
        <v>37</v>
      </c>
      <c r="W742" s="4" t="s">
        <v>9097</v>
      </c>
      <c r="X742" s="4" t="s">
        <v>9097</v>
      </c>
      <c r="Y742" s="4" t="s">
        <v>329</v>
      </c>
      <c r="Z742" s="4" t="s">
        <v>329</v>
      </c>
      <c r="AA742" s="3">
        <v>480</v>
      </c>
      <c r="AB742" s="3">
        <v>391</v>
      </c>
      <c r="AC742" s="3">
        <v>440</v>
      </c>
      <c r="AD742" s="3">
        <v>4</v>
      </c>
      <c r="AE742" s="3">
        <v>4</v>
      </c>
      <c r="AF742" s="3">
        <v>19</v>
      </c>
      <c r="AG742" s="3">
        <v>21</v>
      </c>
      <c r="AH742" s="3">
        <v>9</v>
      </c>
      <c r="AI742" s="3">
        <v>10</v>
      </c>
      <c r="AJ742" s="3">
        <v>5</v>
      </c>
      <c r="AK742" s="3">
        <v>5</v>
      </c>
      <c r="AL742" s="3">
        <v>8</v>
      </c>
      <c r="AM742" s="3">
        <v>10</v>
      </c>
      <c r="AN742" s="3">
        <v>2</v>
      </c>
      <c r="AO742" s="3">
        <v>2</v>
      </c>
      <c r="AP742" s="3">
        <v>0</v>
      </c>
      <c r="AQ742" s="3">
        <v>0</v>
      </c>
      <c r="AR742" s="2" t="s">
        <v>5</v>
      </c>
      <c r="AS742" s="2" t="s">
        <v>16</v>
      </c>
      <c r="AT742" s="5" t="str">
        <f>HYPERLINK("http://catalog.hathitrust.org/Record/004413592","HathiTrust Record")</f>
        <v>HathiTrust Record</v>
      </c>
      <c r="AU742" s="5" t="str">
        <f>HYPERLINK("https://creighton-primo.hosted.exlibrisgroup.com/primo-explore/search?tab=default_tab&amp;search_scope=EVERYTHING&amp;vid=01CRU&amp;lang=en_US&amp;offset=0&amp;query=any,contains,991000738679702656","Catalog Record")</f>
        <v>Catalog Record</v>
      </c>
      <c r="AV742" s="5" t="str">
        <f>HYPERLINK("http://www.worldcat.org/oclc/7276214","WorldCat Record")</f>
        <v>WorldCat Record</v>
      </c>
      <c r="AW742" s="2" t="s">
        <v>9098</v>
      </c>
      <c r="AX742" s="2" t="s">
        <v>9099</v>
      </c>
      <c r="AY742" s="2" t="s">
        <v>9100</v>
      </c>
      <c r="AZ742" s="2" t="s">
        <v>9100</v>
      </c>
      <c r="BA742" s="2" t="s">
        <v>9101</v>
      </c>
      <c r="BB742" s="2" t="s">
        <v>21</v>
      </c>
      <c r="BD742" s="2" t="s">
        <v>9102</v>
      </c>
      <c r="BE742" s="2" t="s">
        <v>9103</v>
      </c>
      <c r="BF742" s="2" t="s">
        <v>9104</v>
      </c>
    </row>
    <row r="743" spans="1:58" ht="41.25" customHeight="1" x14ac:dyDescent="0.25">
      <c r="A743" s="8" t="s">
        <v>5</v>
      </c>
      <c r="B743" s="1" t="s">
        <v>0</v>
      </c>
      <c r="C743" s="1" t="s">
        <v>1</v>
      </c>
      <c r="D743" s="1" t="s">
        <v>9105</v>
      </c>
      <c r="E743" s="1" t="s">
        <v>9106</v>
      </c>
      <c r="F743" s="1" t="s">
        <v>9107</v>
      </c>
      <c r="H743" s="2" t="s">
        <v>5</v>
      </c>
      <c r="I743" s="2" t="s">
        <v>6</v>
      </c>
      <c r="J743" s="2" t="s">
        <v>5</v>
      </c>
      <c r="K743" s="2" t="s">
        <v>5</v>
      </c>
      <c r="L743" s="2" t="s">
        <v>7</v>
      </c>
      <c r="N743" s="1" t="s">
        <v>9108</v>
      </c>
      <c r="O743" s="2" t="s">
        <v>989</v>
      </c>
      <c r="Q743" s="2" t="s">
        <v>11</v>
      </c>
      <c r="R743" s="2" t="s">
        <v>31</v>
      </c>
      <c r="S743" s="1" t="s">
        <v>9109</v>
      </c>
      <c r="T743" s="2" t="s">
        <v>520</v>
      </c>
      <c r="U743" s="3">
        <v>0</v>
      </c>
      <c r="V743" s="3">
        <v>0</v>
      </c>
      <c r="W743" s="4" t="s">
        <v>1443</v>
      </c>
      <c r="X743" s="4" t="s">
        <v>1443</v>
      </c>
      <c r="Y743" s="4" t="s">
        <v>604</v>
      </c>
      <c r="Z743" s="4" t="s">
        <v>604</v>
      </c>
      <c r="AA743" s="3">
        <v>177</v>
      </c>
      <c r="AB743" s="3">
        <v>151</v>
      </c>
      <c r="AC743" s="3">
        <v>159</v>
      </c>
      <c r="AD743" s="3">
        <v>1</v>
      </c>
      <c r="AE743" s="3">
        <v>1</v>
      </c>
      <c r="AF743" s="3">
        <v>9</v>
      </c>
      <c r="AG743" s="3">
        <v>9</v>
      </c>
      <c r="AH743" s="3">
        <v>5</v>
      </c>
      <c r="AI743" s="3">
        <v>5</v>
      </c>
      <c r="AJ743" s="3">
        <v>0</v>
      </c>
      <c r="AK743" s="3">
        <v>0</v>
      </c>
      <c r="AL743" s="3">
        <v>5</v>
      </c>
      <c r="AM743" s="3">
        <v>5</v>
      </c>
      <c r="AN743" s="3">
        <v>0</v>
      </c>
      <c r="AO743" s="3">
        <v>0</v>
      </c>
      <c r="AP743" s="3">
        <v>0</v>
      </c>
      <c r="AQ743" s="3">
        <v>0</v>
      </c>
      <c r="AR743" s="2" t="s">
        <v>5</v>
      </c>
      <c r="AS743" s="2" t="s">
        <v>16</v>
      </c>
      <c r="AT743" s="5" t="str">
        <f>HYPERLINK("http://catalog.hathitrust.org/Record/002228817","HathiTrust Record")</f>
        <v>HathiTrust Record</v>
      </c>
      <c r="AU743" s="5" t="str">
        <f>HYPERLINK("https://creighton-primo.hosted.exlibrisgroup.com/primo-explore/search?tab=default_tab&amp;search_scope=EVERYTHING&amp;vid=01CRU&amp;lang=en_US&amp;offset=0&amp;query=any,contains,991000224319702656","Catalog Record")</f>
        <v>Catalog Record</v>
      </c>
      <c r="AV743" s="5" t="str">
        <f>HYPERLINK("http://www.worldcat.org/oclc/22233313","WorldCat Record")</f>
        <v>WorldCat Record</v>
      </c>
      <c r="AW743" s="2" t="s">
        <v>9110</v>
      </c>
      <c r="AX743" s="2" t="s">
        <v>9111</v>
      </c>
      <c r="AY743" s="2" t="s">
        <v>9112</v>
      </c>
      <c r="AZ743" s="2" t="s">
        <v>9112</v>
      </c>
      <c r="BA743" s="2" t="s">
        <v>9113</v>
      </c>
      <c r="BB743" s="2" t="s">
        <v>21</v>
      </c>
      <c r="BE743" s="2" t="s">
        <v>9114</v>
      </c>
      <c r="BF743" s="2" t="s">
        <v>9115</v>
      </c>
    </row>
    <row r="744" spans="1:58" ht="41.25" customHeight="1" x14ac:dyDescent="0.25">
      <c r="A744" s="8" t="s">
        <v>5</v>
      </c>
      <c r="B744" s="1" t="s">
        <v>0</v>
      </c>
      <c r="C744" s="1" t="s">
        <v>1</v>
      </c>
      <c r="D744" s="1" t="s">
        <v>9116</v>
      </c>
      <c r="E744" s="1" t="s">
        <v>9117</v>
      </c>
      <c r="F744" s="1" t="s">
        <v>9118</v>
      </c>
      <c r="H744" s="2" t="s">
        <v>5</v>
      </c>
      <c r="I744" s="2" t="s">
        <v>6</v>
      </c>
      <c r="J744" s="2" t="s">
        <v>5</v>
      </c>
      <c r="K744" s="2" t="s">
        <v>5</v>
      </c>
      <c r="L744" s="2" t="s">
        <v>7</v>
      </c>
      <c r="M744" s="1" t="s">
        <v>9119</v>
      </c>
      <c r="N744" s="1" t="s">
        <v>9120</v>
      </c>
      <c r="O744" s="2" t="s">
        <v>393</v>
      </c>
      <c r="Q744" s="2" t="s">
        <v>11</v>
      </c>
      <c r="R744" s="2" t="s">
        <v>426</v>
      </c>
      <c r="T744" s="2" t="s">
        <v>520</v>
      </c>
      <c r="U744" s="3">
        <v>4</v>
      </c>
      <c r="V744" s="3">
        <v>4</v>
      </c>
      <c r="W744" s="4" t="s">
        <v>8347</v>
      </c>
      <c r="X744" s="4" t="s">
        <v>8347</v>
      </c>
      <c r="Y744" s="4" t="s">
        <v>96</v>
      </c>
      <c r="Z744" s="4" t="s">
        <v>96</v>
      </c>
      <c r="AA744" s="3">
        <v>266</v>
      </c>
      <c r="AB744" s="3">
        <v>223</v>
      </c>
      <c r="AC744" s="3">
        <v>230</v>
      </c>
      <c r="AD744" s="3">
        <v>2</v>
      </c>
      <c r="AE744" s="3">
        <v>2</v>
      </c>
      <c r="AF744" s="3">
        <v>6</v>
      </c>
      <c r="AG744" s="3">
        <v>6</v>
      </c>
      <c r="AH744" s="3">
        <v>2</v>
      </c>
      <c r="AI744" s="3">
        <v>2</v>
      </c>
      <c r="AJ744" s="3">
        <v>0</v>
      </c>
      <c r="AK744" s="3">
        <v>0</v>
      </c>
      <c r="AL744" s="3">
        <v>4</v>
      </c>
      <c r="AM744" s="3">
        <v>4</v>
      </c>
      <c r="AN744" s="3">
        <v>1</v>
      </c>
      <c r="AO744" s="3">
        <v>1</v>
      </c>
      <c r="AP744" s="3">
        <v>0</v>
      </c>
      <c r="AQ744" s="3">
        <v>0</v>
      </c>
      <c r="AR744" s="2" t="s">
        <v>5</v>
      </c>
      <c r="AS744" s="2" t="s">
        <v>16</v>
      </c>
      <c r="AT744" s="5" t="str">
        <f>HYPERLINK("http://catalog.hathitrust.org/Record/000270285","HathiTrust Record")</f>
        <v>HathiTrust Record</v>
      </c>
      <c r="AU744" s="5" t="str">
        <f>HYPERLINK("https://creighton-primo.hosted.exlibrisgroup.com/primo-explore/search?tab=default_tab&amp;search_scope=EVERYTHING&amp;vid=01CRU&amp;lang=en_US&amp;offset=0&amp;query=any,contains,991001145399702656","Catalog Record")</f>
        <v>Catalog Record</v>
      </c>
      <c r="AV744" s="5" t="str">
        <f>HYPERLINK("http://www.worldcat.org/oclc/7204951","WorldCat Record")</f>
        <v>WorldCat Record</v>
      </c>
      <c r="AW744" s="2" t="s">
        <v>9121</v>
      </c>
      <c r="AX744" s="2" t="s">
        <v>9122</v>
      </c>
      <c r="AY744" s="2" t="s">
        <v>9123</v>
      </c>
      <c r="AZ744" s="2" t="s">
        <v>9123</v>
      </c>
      <c r="BA744" s="2" t="s">
        <v>9124</v>
      </c>
      <c r="BB744" s="2" t="s">
        <v>21</v>
      </c>
      <c r="BD744" s="2" t="s">
        <v>9125</v>
      </c>
      <c r="BE744" s="2" t="s">
        <v>9126</v>
      </c>
      <c r="BF744" s="2" t="s">
        <v>9127</v>
      </c>
    </row>
    <row r="745" spans="1:58" ht="41.25" customHeight="1" x14ac:dyDescent="0.25">
      <c r="A745" s="8" t="s">
        <v>5</v>
      </c>
      <c r="B745" s="1" t="s">
        <v>0</v>
      </c>
      <c r="C745" s="1" t="s">
        <v>1</v>
      </c>
      <c r="D745" s="1" t="s">
        <v>9128</v>
      </c>
      <c r="E745" s="1" t="s">
        <v>9129</v>
      </c>
      <c r="F745" s="1" t="s">
        <v>9130</v>
      </c>
      <c r="H745" s="2" t="s">
        <v>5</v>
      </c>
      <c r="I745" s="2" t="s">
        <v>6</v>
      </c>
      <c r="J745" s="2" t="s">
        <v>5</v>
      </c>
      <c r="K745" s="2" t="s">
        <v>5</v>
      </c>
      <c r="L745" s="2" t="s">
        <v>7</v>
      </c>
      <c r="M745" s="1" t="s">
        <v>9131</v>
      </c>
      <c r="N745" s="1" t="s">
        <v>9132</v>
      </c>
      <c r="O745" s="2" t="s">
        <v>393</v>
      </c>
      <c r="Q745" s="2" t="s">
        <v>11</v>
      </c>
      <c r="R745" s="2" t="s">
        <v>31</v>
      </c>
      <c r="T745" s="2" t="s">
        <v>520</v>
      </c>
      <c r="U745" s="3">
        <v>1</v>
      </c>
      <c r="V745" s="3">
        <v>1</v>
      </c>
      <c r="W745" s="4" t="s">
        <v>3453</v>
      </c>
      <c r="X745" s="4" t="s">
        <v>3453</v>
      </c>
      <c r="Y745" s="4" t="s">
        <v>2556</v>
      </c>
      <c r="Z745" s="4" t="s">
        <v>2556</v>
      </c>
      <c r="AA745" s="3">
        <v>301</v>
      </c>
      <c r="AB745" s="3">
        <v>237</v>
      </c>
      <c r="AC745" s="3">
        <v>242</v>
      </c>
      <c r="AD745" s="3">
        <v>2</v>
      </c>
      <c r="AE745" s="3">
        <v>2</v>
      </c>
      <c r="AF745" s="3">
        <v>10</v>
      </c>
      <c r="AG745" s="3">
        <v>10</v>
      </c>
      <c r="AH745" s="3">
        <v>3</v>
      </c>
      <c r="AI745" s="3">
        <v>3</v>
      </c>
      <c r="AJ745" s="3">
        <v>2</v>
      </c>
      <c r="AK745" s="3">
        <v>2</v>
      </c>
      <c r="AL745" s="3">
        <v>4</v>
      </c>
      <c r="AM745" s="3">
        <v>4</v>
      </c>
      <c r="AN745" s="3">
        <v>2</v>
      </c>
      <c r="AO745" s="3">
        <v>2</v>
      </c>
      <c r="AP745" s="3">
        <v>0</v>
      </c>
      <c r="AQ745" s="3">
        <v>0</v>
      </c>
      <c r="AR745" s="2" t="s">
        <v>5</v>
      </c>
      <c r="AS745" s="2" t="s">
        <v>16</v>
      </c>
      <c r="AT745" s="5" t="str">
        <f>HYPERLINK("http://catalog.hathitrust.org/Record/000742701","HathiTrust Record")</f>
        <v>HathiTrust Record</v>
      </c>
      <c r="AU745" s="5" t="str">
        <f>HYPERLINK("https://creighton-primo.hosted.exlibrisgroup.com/primo-explore/search?tab=default_tab&amp;search_scope=EVERYTHING&amp;vid=01CRU&amp;lang=en_US&amp;offset=0&amp;query=any,contains,991001019969702656","Catalog Record")</f>
        <v>Catalog Record</v>
      </c>
      <c r="AV745" s="5" t="str">
        <f>HYPERLINK("http://www.worldcat.org/oclc/6357383","WorldCat Record")</f>
        <v>WorldCat Record</v>
      </c>
      <c r="AW745" s="2" t="s">
        <v>9133</v>
      </c>
      <c r="AX745" s="2" t="s">
        <v>9134</v>
      </c>
      <c r="AY745" s="2" t="s">
        <v>9135</v>
      </c>
      <c r="AZ745" s="2" t="s">
        <v>9135</v>
      </c>
      <c r="BA745" s="2" t="s">
        <v>9136</v>
      </c>
      <c r="BB745" s="2" t="s">
        <v>21</v>
      </c>
      <c r="BD745" s="2" t="s">
        <v>9137</v>
      </c>
      <c r="BE745" s="2" t="s">
        <v>9138</v>
      </c>
      <c r="BF745" s="2" t="s">
        <v>9139</v>
      </c>
    </row>
    <row r="746" spans="1:58" ht="41.25" customHeight="1" x14ac:dyDescent="0.25">
      <c r="A746" s="8" t="s">
        <v>5</v>
      </c>
      <c r="B746" s="1" t="s">
        <v>0</v>
      </c>
      <c r="C746" s="1" t="s">
        <v>1</v>
      </c>
      <c r="D746" s="1" t="s">
        <v>9140</v>
      </c>
      <c r="E746" s="1" t="s">
        <v>9141</v>
      </c>
      <c r="F746" s="1" t="s">
        <v>9142</v>
      </c>
      <c r="H746" s="2" t="s">
        <v>5</v>
      </c>
      <c r="I746" s="2" t="s">
        <v>6</v>
      </c>
      <c r="J746" s="2" t="s">
        <v>5</v>
      </c>
      <c r="K746" s="2" t="s">
        <v>16</v>
      </c>
      <c r="L746" s="2" t="s">
        <v>7</v>
      </c>
      <c r="M746" s="1" t="s">
        <v>9143</v>
      </c>
      <c r="N746" s="1" t="s">
        <v>9144</v>
      </c>
      <c r="O746" s="2" t="s">
        <v>136</v>
      </c>
      <c r="P746" s="1" t="s">
        <v>211</v>
      </c>
      <c r="Q746" s="2" t="s">
        <v>11</v>
      </c>
      <c r="R746" s="2" t="s">
        <v>426</v>
      </c>
      <c r="T746" s="2" t="s">
        <v>520</v>
      </c>
      <c r="U746" s="3">
        <v>57</v>
      </c>
      <c r="V746" s="3">
        <v>57</v>
      </c>
      <c r="W746" s="4" t="s">
        <v>8004</v>
      </c>
      <c r="X746" s="4" t="s">
        <v>8004</v>
      </c>
      <c r="Y746" s="4" t="s">
        <v>4106</v>
      </c>
      <c r="Z746" s="4" t="s">
        <v>4106</v>
      </c>
      <c r="AA746" s="3">
        <v>296</v>
      </c>
      <c r="AB746" s="3">
        <v>191</v>
      </c>
      <c r="AC746" s="3">
        <v>755</v>
      </c>
      <c r="AD746" s="3">
        <v>2</v>
      </c>
      <c r="AE746" s="3">
        <v>6</v>
      </c>
      <c r="AF746" s="3">
        <v>11</v>
      </c>
      <c r="AG746" s="3">
        <v>36</v>
      </c>
      <c r="AH746" s="3">
        <v>3</v>
      </c>
      <c r="AI746" s="3">
        <v>15</v>
      </c>
      <c r="AJ746" s="3">
        <v>2</v>
      </c>
      <c r="AK746" s="3">
        <v>7</v>
      </c>
      <c r="AL746" s="3">
        <v>8</v>
      </c>
      <c r="AM746" s="3">
        <v>16</v>
      </c>
      <c r="AN746" s="3">
        <v>1</v>
      </c>
      <c r="AO746" s="3">
        <v>5</v>
      </c>
      <c r="AP746" s="3">
        <v>0</v>
      </c>
      <c r="AQ746" s="3">
        <v>0</v>
      </c>
      <c r="AR746" s="2" t="s">
        <v>5</v>
      </c>
      <c r="AS746" s="2" t="s">
        <v>16</v>
      </c>
      <c r="AT746" s="5" t="str">
        <f>HYPERLINK("http://catalog.hathitrust.org/Record/002526719","HathiTrust Record")</f>
        <v>HathiTrust Record</v>
      </c>
      <c r="AU746" s="5" t="str">
        <f>HYPERLINK("https://creighton-primo.hosted.exlibrisgroup.com/primo-explore/search?tab=default_tab&amp;search_scope=EVERYTHING&amp;vid=01CRU&amp;lang=en_US&amp;offset=0&amp;query=any,contains,991000817599702656","Catalog Record")</f>
        <v>Catalog Record</v>
      </c>
      <c r="AV746" s="5" t="str">
        <f>HYPERLINK("http://www.worldcat.org/oclc/21973952","WorldCat Record")</f>
        <v>WorldCat Record</v>
      </c>
      <c r="AW746" s="2" t="s">
        <v>9145</v>
      </c>
      <c r="AX746" s="2" t="s">
        <v>9146</v>
      </c>
      <c r="AY746" s="2" t="s">
        <v>9147</v>
      </c>
      <c r="AZ746" s="2" t="s">
        <v>9147</v>
      </c>
      <c r="BA746" s="2" t="s">
        <v>9148</v>
      </c>
      <c r="BB746" s="2" t="s">
        <v>21</v>
      </c>
      <c r="BD746" s="2" t="s">
        <v>9149</v>
      </c>
      <c r="BE746" s="2" t="s">
        <v>9150</v>
      </c>
      <c r="BF746" s="2" t="s">
        <v>9151</v>
      </c>
    </row>
    <row r="747" spans="1:58" ht="41.25" customHeight="1" x14ac:dyDescent="0.25">
      <c r="A747" s="8" t="s">
        <v>5</v>
      </c>
      <c r="B747" s="1" t="s">
        <v>0</v>
      </c>
      <c r="C747" s="1" t="s">
        <v>1</v>
      </c>
      <c r="D747" s="1" t="s">
        <v>9152</v>
      </c>
      <c r="E747" s="1" t="s">
        <v>9153</v>
      </c>
      <c r="F747" s="1" t="s">
        <v>9142</v>
      </c>
      <c r="H747" s="2" t="s">
        <v>5</v>
      </c>
      <c r="I747" s="2" t="s">
        <v>6</v>
      </c>
      <c r="J747" s="2" t="s">
        <v>5</v>
      </c>
      <c r="K747" s="2" t="s">
        <v>16</v>
      </c>
      <c r="L747" s="2" t="s">
        <v>7</v>
      </c>
      <c r="M747" s="1" t="s">
        <v>9143</v>
      </c>
      <c r="N747" s="1" t="s">
        <v>9154</v>
      </c>
      <c r="O747" s="2" t="s">
        <v>1283</v>
      </c>
      <c r="P747" s="1" t="s">
        <v>901</v>
      </c>
      <c r="Q747" s="2" t="s">
        <v>11</v>
      </c>
      <c r="R747" s="2" t="s">
        <v>78</v>
      </c>
      <c r="T747" s="2" t="s">
        <v>520</v>
      </c>
      <c r="U747" s="3">
        <v>6</v>
      </c>
      <c r="V747" s="3">
        <v>6</v>
      </c>
      <c r="W747" s="4" t="s">
        <v>6350</v>
      </c>
      <c r="X747" s="4" t="s">
        <v>6350</v>
      </c>
      <c r="Y747" s="4" t="s">
        <v>9155</v>
      </c>
      <c r="Z747" s="4" t="s">
        <v>9155</v>
      </c>
      <c r="AA747" s="3">
        <v>361</v>
      </c>
      <c r="AB747" s="3">
        <v>244</v>
      </c>
      <c r="AC747" s="3">
        <v>755</v>
      </c>
      <c r="AD747" s="3">
        <v>2</v>
      </c>
      <c r="AE747" s="3">
        <v>6</v>
      </c>
      <c r="AF747" s="3">
        <v>14</v>
      </c>
      <c r="AG747" s="3">
        <v>36</v>
      </c>
      <c r="AH747" s="3">
        <v>5</v>
      </c>
      <c r="AI747" s="3">
        <v>15</v>
      </c>
      <c r="AJ747" s="3">
        <v>2</v>
      </c>
      <c r="AK747" s="3">
        <v>7</v>
      </c>
      <c r="AL747" s="3">
        <v>9</v>
      </c>
      <c r="AM747" s="3">
        <v>16</v>
      </c>
      <c r="AN747" s="3">
        <v>1</v>
      </c>
      <c r="AO747" s="3">
        <v>5</v>
      </c>
      <c r="AP747" s="3">
        <v>0</v>
      </c>
      <c r="AQ747" s="3">
        <v>0</v>
      </c>
      <c r="AR747" s="2" t="s">
        <v>5</v>
      </c>
      <c r="AS747" s="2" t="s">
        <v>16</v>
      </c>
      <c r="AT747" s="5" t="str">
        <f>HYPERLINK("http://catalog.hathitrust.org/Record/003133831","HathiTrust Record")</f>
        <v>HathiTrust Record</v>
      </c>
      <c r="AU747" s="5" t="str">
        <f>HYPERLINK("https://creighton-primo.hosted.exlibrisgroup.com/primo-explore/search?tab=default_tab&amp;search_scope=EVERYTHING&amp;vid=01CRU&amp;lang=en_US&amp;offset=0&amp;query=any,contains,991001558739702656","Catalog Record")</f>
        <v>Catalog Record</v>
      </c>
      <c r="AV747" s="5" t="str">
        <f>HYPERLINK("http://www.worldcat.org/oclc/35650986","WorldCat Record")</f>
        <v>WorldCat Record</v>
      </c>
      <c r="AW747" s="2" t="s">
        <v>9145</v>
      </c>
      <c r="AX747" s="2" t="s">
        <v>9156</v>
      </c>
      <c r="AY747" s="2" t="s">
        <v>9157</v>
      </c>
      <c r="AZ747" s="2" t="s">
        <v>9157</v>
      </c>
      <c r="BA747" s="2" t="s">
        <v>9158</v>
      </c>
      <c r="BB747" s="2" t="s">
        <v>21</v>
      </c>
      <c r="BD747" s="2" t="s">
        <v>9159</v>
      </c>
      <c r="BE747" s="2" t="s">
        <v>9160</v>
      </c>
      <c r="BF747" s="2" t="s">
        <v>9161</v>
      </c>
    </row>
    <row r="748" spans="1:58" ht="41.25" customHeight="1" x14ac:dyDescent="0.25">
      <c r="A748" s="8" t="s">
        <v>5</v>
      </c>
      <c r="B748" s="1" t="s">
        <v>0</v>
      </c>
      <c r="C748" s="1" t="s">
        <v>1</v>
      </c>
      <c r="D748" s="1" t="s">
        <v>9162</v>
      </c>
      <c r="E748" s="1" t="s">
        <v>9163</v>
      </c>
      <c r="F748" s="1" t="s">
        <v>9164</v>
      </c>
      <c r="H748" s="2" t="s">
        <v>5</v>
      </c>
      <c r="I748" s="2" t="s">
        <v>6</v>
      </c>
      <c r="J748" s="2" t="s">
        <v>5</v>
      </c>
      <c r="K748" s="2" t="s">
        <v>16</v>
      </c>
      <c r="L748" s="2" t="s">
        <v>7</v>
      </c>
      <c r="M748" s="1" t="s">
        <v>9165</v>
      </c>
      <c r="N748" s="1" t="s">
        <v>9166</v>
      </c>
      <c r="O748" s="2" t="s">
        <v>1004</v>
      </c>
      <c r="Q748" s="2" t="s">
        <v>11</v>
      </c>
      <c r="R748" s="2" t="s">
        <v>1140</v>
      </c>
      <c r="T748" s="2" t="s">
        <v>520</v>
      </c>
      <c r="U748" s="3">
        <v>14</v>
      </c>
      <c r="V748" s="3">
        <v>14</v>
      </c>
      <c r="W748" s="4" t="s">
        <v>1379</v>
      </c>
      <c r="X748" s="4" t="s">
        <v>1379</v>
      </c>
      <c r="Y748" s="4" t="s">
        <v>9167</v>
      </c>
      <c r="Z748" s="4" t="s">
        <v>9167</v>
      </c>
      <c r="AA748" s="3">
        <v>219</v>
      </c>
      <c r="AB748" s="3">
        <v>199</v>
      </c>
      <c r="AC748" s="3">
        <v>807</v>
      </c>
      <c r="AD748" s="3">
        <v>1</v>
      </c>
      <c r="AE748" s="3">
        <v>4</v>
      </c>
      <c r="AF748" s="3">
        <v>3</v>
      </c>
      <c r="AG748" s="3">
        <v>33</v>
      </c>
      <c r="AH748" s="3">
        <v>1</v>
      </c>
      <c r="AI748" s="3">
        <v>14</v>
      </c>
      <c r="AJ748" s="3">
        <v>1</v>
      </c>
      <c r="AK748" s="3">
        <v>8</v>
      </c>
      <c r="AL748" s="3">
        <v>1</v>
      </c>
      <c r="AM748" s="3">
        <v>14</v>
      </c>
      <c r="AN748" s="3">
        <v>0</v>
      </c>
      <c r="AO748" s="3">
        <v>3</v>
      </c>
      <c r="AP748" s="3">
        <v>0</v>
      </c>
      <c r="AQ748" s="3">
        <v>1</v>
      </c>
      <c r="AR748" s="2" t="s">
        <v>5</v>
      </c>
      <c r="AS748" s="2" t="s">
        <v>16</v>
      </c>
      <c r="AT748" s="5" t="str">
        <f>HYPERLINK("http://catalog.hathitrust.org/Record/003330664","HathiTrust Record")</f>
        <v>HathiTrust Record</v>
      </c>
      <c r="AU748" s="5" t="str">
        <f>HYPERLINK("https://creighton-primo.hosted.exlibrisgroup.com/primo-explore/search?tab=default_tab&amp;search_scope=EVERYTHING&amp;vid=01CRU&amp;lang=en_US&amp;offset=0&amp;query=any,contains,991001559769702656","Catalog Record")</f>
        <v>Catalog Record</v>
      </c>
      <c r="AV748" s="5" t="str">
        <f>HYPERLINK("http://www.worldcat.org/oclc/39886987","WorldCat Record")</f>
        <v>WorldCat Record</v>
      </c>
      <c r="AW748" s="2" t="s">
        <v>7362</v>
      </c>
      <c r="AX748" s="2" t="s">
        <v>9168</v>
      </c>
      <c r="AY748" s="2" t="s">
        <v>9169</v>
      </c>
      <c r="AZ748" s="2" t="s">
        <v>9169</v>
      </c>
      <c r="BA748" s="2" t="s">
        <v>9170</v>
      </c>
      <c r="BB748" s="2" t="s">
        <v>21</v>
      </c>
      <c r="BD748" s="2" t="s">
        <v>9171</v>
      </c>
      <c r="BE748" s="2" t="s">
        <v>9172</v>
      </c>
      <c r="BF748" s="2" t="s">
        <v>9173</v>
      </c>
    </row>
    <row r="749" spans="1:58" ht="41.25" customHeight="1" x14ac:dyDescent="0.25">
      <c r="A749" s="8" t="s">
        <v>5</v>
      </c>
      <c r="B749" s="1" t="s">
        <v>0</v>
      </c>
      <c r="C749" s="1" t="s">
        <v>1</v>
      </c>
      <c r="D749" s="1" t="s">
        <v>9174</v>
      </c>
      <c r="E749" s="1" t="s">
        <v>9175</v>
      </c>
      <c r="F749" s="1" t="s">
        <v>9176</v>
      </c>
      <c r="H749" s="2" t="s">
        <v>5</v>
      </c>
      <c r="I749" s="2" t="s">
        <v>6</v>
      </c>
      <c r="J749" s="2" t="s">
        <v>5</v>
      </c>
      <c r="K749" s="2" t="s">
        <v>5</v>
      </c>
      <c r="L749" s="2" t="s">
        <v>7</v>
      </c>
      <c r="M749" s="1" t="s">
        <v>9177</v>
      </c>
      <c r="N749" s="1" t="s">
        <v>9178</v>
      </c>
      <c r="O749" s="2" t="s">
        <v>1824</v>
      </c>
      <c r="Q749" s="2" t="s">
        <v>11</v>
      </c>
      <c r="R749" s="2" t="s">
        <v>12</v>
      </c>
      <c r="S749" s="1" t="s">
        <v>9179</v>
      </c>
      <c r="T749" s="2" t="s">
        <v>520</v>
      </c>
      <c r="U749" s="3">
        <v>1</v>
      </c>
      <c r="V749" s="3">
        <v>1</v>
      </c>
      <c r="W749" s="4" t="s">
        <v>1826</v>
      </c>
      <c r="X749" s="4" t="s">
        <v>1826</v>
      </c>
      <c r="Y749" s="4" t="s">
        <v>1827</v>
      </c>
      <c r="Z749" s="4" t="s">
        <v>1827</v>
      </c>
      <c r="AA749" s="3">
        <v>30</v>
      </c>
      <c r="AB749" s="3">
        <v>28</v>
      </c>
      <c r="AC749" s="3">
        <v>32</v>
      </c>
      <c r="AD749" s="3">
        <v>1</v>
      </c>
      <c r="AE749" s="3">
        <v>1</v>
      </c>
      <c r="AF749" s="3">
        <v>2</v>
      </c>
      <c r="AG749" s="3">
        <v>2</v>
      </c>
      <c r="AH749" s="3">
        <v>0</v>
      </c>
      <c r="AI749" s="3">
        <v>0</v>
      </c>
      <c r="AJ749" s="3">
        <v>0</v>
      </c>
      <c r="AK749" s="3">
        <v>0</v>
      </c>
      <c r="AL749" s="3">
        <v>2</v>
      </c>
      <c r="AM749" s="3">
        <v>2</v>
      </c>
      <c r="AN749" s="3">
        <v>0</v>
      </c>
      <c r="AO749" s="3">
        <v>0</v>
      </c>
      <c r="AP749" s="3">
        <v>0</v>
      </c>
      <c r="AQ749" s="3">
        <v>0</v>
      </c>
      <c r="AR749" s="2" t="s">
        <v>5</v>
      </c>
      <c r="AS749" s="2" t="s">
        <v>16</v>
      </c>
      <c r="AT749" s="5" t="str">
        <f>HYPERLINK("http://catalog.hathitrust.org/Record/002072341","HathiTrust Record")</f>
        <v>HathiTrust Record</v>
      </c>
      <c r="AU749" s="5" t="str">
        <f>HYPERLINK("https://creighton-primo.hosted.exlibrisgroup.com/primo-explore/search?tab=default_tab&amp;search_scope=EVERYTHING&amp;vid=01CRU&amp;lang=en_US&amp;offset=0&amp;query=any,contains,991001366929702656","Catalog Record")</f>
        <v>Catalog Record</v>
      </c>
      <c r="AV749" s="5" t="str">
        <f>HYPERLINK("http://www.worldcat.org/oclc/4808828","WorldCat Record")</f>
        <v>WorldCat Record</v>
      </c>
      <c r="AW749" s="2" t="s">
        <v>9180</v>
      </c>
      <c r="AX749" s="2" t="s">
        <v>9181</v>
      </c>
      <c r="AY749" s="2" t="s">
        <v>9182</v>
      </c>
      <c r="AZ749" s="2" t="s">
        <v>9182</v>
      </c>
      <c r="BA749" s="2" t="s">
        <v>9183</v>
      </c>
      <c r="BB749" s="2" t="s">
        <v>21</v>
      </c>
      <c r="BE749" s="2" t="s">
        <v>9184</v>
      </c>
      <c r="BF749" s="2" t="s">
        <v>9185</v>
      </c>
    </row>
    <row r="750" spans="1:58" ht="41.25" customHeight="1" x14ac:dyDescent="0.25">
      <c r="A750" s="8" t="s">
        <v>5</v>
      </c>
      <c r="B750" s="1" t="s">
        <v>0</v>
      </c>
      <c r="C750" s="1" t="s">
        <v>1</v>
      </c>
      <c r="D750" s="1" t="s">
        <v>9186</v>
      </c>
      <c r="E750" s="1" t="s">
        <v>9187</v>
      </c>
      <c r="F750" s="1" t="s">
        <v>9188</v>
      </c>
      <c r="H750" s="2" t="s">
        <v>5</v>
      </c>
      <c r="I750" s="2" t="s">
        <v>6</v>
      </c>
      <c r="J750" s="2" t="s">
        <v>5</v>
      </c>
      <c r="K750" s="2" t="s">
        <v>16</v>
      </c>
      <c r="L750" s="2" t="s">
        <v>7</v>
      </c>
      <c r="N750" s="1" t="s">
        <v>8901</v>
      </c>
      <c r="O750" s="2" t="s">
        <v>601</v>
      </c>
      <c r="P750" s="1" t="s">
        <v>901</v>
      </c>
      <c r="Q750" s="2" t="s">
        <v>11</v>
      </c>
      <c r="R750" s="2" t="s">
        <v>3356</v>
      </c>
      <c r="T750" s="2" t="s">
        <v>520</v>
      </c>
      <c r="U750" s="3">
        <v>33</v>
      </c>
      <c r="V750" s="3">
        <v>33</v>
      </c>
      <c r="W750" s="4" t="s">
        <v>1653</v>
      </c>
      <c r="X750" s="4" t="s">
        <v>1653</v>
      </c>
      <c r="Y750" s="4" t="s">
        <v>9189</v>
      </c>
      <c r="Z750" s="4" t="s">
        <v>9189</v>
      </c>
      <c r="AA750" s="3">
        <v>318</v>
      </c>
      <c r="AB750" s="3">
        <v>239</v>
      </c>
      <c r="AC750" s="3">
        <v>681</v>
      </c>
      <c r="AD750" s="3">
        <v>2</v>
      </c>
      <c r="AE750" s="3">
        <v>5</v>
      </c>
      <c r="AF750" s="3">
        <v>13</v>
      </c>
      <c r="AG750" s="3">
        <v>31</v>
      </c>
      <c r="AH750" s="3">
        <v>4</v>
      </c>
      <c r="AI750" s="3">
        <v>13</v>
      </c>
      <c r="AJ750" s="3">
        <v>2</v>
      </c>
      <c r="AK750" s="3">
        <v>6</v>
      </c>
      <c r="AL750" s="3">
        <v>9</v>
      </c>
      <c r="AM750" s="3">
        <v>17</v>
      </c>
      <c r="AN750" s="3">
        <v>1</v>
      </c>
      <c r="AO750" s="3">
        <v>2</v>
      </c>
      <c r="AP750" s="3">
        <v>0</v>
      </c>
      <c r="AQ750" s="3">
        <v>0</v>
      </c>
      <c r="AR750" s="2" t="s">
        <v>5</v>
      </c>
      <c r="AS750" s="2" t="s">
        <v>16</v>
      </c>
      <c r="AT750" s="5" t="str">
        <f>HYPERLINK("http://catalog.hathitrust.org/Record/002907166","HathiTrust Record")</f>
        <v>HathiTrust Record</v>
      </c>
      <c r="AU750" s="5" t="str">
        <f>HYPERLINK("https://creighton-primo.hosted.exlibrisgroup.com/primo-explore/search?tab=default_tab&amp;search_scope=EVERYTHING&amp;vid=01CRU&amp;lang=en_US&amp;offset=0&amp;query=any,contains,991000683009702656","Catalog Record")</f>
        <v>Catalog Record</v>
      </c>
      <c r="AV750" s="5" t="str">
        <f>HYPERLINK("http://www.worldcat.org/oclc/30913866","WorldCat Record")</f>
        <v>WorldCat Record</v>
      </c>
      <c r="AW750" s="2" t="s">
        <v>4094</v>
      </c>
      <c r="AX750" s="2" t="s">
        <v>9190</v>
      </c>
      <c r="AY750" s="2" t="s">
        <v>9191</v>
      </c>
      <c r="AZ750" s="2" t="s">
        <v>9191</v>
      </c>
      <c r="BA750" s="2" t="s">
        <v>9192</v>
      </c>
      <c r="BB750" s="2" t="s">
        <v>21</v>
      </c>
      <c r="BD750" s="2" t="s">
        <v>9193</v>
      </c>
      <c r="BE750" s="2" t="s">
        <v>9194</v>
      </c>
      <c r="BF750" s="2" t="s">
        <v>9195</v>
      </c>
    </row>
    <row r="751" spans="1:58" ht="41.25" customHeight="1" x14ac:dyDescent="0.25">
      <c r="A751" s="8" t="s">
        <v>5</v>
      </c>
      <c r="B751" s="1" t="s">
        <v>0</v>
      </c>
      <c r="C751" s="1" t="s">
        <v>1</v>
      </c>
      <c r="D751" s="1" t="s">
        <v>9196</v>
      </c>
      <c r="E751" s="1" t="s">
        <v>9197</v>
      </c>
      <c r="F751" s="1" t="s">
        <v>9198</v>
      </c>
      <c r="H751" s="2" t="s">
        <v>5</v>
      </c>
      <c r="I751" s="2" t="s">
        <v>6</v>
      </c>
      <c r="J751" s="2" t="s">
        <v>5</v>
      </c>
      <c r="K751" s="2" t="s">
        <v>5</v>
      </c>
      <c r="L751" s="2" t="s">
        <v>7</v>
      </c>
      <c r="N751" s="1" t="s">
        <v>1588</v>
      </c>
      <c r="O751" s="2" t="s">
        <v>1102</v>
      </c>
      <c r="Q751" s="2" t="s">
        <v>11</v>
      </c>
      <c r="R751" s="2" t="s">
        <v>426</v>
      </c>
      <c r="S751" s="1" t="s">
        <v>9199</v>
      </c>
      <c r="T751" s="2" t="s">
        <v>520</v>
      </c>
      <c r="U751" s="3">
        <v>5</v>
      </c>
      <c r="V751" s="3">
        <v>5</v>
      </c>
      <c r="W751" s="4" t="s">
        <v>1234</v>
      </c>
      <c r="X751" s="4" t="s">
        <v>1234</v>
      </c>
      <c r="Y751" s="4" t="s">
        <v>1591</v>
      </c>
      <c r="Z751" s="4" t="s">
        <v>1591</v>
      </c>
      <c r="AA751" s="3">
        <v>269</v>
      </c>
      <c r="AB751" s="3">
        <v>219</v>
      </c>
      <c r="AC751" s="3">
        <v>221</v>
      </c>
      <c r="AD751" s="3">
        <v>3</v>
      </c>
      <c r="AE751" s="3">
        <v>3</v>
      </c>
      <c r="AF751" s="3">
        <v>10</v>
      </c>
      <c r="AG751" s="3">
        <v>10</v>
      </c>
      <c r="AH751" s="3">
        <v>4</v>
      </c>
      <c r="AI751" s="3">
        <v>4</v>
      </c>
      <c r="AJ751" s="3">
        <v>1</v>
      </c>
      <c r="AK751" s="3">
        <v>1</v>
      </c>
      <c r="AL751" s="3">
        <v>5</v>
      </c>
      <c r="AM751" s="3">
        <v>5</v>
      </c>
      <c r="AN751" s="3">
        <v>1</v>
      </c>
      <c r="AO751" s="3">
        <v>1</v>
      </c>
      <c r="AP751" s="3">
        <v>0</v>
      </c>
      <c r="AQ751" s="3">
        <v>0</v>
      </c>
      <c r="AR751" s="2" t="s">
        <v>5</v>
      </c>
      <c r="AS751" s="2" t="s">
        <v>16</v>
      </c>
      <c r="AT751" s="5" t="str">
        <f>HYPERLINK("http://catalog.hathitrust.org/Record/002721599","HathiTrust Record")</f>
        <v>HathiTrust Record</v>
      </c>
      <c r="AU751" s="5" t="str">
        <f>HYPERLINK("https://creighton-primo.hosted.exlibrisgroup.com/primo-explore/search?tab=default_tab&amp;search_scope=EVERYTHING&amp;vid=01CRU&amp;lang=en_US&amp;offset=0&amp;query=any,contains,991001373439702656","Catalog Record")</f>
        <v>Catalog Record</v>
      </c>
      <c r="AV751" s="5" t="str">
        <f>HYPERLINK("http://www.worldcat.org/oclc/13580802","WorldCat Record")</f>
        <v>WorldCat Record</v>
      </c>
      <c r="AW751" s="2" t="s">
        <v>9200</v>
      </c>
      <c r="AX751" s="2" t="s">
        <v>9201</v>
      </c>
      <c r="AY751" s="2" t="s">
        <v>9202</v>
      </c>
      <c r="AZ751" s="2" t="s">
        <v>9202</v>
      </c>
      <c r="BA751" s="2" t="s">
        <v>9203</v>
      </c>
      <c r="BB751" s="2" t="s">
        <v>21</v>
      </c>
      <c r="BD751" s="2" t="s">
        <v>9204</v>
      </c>
      <c r="BE751" s="2" t="s">
        <v>9205</v>
      </c>
      <c r="BF751" s="2" t="s">
        <v>9206</v>
      </c>
    </row>
    <row r="752" spans="1:58" ht="41.25" customHeight="1" x14ac:dyDescent="0.25">
      <c r="A752" s="8" t="s">
        <v>5</v>
      </c>
      <c r="B752" s="1" t="s">
        <v>0</v>
      </c>
      <c r="C752" s="1" t="s">
        <v>1</v>
      </c>
      <c r="D752" s="1" t="s">
        <v>9207</v>
      </c>
      <c r="E752" s="1" t="s">
        <v>9208</v>
      </c>
      <c r="F752" s="1" t="s">
        <v>9209</v>
      </c>
      <c r="H752" s="2" t="s">
        <v>5</v>
      </c>
      <c r="I752" s="2" t="s">
        <v>6</v>
      </c>
      <c r="J752" s="2" t="s">
        <v>5</v>
      </c>
      <c r="K752" s="2" t="s">
        <v>5</v>
      </c>
      <c r="L752" s="2" t="s">
        <v>7</v>
      </c>
      <c r="M752" s="1" t="s">
        <v>1850</v>
      </c>
      <c r="N752" s="1" t="s">
        <v>9210</v>
      </c>
      <c r="O752" s="2" t="s">
        <v>285</v>
      </c>
      <c r="Q752" s="2" t="s">
        <v>11</v>
      </c>
      <c r="R752" s="2" t="s">
        <v>93</v>
      </c>
      <c r="T752" s="2" t="s">
        <v>520</v>
      </c>
      <c r="U752" s="3">
        <v>4</v>
      </c>
      <c r="V752" s="3">
        <v>4</v>
      </c>
      <c r="W752" s="4" t="s">
        <v>521</v>
      </c>
      <c r="X752" s="4" t="s">
        <v>521</v>
      </c>
      <c r="Y752" s="4" t="s">
        <v>329</v>
      </c>
      <c r="Z752" s="4" t="s">
        <v>329</v>
      </c>
      <c r="AA752" s="3">
        <v>330</v>
      </c>
      <c r="AB752" s="3">
        <v>286</v>
      </c>
      <c r="AC752" s="3">
        <v>290</v>
      </c>
      <c r="AD752" s="3">
        <v>5</v>
      </c>
      <c r="AE752" s="3">
        <v>5</v>
      </c>
      <c r="AF752" s="3">
        <v>19</v>
      </c>
      <c r="AG752" s="3">
        <v>19</v>
      </c>
      <c r="AH752" s="3">
        <v>7</v>
      </c>
      <c r="AI752" s="3">
        <v>7</v>
      </c>
      <c r="AJ752" s="3">
        <v>4</v>
      </c>
      <c r="AK752" s="3">
        <v>4</v>
      </c>
      <c r="AL752" s="3">
        <v>6</v>
      </c>
      <c r="AM752" s="3">
        <v>6</v>
      </c>
      <c r="AN752" s="3">
        <v>4</v>
      </c>
      <c r="AO752" s="3">
        <v>4</v>
      </c>
      <c r="AP752" s="3">
        <v>0</v>
      </c>
      <c r="AQ752" s="3">
        <v>0</v>
      </c>
      <c r="AR752" s="2" t="s">
        <v>5</v>
      </c>
      <c r="AS752" s="2" t="s">
        <v>16</v>
      </c>
      <c r="AT752" s="5" t="str">
        <f>HYPERLINK("http://catalog.hathitrust.org/Record/000299493","HathiTrust Record")</f>
        <v>HathiTrust Record</v>
      </c>
      <c r="AU752" s="5" t="str">
        <f>HYPERLINK("https://creighton-primo.hosted.exlibrisgroup.com/primo-explore/search?tab=default_tab&amp;search_scope=EVERYTHING&amp;vid=01CRU&amp;lang=en_US&amp;offset=0&amp;query=any,contains,991000738759702656","Catalog Record")</f>
        <v>Catalog Record</v>
      </c>
      <c r="AV752" s="5" t="str">
        <f>HYPERLINK("http://www.worldcat.org/oclc/4857802","WorldCat Record")</f>
        <v>WorldCat Record</v>
      </c>
      <c r="AW752" s="2" t="s">
        <v>9211</v>
      </c>
      <c r="AX752" s="2" t="s">
        <v>9212</v>
      </c>
      <c r="AY752" s="2" t="s">
        <v>9213</v>
      </c>
      <c r="AZ752" s="2" t="s">
        <v>9213</v>
      </c>
      <c r="BA752" s="2" t="s">
        <v>9214</v>
      </c>
      <c r="BB752" s="2" t="s">
        <v>21</v>
      </c>
      <c r="BD752" s="2" t="s">
        <v>9215</v>
      </c>
      <c r="BE752" s="2" t="s">
        <v>9216</v>
      </c>
      <c r="BF752" s="2" t="s">
        <v>9217</v>
      </c>
    </row>
    <row r="753" spans="1:58" ht="41.25" customHeight="1" x14ac:dyDescent="0.25">
      <c r="A753" s="8" t="s">
        <v>5</v>
      </c>
      <c r="B753" s="1" t="s">
        <v>0</v>
      </c>
      <c r="C753" s="1" t="s">
        <v>1</v>
      </c>
      <c r="D753" s="1" t="s">
        <v>9218</v>
      </c>
      <c r="E753" s="1" t="s">
        <v>9219</v>
      </c>
      <c r="F753" s="1" t="s">
        <v>9220</v>
      </c>
      <c r="H753" s="2" t="s">
        <v>5</v>
      </c>
      <c r="I753" s="2" t="s">
        <v>6</v>
      </c>
      <c r="J753" s="2" t="s">
        <v>5</v>
      </c>
      <c r="K753" s="2" t="s">
        <v>16</v>
      </c>
      <c r="L753" s="2" t="s">
        <v>7</v>
      </c>
      <c r="N753" s="1" t="s">
        <v>9221</v>
      </c>
      <c r="O753" s="2" t="s">
        <v>1102</v>
      </c>
      <c r="Q753" s="2" t="s">
        <v>11</v>
      </c>
      <c r="R753" s="2" t="s">
        <v>426</v>
      </c>
      <c r="T753" s="2" t="s">
        <v>520</v>
      </c>
      <c r="U753" s="3">
        <v>55</v>
      </c>
      <c r="V753" s="3">
        <v>55</v>
      </c>
      <c r="W753" s="4" t="s">
        <v>547</v>
      </c>
      <c r="X753" s="4" t="s">
        <v>547</v>
      </c>
      <c r="Y753" s="4" t="s">
        <v>329</v>
      </c>
      <c r="Z753" s="4" t="s">
        <v>329</v>
      </c>
      <c r="AA753" s="3">
        <v>293</v>
      </c>
      <c r="AB753" s="3">
        <v>224</v>
      </c>
      <c r="AC753" s="3">
        <v>1470</v>
      </c>
      <c r="AD753" s="3">
        <v>3</v>
      </c>
      <c r="AE753" s="3">
        <v>13</v>
      </c>
      <c r="AF753" s="3">
        <v>9</v>
      </c>
      <c r="AG753" s="3">
        <v>47</v>
      </c>
      <c r="AH753" s="3">
        <v>2</v>
      </c>
      <c r="AI753" s="3">
        <v>17</v>
      </c>
      <c r="AJ753" s="3">
        <v>3</v>
      </c>
      <c r="AK753" s="3">
        <v>8</v>
      </c>
      <c r="AL753" s="3">
        <v>4</v>
      </c>
      <c r="AM753" s="3">
        <v>17</v>
      </c>
      <c r="AN753" s="3">
        <v>1</v>
      </c>
      <c r="AO753" s="3">
        <v>10</v>
      </c>
      <c r="AP753" s="3">
        <v>0</v>
      </c>
      <c r="AQ753" s="3">
        <v>1</v>
      </c>
      <c r="AR753" s="2" t="s">
        <v>5</v>
      </c>
      <c r="AS753" s="2" t="s">
        <v>16</v>
      </c>
      <c r="AT753" s="5" t="str">
        <f>HYPERLINK("http://catalog.hathitrust.org/Record/000427504","HathiTrust Record")</f>
        <v>HathiTrust Record</v>
      </c>
      <c r="AU753" s="5" t="str">
        <f>HYPERLINK("https://creighton-primo.hosted.exlibrisgroup.com/primo-explore/search?tab=default_tab&amp;search_scope=EVERYTHING&amp;vid=01CRU&amp;lang=en_US&amp;offset=0&amp;query=any,contains,991000738719702656","Catalog Record")</f>
        <v>Catalog Record</v>
      </c>
      <c r="AV753" s="5" t="str">
        <f>HYPERLINK("http://www.worldcat.org/oclc/12370780","WorldCat Record")</f>
        <v>WorldCat Record</v>
      </c>
      <c r="AW753" s="2" t="s">
        <v>9222</v>
      </c>
      <c r="AX753" s="2" t="s">
        <v>9223</v>
      </c>
      <c r="AY753" s="2" t="s">
        <v>9224</v>
      </c>
      <c r="AZ753" s="2" t="s">
        <v>9224</v>
      </c>
      <c r="BA753" s="2" t="s">
        <v>9225</v>
      </c>
      <c r="BB753" s="2" t="s">
        <v>21</v>
      </c>
      <c r="BD753" s="2" t="s">
        <v>9226</v>
      </c>
      <c r="BE753" s="2" t="s">
        <v>9227</v>
      </c>
      <c r="BF753" s="2" t="s">
        <v>9228</v>
      </c>
    </row>
    <row r="754" spans="1:58" ht="41.25" customHeight="1" x14ac:dyDescent="0.25">
      <c r="A754" s="8" t="s">
        <v>5</v>
      </c>
      <c r="B754" s="1" t="s">
        <v>0</v>
      </c>
      <c r="C754" s="1" t="s">
        <v>1</v>
      </c>
      <c r="D754" s="1" t="s">
        <v>9229</v>
      </c>
      <c r="E754" s="1" t="s">
        <v>9230</v>
      </c>
      <c r="F754" s="1" t="s">
        <v>9231</v>
      </c>
      <c r="H754" s="2" t="s">
        <v>5</v>
      </c>
      <c r="I754" s="2" t="s">
        <v>6</v>
      </c>
      <c r="J754" s="2" t="s">
        <v>5</v>
      </c>
      <c r="K754" s="2" t="s">
        <v>16</v>
      </c>
      <c r="L754" s="2" t="s">
        <v>7</v>
      </c>
      <c r="N754" s="1" t="s">
        <v>9232</v>
      </c>
      <c r="O754" s="2" t="s">
        <v>546</v>
      </c>
      <c r="P754" s="1" t="s">
        <v>901</v>
      </c>
      <c r="Q754" s="2" t="s">
        <v>11</v>
      </c>
      <c r="R754" s="2" t="s">
        <v>31</v>
      </c>
      <c r="T754" s="2" t="s">
        <v>520</v>
      </c>
      <c r="U754" s="3">
        <v>59</v>
      </c>
      <c r="V754" s="3">
        <v>59</v>
      </c>
      <c r="W754" s="4" t="s">
        <v>547</v>
      </c>
      <c r="X754" s="4" t="s">
        <v>547</v>
      </c>
      <c r="Y754" s="4" t="s">
        <v>8977</v>
      </c>
      <c r="Z754" s="4" t="s">
        <v>8977</v>
      </c>
      <c r="AA754" s="3">
        <v>413</v>
      </c>
      <c r="AB754" s="3">
        <v>311</v>
      </c>
      <c r="AC754" s="3">
        <v>1470</v>
      </c>
      <c r="AD754" s="3">
        <v>2</v>
      </c>
      <c r="AE754" s="3">
        <v>13</v>
      </c>
      <c r="AF754" s="3">
        <v>8</v>
      </c>
      <c r="AG754" s="3">
        <v>47</v>
      </c>
      <c r="AH754" s="3">
        <v>4</v>
      </c>
      <c r="AI754" s="3">
        <v>17</v>
      </c>
      <c r="AJ754" s="3">
        <v>2</v>
      </c>
      <c r="AK754" s="3">
        <v>8</v>
      </c>
      <c r="AL754" s="3">
        <v>4</v>
      </c>
      <c r="AM754" s="3">
        <v>17</v>
      </c>
      <c r="AN754" s="3">
        <v>1</v>
      </c>
      <c r="AO754" s="3">
        <v>10</v>
      </c>
      <c r="AP754" s="3">
        <v>0</v>
      </c>
      <c r="AQ754" s="3">
        <v>1</v>
      </c>
      <c r="AR754" s="2" t="s">
        <v>5</v>
      </c>
      <c r="AS754" s="2" t="s">
        <v>16</v>
      </c>
      <c r="AT754" s="5" t="str">
        <f>HYPERLINK("http://catalog.hathitrust.org/Record/002967594","HathiTrust Record")</f>
        <v>HathiTrust Record</v>
      </c>
      <c r="AU754" s="5" t="str">
        <f>HYPERLINK("https://creighton-primo.hosted.exlibrisgroup.com/primo-explore/search?tab=default_tab&amp;search_scope=EVERYTHING&amp;vid=01CRU&amp;lang=en_US&amp;offset=0&amp;query=any,contains,991001403609702656","Catalog Record")</f>
        <v>Catalog Record</v>
      </c>
      <c r="AV754" s="5" t="str">
        <f>HYPERLINK("http://www.worldcat.org/oclc/27849140","WorldCat Record")</f>
        <v>WorldCat Record</v>
      </c>
      <c r="AW754" s="2" t="s">
        <v>9222</v>
      </c>
      <c r="AX754" s="2" t="s">
        <v>9233</v>
      </c>
      <c r="AY754" s="2" t="s">
        <v>9234</v>
      </c>
      <c r="AZ754" s="2" t="s">
        <v>9234</v>
      </c>
      <c r="BA754" s="2" t="s">
        <v>9235</v>
      </c>
      <c r="BB754" s="2" t="s">
        <v>21</v>
      </c>
      <c r="BD754" s="2" t="s">
        <v>9236</v>
      </c>
      <c r="BE754" s="2" t="s">
        <v>9237</v>
      </c>
      <c r="BF754" s="2" t="s">
        <v>9238</v>
      </c>
    </row>
    <row r="755" spans="1:58" ht="41.25" customHeight="1" x14ac:dyDescent="0.25">
      <c r="A755" s="8" t="s">
        <v>5</v>
      </c>
      <c r="B755" s="1" t="s">
        <v>0</v>
      </c>
      <c r="C755" s="1" t="s">
        <v>1</v>
      </c>
      <c r="D755" s="1" t="s">
        <v>9239</v>
      </c>
      <c r="E755" s="1" t="s">
        <v>9240</v>
      </c>
      <c r="F755" s="1" t="s">
        <v>9241</v>
      </c>
      <c r="H755" s="2" t="s">
        <v>5</v>
      </c>
      <c r="I755" s="2" t="s">
        <v>6</v>
      </c>
      <c r="J755" s="2" t="s">
        <v>5</v>
      </c>
      <c r="K755" s="2" t="s">
        <v>16</v>
      </c>
      <c r="L755" s="2" t="s">
        <v>7</v>
      </c>
      <c r="N755" s="1" t="s">
        <v>9242</v>
      </c>
      <c r="O755" s="2" t="s">
        <v>1378</v>
      </c>
      <c r="P755" s="1" t="s">
        <v>1208</v>
      </c>
      <c r="Q755" s="2" t="s">
        <v>11</v>
      </c>
      <c r="R755" s="2" t="s">
        <v>31</v>
      </c>
      <c r="T755" s="2" t="s">
        <v>520</v>
      </c>
      <c r="U755" s="3">
        <v>9</v>
      </c>
      <c r="V755" s="3">
        <v>9</v>
      </c>
      <c r="W755" s="4" t="s">
        <v>1298</v>
      </c>
      <c r="X755" s="4" t="s">
        <v>1298</v>
      </c>
      <c r="Y755" s="4" t="s">
        <v>5058</v>
      </c>
      <c r="Z755" s="4" t="s">
        <v>5058</v>
      </c>
      <c r="AA755" s="3">
        <v>506</v>
      </c>
      <c r="AB755" s="3">
        <v>396</v>
      </c>
      <c r="AC755" s="3">
        <v>1470</v>
      </c>
      <c r="AD755" s="3">
        <v>3</v>
      </c>
      <c r="AE755" s="3">
        <v>13</v>
      </c>
      <c r="AF755" s="3">
        <v>13</v>
      </c>
      <c r="AG755" s="3">
        <v>47</v>
      </c>
      <c r="AH755" s="3">
        <v>4</v>
      </c>
      <c r="AI755" s="3">
        <v>17</v>
      </c>
      <c r="AJ755" s="3">
        <v>1</v>
      </c>
      <c r="AK755" s="3">
        <v>8</v>
      </c>
      <c r="AL755" s="3">
        <v>7</v>
      </c>
      <c r="AM755" s="3">
        <v>17</v>
      </c>
      <c r="AN755" s="3">
        <v>2</v>
      </c>
      <c r="AO755" s="3">
        <v>10</v>
      </c>
      <c r="AP755" s="3">
        <v>0</v>
      </c>
      <c r="AQ755" s="3">
        <v>1</v>
      </c>
      <c r="AR755" s="2" t="s">
        <v>5</v>
      </c>
      <c r="AS755" s="2" t="s">
        <v>16</v>
      </c>
      <c r="AT755" s="5" t="str">
        <f>HYPERLINK("http://catalog.hathitrust.org/Record/003196458","HathiTrust Record")</f>
        <v>HathiTrust Record</v>
      </c>
      <c r="AU755" s="5" t="str">
        <f>HYPERLINK("https://creighton-primo.hosted.exlibrisgroup.com/primo-explore/search?tab=default_tab&amp;search_scope=EVERYTHING&amp;vid=01CRU&amp;lang=en_US&amp;offset=0&amp;query=any,contains,991001277149702656","Catalog Record")</f>
        <v>Catalog Record</v>
      </c>
      <c r="AV755" s="5" t="str">
        <f>HYPERLINK("http://www.worldcat.org/oclc/36648249","WorldCat Record")</f>
        <v>WorldCat Record</v>
      </c>
      <c r="AW755" s="2" t="s">
        <v>9222</v>
      </c>
      <c r="AX755" s="2" t="s">
        <v>9243</v>
      </c>
      <c r="AY755" s="2" t="s">
        <v>9244</v>
      </c>
      <c r="AZ755" s="2" t="s">
        <v>9244</v>
      </c>
      <c r="BA755" s="2" t="s">
        <v>9245</v>
      </c>
      <c r="BB755" s="2" t="s">
        <v>21</v>
      </c>
      <c r="BD755" s="2" t="s">
        <v>9246</v>
      </c>
      <c r="BE755" s="2" t="s">
        <v>9247</v>
      </c>
      <c r="BF755" s="2" t="s">
        <v>9248</v>
      </c>
    </row>
    <row r="756" spans="1:58" ht="41.25" customHeight="1" x14ac:dyDescent="0.25">
      <c r="A756" s="8" t="s">
        <v>5</v>
      </c>
      <c r="B756" s="1" t="s">
        <v>0</v>
      </c>
      <c r="C756" s="1" t="s">
        <v>1</v>
      </c>
      <c r="D756" s="1" t="s">
        <v>9249</v>
      </c>
      <c r="E756" s="1" t="s">
        <v>9250</v>
      </c>
      <c r="F756" s="1" t="s">
        <v>9251</v>
      </c>
      <c r="H756" s="2" t="s">
        <v>5</v>
      </c>
      <c r="I756" s="2" t="s">
        <v>6</v>
      </c>
      <c r="J756" s="2" t="s">
        <v>5</v>
      </c>
      <c r="K756" s="2" t="s">
        <v>5</v>
      </c>
      <c r="L756" s="2" t="s">
        <v>7</v>
      </c>
      <c r="N756" s="1" t="s">
        <v>9252</v>
      </c>
      <c r="O756" s="2" t="s">
        <v>989</v>
      </c>
      <c r="Q756" s="2" t="s">
        <v>11</v>
      </c>
      <c r="R756" s="2" t="s">
        <v>12</v>
      </c>
      <c r="S756" s="1" t="s">
        <v>9253</v>
      </c>
      <c r="T756" s="2" t="s">
        <v>520</v>
      </c>
      <c r="U756" s="3">
        <v>4</v>
      </c>
      <c r="V756" s="3">
        <v>4</v>
      </c>
      <c r="W756" s="4" t="s">
        <v>547</v>
      </c>
      <c r="X756" s="4" t="s">
        <v>547</v>
      </c>
      <c r="Y756" s="4" t="s">
        <v>604</v>
      </c>
      <c r="Z756" s="4" t="s">
        <v>604</v>
      </c>
      <c r="AA756" s="3">
        <v>514</v>
      </c>
      <c r="AB756" s="3">
        <v>438</v>
      </c>
      <c r="AC756" s="3">
        <v>440</v>
      </c>
      <c r="AD756" s="3">
        <v>6</v>
      </c>
      <c r="AE756" s="3">
        <v>6</v>
      </c>
      <c r="AF756" s="3">
        <v>26</v>
      </c>
      <c r="AG756" s="3">
        <v>26</v>
      </c>
      <c r="AH756" s="3">
        <v>9</v>
      </c>
      <c r="AI756" s="3">
        <v>9</v>
      </c>
      <c r="AJ756" s="3">
        <v>4</v>
      </c>
      <c r="AK756" s="3">
        <v>4</v>
      </c>
      <c r="AL756" s="3">
        <v>11</v>
      </c>
      <c r="AM756" s="3">
        <v>11</v>
      </c>
      <c r="AN756" s="3">
        <v>5</v>
      </c>
      <c r="AO756" s="3">
        <v>5</v>
      </c>
      <c r="AP756" s="3">
        <v>0</v>
      </c>
      <c r="AQ756" s="3">
        <v>0</v>
      </c>
      <c r="AR756" s="2" t="s">
        <v>5</v>
      </c>
      <c r="AS756" s="2" t="s">
        <v>16</v>
      </c>
      <c r="AT756" s="5" t="str">
        <f>HYPERLINK("http://catalog.hathitrust.org/Record/002503264","HathiTrust Record")</f>
        <v>HathiTrust Record</v>
      </c>
      <c r="AU756" s="5" t="str">
        <f>HYPERLINK("https://creighton-primo.hosted.exlibrisgroup.com/primo-explore/search?tab=default_tab&amp;search_scope=EVERYTHING&amp;vid=01CRU&amp;lang=en_US&amp;offset=0&amp;query=any,contains,991000227959702656","Catalog Record")</f>
        <v>Catalog Record</v>
      </c>
      <c r="AV756" s="5" t="str">
        <f>HYPERLINK("http://www.worldcat.org/oclc/25871338","WorldCat Record")</f>
        <v>WorldCat Record</v>
      </c>
      <c r="AW756" s="2" t="s">
        <v>9254</v>
      </c>
      <c r="AX756" s="2" t="s">
        <v>9255</v>
      </c>
      <c r="AY756" s="2" t="s">
        <v>9256</v>
      </c>
      <c r="AZ756" s="2" t="s">
        <v>9256</v>
      </c>
      <c r="BA756" s="2" t="s">
        <v>9257</v>
      </c>
      <c r="BB756" s="2" t="s">
        <v>21</v>
      </c>
      <c r="BD756" s="2" t="s">
        <v>9258</v>
      </c>
      <c r="BE756" s="2" t="s">
        <v>9259</v>
      </c>
      <c r="BF756" s="2" t="s">
        <v>9260</v>
      </c>
    </row>
    <row r="757" spans="1:58" ht="41.25" customHeight="1" x14ac:dyDescent="0.25">
      <c r="A757" s="8" t="s">
        <v>5</v>
      </c>
      <c r="B757" s="1" t="s">
        <v>0</v>
      </c>
      <c r="C757" s="1" t="s">
        <v>1</v>
      </c>
      <c r="D757" s="1" t="s">
        <v>9261</v>
      </c>
      <c r="E757" s="1" t="s">
        <v>9262</v>
      </c>
      <c r="F757" s="1" t="s">
        <v>9263</v>
      </c>
      <c r="H757" s="2" t="s">
        <v>5</v>
      </c>
      <c r="I757" s="2" t="s">
        <v>6</v>
      </c>
      <c r="J757" s="2" t="s">
        <v>5</v>
      </c>
      <c r="K757" s="2" t="s">
        <v>16</v>
      </c>
      <c r="L757" s="2" t="s">
        <v>7</v>
      </c>
      <c r="N757" s="1" t="s">
        <v>9264</v>
      </c>
      <c r="O757" s="2" t="s">
        <v>382</v>
      </c>
      <c r="P757" s="1" t="s">
        <v>211</v>
      </c>
      <c r="Q757" s="2" t="s">
        <v>11</v>
      </c>
      <c r="R757" s="2" t="s">
        <v>426</v>
      </c>
      <c r="T757" s="2" t="s">
        <v>520</v>
      </c>
      <c r="U757" s="3">
        <v>39</v>
      </c>
      <c r="V757" s="3">
        <v>39</v>
      </c>
      <c r="W757" s="4" t="s">
        <v>9265</v>
      </c>
      <c r="X757" s="4" t="s">
        <v>9265</v>
      </c>
      <c r="Y757" s="4" t="s">
        <v>329</v>
      </c>
      <c r="Z757" s="4" t="s">
        <v>329</v>
      </c>
      <c r="AA757" s="3">
        <v>342</v>
      </c>
      <c r="AB757" s="3">
        <v>231</v>
      </c>
      <c r="AC757" s="3">
        <v>1017</v>
      </c>
      <c r="AD757" s="3">
        <v>6</v>
      </c>
      <c r="AE757" s="3">
        <v>9</v>
      </c>
      <c r="AF757" s="3">
        <v>15</v>
      </c>
      <c r="AG757" s="3">
        <v>34</v>
      </c>
      <c r="AH757" s="3">
        <v>5</v>
      </c>
      <c r="AI757" s="3">
        <v>13</v>
      </c>
      <c r="AJ757" s="3">
        <v>1</v>
      </c>
      <c r="AK757" s="3">
        <v>7</v>
      </c>
      <c r="AL757" s="3">
        <v>6</v>
      </c>
      <c r="AM757" s="3">
        <v>14</v>
      </c>
      <c r="AN757" s="3">
        <v>4</v>
      </c>
      <c r="AO757" s="3">
        <v>6</v>
      </c>
      <c r="AP757" s="3">
        <v>0</v>
      </c>
      <c r="AQ757" s="3">
        <v>0</v>
      </c>
      <c r="AR757" s="2" t="s">
        <v>5</v>
      </c>
      <c r="AS757" s="2" t="s">
        <v>16</v>
      </c>
      <c r="AT757" s="5" t="str">
        <f>HYPERLINK("http://catalog.hathitrust.org/Record/000650802","HathiTrust Record")</f>
        <v>HathiTrust Record</v>
      </c>
      <c r="AU757" s="5" t="str">
        <f>HYPERLINK("https://creighton-primo.hosted.exlibrisgroup.com/primo-explore/search?tab=default_tab&amp;search_scope=EVERYTHING&amp;vid=01CRU&amp;lang=en_US&amp;offset=0&amp;query=any,contains,991000738629702656","Catalog Record")</f>
        <v>Catalog Record</v>
      </c>
      <c r="AV757" s="5" t="str">
        <f>HYPERLINK("http://www.worldcat.org/oclc/11468885","WorldCat Record")</f>
        <v>WorldCat Record</v>
      </c>
      <c r="AW757" s="2" t="s">
        <v>9266</v>
      </c>
      <c r="AX757" s="2" t="s">
        <v>9267</v>
      </c>
      <c r="AY757" s="2" t="s">
        <v>9268</v>
      </c>
      <c r="AZ757" s="2" t="s">
        <v>9268</v>
      </c>
      <c r="BA757" s="2" t="s">
        <v>9269</v>
      </c>
      <c r="BB757" s="2" t="s">
        <v>21</v>
      </c>
      <c r="BD757" s="2" t="s">
        <v>9270</v>
      </c>
      <c r="BE757" s="2" t="s">
        <v>9271</v>
      </c>
      <c r="BF757" s="2" t="s">
        <v>9272</v>
      </c>
    </row>
    <row r="758" spans="1:58" ht="41.25" customHeight="1" x14ac:dyDescent="0.25">
      <c r="A758" s="8" t="s">
        <v>5</v>
      </c>
      <c r="B758" s="1" t="s">
        <v>0</v>
      </c>
      <c r="C758" s="1" t="s">
        <v>1</v>
      </c>
      <c r="D758" s="1" t="s">
        <v>9273</v>
      </c>
      <c r="E758" s="1" t="s">
        <v>9274</v>
      </c>
      <c r="F758" s="1" t="s">
        <v>9275</v>
      </c>
      <c r="H758" s="2" t="s">
        <v>5</v>
      </c>
      <c r="I758" s="2" t="s">
        <v>6</v>
      </c>
      <c r="J758" s="2" t="s">
        <v>5</v>
      </c>
      <c r="K758" s="2" t="s">
        <v>16</v>
      </c>
      <c r="L758" s="2" t="s">
        <v>7</v>
      </c>
      <c r="N758" s="1" t="s">
        <v>8296</v>
      </c>
      <c r="O758" s="2" t="s">
        <v>989</v>
      </c>
      <c r="P758" s="1" t="s">
        <v>901</v>
      </c>
      <c r="Q758" s="2" t="s">
        <v>11</v>
      </c>
      <c r="R758" s="2" t="s">
        <v>426</v>
      </c>
      <c r="T758" s="2" t="s">
        <v>520</v>
      </c>
      <c r="U758" s="3">
        <v>37</v>
      </c>
      <c r="V758" s="3">
        <v>37</v>
      </c>
      <c r="W758" s="4" t="s">
        <v>9276</v>
      </c>
      <c r="X758" s="4" t="s">
        <v>9276</v>
      </c>
      <c r="Y758" s="4" t="s">
        <v>9277</v>
      </c>
      <c r="Z758" s="4" t="s">
        <v>9277</v>
      </c>
      <c r="AA758" s="3">
        <v>397</v>
      </c>
      <c r="AB758" s="3">
        <v>314</v>
      </c>
      <c r="AC758" s="3">
        <v>1017</v>
      </c>
      <c r="AD758" s="3">
        <v>4</v>
      </c>
      <c r="AE758" s="3">
        <v>9</v>
      </c>
      <c r="AF758" s="3">
        <v>16</v>
      </c>
      <c r="AG758" s="3">
        <v>34</v>
      </c>
      <c r="AH758" s="3">
        <v>5</v>
      </c>
      <c r="AI758" s="3">
        <v>13</v>
      </c>
      <c r="AJ758" s="3">
        <v>4</v>
      </c>
      <c r="AK758" s="3">
        <v>7</v>
      </c>
      <c r="AL758" s="3">
        <v>8</v>
      </c>
      <c r="AM758" s="3">
        <v>14</v>
      </c>
      <c r="AN758" s="3">
        <v>3</v>
      </c>
      <c r="AO758" s="3">
        <v>6</v>
      </c>
      <c r="AP758" s="3">
        <v>0</v>
      </c>
      <c r="AQ758" s="3">
        <v>0</v>
      </c>
      <c r="AR758" s="2" t="s">
        <v>5</v>
      </c>
      <c r="AS758" s="2" t="s">
        <v>16</v>
      </c>
      <c r="AT758" s="5" t="str">
        <f>HYPERLINK("http://catalog.hathitrust.org/Record/001827631","HathiTrust Record")</f>
        <v>HathiTrust Record</v>
      </c>
      <c r="AU758" s="5" t="str">
        <f>HYPERLINK("https://creighton-primo.hosted.exlibrisgroup.com/primo-explore/search?tab=default_tab&amp;search_scope=EVERYTHING&amp;vid=01CRU&amp;lang=en_US&amp;offset=0&amp;query=any,contains,991001452299702656","Catalog Record")</f>
        <v>Catalog Record</v>
      </c>
      <c r="AV758" s="5" t="str">
        <f>HYPERLINK("http://www.worldcat.org/oclc/19630779","WorldCat Record")</f>
        <v>WorldCat Record</v>
      </c>
      <c r="AW758" s="2" t="s">
        <v>9266</v>
      </c>
      <c r="AX758" s="2" t="s">
        <v>9278</v>
      </c>
      <c r="AY758" s="2" t="s">
        <v>9279</v>
      </c>
      <c r="AZ758" s="2" t="s">
        <v>9279</v>
      </c>
      <c r="BA758" s="2" t="s">
        <v>9280</v>
      </c>
      <c r="BB758" s="2" t="s">
        <v>21</v>
      </c>
      <c r="BD758" s="2" t="s">
        <v>9281</v>
      </c>
      <c r="BE758" s="2" t="s">
        <v>9282</v>
      </c>
      <c r="BF758" s="2" t="s">
        <v>9283</v>
      </c>
    </row>
    <row r="759" spans="1:58" ht="41.25" customHeight="1" x14ac:dyDescent="0.25">
      <c r="A759" s="8" t="s">
        <v>5</v>
      </c>
      <c r="B759" s="1" t="s">
        <v>0</v>
      </c>
      <c r="C759" s="1" t="s">
        <v>1</v>
      </c>
      <c r="D759" s="1" t="s">
        <v>9284</v>
      </c>
      <c r="E759" s="1" t="s">
        <v>9285</v>
      </c>
      <c r="F759" s="1" t="s">
        <v>9286</v>
      </c>
      <c r="H759" s="2" t="s">
        <v>5</v>
      </c>
      <c r="I759" s="2" t="s">
        <v>6</v>
      </c>
      <c r="J759" s="2" t="s">
        <v>5</v>
      </c>
      <c r="K759" s="2" t="s">
        <v>16</v>
      </c>
      <c r="L759" s="2" t="s">
        <v>7</v>
      </c>
      <c r="N759" s="1" t="s">
        <v>8171</v>
      </c>
      <c r="O759" s="2" t="s">
        <v>4990</v>
      </c>
      <c r="P759" s="1" t="s">
        <v>211</v>
      </c>
      <c r="Q759" s="2" t="s">
        <v>11</v>
      </c>
      <c r="R759" s="2" t="s">
        <v>31</v>
      </c>
      <c r="T759" s="2" t="s">
        <v>520</v>
      </c>
      <c r="U759" s="3">
        <v>3</v>
      </c>
      <c r="V759" s="3">
        <v>3</v>
      </c>
      <c r="W759" s="4" t="s">
        <v>9287</v>
      </c>
      <c r="X759" s="4" t="s">
        <v>9287</v>
      </c>
      <c r="Y759" s="4" t="s">
        <v>8196</v>
      </c>
      <c r="Z759" s="4" t="s">
        <v>8196</v>
      </c>
      <c r="AA759" s="3">
        <v>397</v>
      </c>
      <c r="AB759" s="3">
        <v>298</v>
      </c>
      <c r="AC759" s="3">
        <v>824</v>
      </c>
      <c r="AD759" s="3">
        <v>2</v>
      </c>
      <c r="AE759" s="3">
        <v>7</v>
      </c>
      <c r="AF759" s="3">
        <v>9</v>
      </c>
      <c r="AG759" s="3">
        <v>35</v>
      </c>
      <c r="AH759" s="3">
        <v>3</v>
      </c>
      <c r="AI759" s="3">
        <v>15</v>
      </c>
      <c r="AJ759" s="3">
        <v>1</v>
      </c>
      <c r="AK759" s="3">
        <v>7</v>
      </c>
      <c r="AL759" s="3">
        <v>5</v>
      </c>
      <c r="AM759" s="3">
        <v>15</v>
      </c>
      <c r="AN759" s="3">
        <v>1</v>
      </c>
      <c r="AO759" s="3">
        <v>5</v>
      </c>
      <c r="AP759" s="3">
        <v>0</v>
      </c>
      <c r="AQ759" s="3">
        <v>0</v>
      </c>
      <c r="AR759" s="2" t="s">
        <v>5</v>
      </c>
      <c r="AS759" s="2" t="s">
        <v>16</v>
      </c>
      <c r="AT759" s="5" t="str">
        <f>HYPERLINK("http://catalog.hathitrust.org/Record/003563615","HathiTrust Record")</f>
        <v>HathiTrust Record</v>
      </c>
      <c r="AU759" s="5" t="str">
        <f>HYPERLINK("https://creighton-primo.hosted.exlibrisgroup.com/primo-explore/search?tab=default_tab&amp;search_scope=EVERYTHING&amp;vid=01CRU&amp;lang=en_US&amp;offset=0&amp;query=any,contains,991000456259702656","Catalog Record")</f>
        <v>Catalog Record</v>
      </c>
      <c r="AV759" s="5" t="str">
        <f>HYPERLINK("http://www.worldcat.org/oclc/46785598","WorldCat Record")</f>
        <v>WorldCat Record</v>
      </c>
      <c r="AW759" s="2" t="s">
        <v>9288</v>
      </c>
      <c r="AX759" s="2" t="s">
        <v>9289</v>
      </c>
      <c r="AY759" s="2" t="s">
        <v>9290</v>
      </c>
      <c r="AZ759" s="2" t="s">
        <v>9290</v>
      </c>
      <c r="BA759" s="2" t="s">
        <v>9291</v>
      </c>
      <c r="BB759" s="2" t="s">
        <v>21</v>
      </c>
      <c r="BD759" s="2" t="s">
        <v>9292</v>
      </c>
      <c r="BE759" s="2" t="s">
        <v>9293</v>
      </c>
      <c r="BF759" s="2" t="s">
        <v>9294</v>
      </c>
    </row>
    <row r="760" spans="1:58" ht="41.25" customHeight="1" x14ac:dyDescent="0.25">
      <c r="A760" s="8" t="s">
        <v>5</v>
      </c>
      <c r="B760" s="1" t="s">
        <v>0</v>
      </c>
      <c r="C760" s="1" t="s">
        <v>1</v>
      </c>
      <c r="D760" s="1" t="s">
        <v>9295</v>
      </c>
      <c r="E760" s="1" t="s">
        <v>9296</v>
      </c>
      <c r="F760" s="1" t="s">
        <v>9297</v>
      </c>
      <c r="H760" s="2" t="s">
        <v>5</v>
      </c>
      <c r="I760" s="2" t="s">
        <v>6</v>
      </c>
      <c r="J760" s="2" t="s">
        <v>5</v>
      </c>
      <c r="K760" s="2" t="s">
        <v>5</v>
      </c>
      <c r="L760" s="2" t="s">
        <v>7</v>
      </c>
      <c r="M760" s="1" t="s">
        <v>4257</v>
      </c>
      <c r="N760" s="1" t="s">
        <v>640</v>
      </c>
      <c r="O760" s="2" t="s">
        <v>136</v>
      </c>
      <c r="Q760" s="2" t="s">
        <v>11</v>
      </c>
      <c r="R760" s="2" t="s">
        <v>78</v>
      </c>
      <c r="T760" s="2" t="s">
        <v>520</v>
      </c>
      <c r="U760" s="3">
        <v>6</v>
      </c>
      <c r="V760" s="3">
        <v>6</v>
      </c>
      <c r="W760" s="4" t="s">
        <v>9298</v>
      </c>
      <c r="X760" s="4" t="s">
        <v>9298</v>
      </c>
      <c r="Y760" s="4" t="s">
        <v>9299</v>
      </c>
      <c r="Z760" s="4" t="s">
        <v>9299</v>
      </c>
      <c r="AA760" s="3">
        <v>236</v>
      </c>
      <c r="AB760" s="3">
        <v>171</v>
      </c>
      <c r="AC760" s="3">
        <v>260</v>
      </c>
      <c r="AD760" s="3">
        <v>3</v>
      </c>
      <c r="AE760" s="3">
        <v>3</v>
      </c>
      <c r="AF760" s="3">
        <v>6</v>
      </c>
      <c r="AG760" s="3">
        <v>8</v>
      </c>
      <c r="AH760" s="3">
        <v>2</v>
      </c>
      <c r="AI760" s="3">
        <v>2</v>
      </c>
      <c r="AJ760" s="3">
        <v>2</v>
      </c>
      <c r="AK760" s="3">
        <v>2</v>
      </c>
      <c r="AL760" s="3">
        <v>4</v>
      </c>
      <c r="AM760" s="3">
        <v>6</v>
      </c>
      <c r="AN760" s="3">
        <v>1</v>
      </c>
      <c r="AO760" s="3">
        <v>1</v>
      </c>
      <c r="AP760" s="3">
        <v>0</v>
      </c>
      <c r="AQ760" s="3">
        <v>0</v>
      </c>
      <c r="AR760" s="2" t="s">
        <v>5</v>
      </c>
      <c r="AS760" s="2" t="s">
        <v>16</v>
      </c>
      <c r="AT760" s="5" t="str">
        <f>HYPERLINK("http://catalog.hathitrust.org/Record/002235323","HathiTrust Record")</f>
        <v>HathiTrust Record</v>
      </c>
      <c r="AU760" s="5" t="str">
        <f>HYPERLINK("https://creighton-primo.hosted.exlibrisgroup.com/primo-explore/search?tab=default_tab&amp;search_scope=EVERYTHING&amp;vid=01CRU&amp;lang=en_US&amp;offset=0&amp;query=any,contains,991001489859702656","Catalog Record")</f>
        <v>Catalog Record</v>
      </c>
      <c r="AV760" s="5" t="str">
        <f>HYPERLINK("http://www.worldcat.org/oclc/21759187","WorldCat Record")</f>
        <v>WorldCat Record</v>
      </c>
      <c r="AW760" s="2" t="s">
        <v>9300</v>
      </c>
      <c r="AX760" s="2" t="s">
        <v>9301</v>
      </c>
      <c r="AY760" s="2" t="s">
        <v>9302</v>
      </c>
      <c r="AZ760" s="2" t="s">
        <v>9302</v>
      </c>
      <c r="BA760" s="2" t="s">
        <v>9303</v>
      </c>
      <c r="BB760" s="2" t="s">
        <v>21</v>
      </c>
      <c r="BD760" s="2" t="s">
        <v>9304</v>
      </c>
      <c r="BE760" s="2" t="s">
        <v>9305</v>
      </c>
      <c r="BF760" s="2" t="s">
        <v>9306</v>
      </c>
    </row>
    <row r="761" spans="1:58" ht="41.25" customHeight="1" x14ac:dyDescent="0.25">
      <c r="A761" s="8" t="s">
        <v>5</v>
      </c>
      <c r="B761" s="1" t="s">
        <v>0</v>
      </c>
      <c r="C761" s="1" t="s">
        <v>1</v>
      </c>
      <c r="D761" s="1" t="s">
        <v>9307</v>
      </c>
      <c r="E761" s="1" t="s">
        <v>9308</v>
      </c>
      <c r="F761" s="1" t="s">
        <v>9309</v>
      </c>
      <c r="H761" s="2" t="s">
        <v>5</v>
      </c>
      <c r="I761" s="2" t="s">
        <v>6</v>
      </c>
      <c r="J761" s="2" t="s">
        <v>5</v>
      </c>
      <c r="K761" s="2" t="s">
        <v>5</v>
      </c>
      <c r="L761" s="2" t="s">
        <v>7</v>
      </c>
      <c r="N761" s="1" t="s">
        <v>9310</v>
      </c>
      <c r="O761" s="2" t="s">
        <v>1887</v>
      </c>
      <c r="Q761" s="2" t="s">
        <v>11</v>
      </c>
      <c r="R761" s="2" t="s">
        <v>12</v>
      </c>
      <c r="S761" s="1" t="s">
        <v>9311</v>
      </c>
      <c r="T761" s="2" t="s">
        <v>520</v>
      </c>
      <c r="U761" s="3">
        <v>2</v>
      </c>
      <c r="V761" s="3">
        <v>2</v>
      </c>
      <c r="W761" s="4" t="s">
        <v>9312</v>
      </c>
      <c r="X761" s="4" t="s">
        <v>9312</v>
      </c>
      <c r="Y761" s="4" t="s">
        <v>604</v>
      </c>
      <c r="Z761" s="4" t="s">
        <v>604</v>
      </c>
      <c r="AA761" s="3">
        <v>429</v>
      </c>
      <c r="AB761" s="3">
        <v>364</v>
      </c>
      <c r="AC761" s="3">
        <v>371</v>
      </c>
      <c r="AD761" s="3">
        <v>5</v>
      </c>
      <c r="AE761" s="3">
        <v>5</v>
      </c>
      <c r="AF761" s="3">
        <v>22</v>
      </c>
      <c r="AG761" s="3">
        <v>22</v>
      </c>
      <c r="AH761" s="3">
        <v>9</v>
      </c>
      <c r="AI761" s="3">
        <v>9</v>
      </c>
      <c r="AJ761" s="3">
        <v>4</v>
      </c>
      <c r="AK761" s="3">
        <v>4</v>
      </c>
      <c r="AL761" s="3">
        <v>9</v>
      </c>
      <c r="AM761" s="3">
        <v>9</v>
      </c>
      <c r="AN761" s="3">
        <v>3</v>
      </c>
      <c r="AO761" s="3">
        <v>3</v>
      </c>
      <c r="AP761" s="3">
        <v>0</v>
      </c>
      <c r="AQ761" s="3">
        <v>0</v>
      </c>
      <c r="AR761" s="2" t="s">
        <v>5</v>
      </c>
      <c r="AS761" s="2" t="s">
        <v>16</v>
      </c>
      <c r="AT761" s="5" t="str">
        <f>HYPERLINK("http://catalog.hathitrust.org/Record/002720069","HathiTrust Record")</f>
        <v>HathiTrust Record</v>
      </c>
      <c r="AU761" s="5" t="str">
        <f>HYPERLINK("https://creighton-primo.hosted.exlibrisgroup.com/primo-explore/search?tab=default_tab&amp;search_scope=EVERYTHING&amp;vid=01CRU&amp;lang=en_US&amp;offset=0&amp;query=any,contains,991000238959702656","Catalog Record")</f>
        <v>Catalog Record</v>
      </c>
      <c r="AV761" s="5" t="str">
        <f>HYPERLINK("http://www.worldcat.org/oclc/27812276","WorldCat Record")</f>
        <v>WorldCat Record</v>
      </c>
      <c r="AW761" s="2" t="s">
        <v>9313</v>
      </c>
      <c r="AX761" s="2" t="s">
        <v>9314</v>
      </c>
      <c r="AY761" s="2" t="s">
        <v>9315</v>
      </c>
      <c r="AZ761" s="2" t="s">
        <v>9315</v>
      </c>
      <c r="BA761" s="2" t="s">
        <v>9316</v>
      </c>
      <c r="BB761" s="2" t="s">
        <v>21</v>
      </c>
      <c r="BD761" s="2" t="s">
        <v>9317</v>
      </c>
      <c r="BE761" s="2" t="s">
        <v>9318</v>
      </c>
      <c r="BF761" s="2" t="s">
        <v>9319</v>
      </c>
    </row>
    <row r="762" spans="1:58" ht="41.25" customHeight="1" x14ac:dyDescent="0.25">
      <c r="A762" s="8" t="s">
        <v>5</v>
      </c>
      <c r="B762" s="1" t="s">
        <v>0</v>
      </c>
      <c r="C762" s="1" t="s">
        <v>1</v>
      </c>
      <c r="D762" s="1" t="s">
        <v>9320</v>
      </c>
      <c r="E762" s="1" t="s">
        <v>9321</v>
      </c>
      <c r="F762" s="1" t="s">
        <v>9322</v>
      </c>
      <c r="H762" s="2" t="s">
        <v>5</v>
      </c>
      <c r="I762" s="2" t="s">
        <v>6</v>
      </c>
      <c r="J762" s="2" t="s">
        <v>5</v>
      </c>
      <c r="K762" s="2" t="s">
        <v>5</v>
      </c>
      <c r="L762" s="2" t="s">
        <v>7</v>
      </c>
      <c r="N762" s="1" t="s">
        <v>4828</v>
      </c>
      <c r="O762" s="2" t="s">
        <v>1283</v>
      </c>
      <c r="Q762" s="2" t="s">
        <v>11</v>
      </c>
      <c r="R762" s="2" t="s">
        <v>12</v>
      </c>
      <c r="S762" s="1" t="s">
        <v>9323</v>
      </c>
      <c r="T762" s="2" t="s">
        <v>520</v>
      </c>
      <c r="U762" s="3">
        <v>1</v>
      </c>
      <c r="V762" s="3">
        <v>1</v>
      </c>
      <c r="W762" s="4" t="s">
        <v>547</v>
      </c>
      <c r="X762" s="4" t="s">
        <v>547</v>
      </c>
      <c r="Y762" s="4" t="s">
        <v>604</v>
      </c>
      <c r="Z762" s="4" t="s">
        <v>604</v>
      </c>
      <c r="AA762" s="3">
        <v>310</v>
      </c>
      <c r="AB762" s="3">
        <v>269</v>
      </c>
      <c r="AC762" s="3">
        <v>271</v>
      </c>
      <c r="AD762" s="3">
        <v>4</v>
      </c>
      <c r="AE762" s="3">
        <v>4</v>
      </c>
      <c r="AF762" s="3">
        <v>26</v>
      </c>
      <c r="AG762" s="3">
        <v>26</v>
      </c>
      <c r="AH762" s="3">
        <v>11</v>
      </c>
      <c r="AI762" s="3">
        <v>11</v>
      </c>
      <c r="AJ762" s="3">
        <v>7</v>
      </c>
      <c r="AK762" s="3">
        <v>7</v>
      </c>
      <c r="AL762" s="3">
        <v>11</v>
      </c>
      <c r="AM762" s="3">
        <v>11</v>
      </c>
      <c r="AN762" s="3">
        <v>2</v>
      </c>
      <c r="AO762" s="3">
        <v>2</v>
      </c>
      <c r="AP762" s="3">
        <v>0</v>
      </c>
      <c r="AQ762" s="3">
        <v>0</v>
      </c>
      <c r="AR762" s="2" t="s">
        <v>5</v>
      </c>
      <c r="AS762" s="2" t="s">
        <v>16</v>
      </c>
      <c r="AT762" s="5" t="str">
        <f>HYPERLINK("http://catalog.hathitrust.org/Record/003126714","HathiTrust Record")</f>
        <v>HathiTrust Record</v>
      </c>
      <c r="AU762" s="5" t="str">
        <f>HYPERLINK("https://creighton-primo.hosted.exlibrisgroup.com/primo-explore/search?tab=default_tab&amp;search_scope=EVERYTHING&amp;vid=01CRU&amp;lang=en_US&amp;offset=0&amp;query=any,contains,991000264579702656","Catalog Record")</f>
        <v>Catalog Record</v>
      </c>
      <c r="AV762" s="5" t="str">
        <f>HYPERLINK("http://www.worldcat.org/oclc/36074289","WorldCat Record")</f>
        <v>WorldCat Record</v>
      </c>
      <c r="AW762" s="2" t="s">
        <v>9324</v>
      </c>
      <c r="AX762" s="2" t="s">
        <v>9325</v>
      </c>
      <c r="AY762" s="2" t="s">
        <v>9326</v>
      </c>
      <c r="AZ762" s="2" t="s">
        <v>9326</v>
      </c>
      <c r="BA762" s="2" t="s">
        <v>9327</v>
      </c>
      <c r="BB762" s="2" t="s">
        <v>21</v>
      </c>
      <c r="BD762" s="2" t="s">
        <v>9328</v>
      </c>
      <c r="BE762" s="2" t="s">
        <v>9329</v>
      </c>
      <c r="BF762" s="2" t="s">
        <v>9330</v>
      </c>
    </row>
    <row r="763" spans="1:58" ht="41.25" customHeight="1" x14ac:dyDescent="0.25">
      <c r="A763" s="8" t="s">
        <v>5</v>
      </c>
      <c r="B763" s="1" t="s">
        <v>0</v>
      </c>
      <c r="C763" s="1" t="s">
        <v>1</v>
      </c>
      <c r="D763" s="1" t="s">
        <v>9331</v>
      </c>
      <c r="E763" s="1" t="s">
        <v>9332</v>
      </c>
      <c r="F763" s="1" t="s">
        <v>9333</v>
      </c>
      <c r="H763" s="2" t="s">
        <v>5</v>
      </c>
      <c r="I763" s="2" t="s">
        <v>6</v>
      </c>
      <c r="J763" s="2" t="s">
        <v>5</v>
      </c>
      <c r="K763" s="2" t="s">
        <v>16</v>
      </c>
      <c r="L763" s="2" t="s">
        <v>7</v>
      </c>
      <c r="N763" s="1" t="s">
        <v>5551</v>
      </c>
      <c r="O763" s="2" t="s">
        <v>210</v>
      </c>
      <c r="P763" s="1" t="s">
        <v>211</v>
      </c>
      <c r="Q763" s="2" t="s">
        <v>11</v>
      </c>
      <c r="R763" s="2" t="s">
        <v>78</v>
      </c>
      <c r="T763" s="2" t="s">
        <v>520</v>
      </c>
      <c r="U763" s="3">
        <v>24</v>
      </c>
      <c r="V763" s="3">
        <v>24</v>
      </c>
      <c r="W763" s="4" t="s">
        <v>2104</v>
      </c>
      <c r="X763" s="4" t="s">
        <v>2104</v>
      </c>
      <c r="Y763" s="4" t="s">
        <v>3416</v>
      </c>
      <c r="Z763" s="4" t="s">
        <v>3416</v>
      </c>
      <c r="AA763" s="3">
        <v>276</v>
      </c>
      <c r="AB763" s="3">
        <v>195</v>
      </c>
      <c r="AC763" s="3">
        <v>720</v>
      </c>
      <c r="AD763" s="3">
        <v>2</v>
      </c>
      <c r="AE763" s="3">
        <v>7</v>
      </c>
      <c r="AF763" s="3">
        <v>8</v>
      </c>
      <c r="AG763" s="3">
        <v>30</v>
      </c>
      <c r="AH763" s="3">
        <v>2</v>
      </c>
      <c r="AI763" s="3">
        <v>12</v>
      </c>
      <c r="AJ763" s="3">
        <v>1</v>
      </c>
      <c r="AK763" s="3">
        <v>4</v>
      </c>
      <c r="AL763" s="3">
        <v>5</v>
      </c>
      <c r="AM763" s="3">
        <v>15</v>
      </c>
      <c r="AN763" s="3">
        <v>1</v>
      </c>
      <c r="AO763" s="3">
        <v>5</v>
      </c>
      <c r="AP763" s="3">
        <v>0</v>
      </c>
      <c r="AQ763" s="3">
        <v>0</v>
      </c>
      <c r="AR763" s="2" t="s">
        <v>5</v>
      </c>
      <c r="AS763" s="2" t="s">
        <v>16</v>
      </c>
      <c r="AT763" s="5" t="str">
        <f>HYPERLINK("http://catalog.hathitrust.org/Record/002527134","HathiTrust Record")</f>
        <v>HathiTrust Record</v>
      </c>
      <c r="AU763" s="5" t="str">
        <f>HYPERLINK("https://creighton-primo.hosted.exlibrisgroup.com/primo-explore/search?tab=default_tab&amp;search_scope=EVERYTHING&amp;vid=01CRU&amp;lang=en_US&amp;offset=0&amp;query=any,contains,991001302559702656","Catalog Record")</f>
        <v>Catalog Record</v>
      </c>
      <c r="AV763" s="5" t="str">
        <f>HYPERLINK("http://www.worldcat.org/oclc/24319051","WorldCat Record")</f>
        <v>WorldCat Record</v>
      </c>
      <c r="AW763" s="2" t="s">
        <v>9334</v>
      </c>
      <c r="AX763" s="2" t="s">
        <v>9335</v>
      </c>
      <c r="AY763" s="2" t="s">
        <v>9336</v>
      </c>
      <c r="AZ763" s="2" t="s">
        <v>9336</v>
      </c>
      <c r="BA763" s="2" t="s">
        <v>9337</v>
      </c>
      <c r="BB763" s="2" t="s">
        <v>21</v>
      </c>
      <c r="BD763" s="2" t="s">
        <v>9338</v>
      </c>
      <c r="BE763" s="2" t="s">
        <v>9339</v>
      </c>
      <c r="BF763" s="2" t="s">
        <v>9340</v>
      </c>
    </row>
    <row r="764" spans="1:58" ht="41.25" customHeight="1" x14ac:dyDescent="0.25">
      <c r="A764" s="8" t="s">
        <v>5</v>
      </c>
      <c r="B764" s="1" t="s">
        <v>0</v>
      </c>
      <c r="C764" s="1" t="s">
        <v>1</v>
      </c>
      <c r="D764" s="1" t="s">
        <v>9341</v>
      </c>
      <c r="E764" s="1" t="s">
        <v>9342</v>
      </c>
      <c r="F764" s="1" t="s">
        <v>9343</v>
      </c>
      <c r="H764" s="2" t="s">
        <v>5</v>
      </c>
      <c r="I764" s="2" t="s">
        <v>6</v>
      </c>
      <c r="J764" s="2" t="s">
        <v>5</v>
      </c>
      <c r="K764" s="2" t="s">
        <v>16</v>
      </c>
      <c r="L764" s="2" t="s">
        <v>7</v>
      </c>
      <c r="N764" s="1" t="s">
        <v>1390</v>
      </c>
      <c r="O764" s="2" t="s">
        <v>1391</v>
      </c>
      <c r="P764" s="1" t="s">
        <v>1208</v>
      </c>
      <c r="Q764" s="2" t="s">
        <v>11</v>
      </c>
      <c r="R764" s="2" t="s">
        <v>78</v>
      </c>
      <c r="T764" s="2" t="s">
        <v>520</v>
      </c>
      <c r="U764" s="3">
        <v>2</v>
      </c>
      <c r="V764" s="3">
        <v>2</v>
      </c>
      <c r="W764" s="4" t="s">
        <v>9048</v>
      </c>
      <c r="X764" s="4" t="s">
        <v>9048</v>
      </c>
      <c r="Y764" s="4" t="s">
        <v>9344</v>
      </c>
      <c r="Z764" s="4" t="s">
        <v>9344</v>
      </c>
      <c r="AA764" s="3">
        <v>329</v>
      </c>
      <c r="AB764" s="3">
        <v>231</v>
      </c>
      <c r="AC764" s="3">
        <v>720</v>
      </c>
      <c r="AD764" s="3">
        <v>2</v>
      </c>
      <c r="AE764" s="3">
        <v>7</v>
      </c>
      <c r="AF764" s="3">
        <v>12</v>
      </c>
      <c r="AG764" s="3">
        <v>30</v>
      </c>
      <c r="AH764" s="3">
        <v>7</v>
      </c>
      <c r="AI764" s="3">
        <v>12</v>
      </c>
      <c r="AJ764" s="3">
        <v>0</v>
      </c>
      <c r="AK764" s="3">
        <v>4</v>
      </c>
      <c r="AL764" s="3">
        <v>7</v>
      </c>
      <c r="AM764" s="3">
        <v>15</v>
      </c>
      <c r="AN764" s="3">
        <v>1</v>
      </c>
      <c r="AO764" s="3">
        <v>5</v>
      </c>
      <c r="AP764" s="3">
        <v>0</v>
      </c>
      <c r="AQ764" s="3">
        <v>0</v>
      </c>
      <c r="AR764" s="2" t="s">
        <v>5</v>
      </c>
      <c r="AS764" s="2" t="s">
        <v>5</v>
      </c>
      <c r="AU764" s="5" t="str">
        <f>HYPERLINK("https://creighton-primo.hosted.exlibrisgroup.com/primo-explore/search?tab=default_tab&amp;search_scope=EVERYTHING&amp;vid=01CRU&amp;lang=en_US&amp;offset=0&amp;query=any,contains,991000560999702656","Catalog Record")</f>
        <v>Catalog Record</v>
      </c>
      <c r="AV764" s="5" t="str">
        <f>HYPERLINK("http://www.worldcat.org/oclc/51978032","WorldCat Record")</f>
        <v>WorldCat Record</v>
      </c>
      <c r="AW764" s="2" t="s">
        <v>9334</v>
      </c>
      <c r="AX764" s="2" t="s">
        <v>9345</v>
      </c>
      <c r="AY764" s="2" t="s">
        <v>9346</v>
      </c>
      <c r="AZ764" s="2" t="s">
        <v>9346</v>
      </c>
      <c r="BA764" s="2" t="s">
        <v>9347</v>
      </c>
      <c r="BB764" s="2" t="s">
        <v>21</v>
      </c>
      <c r="BD764" s="2" t="s">
        <v>9348</v>
      </c>
      <c r="BE764" s="2" t="s">
        <v>9349</v>
      </c>
      <c r="BF764" s="2" t="s">
        <v>9350</v>
      </c>
    </row>
    <row r="765" spans="1:58" ht="41.25" customHeight="1" x14ac:dyDescent="0.25">
      <c r="A765" s="8" t="s">
        <v>5</v>
      </c>
      <c r="B765" s="1" t="s">
        <v>0</v>
      </c>
      <c r="C765" s="1" t="s">
        <v>1</v>
      </c>
      <c r="D765" s="1" t="s">
        <v>9351</v>
      </c>
      <c r="E765" s="1" t="s">
        <v>9352</v>
      </c>
      <c r="F765" s="1" t="s">
        <v>9353</v>
      </c>
      <c r="H765" s="2" t="s">
        <v>5</v>
      </c>
      <c r="I765" s="2" t="s">
        <v>6</v>
      </c>
      <c r="J765" s="2" t="s">
        <v>5</v>
      </c>
      <c r="K765" s="2" t="s">
        <v>5</v>
      </c>
      <c r="L765" s="2" t="s">
        <v>7</v>
      </c>
      <c r="N765" s="1" t="s">
        <v>6384</v>
      </c>
      <c r="O765" s="2" t="s">
        <v>1004</v>
      </c>
      <c r="Q765" s="2" t="s">
        <v>11</v>
      </c>
      <c r="R765" s="2" t="s">
        <v>78</v>
      </c>
      <c r="T765" s="2" t="s">
        <v>520</v>
      </c>
      <c r="U765" s="3">
        <v>2</v>
      </c>
      <c r="V765" s="3">
        <v>2</v>
      </c>
      <c r="W765" s="4" t="s">
        <v>9354</v>
      </c>
      <c r="X765" s="4" t="s">
        <v>9354</v>
      </c>
      <c r="Y765" s="4" t="s">
        <v>5117</v>
      </c>
      <c r="Z765" s="4" t="s">
        <v>5117</v>
      </c>
      <c r="AA765" s="3">
        <v>278</v>
      </c>
      <c r="AB765" s="3">
        <v>186</v>
      </c>
      <c r="AC765" s="3">
        <v>186</v>
      </c>
      <c r="AD765" s="3">
        <v>1</v>
      </c>
      <c r="AE765" s="3">
        <v>1</v>
      </c>
      <c r="AF765" s="3">
        <v>10</v>
      </c>
      <c r="AG765" s="3">
        <v>10</v>
      </c>
      <c r="AH765" s="3">
        <v>4</v>
      </c>
      <c r="AI765" s="3">
        <v>4</v>
      </c>
      <c r="AJ765" s="3">
        <v>2</v>
      </c>
      <c r="AK765" s="3">
        <v>2</v>
      </c>
      <c r="AL765" s="3">
        <v>7</v>
      </c>
      <c r="AM765" s="3">
        <v>7</v>
      </c>
      <c r="AN765" s="3">
        <v>0</v>
      </c>
      <c r="AO765" s="3">
        <v>0</v>
      </c>
      <c r="AP765" s="3">
        <v>0</v>
      </c>
      <c r="AQ765" s="3">
        <v>0</v>
      </c>
      <c r="AR765" s="2" t="s">
        <v>5</v>
      </c>
      <c r="AS765" s="2" t="s">
        <v>5</v>
      </c>
      <c r="AU765" s="5" t="str">
        <f>HYPERLINK("https://creighton-primo.hosted.exlibrisgroup.com/primo-explore/search?tab=default_tab&amp;search_scope=EVERYTHING&amp;vid=01CRU&amp;lang=en_US&amp;offset=0&amp;query=any,contains,991000318649702656","Catalog Record")</f>
        <v>Catalog Record</v>
      </c>
      <c r="AV765" s="5" t="str">
        <f>HYPERLINK("http://www.worldcat.org/oclc/38562389","WorldCat Record")</f>
        <v>WorldCat Record</v>
      </c>
      <c r="AW765" s="2" t="s">
        <v>9355</v>
      </c>
      <c r="AX765" s="2" t="s">
        <v>9356</v>
      </c>
      <c r="AY765" s="2" t="s">
        <v>9357</v>
      </c>
      <c r="AZ765" s="2" t="s">
        <v>9357</v>
      </c>
      <c r="BA765" s="2" t="s">
        <v>9358</v>
      </c>
      <c r="BB765" s="2" t="s">
        <v>21</v>
      </c>
      <c r="BD765" s="2" t="s">
        <v>9359</v>
      </c>
      <c r="BE765" s="2" t="s">
        <v>9360</v>
      </c>
      <c r="BF765" s="2" t="s">
        <v>9361</v>
      </c>
    </row>
    <row r="766" spans="1:58" ht="41.25" customHeight="1" x14ac:dyDescent="0.25">
      <c r="A766" s="8" t="s">
        <v>5</v>
      </c>
      <c r="B766" s="1" t="s">
        <v>0</v>
      </c>
      <c r="C766" s="1" t="s">
        <v>1</v>
      </c>
      <c r="D766" s="1" t="s">
        <v>9362</v>
      </c>
      <c r="E766" s="1" t="s">
        <v>9363</v>
      </c>
      <c r="F766" s="1" t="s">
        <v>9364</v>
      </c>
      <c r="H766" s="2" t="s">
        <v>5</v>
      </c>
      <c r="I766" s="2" t="s">
        <v>974</v>
      </c>
      <c r="J766" s="2" t="s">
        <v>5</v>
      </c>
      <c r="K766" s="2" t="s">
        <v>16</v>
      </c>
      <c r="L766" s="2" t="s">
        <v>7</v>
      </c>
      <c r="N766" s="1" t="s">
        <v>9365</v>
      </c>
      <c r="O766" s="2" t="s">
        <v>1004</v>
      </c>
      <c r="P766" s="1" t="s">
        <v>211</v>
      </c>
      <c r="Q766" s="2" t="s">
        <v>11</v>
      </c>
      <c r="R766" s="2" t="s">
        <v>271</v>
      </c>
      <c r="S766" s="1" t="s">
        <v>5991</v>
      </c>
      <c r="T766" s="2" t="s">
        <v>520</v>
      </c>
      <c r="U766" s="3">
        <v>2</v>
      </c>
      <c r="V766" s="3">
        <v>2</v>
      </c>
      <c r="W766" s="4" t="s">
        <v>9366</v>
      </c>
      <c r="X766" s="4" t="s">
        <v>9366</v>
      </c>
      <c r="Y766" s="4" t="s">
        <v>1157</v>
      </c>
      <c r="Z766" s="4" t="s">
        <v>1157</v>
      </c>
      <c r="AA766" s="3">
        <v>255</v>
      </c>
      <c r="AB766" s="3">
        <v>202</v>
      </c>
      <c r="AC766" s="3">
        <v>1597</v>
      </c>
      <c r="AD766" s="3">
        <v>1</v>
      </c>
      <c r="AE766" s="3">
        <v>5</v>
      </c>
      <c r="AF766" s="3">
        <v>10</v>
      </c>
      <c r="AG766" s="3">
        <v>45</v>
      </c>
      <c r="AH766" s="3">
        <v>5</v>
      </c>
      <c r="AI766" s="3">
        <v>23</v>
      </c>
      <c r="AJ766" s="3">
        <v>2</v>
      </c>
      <c r="AK766" s="3">
        <v>9</v>
      </c>
      <c r="AL766" s="3">
        <v>6</v>
      </c>
      <c r="AM766" s="3">
        <v>19</v>
      </c>
      <c r="AN766" s="3">
        <v>0</v>
      </c>
      <c r="AO766" s="3">
        <v>3</v>
      </c>
      <c r="AP766" s="3">
        <v>0</v>
      </c>
      <c r="AQ766" s="3">
        <v>0</v>
      </c>
      <c r="AR766" s="2" t="s">
        <v>5</v>
      </c>
      <c r="AS766" s="2" t="s">
        <v>16</v>
      </c>
      <c r="AT766" s="5" t="str">
        <f>HYPERLINK("http://catalog.hathitrust.org/Record/003324746","HathiTrust Record")</f>
        <v>HathiTrust Record</v>
      </c>
      <c r="AU766" s="5" t="str">
        <f>HYPERLINK("https://creighton-primo.hosted.exlibrisgroup.com/primo-explore/search?tab=default_tab&amp;search_scope=EVERYTHING&amp;vid=01CRU&amp;lang=en_US&amp;offset=0&amp;query=any,contains,991001553389702656","Catalog Record")</f>
        <v>Catalog Record</v>
      </c>
      <c r="AV766" s="5" t="str">
        <f>HYPERLINK("http://www.worldcat.org/oclc/39891445","WorldCat Record")</f>
        <v>WorldCat Record</v>
      </c>
      <c r="AW766" s="2" t="s">
        <v>9367</v>
      </c>
      <c r="AX766" s="2" t="s">
        <v>9368</v>
      </c>
      <c r="AY766" s="2" t="s">
        <v>9369</v>
      </c>
      <c r="AZ766" s="2" t="s">
        <v>9369</v>
      </c>
      <c r="BA766" s="2" t="s">
        <v>9370</v>
      </c>
      <c r="BB766" s="2" t="s">
        <v>21</v>
      </c>
      <c r="BD766" s="2" t="s">
        <v>9371</v>
      </c>
      <c r="BE766" s="2" t="s">
        <v>9372</v>
      </c>
      <c r="BF766" s="2" t="s">
        <v>9373</v>
      </c>
    </row>
    <row r="767" spans="1:58" ht="41.25" customHeight="1" x14ac:dyDescent="0.25">
      <c r="A767" s="8" t="s">
        <v>5</v>
      </c>
      <c r="B767" s="1" t="s">
        <v>0</v>
      </c>
      <c r="C767" s="1" t="s">
        <v>1</v>
      </c>
      <c r="D767" s="1" t="s">
        <v>9374</v>
      </c>
      <c r="E767" s="1" t="s">
        <v>9375</v>
      </c>
      <c r="F767" s="1" t="s">
        <v>9376</v>
      </c>
      <c r="H767" s="2" t="s">
        <v>5</v>
      </c>
      <c r="I767" s="2" t="s">
        <v>6</v>
      </c>
      <c r="J767" s="2" t="s">
        <v>5</v>
      </c>
      <c r="K767" s="2" t="s">
        <v>5</v>
      </c>
      <c r="L767" s="2" t="s">
        <v>7</v>
      </c>
      <c r="M767" s="1" t="s">
        <v>9377</v>
      </c>
      <c r="N767" s="1" t="s">
        <v>9378</v>
      </c>
      <c r="O767" s="2" t="s">
        <v>393</v>
      </c>
      <c r="Q767" s="2" t="s">
        <v>11</v>
      </c>
      <c r="R767" s="2" t="s">
        <v>426</v>
      </c>
      <c r="T767" s="2" t="s">
        <v>520</v>
      </c>
      <c r="U767" s="3">
        <v>18</v>
      </c>
      <c r="V767" s="3">
        <v>18</v>
      </c>
      <c r="W767" s="4" t="s">
        <v>9379</v>
      </c>
      <c r="X767" s="4" t="s">
        <v>9379</v>
      </c>
      <c r="Y767" s="4" t="s">
        <v>329</v>
      </c>
      <c r="Z767" s="4" t="s">
        <v>329</v>
      </c>
      <c r="AA767" s="3">
        <v>379</v>
      </c>
      <c r="AB767" s="3">
        <v>307</v>
      </c>
      <c r="AC767" s="3">
        <v>309</v>
      </c>
      <c r="AD767" s="3">
        <v>3</v>
      </c>
      <c r="AE767" s="3">
        <v>3</v>
      </c>
      <c r="AF767" s="3">
        <v>20</v>
      </c>
      <c r="AG767" s="3">
        <v>20</v>
      </c>
      <c r="AH767" s="3">
        <v>7</v>
      </c>
      <c r="AI767" s="3">
        <v>7</v>
      </c>
      <c r="AJ767" s="3">
        <v>6</v>
      </c>
      <c r="AK767" s="3">
        <v>6</v>
      </c>
      <c r="AL767" s="3">
        <v>8</v>
      </c>
      <c r="AM767" s="3">
        <v>8</v>
      </c>
      <c r="AN767" s="3">
        <v>2</v>
      </c>
      <c r="AO767" s="3">
        <v>2</v>
      </c>
      <c r="AP767" s="3">
        <v>0</v>
      </c>
      <c r="AQ767" s="3">
        <v>0</v>
      </c>
      <c r="AR767" s="2" t="s">
        <v>5</v>
      </c>
      <c r="AS767" s="2" t="s">
        <v>16</v>
      </c>
      <c r="AT767" s="5" t="str">
        <f>HYPERLINK("http://catalog.hathitrust.org/Record/000224142","HathiTrust Record")</f>
        <v>HathiTrust Record</v>
      </c>
      <c r="AU767" s="5" t="str">
        <f>HYPERLINK("https://creighton-primo.hosted.exlibrisgroup.com/primo-explore/search?tab=default_tab&amp;search_scope=EVERYTHING&amp;vid=01CRU&amp;lang=en_US&amp;offset=0&amp;query=any,contains,991000738599702656","Catalog Record")</f>
        <v>Catalog Record</v>
      </c>
      <c r="AV767" s="5" t="str">
        <f>HYPERLINK("http://www.worldcat.org/oclc/6861787","WorldCat Record")</f>
        <v>WorldCat Record</v>
      </c>
      <c r="AW767" s="2" t="s">
        <v>9380</v>
      </c>
      <c r="AX767" s="2" t="s">
        <v>9381</v>
      </c>
      <c r="AY767" s="2" t="s">
        <v>9382</v>
      </c>
      <c r="AZ767" s="2" t="s">
        <v>9382</v>
      </c>
      <c r="BA767" s="2" t="s">
        <v>9383</v>
      </c>
      <c r="BB767" s="2" t="s">
        <v>21</v>
      </c>
      <c r="BD767" s="2" t="s">
        <v>9384</v>
      </c>
      <c r="BE767" s="2" t="s">
        <v>9385</v>
      </c>
      <c r="BF767" s="2" t="s">
        <v>9386</v>
      </c>
    </row>
    <row r="768" spans="1:58" ht="41.25" customHeight="1" x14ac:dyDescent="0.25">
      <c r="A768" s="8" t="s">
        <v>5</v>
      </c>
      <c r="B768" s="1" t="s">
        <v>0</v>
      </c>
      <c r="C768" s="1" t="s">
        <v>1</v>
      </c>
      <c r="D768" s="1" t="s">
        <v>9387</v>
      </c>
      <c r="E768" s="1" t="s">
        <v>9388</v>
      </c>
      <c r="F768" s="1" t="s">
        <v>9389</v>
      </c>
      <c r="H768" s="2" t="s">
        <v>5</v>
      </c>
      <c r="I768" s="2" t="s">
        <v>6</v>
      </c>
      <c r="J768" s="2" t="s">
        <v>5</v>
      </c>
      <c r="K768" s="2" t="s">
        <v>5</v>
      </c>
      <c r="L768" s="2" t="s">
        <v>7</v>
      </c>
      <c r="M768" s="1" t="s">
        <v>9390</v>
      </c>
      <c r="N768" s="1" t="s">
        <v>2840</v>
      </c>
      <c r="O768" s="2" t="s">
        <v>872</v>
      </c>
      <c r="Q768" s="2" t="s">
        <v>11</v>
      </c>
      <c r="R768" s="2" t="s">
        <v>12</v>
      </c>
      <c r="S768" s="1" t="s">
        <v>9391</v>
      </c>
      <c r="T768" s="2" t="s">
        <v>520</v>
      </c>
      <c r="U768" s="3">
        <v>0</v>
      </c>
      <c r="V768" s="3">
        <v>0</v>
      </c>
      <c r="W768" s="4" t="s">
        <v>903</v>
      </c>
      <c r="X768" s="4" t="s">
        <v>903</v>
      </c>
      <c r="Y768" s="4" t="s">
        <v>604</v>
      </c>
      <c r="Z768" s="4" t="s">
        <v>604</v>
      </c>
      <c r="AA768" s="3">
        <v>213</v>
      </c>
      <c r="AB768" s="3">
        <v>183</v>
      </c>
      <c r="AC768" s="3">
        <v>190</v>
      </c>
      <c r="AD768" s="3">
        <v>3</v>
      </c>
      <c r="AE768" s="3">
        <v>3</v>
      </c>
      <c r="AF768" s="3">
        <v>12</v>
      </c>
      <c r="AG768" s="3">
        <v>12</v>
      </c>
      <c r="AH768" s="3">
        <v>3</v>
      </c>
      <c r="AI768" s="3">
        <v>3</v>
      </c>
      <c r="AJ768" s="3">
        <v>3</v>
      </c>
      <c r="AK768" s="3">
        <v>3</v>
      </c>
      <c r="AL768" s="3">
        <v>6</v>
      </c>
      <c r="AM768" s="3">
        <v>6</v>
      </c>
      <c r="AN768" s="3">
        <v>1</v>
      </c>
      <c r="AO768" s="3">
        <v>1</v>
      </c>
      <c r="AP768" s="3">
        <v>0</v>
      </c>
      <c r="AQ768" s="3">
        <v>0</v>
      </c>
      <c r="AR768" s="2" t="s">
        <v>5</v>
      </c>
      <c r="AS768" s="2" t="s">
        <v>16</v>
      </c>
      <c r="AT768" s="5" t="str">
        <f>HYPERLINK("http://catalog.hathitrust.org/Record/002508482","HathiTrust Record")</f>
        <v>HathiTrust Record</v>
      </c>
      <c r="AU768" s="5" t="str">
        <f>HYPERLINK("https://creighton-primo.hosted.exlibrisgroup.com/primo-explore/search?tab=default_tab&amp;search_scope=EVERYTHING&amp;vid=01CRU&amp;lang=en_US&amp;offset=0&amp;query=any,contains,991000220389702656","Catalog Record")</f>
        <v>Catalog Record</v>
      </c>
      <c r="AV768" s="5" t="str">
        <f>HYPERLINK("http://www.worldcat.org/oclc/22541739","WorldCat Record")</f>
        <v>WorldCat Record</v>
      </c>
      <c r="AW768" s="2" t="s">
        <v>9392</v>
      </c>
      <c r="AX768" s="2" t="s">
        <v>9393</v>
      </c>
      <c r="AY768" s="2" t="s">
        <v>9394</v>
      </c>
      <c r="AZ768" s="2" t="s">
        <v>9394</v>
      </c>
      <c r="BA768" s="2" t="s">
        <v>9395</v>
      </c>
      <c r="BB768" s="2" t="s">
        <v>21</v>
      </c>
      <c r="BD768" s="2" t="s">
        <v>9396</v>
      </c>
      <c r="BE768" s="2" t="s">
        <v>9397</v>
      </c>
      <c r="BF768" s="2" t="s">
        <v>9398</v>
      </c>
    </row>
    <row r="769" spans="1:58" ht="41.25" customHeight="1" x14ac:dyDescent="0.25">
      <c r="A769" s="8" t="s">
        <v>5</v>
      </c>
      <c r="B769" s="1" t="s">
        <v>0</v>
      </c>
      <c r="C769" s="1" t="s">
        <v>1</v>
      </c>
      <c r="D769" s="1" t="s">
        <v>9399</v>
      </c>
      <c r="E769" s="1" t="s">
        <v>9400</v>
      </c>
      <c r="F769" s="1" t="s">
        <v>9401</v>
      </c>
      <c r="H769" s="2" t="s">
        <v>5</v>
      </c>
      <c r="I769" s="2" t="s">
        <v>6</v>
      </c>
      <c r="J769" s="2" t="s">
        <v>5</v>
      </c>
      <c r="K769" s="2" t="s">
        <v>5</v>
      </c>
      <c r="L769" s="2" t="s">
        <v>7</v>
      </c>
      <c r="M769" s="1" t="s">
        <v>9402</v>
      </c>
      <c r="N769" s="1" t="s">
        <v>9403</v>
      </c>
      <c r="O769" s="2" t="s">
        <v>1887</v>
      </c>
      <c r="Q769" s="2" t="s">
        <v>11</v>
      </c>
      <c r="R769" s="2" t="s">
        <v>1019</v>
      </c>
      <c r="T769" s="2" t="s">
        <v>520</v>
      </c>
      <c r="U769" s="3">
        <v>7</v>
      </c>
      <c r="V769" s="3">
        <v>7</v>
      </c>
      <c r="W769" s="4" t="s">
        <v>9404</v>
      </c>
      <c r="X769" s="4" t="s">
        <v>9404</v>
      </c>
      <c r="Y769" s="4" t="s">
        <v>9405</v>
      </c>
      <c r="Z769" s="4" t="s">
        <v>9405</v>
      </c>
      <c r="AA769" s="3">
        <v>290</v>
      </c>
      <c r="AB769" s="3">
        <v>218</v>
      </c>
      <c r="AC769" s="3">
        <v>225</v>
      </c>
      <c r="AD769" s="3">
        <v>3</v>
      </c>
      <c r="AE769" s="3">
        <v>3</v>
      </c>
      <c r="AF769" s="3">
        <v>17</v>
      </c>
      <c r="AG769" s="3">
        <v>17</v>
      </c>
      <c r="AH769" s="3">
        <v>6</v>
      </c>
      <c r="AI769" s="3">
        <v>6</v>
      </c>
      <c r="AJ769" s="3">
        <v>4</v>
      </c>
      <c r="AK769" s="3">
        <v>4</v>
      </c>
      <c r="AL769" s="3">
        <v>11</v>
      </c>
      <c r="AM769" s="3">
        <v>11</v>
      </c>
      <c r="AN769" s="3">
        <v>2</v>
      </c>
      <c r="AO769" s="3">
        <v>2</v>
      </c>
      <c r="AP769" s="3">
        <v>0</v>
      </c>
      <c r="AQ769" s="3">
        <v>0</v>
      </c>
      <c r="AR769" s="2" t="s">
        <v>5</v>
      </c>
      <c r="AS769" s="2" t="s">
        <v>16</v>
      </c>
      <c r="AT769" s="5" t="str">
        <f>HYPERLINK("http://catalog.hathitrust.org/Record/002698802","HathiTrust Record")</f>
        <v>HathiTrust Record</v>
      </c>
      <c r="AU769" s="5" t="str">
        <f>HYPERLINK("https://creighton-primo.hosted.exlibrisgroup.com/primo-explore/search?tab=default_tab&amp;search_scope=EVERYTHING&amp;vid=01CRU&amp;lang=en_US&amp;offset=0&amp;query=any,contains,991001480929702656","Catalog Record")</f>
        <v>Catalog Record</v>
      </c>
      <c r="AV769" s="5" t="str">
        <f>HYPERLINK("http://www.worldcat.org/oclc/27894685","WorldCat Record")</f>
        <v>WorldCat Record</v>
      </c>
      <c r="AW769" s="2" t="s">
        <v>9406</v>
      </c>
      <c r="AX769" s="2" t="s">
        <v>9407</v>
      </c>
      <c r="AY769" s="2" t="s">
        <v>9408</v>
      </c>
      <c r="AZ769" s="2" t="s">
        <v>9408</v>
      </c>
      <c r="BA769" s="2" t="s">
        <v>9409</v>
      </c>
      <c r="BB769" s="2" t="s">
        <v>21</v>
      </c>
      <c r="BD769" s="2" t="s">
        <v>9410</v>
      </c>
      <c r="BE769" s="2" t="s">
        <v>9411</v>
      </c>
      <c r="BF769" s="2" t="s">
        <v>9412</v>
      </c>
    </row>
    <row r="770" spans="1:58" ht="41.25" customHeight="1" x14ac:dyDescent="0.25">
      <c r="A770" s="8" t="s">
        <v>5</v>
      </c>
      <c r="B770" s="1" t="s">
        <v>0</v>
      </c>
      <c r="C770" s="1" t="s">
        <v>1</v>
      </c>
      <c r="D770" s="1" t="s">
        <v>9413</v>
      </c>
      <c r="E770" s="1" t="s">
        <v>9414</v>
      </c>
      <c r="F770" s="1" t="s">
        <v>9415</v>
      </c>
      <c r="H770" s="2" t="s">
        <v>5</v>
      </c>
      <c r="I770" s="2" t="s">
        <v>6</v>
      </c>
      <c r="J770" s="2" t="s">
        <v>5</v>
      </c>
      <c r="K770" s="2" t="s">
        <v>5</v>
      </c>
      <c r="L770" s="2" t="s">
        <v>7</v>
      </c>
      <c r="N770" s="1" t="s">
        <v>1220</v>
      </c>
      <c r="O770" s="2" t="s">
        <v>10</v>
      </c>
      <c r="Q770" s="2" t="s">
        <v>11</v>
      </c>
      <c r="R770" s="2" t="s">
        <v>12</v>
      </c>
      <c r="S770" s="1" t="s">
        <v>9416</v>
      </c>
      <c r="T770" s="2" t="s">
        <v>520</v>
      </c>
      <c r="U770" s="3">
        <v>8</v>
      </c>
      <c r="V770" s="3">
        <v>8</v>
      </c>
      <c r="W770" s="4" t="s">
        <v>9417</v>
      </c>
      <c r="X770" s="4" t="s">
        <v>9417</v>
      </c>
      <c r="Y770" s="4" t="s">
        <v>9418</v>
      </c>
      <c r="Z770" s="4" t="s">
        <v>9418</v>
      </c>
      <c r="AA770" s="3">
        <v>200</v>
      </c>
      <c r="AB770" s="3">
        <v>171</v>
      </c>
      <c r="AC770" s="3">
        <v>179</v>
      </c>
      <c r="AD770" s="3">
        <v>2</v>
      </c>
      <c r="AE770" s="3">
        <v>2</v>
      </c>
      <c r="AF770" s="3">
        <v>10</v>
      </c>
      <c r="AG770" s="3">
        <v>10</v>
      </c>
      <c r="AH770" s="3">
        <v>3</v>
      </c>
      <c r="AI770" s="3">
        <v>3</v>
      </c>
      <c r="AJ770" s="3">
        <v>4</v>
      </c>
      <c r="AK770" s="3">
        <v>4</v>
      </c>
      <c r="AL770" s="3">
        <v>5</v>
      </c>
      <c r="AM770" s="3">
        <v>5</v>
      </c>
      <c r="AN770" s="3">
        <v>0</v>
      </c>
      <c r="AO770" s="3">
        <v>0</v>
      </c>
      <c r="AP770" s="3">
        <v>0</v>
      </c>
      <c r="AQ770" s="3">
        <v>0</v>
      </c>
      <c r="AR770" s="2" t="s">
        <v>5</v>
      </c>
      <c r="AS770" s="2" t="s">
        <v>16</v>
      </c>
      <c r="AT770" s="5" t="str">
        <f>HYPERLINK("http://catalog.hathitrust.org/Record/000690514","HathiTrust Record")</f>
        <v>HathiTrust Record</v>
      </c>
      <c r="AU770" s="5" t="str">
        <f>HYPERLINK("https://creighton-primo.hosted.exlibrisgroup.com/primo-explore/search?tab=default_tab&amp;search_scope=EVERYTHING&amp;vid=01CRU&amp;lang=en_US&amp;offset=0&amp;query=any,contains,991001099789702656","Catalog Record")</f>
        <v>Catalog Record</v>
      </c>
      <c r="AV770" s="5" t="str">
        <f>HYPERLINK("http://www.worldcat.org/oclc/4467920","WorldCat Record")</f>
        <v>WorldCat Record</v>
      </c>
      <c r="AW770" s="2" t="s">
        <v>9419</v>
      </c>
      <c r="AX770" s="2" t="s">
        <v>9420</v>
      </c>
      <c r="AY770" s="2" t="s">
        <v>9421</v>
      </c>
      <c r="AZ770" s="2" t="s">
        <v>9421</v>
      </c>
      <c r="BA770" s="2" t="s">
        <v>9422</v>
      </c>
      <c r="BB770" s="2" t="s">
        <v>21</v>
      </c>
      <c r="BE770" s="2" t="s">
        <v>9423</v>
      </c>
      <c r="BF770" s="2" t="s">
        <v>9424</v>
      </c>
    </row>
    <row r="771" spans="1:58" ht="41.25" customHeight="1" x14ac:dyDescent="0.25">
      <c r="A771" s="8" t="s">
        <v>5</v>
      </c>
      <c r="B771" s="1" t="s">
        <v>0</v>
      </c>
      <c r="C771" s="1" t="s">
        <v>1</v>
      </c>
      <c r="D771" s="1" t="s">
        <v>9425</v>
      </c>
      <c r="E771" s="1" t="s">
        <v>9426</v>
      </c>
      <c r="F771" s="1" t="s">
        <v>9427</v>
      </c>
      <c r="H771" s="2" t="s">
        <v>5</v>
      </c>
      <c r="I771" s="2" t="s">
        <v>6</v>
      </c>
      <c r="J771" s="2" t="s">
        <v>5</v>
      </c>
      <c r="K771" s="2" t="s">
        <v>5</v>
      </c>
      <c r="L771" s="2" t="s">
        <v>7</v>
      </c>
      <c r="N771" s="1" t="s">
        <v>2517</v>
      </c>
      <c r="O771" s="2" t="s">
        <v>989</v>
      </c>
      <c r="Q771" s="2" t="s">
        <v>11</v>
      </c>
      <c r="R771" s="2" t="s">
        <v>12</v>
      </c>
      <c r="T771" s="2" t="s">
        <v>520</v>
      </c>
      <c r="U771" s="3">
        <v>29</v>
      </c>
      <c r="V771" s="3">
        <v>29</v>
      </c>
      <c r="W771" s="4" t="s">
        <v>547</v>
      </c>
      <c r="X771" s="4" t="s">
        <v>547</v>
      </c>
      <c r="Y771" s="4" t="s">
        <v>4575</v>
      </c>
      <c r="Z771" s="4" t="s">
        <v>4575</v>
      </c>
      <c r="AA771" s="3">
        <v>484</v>
      </c>
      <c r="AB771" s="3">
        <v>420</v>
      </c>
      <c r="AC771" s="3">
        <v>427</v>
      </c>
      <c r="AD771" s="3">
        <v>4</v>
      </c>
      <c r="AE771" s="3">
        <v>4</v>
      </c>
      <c r="AF771" s="3">
        <v>25</v>
      </c>
      <c r="AG771" s="3">
        <v>25</v>
      </c>
      <c r="AH771" s="3">
        <v>10</v>
      </c>
      <c r="AI771" s="3">
        <v>10</v>
      </c>
      <c r="AJ771" s="3">
        <v>5</v>
      </c>
      <c r="AK771" s="3">
        <v>5</v>
      </c>
      <c r="AL771" s="3">
        <v>12</v>
      </c>
      <c r="AM771" s="3">
        <v>12</v>
      </c>
      <c r="AN771" s="3">
        <v>2</v>
      </c>
      <c r="AO771" s="3">
        <v>2</v>
      </c>
      <c r="AP771" s="3">
        <v>0</v>
      </c>
      <c r="AQ771" s="3">
        <v>0</v>
      </c>
      <c r="AR771" s="2" t="s">
        <v>5</v>
      </c>
      <c r="AS771" s="2" t="s">
        <v>16</v>
      </c>
      <c r="AT771" s="5" t="str">
        <f>HYPERLINK("http://catalog.hathitrust.org/Record/002506779","HathiTrust Record")</f>
        <v>HathiTrust Record</v>
      </c>
      <c r="AU771" s="5" t="str">
        <f>HYPERLINK("https://creighton-primo.hosted.exlibrisgroup.com/primo-explore/search?tab=default_tab&amp;search_scope=EVERYTHING&amp;vid=01CRU&amp;lang=en_US&amp;offset=0&amp;query=any,contains,991001386349702656","Catalog Record")</f>
        <v>Catalog Record</v>
      </c>
      <c r="AV771" s="5" t="str">
        <f>HYPERLINK("http://www.worldcat.org/oclc/22008079","WorldCat Record")</f>
        <v>WorldCat Record</v>
      </c>
      <c r="AW771" s="2" t="s">
        <v>9428</v>
      </c>
      <c r="AX771" s="2" t="s">
        <v>9429</v>
      </c>
      <c r="AY771" s="2" t="s">
        <v>9430</v>
      </c>
      <c r="AZ771" s="2" t="s">
        <v>9430</v>
      </c>
      <c r="BA771" s="2" t="s">
        <v>9431</v>
      </c>
      <c r="BB771" s="2" t="s">
        <v>21</v>
      </c>
      <c r="BD771" s="2" t="s">
        <v>9432</v>
      </c>
      <c r="BE771" s="2" t="s">
        <v>9433</v>
      </c>
      <c r="BF771" s="2" t="s">
        <v>9434</v>
      </c>
    </row>
    <row r="772" spans="1:58" ht="41.25" customHeight="1" x14ac:dyDescent="0.25">
      <c r="A772" s="8" t="s">
        <v>5</v>
      </c>
      <c r="B772" s="1" t="s">
        <v>0</v>
      </c>
      <c r="C772" s="1" t="s">
        <v>1</v>
      </c>
      <c r="D772" s="1" t="s">
        <v>9435</v>
      </c>
      <c r="E772" s="1" t="s">
        <v>9436</v>
      </c>
      <c r="F772" s="1" t="s">
        <v>9437</v>
      </c>
      <c r="H772" s="2" t="s">
        <v>5</v>
      </c>
      <c r="I772" s="2" t="s">
        <v>6</v>
      </c>
      <c r="J772" s="2" t="s">
        <v>5</v>
      </c>
      <c r="K772" s="2" t="s">
        <v>16</v>
      </c>
      <c r="L772" s="2" t="s">
        <v>7</v>
      </c>
      <c r="M772" s="1" t="s">
        <v>9438</v>
      </c>
      <c r="N772" s="1" t="s">
        <v>6152</v>
      </c>
      <c r="O772" s="2" t="s">
        <v>939</v>
      </c>
      <c r="P772" s="1" t="s">
        <v>211</v>
      </c>
      <c r="Q772" s="2" t="s">
        <v>11</v>
      </c>
      <c r="R772" s="2" t="s">
        <v>426</v>
      </c>
      <c r="T772" s="2" t="s">
        <v>520</v>
      </c>
      <c r="U772" s="3">
        <v>26</v>
      </c>
      <c r="V772" s="3">
        <v>26</v>
      </c>
      <c r="W772" s="4" t="s">
        <v>8989</v>
      </c>
      <c r="X772" s="4" t="s">
        <v>8989</v>
      </c>
      <c r="Y772" s="4" t="s">
        <v>9439</v>
      </c>
      <c r="Z772" s="4" t="s">
        <v>9439</v>
      </c>
      <c r="AA772" s="3">
        <v>249</v>
      </c>
      <c r="AB772" s="3">
        <v>181</v>
      </c>
      <c r="AC772" s="3">
        <v>608</v>
      </c>
      <c r="AD772" s="3">
        <v>2</v>
      </c>
      <c r="AE772" s="3">
        <v>6</v>
      </c>
      <c r="AF772" s="3">
        <v>7</v>
      </c>
      <c r="AG772" s="3">
        <v>32</v>
      </c>
      <c r="AH772" s="3">
        <v>2</v>
      </c>
      <c r="AI772" s="3">
        <v>12</v>
      </c>
      <c r="AJ772" s="3">
        <v>1</v>
      </c>
      <c r="AK772" s="3">
        <v>6</v>
      </c>
      <c r="AL772" s="3">
        <v>3</v>
      </c>
      <c r="AM772" s="3">
        <v>15</v>
      </c>
      <c r="AN772" s="3">
        <v>1</v>
      </c>
      <c r="AO772" s="3">
        <v>5</v>
      </c>
      <c r="AP772" s="3">
        <v>0</v>
      </c>
      <c r="AQ772" s="3">
        <v>0</v>
      </c>
      <c r="AR772" s="2" t="s">
        <v>5</v>
      </c>
      <c r="AS772" s="2" t="s">
        <v>5</v>
      </c>
      <c r="AU772" s="5" t="str">
        <f>HYPERLINK("https://creighton-primo.hosted.exlibrisgroup.com/primo-explore/search?tab=default_tab&amp;search_scope=EVERYTHING&amp;vid=01CRU&amp;lang=en_US&amp;offset=0&amp;query=any,contains,991001422719702656","Catalog Record")</f>
        <v>Catalog Record</v>
      </c>
      <c r="AV772" s="5" t="str">
        <f>HYPERLINK("http://www.worldcat.org/oclc/18259747","WorldCat Record")</f>
        <v>WorldCat Record</v>
      </c>
      <c r="AW772" s="2" t="s">
        <v>9440</v>
      </c>
      <c r="AX772" s="2" t="s">
        <v>9441</v>
      </c>
      <c r="AY772" s="2" t="s">
        <v>9442</v>
      </c>
      <c r="AZ772" s="2" t="s">
        <v>9442</v>
      </c>
      <c r="BA772" s="2" t="s">
        <v>9443</v>
      </c>
      <c r="BB772" s="2" t="s">
        <v>21</v>
      </c>
      <c r="BD772" s="2" t="s">
        <v>9444</v>
      </c>
      <c r="BE772" s="2" t="s">
        <v>9445</v>
      </c>
      <c r="BF772" s="2" t="s">
        <v>9446</v>
      </c>
    </row>
    <row r="773" spans="1:58" ht="41.25" customHeight="1" x14ac:dyDescent="0.25">
      <c r="A773" s="8" t="s">
        <v>5</v>
      </c>
      <c r="B773" s="1" t="s">
        <v>0</v>
      </c>
      <c r="C773" s="1" t="s">
        <v>1</v>
      </c>
      <c r="D773" s="1" t="s">
        <v>9447</v>
      </c>
      <c r="E773" s="1" t="s">
        <v>9448</v>
      </c>
      <c r="F773" s="1" t="s">
        <v>9437</v>
      </c>
      <c r="H773" s="2" t="s">
        <v>5</v>
      </c>
      <c r="I773" s="2" t="s">
        <v>6</v>
      </c>
      <c r="J773" s="2" t="s">
        <v>5</v>
      </c>
      <c r="K773" s="2" t="s">
        <v>16</v>
      </c>
      <c r="L773" s="2" t="s">
        <v>7</v>
      </c>
      <c r="M773" s="1" t="s">
        <v>9438</v>
      </c>
      <c r="N773" s="1" t="s">
        <v>9449</v>
      </c>
      <c r="O773" s="2" t="s">
        <v>601</v>
      </c>
      <c r="P773" s="1" t="s">
        <v>901</v>
      </c>
      <c r="Q773" s="2" t="s">
        <v>11</v>
      </c>
      <c r="R773" s="2" t="s">
        <v>3356</v>
      </c>
      <c r="T773" s="2" t="s">
        <v>520</v>
      </c>
      <c r="U773" s="3">
        <v>50</v>
      </c>
      <c r="V773" s="3">
        <v>50</v>
      </c>
      <c r="W773" s="4" t="s">
        <v>9450</v>
      </c>
      <c r="X773" s="4" t="s">
        <v>9450</v>
      </c>
      <c r="Y773" s="4" t="s">
        <v>5993</v>
      </c>
      <c r="Z773" s="4" t="s">
        <v>5993</v>
      </c>
      <c r="AA773" s="3">
        <v>349</v>
      </c>
      <c r="AB773" s="3">
        <v>250</v>
      </c>
      <c r="AC773" s="3">
        <v>608</v>
      </c>
      <c r="AD773" s="3">
        <v>1</v>
      </c>
      <c r="AE773" s="3">
        <v>6</v>
      </c>
      <c r="AF773" s="3">
        <v>14</v>
      </c>
      <c r="AG773" s="3">
        <v>32</v>
      </c>
      <c r="AH773" s="3">
        <v>6</v>
      </c>
      <c r="AI773" s="3">
        <v>12</v>
      </c>
      <c r="AJ773" s="3">
        <v>2</v>
      </c>
      <c r="AK773" s="3">
        <v>6</v>
      </c>
      <c r="AL773" s="3">
        <v>10</v>
      </c>
      <c r="AM773" s="3">
        <v>15</v>
      </c>
      <c r="AN773" s="3">
        <v>0</v>
      </c>
      <c r="AO773" s="3">
        <v>5</v>
      </c>
      <c r="AP773" s="3">
        <v>0</v>
      </c>
      <c r="AQ773" s="3">
        <v>0</v>
      </c>
      <c r="AR773" s="2" t="s">
        <v>5</v>
      </c>
      <c r="AS773" s="2" t="s">
        <v>16</v>
      </c>
      <c r="AT773" s="5" t="str">
        <f>HYPERLINK("http://catalog.hathitrust.org/Record/004572256","HathiTrust Record")</f>
        <v>HathiTrust Record</v>
      </c>
      <c r="AU773" s="5" t="str">
        <f>HYPERLINK("https://creighton-primo.hosted.exlibrisgroup.com/primo-explore/search?tab=default_tab&amp;search_scope=EVERYTHING&amp;vid=01CRU&amp;lang=en_US&amp;offset=0&amp;query=any,contains,991000688879702656","Catalog Record")</f>
        <v>Catalog Record</v>
      </c>
      <c r="AV773" s="5" t="str">
        <f>HYPERLINK("http://www.worldcat.org/oclc/30033685","WorldCat Record")</f>
        <v>WorldCat Record</v>
      </c>
      <c r="AW773" s="2" t="s">
        <v>9440</v>
      </c>
      <c r="AX773" s="2" t="s">
        <v>9451</v>
      </c>
      <c r="AY773" s="2" t="s">
        <v>9452</v>
      </c>
      <c r="AZ773" s="2" t="s">
        <v>9452</v>
      </c>
      <c r="BA773" s="2" t="s">
        <v>9453</v>
      </c>
      <c r="BB773" s="2" t="s">
        <v>21</v>
      </c>
      <c r="BD773" s="2" t="s">
        <v>9454</v>
      </c>
      <c r="BE773" s="2" t="s">
        <v>9455</v>
      </c>
      <c r="BF773" s="2" t="s">
        <v>9456</v>
      </c>
    </row>
    <row r="774" spans="1:58" ht="41.25" customHeight="1" x14ac:dyDescent="0.25">
      <c r="A774" s="8" t="s">
        <v>5</v>
      </c>
      <c r="B774" s="1" t="s">
        <v>0</v>
      </c>
      <c r="C774" s="1" t="s">
        <v>1</v>
      </c>
      <c r="D774" s="1" t="s">
        <v>9457</v>
      </c>
      <c r="E774" s="1" t="s">
        <v>9458</v>
      </c>
      <c r="F774" s="1" t="s">
        <v>9437</v>
      </c>
      <c r="H774" s="2" t="s">
        <v>5</v>
      </c>
      <c r="I774" s="2" t="s">
        <v>6</v>
      </c>
      <c r="J774" s="2" t="s">
        <v>5</v>
      </c>
      <c r="K774" s="2" t="s">
        <v>16</v>
      </c>
      <c r="L774" s="2" t="s">
        <v>7</v>
      </c>
      <c r="M774" s="1" t="s">
        <v>9438</v>
      </c>
      <c r="N774" s="1" t="s">
        <v>9459</v>
      </c>
      <c r="O774" s="2" t="s">
        <v>1060</v>
      </c>
      <c r="P774" s="1" t="s">
        <v>1208</v>
      </c>
      <c r="Q774" s="2" t="s">
        <v>11</v>
      </c>
      <c r="R774" s="2" t="s">
        <v>229</v>
      </c>
      <c r="T774" s="2" t="s">
        <v>520</v>
      </c>
      <c r="U774" s="3">
        <v>3</v>
      </c>
      <c r="V774" s="3">
        <v>3</v>
      </c>
      <c r="W774" s="4" t="s">
        <v>9460</v>
      </c>
      <c r="X774" s="4" t="s">
        <v>9460</v>
      </c>
      <c r="Y774" s="4" t="s">
        <v>9461</v>
      </c>
      <c r="Z774" s="4" t="s">
        <v>9461</v>
      </c>
      <c r="AA774" s="3">
        <v>345</v>
      </c>
      <c r="AB774" s="3">
        <v>244</v>
      </c>
      <c r="AC774" s="3">
        <v>608</v>
      </c>
      <c r="AD774" s="3">
        <v>4</v>
      </c>
      <c r="AE774" s="3">
        <v>6</v>
      </c>
      <c r="AF774" s="3">
        <v>13</v>
      </c>
      <c r="AG774" s="3">
        <v>32</v>
      </c>
      <c r="AH774" s="3">
        <v>5</v>
      </c>
      <c r="AI774" s="3">
        <v>12</v>
      </c>
      <c r="AJ774" s="3">
        <v>0</v>
      </c>
      <c r="AK774" s="3">
        <v>6</v>
      </c>
      <c r="AL774" s="3">
        <v>7</v>
      </c>
      <c r="AM774" s="3">
        <v>15</v>
      </c>
      <c r="AN774" s="3">
        <v>3</v>
      </c>
      <c r="AO774" s="3">
        <v>5</v>
      </c>
      <c r="AP774" s="3">
        <v>0</v>
      </c>
      <c r="AQ774" s="3">
        <v>0</v>
      </c>
      <c r="AR774" s="2" t="s">
        <v>5</v>
      </c>
      <c r="AS774" s="2" t="s">
        <v>16</v>
      </c>
      <c r="AT774" s="5" t="str">
        <f>HYPERLINK("http://catalog.hathitrust.org/Record/004762184","HathiTrust Record")</f>
        <v>HathiTrust Record</v>
      </c>
      <c r="AU774" s="5" t="str">
        <f>HYPERLINK("https://creighton-primo.hosted.exlibrisgroup.com/primo-explore/search?tab=default_tab&amp;search_scope=EVERYTHING&amp;vid=01CRU&amp;lang=en_US&amp;offset=0&amp;query=any,contains,991001746279702656","Catalog Record")</f>
        <v>Catalog Record</v>
      </c>
      <c r="AV774" s="5" t="str">
        <f>HYPERLINK("http://www.worldcat.org/oclc/54914123","WorldCat Record")</f>
        <v>WorldCat Record</v>
      </c>
      <c r="AW774" s="2" t="s">
        <v>9440</v>
      </c>
      <c r="AX774" s="2" t="s">
        <v>9462</v>
      </c>
      <c r="AY774" s="2" t="s">
        <v>9463</v>
      </c>
      <c r="AZ774" s="2" t="s">
        <v>9463</v>
      </c>
      <c r="BA774" s="2" t="s">
        <v>9464</v>
      </c>
      <c r="BB774" s="2" t="s">
        <v>21</v>
      </c>
      <c r="BD774" s="2" t="s">
        <v>9465</v>
      </c>
      <c r="BE774" s="2" t="s">
        <v>9466</v>
      </c>
      <c r="BF774" s="2" t="s">
        <v>9467</v>
      </c>
    </row>
    <row r="775" spans="1:58" ht="41.25" customHeight="1" x14ac:dyDescent="0.25">
      <c r="A775" s="8" t="s">
        <v>5</v>
      </c>
      <c r="B775" s="1" t="s">
        <v>0</v>
      </c>
      <c r="C775" s="1" t="s">
        <v>1</v>
      </c>
      <c r="D775" s="1" t="s">
        <v>9468</v>
      </c>
      <c r="E775" s="1" t="s">
        <v>9469</v>
      </c>
      <c r="F775" s="1" t="s">
        <v>9470</v>
      </c>
      <c r="H775" s="2" t="s">
        <v>5</v>
      </c>
      <c r="I775" s="2" t="s">
        <v>6</v>
      </c>
      <c r="J775" s="2" t="s">
        <v>5</v>
      </c>
      <c r="K775" s="2" t="s">
        <v>5</v>
      </c>
      <c r="L775" s="2" t="s">
        <v>7</v>
      </c>
      <c r="M775" s="1" t="s">
        <v>9471</v>
      </c>
      <c r="N775" s="1" t="s">
        <v>8540</v>
      </c>
      <c r="O775" s="2" t="s">
        <v>393</v>
      </c>
      <c r="Q775" s="2" t="s">
        <v>11</v>
      </c>
      <c r="R775" s="2" t="s">
        <v>229</v>
      </c>
      <c r="T775" s="2" t="s">
        <v>520</v>
      </c>
      <c r="U775" s="3">
        <v>4</v>
      </c>
      <c r="V775" s="3">
        <v>4</v>
      </c>
      <c r="W775" s="4" t="s">
        <v>9417</v>
      </c>
      <c r="X775" s="4" t="s">
        <v>9417</v>
      </c>
      <c r="Y775" s="4" t="s">
        <v>96</v>
      </c>
      <c r="Z775" s="4" t="s">
        <v>96</v>
      </c>
      <c r="AA775" s="3">
        <v>177</v>
      </c>
      <c r="AB775" s="3">
        <v>148</v>
      </c>
      <c r="AC775" s="3">
        <v>150</v>
      </c>
      <c r="AD775" s="3">
        <v>2</v>
      </c>
      <c r="AE775" s="3">
        <v>2</v>
      </c>
      <c r="AF775" s="3">
        <v>2</v>
      </c>
      <c r="AG775" s="3">
        <v>2</v>
      </c>
      <c r="AH775" s="3">
        <v>0</v>
      </c>
      <c r="AI775" s="3">
        <v>0</v>
      </c>
      <c r="AJ775" s="3">
        <v>0</v>
      </c>
      <c r="AK775" s="3">
        <v>0</v>
      </c>
      <c r="AL775" s="3">
        <v>1</v>
      </c>
      <c r="AM775" s="3">
        <v>1</v>
      </c>
      <c r="AN775" s="3">
        <v>1</v>
      </c>
      <c r="AO775" s="3">
        <v>1</v>
      </c>
      <c r="AP775" s="3">
        <v>0</v>
      </c>
      <c r="AQ775" s="3">
        <v>0</v>
      </c>
      <c r="AR775" s="2" t="s">
        <v>5</v>
      </c>
      <c r="AS775" s="2" t="s">
        <v>16</v>
      </c>
      <c r="AT775" s="5" t="str">
        <f>HYPERLINK("http://catalog.hathitrust.org/Record/000231605","HathiTrust Record")</f>
        <v>HathiTrust Record</v>
      </c>
      <c r="AU775" s="5" t="str">
        <f>HYPERLINK("https://creighton-primo.hosted.exlibrisgroup.com/primo-explore/search?tab=default_tab&amp;search_scope=EVERYTHING&amp;vid=01CRU&amp;lang=en_US&amp;offset=0&amp;query=any,contains,991001131259702656","Catalog Record")</f>
        <v>Catalog Record</v>
      </c>
      <c r="AV775" s="5" t="str">
        <f>HYPERLINK("http://www.worldcat.org/oclc/7773121","WorldCat Record")</f>
        <v>WorldCat Record</v>
      </c>
      <c r="AW775" s="2" t="s">
        <v>9472</v>
      </c>
      <c r="AX775" s="2" t="s">
        <v>9473</v>
      </c>
      <c r="AY775" s="2" t="s">
        <v>9474</v>
      </c>
      <c r="AZ775" s="2" t="s">
        <v>9474</v>
      </c>
      <c r="BA775" s="2" t="s">
        <v>9475</v>
      </c>
      <c r="BB775" s="2" t="s">
        <v>21</v>
      </c>
      <c r="BD775" s="2" t="s">
        <v>9476</v>
      </c>
      <c r="BE775" s="2" t="s">
        <v>9477</v>
      </c>
      <c r="BF775" s="2" t="s">
        <v>9478</v>
      </c>
    </row>
    <row r="776" spans="1:58" ht="41.25" customHeight="1" x14ac:dyDescent="0.25">
      <c r="A776" s="8" t="s">
        <v>5</v>
      </c>
      <c r="B776" s="1" t="s">
        <v>0</v>
      </c>
      <c r="C776" s="1" t="s">
        <v>1</v>
      </c>
      <c r="D776" s="1" t="s">
        <v>9479</v>
      </c>
      <c r="E776" s="1" t="s">
        <v>9480</v>
      </c>
      <c r="F776" s="1" t="s">
        <v>9481</v>
      </c>
      <c r="H776" s="2" t="s">
        <v>5</v>
      </c>
      <c r="I776" s="2" t="s">
        <v>6</v>
      </c>
      <c r="J776" s="2" t="s">
        <v>5</v>
      </c>
      <c r="K776" s="2" t="s">
        <v>5</v>
      </c>
      <c r="L776" s="2" t="s">
        <v>6</v>
      </c>
      <c r="M776" s="1" t="s">
        <v>9482</v>
      </c>
      <c r="N776" s="1" t="s">
        <v>9483</v>
      </c>
      <c r="O776" s="2" t="s">
        <v>1863</v>
      </c>
      <c r="Q776" s="2" t="s">
        <v>11</v>
      </c>
      <c r="R776" s="2" t="s">
        <v>12</v>
      </c>
      <c r="T776" s="2" t="s">
        <v>520</v>
      </c>
      <c r="U776" s="3">
        <v>1</v>
      </c>
      <c r="V776" s="3">
        <v>1</v>
      </c>
      <c r="W776" s="4" t="s">
        <v>7416</v>
      </c>
      <c r="X776" s="4" t="s">
        <v>7416</v>
      </c>
      <c r="Y776" s="4" t="s">
        <v>7416</v>
      </c>
      <c r="Z776" s="4" t="s">
        <v>7416</v>
      </c>
      <c r="AA776" s="3">
        <v>545</v>
      </c>
      <c r="AB776" s="3">
        <v>481</v>
      </c>
      <c r="AC776" s="3">
        <v>1393</v>
      </c>
      <c r="AD776" s="3">
        <v>3</v>
      </c>
      <c r="AE776" s="3">
        <v>16</v>
      </c>
      <c r="AF776" s="3">
        <v>26</v>
      </c>
      <c r="AG776" s="3">
        <v>56</v>
      </c>
      <c r="AH776" s="3">
        <v>10</v>
      </c>
      <c r="AI776" s="3">
        <v>20</v>
      </c>
      <c r="AJ776" s="3">
        <v>7</v>
      </c>
      <c r="AK776" s="3">
        <v>11</v>
      </c>
      <c r="AL776" s="3">
        <v>14</v>
      </c>
      <c r="AM776" s="3">
        <v>20</v>
      </c>
      <c r="AN776" s="3">
        <v>1</v>
      </c>
      <c r="AO776" s="3">
        <v>13</v>
      </c>
      <c r="AP776" s="3">
        <v>0</v>
      </c>
      <c r="AQ776" s="3">
        <v>2</v>
      </c>
      <c r="AR776" s="2" t="s">
        <v>5</v>
      </c>
      <c r="AS776" s="2" t="s">
        <v>16</v>
      </c>
      <c r="AT776" s="5" t="str">
        <f>HYPERLINK("http://catalog.hathitrust.org/Record/004175498","HathiTrust Record")</f>
        <v>HathiTrust Record</v>
      </c>
      <c r="AU776" s="5" t="str">
        <f>HYPERLINK("https://creighton-primo.hosted.exlibrisgroup.com/primo-explore/search?tab=default_tab&amp;search_scope=EVERYTHING&amp;vid=01CRU&amp;lang=en_US&amp;offset=0&amp;query=any,contains,991000382079702656","Catalog Record")</f>
        <v>Catalog Record</v>
      </c>
      <c r="AV776" s="5" t="str">
        <f>HYPERLINK("http://www.worldcat.org/oclc/44841627","WorldCat Record")</f>
        <v>WorldCat Record</v>
      </c>
      <c r="AW776" s="2" t="s">
        <v>9484</v>
      </c>
      <c r="AX776" s="2" t="s">
        <v>9485</v>
      </c>
      <c r="AY776" s="2" t="s">
        <v>9486</v>
      </c>
      <c r="AZ776" s="2" t="s">
        <v>9486</v>
      </c>
      <c r="BA776" s="2" t="s">
        <v>9487</v>
      </c>
      <c r="BB776" s="2" t="s">
        <v>21</v>
      </c>
      <c r="BD776" s="2" t="s">
        <v>9488</v>
      </c>
      <c r="BE776" s="2" t="s">
        <v>9489</v>
      </c>
      <c r="BF776" s="2" t="s">
        <v>9490</v>
      </c>
    </row>
    <row r="777" spans="1:58" ht="41.25" customHeight="1" x14ac:dyDescent="0.25">
      <c r="A777" s="8" t="s">
        <v>5</v>
      </c>
      <c r="B777" s="1" t="s">
        <v>0</v>
      </c>
      <c r="C777" s="1" t="s">
        <v>1</v>
      </c>
      <c r="D777" s="1" t="s">
        <v>9491</v>
      </c>
      <c r="E777" s="1" t="s">
        <v>9492</v>
      </c>
      <c r="F777" s="1" t="s">
        <v>9493</v>
      </c>
      <c r="H777" s="2" t="s">
        <v>5</v>
      </c>
      <c r="I777" s="2" t="s">
        <v>6</v>
      </c>
      <c r="J777" s="2" t="s">
        <v>5</v>
      </c>
      <c r="K777" s="2" t="s">
        <v>5</v>
      </c>
      <c r="L777" s="2" t="s">
        <v>7</v>
      </c>
      <c r="M777" s="1" t="s">
        <v>9494</v>
      </c>
      <c r="N777" s="1" t="s">
        <v>1923</v>
      </c>
      <c r="O777" s="2" t="s">
        <v>734</v>
      </c>
      <c r="Q777" s="2" t="s">
        <v>11</v>
      </c>
      <c r="R777" s="2" t="s">
        <v>426</v>
      </c>
      <c r="T777" s="2" t="s">
        <v>520</v>
      </c>
      <c r="U777" s="3">
        <v>5</v>
      </c>
      <c r="V777" s="3">
        <v>5</v>
      </c>
      <c r="W777" s="4" t="s">
        <v>9495</v>
      </c>
      <c r="X777" s="4" t="s">
        <v>9495</v>
      </c>
      <c r="Y777" s="4" t="s">
        <v>96</v>
      </c>
      <c r="Z777" s="4" t="s">
        <v>96</v>
      </c>
      <c r="AA777" s="3">
        <v>252</v>
      </c>
      <c r="AB777" s="3">
        <v>215</v>
      </c>
      <c r="AC777" s="3">
        <v>217</v>
      </c>
      <c r="AD777" s="3">
        <v>1</v>
      </c>
      <c r="AE777" s="3">
        <v>1</v>
      </c>
      <c r="AF777" s="3">
        <v>6</v>
      </c>
      <c r="AG777" s="3">
        <v>6</v>
      </c>
      <c r="AH777" s="3">
        <v>4</v>
      </c>
      <c r="AI777" s="3">
        <v>4</v>
      </c>
      <c r="AJ777" s="3">
        <v>0</v>
      </c>
      <c r="AK777" s="3">
        <v>0</v>
      </c>
      <c r="AL777" s="3">
        <v>5</v>
      </c>
      <c r="AM777" s="3">
        <v>5</v>
      </c>
      <c r="AN777" s="3">
        <v>0</v>
      </c>
      <c r="AO777" s="3">
        <v>0</v>
      </c>
      <c r="AP777" s="3">
        <v>0</v>
      </c>
      <c r="AQ777" s="3">
        <v>0</v>
      </c>
      <c r="AR777" s="2" t="s">
        <v>5</v>
      </c>
      <c r="AS777" s="2" t="s">
        <v>16</v>
      </c>
      <c r="AT777" s="5" t="str">
        <f>HYPERLINK("http://catalog.hathitrust.org/Record/000161353","HathiTrust Record")</f>
        <v>HathiTrust Record</v>
      </c>
      <c r="AU777" s="5" t="str">
        <f>HYPERLINK("https://creighton-primo.hosted.exlibrisgroup.com/primo-explore/search?tab=default_tab&amp;search_scope=EVERYTHING&amp;vid=01CRU&amp;lang=en_US&amp;offset=0&amp;query=any,contains,991001131309702656","Catalog Record")</f>
        <v>Catalog Record</v>
      </c>
      <c r="AV777" s="5" t="str">
        <f>HYPERLINK("http://www.worldcat.org/oclc/9350574","WorldCat Record")</f>
        <v>WorldCat Record</v>
      </c>
      <c r="AW777" s="2" t="s">
        <v>9496</v>
      </c>
      <c r="AX777" s="2" t="s">
        <v>9497</v>
      </c>
      <c r="AY777" s="2" t="s">
        <v>9498</v>
      </c>
      <c r="AZ777" s="2" t="s">
        <v>9498</v>
      </c>
      <c r="BA777" s="2" t="s">
        <v>9499</v>
      </c>
      <c r="BB777" s="2" t="s">
        <v>21</v>
      </c>
      <c r="BD777" s="2" t="s">
        <v>9500</v>
      </c>
      <c r="BE777" s="2" t="s">
        <v>9501</v>
      </c>
      <c r="BF777" s="2" t="s">
        <v>9502</v>
      </c>
    </row>
    <row r="778" spans="1:58" ht="41.25" customHeight="1" x14ac:dyDescent="0.25">
      <c r="A778" s="8" t="s">
        <v>5</v>
      </c>
      <c r="B778" s="1" t="s">
        <v>0</v>
      </c>
      <c r="C778" s="1" t="s">
        <v>1</v>
      </c>
      <c r="D778" s="1" t="s">
        <v>9503</v>
      </c>
      <c r="E778" s="1" t="s">
        <v>9504</v>
      </c>
      <c r="F778" s="1" t="s">
        <v>9505</v>
      </c>
      <c r="H778" s="2" t="s">
        <v>5</v>
      </c>
      <c r="I778" s="2" t="s">
        <v>6</v>
      </c>
      <c r="J778" s="2" t="s">
        <v>5</v>
      </c>
      <c r="K778" s="2" t="s">
        <v>16</v>
      </c>
      <c r="L778" s="2" t="s">
        <v>7</v>
      </c>
      <c r="M778" s="1" t="s">
        <v>9506</v>
      </c>
      <c r="N778" s="1" t="s">
        <v>9507</v>
      </c>
      <c r="O778" s="2" t="s">
        <v>1004</v>
      </c>
      <c r="P778" s="1" t="s">
        <v>901</v>
      </c>
      <c r="Q778" s="2" t="s">
        <v>11</v>
      </c>
      <c r="R778" s="2" t="s">
        <v>78</v>
      </c>
      <c r="T778" s="2" t="s">
        <v>520</v>
      </c>
      <c r="U778" s="3">
        <v>4</v>
      </c>
      <c r="V778" s="3">
        <v>4</v>
      </c>
      <c r="W778" s="4" t="s">
        <v>9508</v>
      </c>
      <c r="X778" s="4" t="s">
        <v>9508</v>
      </c>
      <c r="Y778" s="4" t="s">
        <v>9509</v>
      </c>
      <c r="Z778" s="4" t="s">
        <v>9509</v>
      </c>
      <c r="AA778" s="3">
        <v>394</v>
      </c>
      <c r="AB778" s="3">
        <v>295</v>
      </c>
      <c r="AC778" s="3">
        <v>1188</v>
      </c>
      <c r="AD778" s="3">
        <v>1</v>
      </c>
      <c r="AE778" s="3">
        <v>8</v>
      </c>
      <c r="AF778" s="3">
        <v>10</v>
      </c>
      <c r="AG778" s="3">
        <v>36</v>
      </c>
      <c r="AH778" s="3">
        <v>4</v>
      </c>
      <c r="AI778" s="3">
        <v>14</v>
      </c>
      <c r="AJ778" s="3">
        <v>2</v>
      </c>
      <c r="AK778" s="3">
        <v>6</v>
      </c>
      <c r="AL778" s="3">
        <v>5</v>
      </c>
      <c r="AM778" s="3">
        <v>16</v>
      </c>
      <c r="AN778" s="3">
        <v>0</v>
      </c>
      <c r="AO778" s="3">
        <v>6</v>
      </c>
      <c r="AP778" s="3">
        <v>0</v>
      </c>
      <c r="AQ778" s="3">
        <v>0</v>
      </c>
      <c r="AR778" s="2" t="s">
        <v>5</v>
      </c>
      <c r="AS778" s="2" t="s">
        <v>16</v>
      </c>
      <c r="AT778" s="5" t="str">
        <f>HYPERLINK("http://catalog.hathitrust.org/Record/004020009","HathiTrust Record")</f>
        <v>HathiTrust Record</v>
      </c>
      <c r="AU778" s="5" t="str">
        <f>HYPERLINK("https://creighton-primo.hosted.exlibrisgroup.com/primo-explore/search?tab=default_tab&amp;search_scope=EVERYTHING&amp;vid=01CRU&amp;lang=en_US&amp;offset=0&amp;query=any,contains,991000782619702656","Catalog Record")</f>
        <v>Catalog Record</v>
      </c>
      <c r="AV778" s="5" t="str">
        <f>HYPERLINK("http://www.worldcat.org/oclc/39625215","WorldCat Record")</f>
        <v>WorldCat Record</v>
      </c>
      <c r="AW778" s="2" t="s">
        <v>9510</v>
      </c>
      <c r="AX778" s="2" t="s">
        <v>9511</v>
      </c>
      <c r="AY778" s="2" t="s">
        <v>9512</v>
      </c>
      <c r="AZ778" s="2" t="s">
        <v>9512</v>
      </c>
      <c r="BA778" s="2" t="s">
        <v>9513</v>
      </c>
      <c r="BB778" s="2" t="s">
        <v>21</v>
      </c>
      <c r="BD778" s="2" t="s">
        <v>9514</v>
      </c>
      <c r="BE778" s="2" t="s">
        <v>9515</v>
      </c>
      <c r="BF778" s="2" t="s">
        <v>9516</v>
      </c>
    </row>
    <row r="779" spans="1:58" ht="41.25" customHeight="1" x14ac:dyDescent="0.25">
      <c r="A779" s="8" t="s">
        <v>5</v>
      </c>
      <c r="B779" s="1" t="s">
        <v>0</v>
      </c>
      <c r="C779" s="1" t="s">
        <v>1</v>
      </c>
      <c r="D779" s="1" t="s">
        <v>9517</v>
      </c>
      <c r="E779" s="1" t="s">
        <v>9518</v>
      </c>
      <c r="F779" s="1" t="s">
        <v>9505</v>
      </c>
      <c r="H779" s="2" t="s">
        <v>5</v>
      </c>
      <c r="I779" s="2" t="s">
        <v>6</v>
      </c>
      <c r="J779" s="2" t="s">
        <v>5</v>
      </c>
      <c r="K779" s="2" t="s">
        <v>16</v>
      </c>
      <c r="L779" s="2" t="s">
        <v>7</v>
      </c>
      <c r="M779" s="1" t="s">
        <v>9506</v>
      </c>
      <c r="N779" s="1" t="s">
        <v>9519</v>
      </c>
      <c r="O779" s="2" t="s">
        <v>1046</v>
      </c>
      <c r="P779" s="1" t="s">
        <v>1208</v>
      </c>
      <c r="Q779" s="2" t="s">
        <v>11</v>
      </c>
      <c r="R779" s="2" t="s">
        <v>31</v>
      </c>
      <c r="T779" s="2" t="s">
        <v>520</v>
      </c>
      <c r="U779" s="3">
        <v>1</v>
      </c>
      <c r="V779" s="3">
        <v>1</v>
      </c>
      <c r="W779" s="4" t="s">
        <v>6571</v>
      </c>
      <c r="X779" s="4" t="s">
        <v>6571</v>
      </c>
      <c r="Y779" s="4" t="s">
        <v>6571</v>
      </c>
      <c r="Z779" s="4" t="s">
        <v>6571</v>
      </c>
      <c r="AA779" s="3">
        <v>402</v>
      </c>
      <c r="AB779" s="3">
        <v>290</v>
      </c>
      <c r="AC779" s="3">
        <v>1188</v>
      </c>
      <c r="AD779" s="3">
        <v>2</v>
      </c>
      <c r="AE779" s="3">
        <v>8</v>
      </c>
      <c r="AF779" s="3">
        <v>8</v>
      </c>
      <c r="AG779" s="3">
        <v>36</v>
      </c>
      <c r="AH779" s="3">
        <v>3</v>
      </c>
      <c r="AI779" s="3">
        <v>14</v>
      </c>
      <c r="AJ779" s="3">
        <v>0</v>
      </c>
      <c r="AK779" s="3">
        <v>6</v>
      </c>
      <c r="AL779" s="3">
        <v>5</v>
      </c>
      <c r="AM779" s="3">
        <v>16</v>
      </c>
      <c r="AN779" s="3">
        <v>1</v>
      </c>
      <c r="AO779" s="3">
        <v>6</v>
      </c>
      <c r="AP779" s="3">
        <v>0</v>
      </c>
      <c r="AQ779" s="3">
        <v>0</v>
      </c>
      <c r="AR779" s="2" t="s">
        <v>5</v>
      </c>
      <c r="AS779" s="2" t="s">
        <v>16</v>
      </c>
      <c r="AT779" s="5" t="str">
        <f>HYPERLINK("http://catalog.hathitrust.org/Record/004295658","HathiTrust Record")</f>
        <v>HathiTrust Record</v>
      </c>
      <c r="AU779" s="5" t="str">
        <f>HYPERLINK("https://creighton-primo.hosted.exlibrisgroup.com/primo-explore/search?tab=default_tab&amp;search_scope=EVERYTHING&amp;vid=01CRU&amp;lang=en_US&amp;offset=0&amp;query=any,contains,991000349699702656","Catalog Record")</f>
        <v>Catalog Record</v>
      </c>
      <c r="AV779" s="5" t="str">
        <f>HYPERLINK("http://www.worldcat.org/oclc/51099936","WorldCat Record")</f>
        <v>WorldCat Record</v>
      </c>
      <c r="AW779" s="2" t="s">
        <v>9510</v>
      </c>
      <c r="AX779" s="2" t="s">
        <v>9520</v>
      </c>
      <c r="AY779" s="2" t="s">
        <v>9521</v>
      </c>
      <c r="AZ779" s="2" t="s">
        <v>9521</v>
      </c>
      <c r="BA779" s="2" t="s">
        <v>9522</v>
      </c>
      <c r="BB779" s="2" t="s">
        <v>21</v>
      </c>
      <c r="BD779" s="2" t="s">
        <v>9523</v>
      </c>
      <c r="BE779" s="2" t="s">
        <v>9524</v>
      </c>
      <c r="BF779" s="2" t="s">
        <v>9525</v>
      </c>
    </row>
    <row r="780" spans="1:58" ht="41.25" customHeight="1" x14ac:dyDescent="0.25">
      <c r="A780" s="8" t="s">
        <v>5</v>
      </c>
      <c r="B780" s="1" t="s">
        <v>0</v>
      </c>
      <c r="C780" s="1" t="s">
        <v>1</v>
      </c>
      <c r="D780" s="1" t="s">
        <v>9526</v>
      </c>
      <c r="E780" s="1" t="s">
        <v>9527</v>
      </c>
      <c r="F780" s="1" t="s">
        <v>9528</v>
      </c>
      <c r="H780" s="2" t="s">
        <v>5</v>
      </c>
      <c r="I780" s="2" t="s">
        <v>6</v>
      </c>
      <c r="J780" s="2" t="s">
        <v>5</v>
      </c>
      <c r="K780" s="2" t="s">
        <v>5</v>
      </c>
      <c r="L780" s="2" t="s">
        <v>7</v>
      </c>
      <c r="M780" s="1" t="s">
        <v>9529</v>
      </c>
      <c r="N780" s="1" t="s">
        <v>9530</v>
      </c>
      <c r="O780" s="2" t="s">
        <v>92</v>
      </c>
      <c r="Q780" s="2" t="s">
        <v>11</v>
      </c>
      <c r="R780" s="2" t="s">
        <v>229</v>
      </c>
      <c r="S780" s="1" t="s">
        <v>9531</v>
      </c>
      <c r="T780" s="2" t="s">
        <v>520</v>
      </c>
      <c r="U780" s="3">
        <v>11</v>
      </c>
      <c r="V780" s="3">
        <v>11</v>
      </c>
      <c r="W780" s="4" t="s">
        <v>9532</v>
      </c>
      <c r="X780" s="4" t="s">
        <v>9532</v>
      </c>
      <c r="Y780" s="4" t="s">
        <v>80</v>
      </c>
      <c r="Z780" s="4" t="s">
        <v>80</v>
      </c>
      <c r="AA780" s="3">
        <v>258</v>
      </c>
      <c r="AB780" s="3">
        <v>222</v>
      </c>
      <c r="AC780" s="3">
        <v>224</v>
      </c>
      <c r="AD780" s="3">
        <v>2</v>
      </c>
      <c r="AE780" s="3">
        <v>2</v>
      </c>
      <c r="AF780" s="3">
        <v>10</v>
      </c>
      <c r="AG780" s="3">
        <v>10</v>
      </c>
      <c r="AH780" s="3">
        <v>3</v>
      </c>
      <c r="AI780" s="3">
        <v>3</v>
      </c>
      <c r="AJ780" s="3">
        <v>3</v>
      </c>
      <c r="AK780" s="3">
        <v>3</v>
      </c>
      <c r="AL780" s="3">
        <v>7</v>
      </c>
      <c r="AM780" s="3">
        <v>7</v>
      </c>
      <c r="AN780" s="3">
        <v>1</v>
      </c>
      <c r="AO780" s="3">
        <v>1</v>
      </c>
      <c r="AP780" s="3">
        <v>0</v>
      </c>
      <c r="AQ780" s="3">
        <v>0</v>
      </c>
      <c r="AR780" s="2" t="s">
        <v>5</v>
      </c>
      <c r="AS780" s="2" t="s">
        <v>16</v>
      </c>
      <c r="AT780" s="5" t="str">
        <f>HYPERLINK("http://catalog.hathitrust.org/Record/000695173","HathiTrust Record")</f>
        <v>HathiTrust Record</v>
      </c>
      <c r="AU780" s="5" t="str">
        <f>HYPERLINK("https://creighton-primo.hosted.exlibrisgroup.com/primo-explore/search?tab=default_tab&amp;search_scope=EVERYTHING&amp;vid=01CRU&amp;lang=en_US&amp;offset=0&amp;query=any,contains,991001131369702656","Catalog Record")</f>
        <v>Catalog Record</v>
      </c>
      <c r="AV780" s="5" t="str">
        <f>HYPERLINK("http://www.worldcat.org/oclc/1859738","WorldCat Record")</f>
        <v>WorldCat Record</v>
      </c>
      <c r="AW780" s="2" t="s">
        <v>9533</v>
      </c>
      <c r="AX780" s="2" t="s">
        <v>9534</v>
      </c>
      <c r="AY780" s="2" t="s">
        <v>9535</v>
      </c>
      <c r="AZ780" s="2" t="s">
        <v>9535</v>
      </c>
      <c r="BA780" s="2" t="s">
        <v>9536</v>
      </c>
      <c r="BB780" s="2" t="s">
        <v>21</v>
      </c>
      <c r="BD780" s="2" t="s">
        <v>9537</v>
      </c>
      <c r="BE780" s="2" t="s">
        <v>9538</v>
      </c>
      <c r="BF780" s="2" t="s">
        <v>9539</v>
      </c>
    </row>
    <row r="781" spans="1:58" ht="41.25" customHeight="1" x14ac:dyDescent="0.25">
      <c r="A781" s="8" t="s">
        <v>5</v>
      </c>
      <c r="B781" s="1" t="s">
        <v>0</v>
      </c>
      <c r="C781" s="1" t="s">
        <v>1</v>
      </c>
      <c r="D781" s="1" t="s">
        <v>9540</v>
      </c>
      <c r="E781" s="1" t="s">
        <v>9541</v>
      </c>
      <c r="F781" s="1" t="s">
        <v>9542</v>
      </c>
      <c r="H781" s="2" t="s">
        <v>5</v>
      </c>
      <c r="I781" s="2" t="s">
        <v>6</v>
      </c>
      <c r="J781" s="2" t="s">
        <v>5</v>
      </c>
      <c r="K781" s="2" t="s">
        <v>16</v>
      </c>
      <c r="L781" s="2" t="s">
        <v>7</v>
      </c>
      <c r="M781" s="1" t="s">
        <v>9543</v>
      </c>
      <c r="N781" s="1" t="s">
        <v>7801</v>
      </c>
      <c r="O781" s="2" t="s">
        <v>1195</v>
      </c>
      <c r="P781" s="1" t="s">
        <v>9544</v>
      </c>
      <c r="Q781" s="2" t="s">
        <v>11</v>
      </c>
      <c r="R781" s="2" t="s">
        <v>31</v>
      </c>
      <c r="T781" s="2" t="s">
        <v>520</v>
      </c>
      <c r="U781" s="3">
        <v>2</v>
      </c>
      <c r="V781" s="3">
        <v>2</v>
      </c>
      <c r="W781" s="4" t="s">
        <v>1197</v>
      </c>
      <c r="X781" s="4" t="s">
        <v>1197</v>
      </c>
      <c r="Y781" s="4" t="s">
        <v>1197</v>
      </c>
      <c r="Z781" s="4" t="s">
        <v>1197</v>
      </c>
      <c r="AA781" s="3">
        <v>289</v>
      </c>
      <c r="AB781" s="3">
        <v>213</v>
      </c>
      <c r="AC781" s="3">
        <v>806</v>
      </c>
      <c r="AD781" s="3">
        <v>1</v>
      </c>
      <c r="AE781" s="3">
        <v>4</v>
      </c>
      <c r="AF781" s="3">
        <v>5</v>
      </c>
      <c r="AG781" s="3">
        <v>26</v>
      </c>
      <c r="AH781" s="3">
        <v>1</v>
      </c>
      <c r="AI781" s="3">
        <v>8</v>
      </c>
      <c r="AJ781" s="3">
        <v>2</v>
      </c>
      <c r="AK781" s="3">
        <v>6</v>
      </c>
      <c r="AL781" s="3">
        <v>3</v>
      </c>
      <c r="AM781" s="3">
        <v>11</v>
      </c>
      <c r="AN781" s="3">
        <v>0</v>
      </c>
      <c r="AO781" s="3">
        <v>3</v>
      </c>
      <c r="AP781" s="3">
        <v>0</v>
      </c>
      <c r="AQ781" s="3">
        <v>0</v>
      </c>
      <c r="AR781" s="2" t="s">
        <v>5</v>
      </c>
      <c r="AS781" s="2" t="s">
        <v>16</v>
      </c>
      <c r="AT781" s="5" t="str">
        <f>HYPERLINK("http://catalog.hathitrust.org/Record/003445811","HathiTrust Record")</f>
        <v>HathiTrust Record</v>
      </c>
      <c r="AU781" s="5" t="str">
        <f>HYPERLINK("https://creighton-primo.hosted.exlibrisgroup.com/primo-explore/search?tab=default_tab&amp;search_scope=EVERYTHING&amp;vid=01CRU&amp;lang=en_US&amp;offset=0&amp;query=any,contains,991001410309702656","Catalog Record")</f>
        <v>Catalog Record</v>
      </c>
      <c r="AV781" s="5" t="str">
        <f>HYPERLINK("http://www.worldcat.org/oclc/41606497","WorldCat Record")</f>
        <v>WorldCat Record</v>
      </c>
      <c r="AW781" s="2" t="s">
        <v>9545</v>
      </c>
      <c r="AX781" s="2" t="s">
        <v>9546</v>
      </c>
      <c r="AY781" s="2" t="s">
        <v>9547</v>
      </c>
      <c r="AZ781" s="2" t="s">
        <v>9547</v>
      </c>
      <c r="BA781" s="2" t="s">
        <v>9548</v>
      </c>
      <c r="BB781" s="2" t="s">
        <v>21</v>
      </c>
      <c r="BD781" s="2" t="s">
        <v>9549</v>
      </c>
      <c r="BE781" s="2" t="s">
        <v>9550</v>
      </c>
      <c r="BF781" s="2" t="s">
        <v>9551</v>
      </c>
    </row>
    <row r="782" spans="1:58" ht="41.25" customHeight="1" x14ac:dyDescent="0.25">
      <c r="A782" s="8" t="s">
        <v>5</v>
      </c>
      <c r="B782" s="1" t="s">
        <v>0</v>
      </c>
      <c r="C782" s="1" t="s">
        <v>1</v>
      </c>
      <c r="D782" s="1" t="s">
        <v>9552</v>
      </c>
      <c r="E782" s="1" t="s">
        <v>9553</v>
      </c>
      <c r="F782" s="1" t="s">
        <v>9542</v>
      </c>
      <c r="H782" s="2" t="s">
        <v>5</v>
      </c>
      <c r="I782" s="2" t="s">
        <v>6</v>
      </c>
      <c r="J782" s="2" t="s">
        <v>5</v>
      </c>
      <c r="K782" s="2" t="s">
        <v>16</v>
      </c>
      <c r="L782" s="2" t="s">
        <v>7</v>
      </c>
      <c r="M782" s="1" t="s">
        <v>9543</v>
      </c>
      <c r="N782" s="1" t="s">
        <v>9554</v>
      </c>
      <c r="O782" s="2" t="s">
        <v>1391</v>
      </c>
      <c r="P782" s="1" t="s">
        <v>9555</v>
      </c>
      <c r="Q782" s="2" t="s">
        <v>11</v>
      </c>
      <c r="R782" s="2" t="s">
        <v>31</v>
      </c>
      <c r="T782" s="2" t="s">
        <v>520</v>
      </c>
      <c r="U782" s="3">
        <v>0</v>
      </c>
      <c r="V782" s="3">
        <v>0</v>
      </c>
      <c r="W782" s="4" t="s">
        <v>9556</v>
      </c>
      <c r="X782" s="4" t="s">
        <v>9556</v>
      </c>
      <c r="Y782" s="4" t="s">
        <v>8196</v>
      </c>
      <c r="Z782" s="4" t="s">
        <v>8196</v>
      </c>
      <c r="AA782" s="3">
        <v>346</v>
      </c>
      <c r="AB782" s="3">
        <v>250</v>
      </c>
      <c r="AC782" s="3">
        <v>806</v>
      </c>
      <c r="AD782" s="3">
        <v>1</v>
      </c>
      <c r="AE782" s="3">
        <v>4</v>
      </c>
      <c r="AF782" s="3">
        <v>10</v>
      </c>
      <c r="AG782" s="3">
        <v>26</v>
      </c>
      <c r="AH782" s="3">
        <v>4</v>
      </c>
      <c r="AI782" s="3">
        <v>8</v>
      </c>
      <c r="AJ782" s="3">
        <v>1</v>
      </c>
      <c r="AK782" s="3">
        <v>6</v>
      </c>
      <c r="AL782" s="3">
        <v>6</v>
      </c>
      <c r="AM782" s="3">
        <v>11</v>
      </c>
      <c r="AN782" s="3">
        <v>0</v>
      </c>
      <c r="AO782" s="3">
        <v>3</v>
      </c>
      <c r="AP782" s="3">
        <v>0</v>
      </c>
      <c r="AQ782" s="3">
        <v>0</v>
      </c>
      <c r="AR782" s="2" t="s">
        <v>5</v>
      </c>
      <c r="AS782" s="2" t="s">
        <v>16</v>
      </c>
      <c r="AT782" s="5" t="str">
        <f>HYPERLINK("http://catalog.hathitrust.org/Record/004350768","HathiTrust Record")</f>
        <v>HathiTrust Record</v>
      </c>
      <c r="AU782" s="5" t="str">
        <f>HYPERLINK("https://creighton-primo.hosted.exlibrisgroup.com/primo-explore/search?tab=default_tab&amp;search_scope=EVERYTHING&amp;vid=01CRU&amp;lang=en_US&amp;offset=0&amp;query=any,contains,991000456419702656","Catalog Record")</f>
        <v>Catalog Record</v>
      </c>
      <c r="AV782" s="5" t="str">
        <f>HYPERLINK("http://www.worldcat.org/oclc/51982681","WorldCat Record")</f>
        <v>WorldCat Record</v>
      </c>
      <c r="AW782" s="2" t="s">
        <v>9545</v>
      </c>
      <c r="AX782" s="2" t="s">
        <v>9557</v>
      </c>
      <c r="AY782" s="2" t="s">
        <v>9558</v>
      </c>
      <c r="AZ782" s="2" t="s">
        <v>9558</v>
      </c>
      <c r="BA782" s="2" t="s">
        <v>9559</v>
      </c>
      <c r="BB782" s="2" t="s">
        <v>21</v>
      </c>
      <c r="BD782" s="2" t="s">
        <v>9560</v>
      </c>
      <c r="BE782" s="2" t="s">
        <v>9561</v>
      </c>
      <c r="BF782" s="2" t="s">
        <v>9562</v>
      </c>
    </row>
    <row r="783" spans="1:58" ht="41.25" customHeight="1" x14ac:dyDescent="0.25">
      <c r="A783" s="8" t="s">
        <v>5</v>
      </c>
      <c r="B783" s="1" t="s">
        <v>0</v>
      </c>
      <c r="C783" s="1" t="s">
        <v>1</v>
      </c>
      <c r="D783" s="1" t="s">
        <v>9563</v>
      </c>
      <c r="E783" s="1" t="s">
        <v>9564</v>
      </c>
      <c r="F783" s="1" t="s">
        <v>9565</v>
      </c>
      <c r="H783" s="2" t="s">
        <v>5</v>
      </c>
      <c r="I783" s="2" t="s">
        <v>6</v>
      </c>
      <c r="J783" s="2" t="s">
        <v>5</v>
      </c>
      <c r="K783" s="2" t="s">
        <v>5</v>
      </c>
      <c r="L783" s="2" t="s">
        <v>7</v>
      </c>
      <c r="N783" s="1" t="s">
        <v>9566</v>
      </c>
      <c r="O783" s="2" t="s">
        <v>62</v>
      </c>
      <c r="P783" s="1" t="s">
        <v>9567</v>
      </c>
      <c r="Q783" s="2" t="s">
        <v>11</v>
      </c>
      <c r="R783" s="2" t="s">
        <v>78</v>
      </c>
      <c r="T783" s="2" t="s">
        <v>520</v>
      </c>
      <c r="U783" s="3">
        <v>5</v>
      </c>
      <c r="V783" s="3">
        <v>5</v>
      </c>
      <c r="W783" s="4" t="s">
        <v>9568</v>
      </c>
      <c r="X783" s="4" t="s">
        <v>9568</v>
      </c>
      <c r="Y783" s="4" t="s">
        <v>329</v>
      </c>
      <c r="Z783" s="4" t="s">
        <v>329</v>
      </c>
      <c r="AA783" s="3">
        <v>251</v>
      </c>
      <c r="AB783" s="3">
        <v>213</v>
      </c>
      <c r="AC783" s="3">
        <v>332</v>
      </c>
      <c r="AD783" s="3">
        <v>3</v>
      </c>
      <c r="AE783" s="3">
        <v>5</v>
      </c>
      <c r="AF783" s="3">
        <v>7</v>
      </c>
      <c r="AG783" s="3">
        <v>14</v>
      </c>
      <c r="AH783" s="3">
        <v>2</v>
      </c>
      <c r="AI783" s="3">
        <v>4</v>
      </c>
      <c r="AJ783" s="3">
        <v>1</v>
      </c>
      <c r="AK783" s="3">
        <v>3</v>
      </c>
      <c r="AL783" s="3">
        <v>3</v>
      </c>
      <c r="AM783" s="3">
        <v>5</v>
      </c>
      <c r="AN783" s="3">
        <v>2</v>
      </c>
      <c r="AO783" s="3">
        <v>4</v>
      </c>
      <c r="AP783" s="3">
        <v>0</v>
      </c>
      <c r="AQ783" s="3">
        <v>0</v>
      </c>
      <c r="AR783" s="2" t="s">
        <v>5</v>
      </c>
      <c r="AS783" s="2" t="s">
        <v>16</v>
      </c>
      <c r="AT783" s="5" t="str">
        <f>HYPERLINK("http://catalog.hathitrust.org/Record/000137207","HathiTrust Record")</f>
        <v>HathiTrust Record</v>
      </c>
      <c r="AU783" s="5" t="str">
        <f>HYPERLINK("https://creighton-primo.hosted.exlibrisgroup.com/primo-explore/search?tab=default_tab&amp;search_scope=EVERYTHING&amp;vid=01CRU&amp;lang=en_US&amp;offset=0&amp;query=any,contains,991000738559702656","Catalog Record")</f>
        <v>Catalog Record</v>
      </c>
      <c r="AV783" s="5" t="str">
        <f>HYPERLINK("http://www.worldcat.org/oclc/3892967","WorldCat Record")</f>
        <v>WorldCat Record</v>
      </c>
      <c r="AW783" s="2" t="s">
        <v>9569</v>
      </c>
      <c r="AX783" s="2" t="s">
        <v>9570</v>
      </c>
      <c r="AY783" s="2" t="s">
        <v>9571</v>
      </c>
      <c r="AZ783" s="2" t="s">
        <v>9571</v>
      </c>
      <c r="BA783" s="2" t="s">
        <v>9572</v>
      </c>
      <c r="BB783" s="2" t="s">
        <v>21</v>
      </c>
      <c r="BD783" s="2" t="s">
        <v>9573</v>
      </c>
      <c r="BE783" s="2" t="s">
        <v>9574</v>
      </c>
      <c r="BF783" s="2" t="s">
        <v>9575</v>
      </c>
    </row>
    <row r="784" spans="1:58" ht="41.25" customHeight="1" x14ac:dyDescent="0.25">
      <c r="A784" s="8" t="s">
        <v>5</v>
      </c>
      <c r="B784" s="1" t="s">
        <v>0</v>
      </c>
      <c r="C784" s="1" t="s">
        <v>1</v>
      </c>
      <c r="D784" s="1" t="s">
        <v>9576</v>
      </c>
      <c r="E784" s="1" t="s">
        <v>9577</v>
      </c>
      <c r="F784" s="1" t="s">
        <v>9578</v>
      </c>
      <c r="H784" s="2" t="s">
        <v>5</v>
      </c>
      <c r="I784" s="2" t="s">
        <v>6</v>
      </c>
      <c r="J784" s="2" t="s">
        <v>5</v>
      </c>
      <c r="K784" s="2" t="s">
        <v>5</v>
      </c>
      <c r="L784" s="2" t="s">
        <v>7</v>
      </c>
      <c r="N784" s="1" t="s">
        <v>7103</v>
      </c>
      <c r="O784" s="2" t="s">
        <v>734</v>
      </c>
      <c r="Q784" s="2" t="s">
        <v>11</v>
      </c>
      <c r="R784" s="2" t="s">
        <v>31</v>
      </c>
      <c r="T784" s="2" t="s">
        <v>520</v>
      </c>
      <c r="U784" s="3">
        <v>6</v>
      </c>
      <c r="V784" s="3">
        <v>6</v>
      </c>
      <c r="W784" s="4" t="s">
        <v>9579</v>
      </c>
      <c r="X784" s="4" t="s">
        <v>9579</v>
      </c>
      <c r="Y784" s="4" t="s">
        <v>96</v>
      </c>
      <c r="Z784" s="4" t="s">
        <v>96</v>
      </c>
      <c r="AA784" s="3">
        <v>232</v>
      </c>
      <c r="AB784" s="3">
        <v>188</v>
      </c>
      <c r="AC784" s="3">
        <v>195</v>
      </c>
      <c r="AD784" s="3">
        <v>1</v>
      </c>
      <c r="AE784" s="3">
        <v>1</v>
      </c>
      <c r="AF784" s="3">
        <v>8</v>
      </c>
      <c r="AG784" s="3">
        <v>8</v>
      </c>
      <c r="AH784" s="3">
        <v>3</v>
      </c>
      <c r="AI784" s="3">
        <v>3</v>
      </c>
      <c r="AJ784" s="3">
        <v>2</v>
      </c>
      <c r="AK784" s="3">
        <v>2</v>
      </c>
      <c r="AL784" s="3">
        <v>5</v>
      </c>
      <c r="AM784" s="3">
        <v>5</v>
      </c>
      <c r="AN784" s="3">
        <v>0</v>
      </c>
      <c r="AO784" s="3">
        <v>0</v>
      </c>
      <c r="AP784" s="3">
        <v>0</v>
      </c>
      <c r="AQ784" s="3">
        <v>0</v>
      </c>
      <c r="AR784" s="2" t="s">
        <v>5</v>
      </c>
      <c r="AS784" s="2" t="s">
        <v>16</v>
      </c>
      <c r="AT784" s="5" t="str">
        <f>HYPERLINK("http://catalog.hathitrust.org/Record/000238450","HathiTrust Record")</f>
        <v>HathiTrust Record</v>
      </c>
      <c r="AU784" s="5" t="str">
        <f>HYPERLINK("https://creighton-primo.hosted.exlibrisgroup.com/primo-explore/search?tab=default_tab&amp;search_scope=EVERYTHING&amp;vid=01CRU&amp;lang=en_US&amp;offset=0&amp;query=any,contains,991001131469702656","Catalog Record")</f>
        <v>Catalog Record</v>
      </c>
      <c r="AV784" s="5" t="str">
        <f>HYPERLINK("http://www.worldcat.org/oclc/8785604","WorldCat Record")</f>
        <v>WorldCat Record</v>
      </c>
      <c r="AW784" s="2" t="s">
        <v>9580</v>
      </c>
      <c r="AX784" s="2" t="s">
        <v>9581</v>
      </c>
      <c r="AY784" s="2" t="s">
        <v>9582</v>
      </c>
      <c r="AZ784" s="2" t="s">
        <v>9582</v>
      </c>
      <c r="BA784" s="2" t="s">
        <v>9583</v>
      </c>
      <c r="BB784" s="2" t="s">
        <v>21</v>
      </c>
      <c r="BD784" s="2" t="s">
        <v>9584</v>
      </c>
      <c r="BE784" s="2" t="s">
        <v>9585</v>
      </c>
      <c r="BF784" s="2" t="s">
        <v>9586</v>
      </c>
    </row>
    <row r="785" spans="1:58" ht="41.25" customHeight="1" x14ac:dyDescent="0.25">
      <c r="A785" s="8" t="s">
        <v>5</v>
      </c>
      <c r="B785" s="1" t="s">
        <v>0</v>
      </c>
      <c r="C785" s="1" t="s">
        <v>1</v>
      </c>
      <c r="D785" s="1" t="s">
        <v>9587</v>
      </c>
      <c r="E785" s="1" t="s">
        <v>9588</v>
      </c>
      <c r="F785" s="1" t="s">
        <v>9589</v>
      </c>
      <c r="H785" s="2" t="s">
        <v>5</v>
      </c>
      <c r="I785" s="2" t="s">
        <v>6</v>
      </c>
      <c r="J785" s="2" t="s">
        <v>5</v>
      </c>
      <c r="K785" s="2" t="s">
        <v>16</v>
      </c>
      <c r="L785" s="2" t="s">
        <v>7</v>
      </c>
      <c r="M785" s="1" t="s">
        <v>9590</v>
      </c>
      <c r="N785" s="1" t="s">
        <v>9591</v>
      </c>
      <c r="O785" s="2" t="s">
        <v>228</v>
      </c>
      <c r="P785" s="1" t="s">
        <v>211</v>
      </c>
      <c r="Q785" s="2" t="s">
        <v>11</v>
      </c>
      <c r="R785" s="2" t="s">
        <v>426</v>
      </c>
      <c r="S785" s="1" t="s">
        <v>3264</v>
      </c>
      <c r="T785" s="2" t="s">
        <v>520</v>
      </c>
      <c r="U785" s="3">
        <v>16</v>
      </c>
      <c r="V785" s="3">
        <v>16</v>
      </c>
      <c r="W785" s="4" t="s">
        <v>9592</v>
      </c>
      <c r="X785" s="4" t="s">
        <v>9592</v>
      </c>
      <c r="Y785" s="4" t="s">
        <v>96</v>
      </c>
      <c r="Z785" s="4" t="s">
        <v>96</v>
      </c>
      <c r="AA785" s="3">
        <v>359</v>
      </c>
      <c r="AB785" s="3">
        <v>281</v>
      </c>
      <c r="AC785" s="3">
        <v>512</v>
      </c>
      <c r="AD785" s="3">
        <v>1</v>
      </c>
      <c r="AE785" s="3">
        <v>5</v>
      </c>
      <c r="AF785" s="3">
        <v>10</v>
      </c>
      <c r="AG785" s="3">
        <v>19</v>
      </c>
      <c r="AH785" s="3">
        <v>7</v>
      </c>
      <c r="AI785" s="3">
        <v>11</v>
      </c>
      <c r="AJ785" s="3">
        <v>0</v>
      </c>
      <c r="AK785" s="3">
        <v>3</v>
      </c>
      <c r="AL785" s="3">
        <v>6</v>
      </c>
      <c r="AM785" s="3">
        <v>9</v>
      </c>
      <c r="AN785" s="3">
        <v>0</v>
      </c>
      <c r="AO785" s="3">
        <v>2</v>
      </c>
      <c r="AP785" s="3">
        <v>0</v>
      </c>
      <c r="AQ785" s="3">
        <v>0</v>
      </c>
      <c r="AR785" s="2" t="s">
        <v>5</v>
      </c>
      <c r="AS785" s="2" t="s">
        <v>16</v>
      </c>
      <c r="AT785" s="5" t="str">
        <f>HYPERLINK("http://catalog.hathitrust.org/Record/000187486","HathiTrust Record")</f>
        <v>HathiTrust Record</v>
      </c>
      <c r="AU785" s="5" t="str">
        <f>HYPERLINK("https://creighton-primo.hosted.exlibrisgroup.com/primo-explore/search?tab=default_tab&amp;search_scope=EVERYTHING&amp;vid=01CRU&amp;lang=en_US&amp;offset=0&amp;query=any,contains,991001131669702656","Catalog Record")</f>
        <v>Catalog Record</v>
      </c>
      <c r="AV785" s="5" t="str">
        <f>HYPERLINK("http://www.worldcat.org/oclc/7947006","WorldCat Record")</f>
        <v>WorldCat Record</v>
      </c>
      <c r="AW785" s="2" t="s">
        <v>9593</v>
      </c>
      <c r="AX785" s="2" t="s">
        <v>9594</v>
      </c>
      <c r="AY785" s="2" t="s">
        <v>9595</v>
      </c>
      <c r="AZ785" s="2" t="s">
        <v>9595</v>
      </c>
      <c r="BA785" s="2" t="s">
        <v>9596</v>
      </c>
      <c r="BB785" s="2" t="s">
        <v>21</v>
      </c>
      <c r="BD785" s="2" t="s">
        <v>9597</v>
      </c>
      <c r="BE785" s="2" t="s">
        <v>9598</v>
      </c>
      <c r="BF785" s="2" t="s">
        <v>9599</v>
      </c>
    </row>
    <row r="786" spans="1:58" ht="41.25" customHeight="1" x14ac:dyDescent="0.25">
      <c r="A786" s="8" t="s">
        <v>5</v>
      </c>
      <c r="B786" s="1" t="s">
        <v>0</v>
      </c>
      <c r="C786" s="1" t="s">
        <v>1</v>
      </c>
      <c r="D786" s="1" t="s">
        <v>9600</v>
      </c>
      <c r="E786" s="1" t="s">
        <v>9601</v>
      </c>
      <c r="F786" s="1" t="s">
        <v>9602</v>
      </c>
      <c r="H786" s="2" t="s">
        <v>5</v>
      </c>
      <c r="I786" s="2" t="s">
        <v>6</v>
      </c>
      <c r="J786" s="2" t="s">
        <v>5</v>
      </c>
      <c r="K786" s="2" t="s">
        <v>16</v>
      </c>
      <c r="L786" s="2" t="s">
        <v>7</v>
      </c>
      <c r="M786" s="1" t="s">
        <v>9603</v>
      </c>
      <c r="N786" s="1" t="s">
        <v>9604</v>
      </c>
      <c r="O786" s="2" t="s">
        <v>872</v>
      </c>
      <c r="Q786" s="2" t="s">
        <v>11</v>
      </c>
      <c r="R786" s="2" t="s">
        <v>426</v>
      </c>
      <c r="T786" s="2" t="s">
        <v>520</v>
      </c>
      <c r="U786" s="3">
        <v>21</v>
      </c>
      <c r="V786" s="3">
        <v>21</v>
      </c>
      <c r="W786" s="4" t="s">
        <v>9605</v>
      </c>
      <c r="X786" s="4" t="s">
        <v>9605</v>
      </c>
      <c r="Y786" s="4" t="s">
        <v>9606</v>
      </c>
      <c r="Z786" s="4" t="s">
        <v>9606</v>
      </c>
      <c r="AA786" s="3">
        <v>280</v>
      </c>
      <c r="AB786" s="3">
        <v>218</v>
      </c>
      <c r="AC786" s="3">
        <v>1224</v>
      </c>
      <c r="AD786" s="3">
        <v>1</v>
      </c>
      <c r="AE786" s="3">
        <v>8</v>
      </c>
      <c r="AF786" s="3">
        <v>11</v>
      </c>
      <c r="AG786" s="3">
        <v>40</v>
      </c>
      <c r="AH786" s="3">
        <v>5</v>
      </c>
      <c r="AI786" s="3">
        <v>17</v>
      </c>
      <c r="AJ786" s="3">
        <v>3</v>
      </c>
      <c r="AK786" s="3">
        <v>7</v>
      </c>
      <c r="AL786" s="3">
        <v>6</v>
      </c>
      <c r="AM786" s="3">
        <v>17</v>
      </c>
      <c r="AN786" s="3">
        <v>0</v>
      </c>
      <c r="AO786" s="3">
        <v>7</v>
      </c>
      <c r="AP786" s="3">
        <v>0</v>
      </c>
      <c r="AQ786" s="3">
        <v>0</v>
      </c>
      <c r="AR786" s="2" t="s">
        <v>5</v>
      </c>
      <c r="AS786" s="2" t="s">
        <v>16</v>
      </c>
      <c r="AT786" s="5" t="str">
        <f>HYPERLINK("http://catalog.hathitrust.org/Record/001837606","HathiTrust Record")</f>
        <v>HathiTrust Record</v>
      </c>
      <c r="AU786" s="5" t="str">
        <f>HYPERLINK("https://creighton-primo.hosted.exlibrisgroup.com/primo-explore/search?tab=default_tab&amp;search_scope=EVERYTHING&amp;vid=01CRU&amp;lang=en_US&amp;offset=0&amp;query=any,contains,991001453729702656","Catalog Record")</f>
        <v>Catalog Record</v>
      </c>
      <c r="AV786" s="5" t="str">
        <f>HYPERLINK("http://www.worldcat.org/oclc/17440785","WorldCat Record")</f>
        <v>WorldCat Record</v>
      </c>
      <c r="AW786" s="2" t="s">
        <v>9607</v>
      </c>
      <c r="AX786" s="2" t="s">
        <v>9608</v>
      </c>
      <c r="AY786" s="2" t="s">
        <v>9609</v>
      </c>
      <c r="AZ786" s="2" t="s">
        <v>9609</v>
      </c>
      <c r="BA786" s="2" t="s">
        <v>9610</v>
      </c>
      <c r="BB786" s="2" t="s">
        <v>21</v>
      </c>
      <c r="BD786" s="2" t="s">
        <v>9611</v>
      </c>
      <c r="BE786" s="2" t="s">
        <v>9612</v>
      </c>
      <c r="BF786" s="2" t="s">
        <v>9613</v>
      </c>
    </row>
    <row r="787" spans="1:58" ht="41.25" customHeight="1" x14ac:dyDescent="0.25">
      <c r="A787" s="8" t="s">
        <v>5</v>
      </c>
      <c r="B787" s="1" t="s">
        <v>0</v>
      </c>
      <c r="C787" s="1" t="s">
        <v>1</v>
      </c>
      <c r="D787" s="1" t="s">
        <v>9614</v>
      </c>
      <c r="E787" s="1" t="s">
        <v>9615</v>
      </c>
      <c r="F787" s="1" t="s">
        <v>9616</v>
      </c>
      <c r="H787" s="2" t="s">
        <v>5</v>
      </c>
      <c r="I787" s="2" t="s">
        <v>6</v>
      </c>
      <c r="J787" s="2" t="s">
        <v>5</v>
      </c>
      <c r="K787" s="2" t="s">
        <v>5</v>
      </c>
      <c r="L787" s="2" t="s">
        <v>7</v>
      </c>
      <c r="M787" s="1" t="s">
        <v>9617</v>
      </c>
      <c r="N787" s="1" t="s">
        <v>8372</v>
      </c>
      <c r="O787" s="2" t="s">
        <v>939</v>
      </c>
      <c r="P787" s="1" t="s">
        <v>211</v>
      </c>
      <c r="Q787" s="2" t="s">
        <v>11</v>
      </c>
      <c r="R787" s="2" t="s">
        <v>426</v>
      </c>
      <c r="T787" s="2" t="s">
        <v>520</v>
      </c>
      <c r="U787" s="3">
        <v>13</v>
      </c>
      <c r="V787" s="3">
        <v>13</v>
      </c>
      <c r="W787" s="4" t="s">
        <v>9618</v>
      </c>
      <c r="X787" s="4" t="s">
        <v>9618</v>
      </c>
      <c r="Y787" s="4" t="s">
        <v>1962</v>
      </c>
      <c r="Z787" s="4" t="s">
        <v>1962</v>
      </c>
      <c r="AA787" s="3">
        <v>234</v>
      </c>
      <c r="AB787" s="3">
        <v>176</v>
      </c>
      <c r="AC787" s="3">
        <v>183</v>
      </c>
      <c r="AD787" s="3">
        <v>1</v>
      </c>
      <c r="AE787" s="3">
        <v>1</v>
      </c>
      <c r="AF787" s="3">
        <v>9</v>
      </c>
      <c r="AG787" s="3">
        <v>9</v>
      </c>
      <c r="AH787" s="3">
        <v>4</v>
      </c>
      <c r="AI787" s="3">
        <v>4</v>
      </c>
      <c r="AJ787" s="3">
        <v>2</v>
      </c>
      <c r="AK787" s="3">
        <v>2</v>
      </c>
      <c r="AL787" s="3">
        <v>6</v>
      </c>
      <c r="AM787" s="3">
        <v>6</v>
      </c>
      <c r="AN787" s="3">
        <v>0</v>
      </c>
      <c r="AO787" s="3">
        <v>0</v>
      </c>
      <c r="AP787" s="3">
        <v>0</v>
      </c>
      <c r="AQ787" s="3">
        <v>0</v>
      </c>
      <c r="AR787" s="2" t="s">
        <v>5</v>
      </c>
      <c r="AS787" s="2" t="s">
        <v>16</v>
      </c>
      <c r="AT787" s="5" t="str">
        <f>HYPERLINK("http://catalog.hathitrust.org/Record/000909849","HathiTrust Record")</f>
        <v>HathiTrust Record</v>
      </c>
      <c r="AU787" s="5" t="str">
        <f>HYPERLINK("https://creighton-primo.hosted.exlibrisgroup.com/primo-explore/search?tab=default_tab&amp;search_scope=EVERYTHING&amp;vid=01CRU&amp;lang=en_US&amp;offset=0&amp;query=any,contains,991001416669702656","Catalog Record")</f>
        <v>Catalog Record</v>
      </c>
      <c r="AV787" s="5" t="str">
        <f>HYPERLINK("http://www.worldcat.org/oclc/16404575","WorldCat Record")</f>
        <v>WorldCat Record</v>
      </c>
      <c r="AW787" s="2" t="s">
        <v>9619</v>
      </c>
      <c r="AX787" s="2" t="s">
        <v>9620</v>
      </c>
      <c r="AY787" s="2" t="s">
        <v>9621</v>
      </c>
      <c r="AZ787" s="2" t="s">
        <v>9621</v>
      </c>
      <c r="BA787" s="2" t="s">
        <v>9622</v>
      </c>
      <c r="BB787" s="2" t="s">
        <v>21</v>
      </c>
      <c r="BD787" s="2" t="s">
        <v>9623</v>
      </c>
      <c r="BE787" s="2" t="s">
        <v>9624</v>
      </c>
      <c r="BF787" s="2" t="s">
        <v>9625</v>
      </c>
    </row>
    <row r="788" spans="1:58" ht="41.25" customHeight="1" x14ac:dyDescent="0.25">
      <c r="A788" s="8" t="s">
        <v>5</v>
      </c>
      <c r="B788" s="1" t="s">
        <v>0</v>
      </c>
      <c r="C788" s="1" t="s">
        <v>1</v>
      </c>
      <c r="D788" s="1" t="s">
        <v>9626</v>
      </c>
      <c r="E788" s="1" t="s">
        <v>9627</v>
      </c>
      <c r="F788" s="1" t="s">
        <v>9628</v>
      </c>
      <c r="H788" s="2" t="s">
        <v>5</v>
      </c>
      <c r="I788" s="2" t="s">
        <v>6</v>
      </c>
      <c r="J788" s="2" t="s">
        <v>5</v>
      </c>
      <c r="K788" s="2" t="s">
        <v>5</v>
      </c>
      <c r="L788" s="2" t="s">
        <v>7</v>
      </c>
      <c r="M788" s="1" t="s">
        <v>9629</v>
      </c>
      <c r="N788" s="1" t="s">
        <v>9630</v>
      </c>
      <c r="O788" s="2" t="s">
        <v>2726</v>
      </c>
      <c r="Q788" s="2" t="s">
        <v>11</v>
      </c>
      <c r="R788" s="2" t="s">
        <v>12</v>
      </c>
      <c r="S788" s="1" t="s">
        <v>9631</v>
      </c>
      <c r="T788" s="2" t="s">
        <v>520</v>
      </c>
      <c r="U788" s="3">
        <v>2</v>
      </c>
      <c r="V788" s="3">
        <v>2</v>
      </c>
      <c r="W788" s="4" t="s">
        <v>9632</v>
      </c>
      <c r="X788" s="4" t="s">
        <v>9632</v>
      </c>
      <c r="Y788" s="4" t="s">
        <v>80</v>
      </c>
      <c r="Z788" s="4" t="s">
        <v>80</v>
      </c>
      <c r="AA788" s="3">
        <v>228</v>
      </c>
      <c r="AB788" s="3">
        <v>197</v>
      </c>
      <c r="AC788" s="3">
        <v>212</v>
      </c>
      <c r="AD788" s="3">
        <v>2</v>
      </c>
      <c r="AE788" s="3">
        <v>2</v>
      </c>
      <c r="AF788" s="3">
        <v>7</v>
      </c>
      <c r="AG788" s="3">
        <v>7</v>
      </c>
      <c r="AH788" s="3">
        <v>2</v>
      </c>
      <c r="AI788" s="3">
        <v>2</v>
      </c>
      <c r="AJ788" s="3">
        <v>1</v>
      </c>
      <c r="AK788" s="3">
        <v>1</v>
      </c>
      <c r="AL788" s="3">
        <v>4</v>
      </c>
      <c r="AM788" s="3">
        <v>4</v>
      </c>
      <c r="AN788" s="3">
        <v>1</v>
      </c>
      <c r="AO788" s="3">
        <v>1</v>
      </c>
      <c r="AP788" s="3">
        <v>0</v>
      </c>
      <c r="AQ788" s="3">
        <v>0</v>
      </c>
      <c r="AR788" s="2" t="s">
        <v>5</v>
      </c>
      <c r="AS788" s="2" t="s">
        <v>16</v>
      </c>
      <c r="AT788" s="5" t="str">
        <f>HYPERLINK("http://catalog.hathitrust.org/Record/001577765","HathiTrust Record")</f>
        <v>HathiTrust Record</v>
      </c>
      <c r="AU788" s="5" t="str">
        <f>HYPERLINK("https://creighton-primo.hosted.exlibrisgroup.com/primo-explore/search?tab=default_tab&amp;search_scope=EVERYTHING&amp;vid=01CRU&amp;lang=en_US&amp;offset=0&amp;query=any,contains,991001131729702656","Catalog Record")</f>
        <v>Catalog Record</v>
      </c>
      <c r="AV788" s="5" t="str">
        <f>HYPERLINK("http://www.worldcat.org/oclc/590330","WorldCat Record")</f>
        <v>WorldCat Record</v>
      </c>
      <c r="AW788" s="2" t="s">
        <v>9633</v>
      </c>
      <c r="AX788" s="2" t="s">
        <v>9634</v>
      </c>
      <c r="AY788" s="2" t="s">
        <v>9635</v>
      </c>
      <c r="AZ788" s="2" t="s">
        <v>9635</v>
      </c>
      <c r="BA788" s="2" t="s">
        <v>9636</v>
      </c>
      <c r="BB788" s="2" t="s">
        <v>21</v>
      </c>
      <c r="BE788" s="2" t="s">
        <v>9637</v>
      </c>
      <c r="BF788" s="2" t="s">
        <v>9638</v>
      </c>
    </row>
    <row r="789" spans="1:58" ht="41.25" customHeight="1" x14ac:dyDescent="0.25">
      <c r="A789" s="8" t="s">
        <v>5</v>
      </c>
      <c r="B789" s="1" t="s">
        <v>0</v>
      </c>
      <c r="C789" s="1" t="s">
        <v>1</v>
      </c>
      <c r="D789" s="1" t="s">
        <v>9639</v>
      </c>
      <c r="E789" s="1" t="s">
        <v>9640</v>
      </c>
      <c r="F789" s="1" t="s">
        <v>9641</v>
      </c>
      <c r="H789" s="2" t="s">
        <v>5</v>
      </c>
      <c r="I789" s="2" t="s">
        <v>6</v>
      </c>
      <c r="J789" s="2" t="s">
        <v>5</v>
      </c>
      <c r="K789" s="2" t="s">
        <v>5</v>
      </c>
      <c r="L789" s="2" t="s">
        <v>7</v>
      </c>
      <c r="N789" s="1" t="s">
        <v>9642</v>
      </c>
      <c r="O789" s="2" t="s">
        <v>989</v>
      </c>
      <c r="Q789" s="2" t="s">
        <v>11</v>
      </c>
      <c r="R789" s="2" t="s">
        <v>12</v>
      </c>
      <c r="S789" s="1" t="s">
        <v>9643</v>
      </c>
      <c r="T789" s="2" t="s">
        <v>520</v>
      </c>
      <c r="U789" s="3">
        <v>2</v>
      </c>
      <c r="V789" s="3">
        <v>2</v>
      </c>
      <c r="W789" s="4" t="s">
        <v>9366</v>
      </c>
      <c r="X789" s="4" t="s">
        <v>9366</v>
      </c>
      <c r="Y789" s="4" t="s">
        <v>604</v>
      </c>
      <c r="Z789" s="4" t="s">
        <v>604</v>
      </c>
      <c r="AA789" s="3">
        <v>407</v>
      </c>
      <c r="AB789" s="3">
        <v>338</v>
      </c>
      <c r="AC789" s="3">
        <v>345</v>
      </c>
      <c r="AD789" s="3">
        <v>5</v>
      </c>
      <c r="AE789" s="3">
        <v>5</v>
      </c>
      <c r="AF789" s="3">
        <v>26</v>
      </c>
      <c r="AG789" s="3">
        <v>26</v>
      </c>
      <c r="AH789" s="3">
        <v>10</v>
      </c>
      <c r="AI789" s="3">
        <v>10</v>
      </c>
      <c r="AJ789" s="3">
        <v>5</v>
      </c>
      <c r="AK789" s="3">
        <v>5</v>
      </c>
      <c r="AL789" s="3">
        <v>13</v>
      </c>
      <c r="AM789" s="3">
        <v>13</v>
      </c>
      <c r="AN789" s="3">
        <v>4</v>
      </c>
      <c r="AO789" s="3">
        <v>4</v>
      </c>
      <c r="AP789" s="3">
        <v>0</v>
      </c>
      <c r="AQ789" s="3">
        <v>0</v>
      </c>
      <c r="AR789" s="2" t="s">
        <v>5</v>
      </c>
      <c r="AS789" s="2" t="s">
        <v>16</v>
      </c>
      <c r="AT789" s="5" t="str">
        <f>HYPERLINK("http://catalog.hathitrust.org/Record/002497668","HathiTrust Record")</f>
        <v>HathiTrust Record</v>
      </c>
      <c r="AU789" s="5" t="str">
        <f>HYPERLINK("https://creighton-primo.hosted.exlibrisgroup.com/primo-explore/search?tab=default_tab&amp;search_scope=EVERYTHING&amp;vid=01CRU&amp;lang=en_US&amp;offset=0&amp;query=any,contains,991000221199702656","Catalog Record")</f>
        <v>Catalog Record</v>
      </c>
      <c r="AV789" s="5" t="str">
        <f>HYPERLINK("http://www.worldcat.org/oclc/26552358","WorldCat Record")</f>
        <v>WorldCat Record</v>
      </c>
      <c r="AW789" s="2" t="s">
        <v>9644</v>
      </c>
      <c r="AX789" s="2" t="s">
        <v>9645</v>
      </c>
      <c r="AY789" s="2" t="s">
        <v>9646</v>
      </c>
      <c r="AZ789" s="2" t="s">
        <v>9646</v>
      </c>
      <c r="BA789" s="2" t="s">
        <v>9647</v>
      </c>
      <c r="BB789" s="2" t="s">
        <v>21</v>
      </c>
      <c r="BD789" s="2" t="s">
        <v>9648</v>
      </c>
      <c r="BE789" s="2" t="s">
        <v>9649</v>
      </c>
      <c r="BF789" s="2" t="s">
        <v>9650</v>
      </c>
    </row>
    <row r="790" spans="1:58" ht="41.25" customHeight="1" x14ac:dyDescent="0.25">
      <c r="A790" s="8" t="s">
        <v>5</v>
      </c>
      <c r="B790" s="1" t="s">
        <v>0</v>
      </c>
      <c r="C790" s="1" t="s">
        <v>1</v>
      </c>
      <c r="D790" s="1" t="s">
        <v>9651</v>
      </c>
      <c r="E790" s="1" t="s">
        <v>9652</v>
      </c>
      <c r="F790" s="1" t="s">
        <v>9653</v>
      </c>
      <c r="H790" s="2" t="s">
        <v>5</v>
      </c>
      <c r="I790" s="2" t="s">
        <v>6</v>
      </c>
      <c r="J790" s="2" t="s">
        <v>5</v>
      </c>
      <c r="K790" s="2" t="s">
        <v>5</v>
      </c>
      <c r="L790" s="2" t="s">
        <v>7</v>
      </c>
      <c r="M790" s="1" t="s">
        <v>9654</v>
      </c>
      <c r="N790" s="1" t="s">
        <v>9655</v>
      </c>
      <c r="O790" s="2" t="s">
        <v>888</v>
      </c>
      <c r="Q790" s="2" t="s">
        <v>11</v>
      </c>
      <c r="R790" s="2" t="s">
        <v>426</v>
      </c>
      <c r="T790" s="2" t="s">
        <v>520</v>
      </c>
      <c r="U790" s="3">
        <v>3</v>
      </c>
      <c r="V790" s="3">
        <v>3</v>
      </c>
      <c r="W790" s="4" t="s">
        <v>2679</v>
      </c>
      <c r="X790" s="4" t="s">
        <v>2679</v>
      </c>
      <c r="Y790" s="4" t="s">
        <v>96</v>
      </c>
      <c r="Z790" s="4" t="s">
        <v>96</v>
      </c>
      <c r="AA790" s="3">
        <v>98</v>
      </c>
      <c r="AB790" s="3">
        <v>74</v>
      </c>
      <c r="AC790" s="3">
        <v>76</v>
      </c>
      <c r="AD790" s="3">
        <v>2</v>
      </c>
      <c r="AE790" s="3">
        <v>2</v>
      </c>
      <c r="AF790" s="3">
        <v>1</v>
      </c>
      <c r="AG790" s="3">
        <v>1</v>
      </c>
      <c r="AH790" s="3">
        <v>0</v>
      </c>
      <c r="AI790" s="3">
        <v>0</v>
      </c>
      <c r="AJ790" s="3">
        <v>0</v>
      </c>
      <c r="AK790" s="3">
        <v>0</v>
      </c>
      <c r="AL790" s="3">
        <v>0</v>
      </c>
      <c r="AM790" s="3">
        <v>0</v>
      </c>
      <c r="AN790" s="3">
        <v>1</v>
      </c>
      <c r="AO790" s="3">
        <v>1</v>
      </c>
      <c r="AP790" s="3">
        <v>0</v>
      </c>
      <c r="AQ790" s="3">
        <v>0</v>
      </c>
      <c r="AR790" s="2" t="s">
        <v>5</v>
      </c>
      <c r="AS790" s="2" t="s">
        <v>16</v>
      </c>
      <c r="AT790" s="5" t="str">
        <f>HYPERLINK("http://catalog.hathitrust.org/Record/000330631","HathiTrust Record")</f>
        <v>HathiTrust Record</v>
      </c>
      <c r="AU790" s="5" t="str">
        <f>HYPERLINK("https://creighton-primo.hosted.exlibrisgroup.com/primo-explore/search?tab=default_tab&amp;search_scope=EVERYTHING&amp;vid=01CRU&amp;lang=en_US&amp;offset=0&amp;query=any,contains,991001133069702656","Catalog Record")</f>
        <v>Catalog Record</v>
      </c>
      <c r="AV790" s="5" t="str">
        <f>HYPERLINK("http://www.worldcat.org/oclc/9682662","WorldCat Record")</f>
        <v>WorldCat Record</v>
      </c>
      <c r="AW790" s="2" t="s">
        <v>9656</v>
      </c>
      <c r="AX790" s="2" t="s">
        <v>9657</v>
      </c>
      <c r="AY790" s="2" t="s">
        <v>9658</v>
      </c>
      <c r="AZ790" s="2" t="s">
        <v>9658</v>
      </c>
      <c r="BA790" s="2" t="s">
        <v>9659</v>
      </c>
      <c r="BB790" s="2" t="s">
        <v>21</v>
      </c>
      <c r="BD790" s="2" t="s">
        <v>9660</v>
      </c>
      <c r="BE790" s="2" t="s">
        <v>9661</v>
      </c>
      <c r="BF790" s="2" t="s">
        <v>9662</v>
      </c>
    </row>
    <row r="791" spans="1:58" ht="41.25" customHeight="1" x14ac:dyDescent="0.25">
      <c r="A791" s="8" t="s">
        <v>5</v>
      </c>
      <c r="B791" s="1" t="s">
        <v>0</v>
      </c>
      <c r="C791" s="1" t="s">
        <v>1</v>
      </c>
      <c r="D791" s="1" t="s">
        <v>9663</v>
      </c>
      <c r="E791" s="1" t="s">
        <v>9664</v>
      </c>
      <c r="F791" s="1" t="s">
        <v>9665</v>
      </c>
      <c r="H791" s="2" t="s">
        <v>5</v>
      </c>
      <c r="I791" s="2" t="s">
        <v>6</v>
      </c>
      <c r="J791" s="2" t="s">
        <v>5</v>
      </c>
      <c r="K791" s="2" t="s">
        <v>5</v>
      </c>
      <c r="L791" s="2" t="s">
        <v>7</v>
      </c>
      <c r="M791" s="1" t="s">
        <v>9666</v>
      </c>
      <c r="N791" s="1" t="s">
        <v>9591</v>
      </c>
      <c r="O791" s="2" t="s">
        <v>228</v>
      </c>
      <c r="Q791" s="2" t="s">
        <v>11</v>
      </c>
      <c r="R791" s="2" t="s">
        <v>426</v>
      </c>
      <c r="S791" s="1" t="s">
        <v>3264</v>
      </c>
      <c r="T791" s="2" t="s">
        <v>520</v>
      </c>
      <c r="U791" s="3">
        <v>2</v>
      </c>
      <c r="V791" s="3">
        <v>2</v>
      </c>
      <c r="W791" s="4" t="s">
        <v>9667</v>
      </c>
      <c r="X791" s="4" t="s">
        <v>9667</v>
      </c>
      <c r="Y791" s="4" t="s">
        <v>96</v>
      </c>
      <c r="Z791" s="4" t="s">
        <v>96</v>
      </c>
      <c r="AA791" s="3">
        <v>263</v>
      </c>
      <c r="AB791" s="3">
        <v>213</v>
      </c>
      <c r="AC791" s="3">
        <v>220</v>
      </c>
      <c r="AD791" s="3">
        <v>2</v>
      </c>
      <c r="AE791" s="3">
        <v>2</v>
      </c>
      <c r="AF791" s="3">
        <v>7</v>
      </c>
      <c r="AG791" s="3">
        <v>7</v>
      </c>
      <c r="AH791" s="3">
        <v>3</v>
      </c>
      <c r="AI791" s="3">
        <v>3</v>
      </c>
      <c r="AJ791" s="3">
        <v>1</v>
      </c>
      <c r="AK791" s="3">
        <v>1</v>
      </c>
      <c r="AL791" s="3">
        <v>3</v>
      </c>
      <c r="AM791" s="3">
        <v>3</v>
      </c>
      <c r="AN791" s="3">
        <v>1</v>
      </c>
      <c r="AO791" s="3">
        <v>1</v>
      </c>
      <c r="AP791" s="3">
        <v>0</v>
      </c>
      <c r="AQ791" s="3">
        <v>0</v>
      </c>
      <c r="AR791" s="2" t="s">
        <v>5</v>
      </c>
      <c r="AS791" s="2" t="s">
        <v>16</v>
      </c>
      <c r="AT791" s="5" t="str">
        <f>HYPERLINK("http://catalog.hathitrust.org/Record/000311914","HathiTrust Record")</f>
        <v>HathiTrust Record</v>
      </c>
      <c r="AU791" s="5" t="str">
        <f>HYPERLINK("https://creighton-primo.hosted.exlibrisgroup.com/primo-explore/search?tab=default_tab&amp;search_scope=EVERYTHING&amp;vid=01CRU&amp;lang=en_US&amp;offset=0&amp;query=any,contains,991001133029702656","Catalog Record")</f>
        <v>Catalog Record</v>
      </c>
      <c r="AV791" s="5" t="str">
        <f>HYPERLINK("http://www.worldcat.org/oclc/7836943","WorldCat Record")</f>
        <v>WorldCat Record</v>
      </c>
      <c r="AW791" s="2" t="s">
        <v>9668</v>
      </c>
      <c r="AX791" s="2" t="s">
        <v>9669</v>
      </c>
      <c r="AY791" s="2" t="s">
        <v>9670</v>
      </c>
      <c r="AZ791" s="2" t="s">
        <v>9670</v>
      </c>
      <c r="BA791" s="2" t="s">
        <v>9671</v>
      </c>
      <c r="BB791" s="2" t="s">
        <v>21</v>
      </c>
      <c r="BD791" s="2" t="s">
        <v>9672</v>
      </c>
      <c r="BE791" s="2" t="s">
        <v>9673</v>
      </c>
      <c r="BF791" s="2" t="s">
        <v>9674</v>
      </c>
    </row>
    <row r="792" spans="1:58" ht="41.25" customHeight="1" x14ac:dyDescent="0.25">
      <c r="A792" s="8" t="s">
        <v>5</v>
      </c>
      <c r="B792" s="1" t="s">
        <v>0</v>
      </c>
      <c r="C792" s="1" t="s">
        <v>1</v>
      </c>
      <c r="D792" s="1" t="s">
        <v>9675</v>
      </c>
      <c r="E792" s="1" t="s">
        <v>9676</v>
      </c>
      <c r="F792" s="1" t="s">
        <v>9677</v>
      </c>
      <c r="H792" s="2" t="s">
        <v>5</v>
      </c>
      <c r="I792" s="2" t="s">
        <v>6</v>
      </c>
      <c r="J792" s="2" t="s">
        <v>5</v>
      </c>
      <c r="K792" s="2" t="s">
        <v>5</v>
      </c>
      <c r="L792" s="2" t="s">
        <v>7</v>
      </c>
      <c r="M792" s="1" t="s">
        <v>9678</v>
      </c>
      <c r="N792" s="1" t="s">
        <v>9679</v>
      </c>
      <c r="O792" s="2" t="s">
        <v>77</v>
      </c>
      <c r="Q792" s="2" t="s">
        <v>11</v>
      </c>
      <c r="R792" s="2" t="s">
        <v>93</v>
      </c>
      <c r="T792" s="2" t="s">
        <v>520</v>
      </c>
      <c r="U792" s="3">
        <v>3</v>
      </c>
      <c r="V792" s="3">
        <v>3</v>
      </c>
      <c r="W792" s="4" t="s">
        <v>9680</v>
      </c>
      <c r="X792" s="4" t="s">
        <v>9680</v>
      </c>
      <c r="Y792" s="4" t="s">
        <v>96</v>
      </c>
      <c r="Z792" s="4" t="s">
        <v>96</v>
      </c>
      <c r="AA792" s="3">
        <v>8</v>
      </c>
      <c r="AB792" s="3">
        <v>7</v>
      </c>
      <c r="AC792" s="3">
        <v>7</v>
      </c>
      <c r="AD792" s="3">
        <v>1</v>
      </c>
      <c r="AE792" s="3">
        <v>1</v>
      </c>
      <c r="AF792" s="3">
        <v>0</v>
      </c>
      <c r="AG792" s="3">
        <v>0</v>
      </c>
      <c r="AH792" s="3">
        <v>0</v>
      </c>
      <c r="AI792" s="3">
        <v>0</v>
      </c>
      <c r="AJ792" s="3">
        <v>0</v>
      </c>
      <c r="AK792" s="3">
        <v>0</v>
      </c>
      <c r="AL792" s="3">
        <v>0</v>
      </c>
      <c r="AM792" s="3">
        <v>0</v>
      </c>
      <c r="AN792" s="3">
        <v>0</v>
      </c>
      <c r="AO792" s="3">
        <v>0</v>
      </c>
      <c r="AP792" s="3">
        <v>0</v>
      </c>
      <c r="AQ792" s="3">
        <v>0</v>
      </c>
      <c r="AR792" s="2" t="s">
        <v>5</v>
      </c>
      <c r="AS792" s="2" t="s">
        <v>5</v>
      </c>
      <c r="AU792" s="5" t="str">
        <f>HYPERLINK("https://creighton-primo.hosted.exlibrisgroup.com/primo-explore/search?tab=default_tab&amp;search_scope=EVERYTHING&amp;vid=01CRU&amp;lang=en_US&amp;offset=0&amp;query=any,contains,991001133179702656","Catalog Record")</f>
        <v>Catalog Record</v>
      </c>
      <c r="AV792" s="5" t="str">
        <f>HYPERLINK("http://www.worldcat.org/oclc/5543389","WorldCat Record")</f>
        <v>WorldCat Record</v>
      </c>
      <c r="AW792" s="2" t="s">
        <v>9681</v>
      </c>
      <c r="AX792" s="2" t="s">
        <v>9682</v>
      </c>
      <c r="AY792" s="2" t="s">
        <v>9683</v>
      </c>
      <c r="AZ792" s="2" t="s">
        <v>9683</v>
      </c>
      <c r="BA792" s="2" t="s">
        <v>9684</v>
      </c>
      <c r="BB792" s="2" t="s">
        <v>21</v>
      </c>
      <c r="BE792" s="2" t="s">
        <v>9685</v>
      </c>
      <c r="BF792" s="2" t="s">
        <v>9686</v>
      </c>
    </row>
    <row r="793" spans="1:58" ht="41.25" customHeight="1" x14ac:dyDescent="0.25">
      <c r="A793" s="8" t="s">
        <v>5</v>
      </c>
      <c r="B793" s="1" t="s">
        <v>0</v>
      </c>
      <c r="C793" s="1" t="s">
        <v>1</v>
      </c>
      <c r="D793" s="1" t="s">
        <v>9687</v>
      </c>
      <c r="E793" s="1" t="s">
        <v>9688</v>
      </c>
      <c r="F793" s="1" t="s">
        <v>9689</v>
      </c>
      <c r="H793" s="2" t="s">
        <v>5</v>
      </c>
      <c r="I793" s="2" t="s">
        <v>6</v>
      </c>
      <c r="J793" s="2" t="s">
        <v>5</v>
      </c>
      <c r="K793" s="2" t="s">
        <v>5</v>
      </c>
      <c r="L793" s="2" t="s">
        <v>7</v>
      </c>
      <c r="N793" s="1" t="s">
        <v>9690</v>
      </c>
      <c r="O793" s="2" t="s">
        <v>62</v>
      </c>
      <c r="Q793" s="2" t="s">
        <v>11</v>
      </c>
      <c r="R793" s="2" t="s">
        <v>78</v>
      </c>
      <c r="T793" s="2" t="s">
        <v>520</v>
      </c>
      <c r="U793" s="3">
        <v>12</v>
      </c>
      <c r="V793" s="3">
        <v>12</v>
      </c>
      <c r="W793" s="4" t="s">
        <v>9691</v>
      </c>
      <c r="X793" s="4" t="s">
        <v>9691</v>
      </c>
      <c r="Y793" s="4" t="s">
        <v>96</v>
      </c>
      <c r="Z793" s="4" t="s">
        <v>96</v>
      </c>
      <c r="AA793" s="3">
        <v>277</v>
      </c>
      <c r="AB793" s="3">
        <v>249</v>
      </c>
      <c r="AC793" s="3">
        <v>251</v>
      </c>
      <c r="AD793" s="3">
        <v>4</v>
      </c>
      <c r="AE793" s="3">
        <v>4</v>
      </c>
      <c r="AF793" s="3">
        <v>11</v>
      </c>
      <c r="AG793" s="3">
        <v>11</v>
      </c>
      <c r="AH793" s="3">
        <v>4</v>
      </c>
      <c r="AI793" s="3">
        <v>4</v>
      </c>
      <c r="AJ793" s="3">
        <v>2</v>
      </c>
      <c r="AK793" s="3">
        <v>2</v>
      </c>
      <c r="AL793" s="3">
        <v>4</v>
      </c>
      <c r="AM793" s="3">
        <v>4</v>
      </c>
      <c r="AN793" s="3">
        <v>2</v>
      </c>
      <c r="AO793" s="3">
        <v>2</v>
      </c>
      <c r="AP793" s="3">
        <v>0</v>
      </c>
      <c r="AQ793" s="3">
        <v>0</v>
      </c>
      <c r="AR793" s="2" t="s">
        <v>5</v>
      </c>
      <c r="AS793" s="2" t="s">
        <v>16</v>
      </c>
      <c r="AT793" s="5" t="str">
        <f>HYPERLINK("http://catalog.hathitrust.org/Record/000133451","HathiTrust Record")</f>
        <v>HathiTrust Record</v>
      </c>
      <c r="AU793" s="5" t="str">
        <f>HYPERLINK("https://creighton-primo.hosted.exlibrisgroup.com/primo-explore/search?tab=default_tab&amp;search_scope=EVERYTHING&amp;vid=01CRU&amp;lang=en_US&amp;offset=0&amp;query=any,contains,991001133249702656","Catalog Record")</f>
        <v>Catalog Record</v>
      </c>
      <c r="AV793" s="5" t="str">
        <f>HYPERLINK("http://www.worldcat.org/oclc/3770665","WorldCat Record")</f>
        <v>WorldCat Record</v>
      </c>
      <c r="AW793" s="2" t="s">
        <v>9692</v>
      </c>
      <c r="AX793" s="2" t="s">
        <v>9693</v>
      </c>
      <c r="AY793" s="2" t="s">
        <v>9694</v>
      </c>
      <c r="AZ793" s="2" t="s">
        <v>9694</v>
      </c>
      <c r="BA793" s="2" t="s">
        <v>9695</v>
      </c>
      <c r="BB793" s="2" t="s">
        <v>21</v>
      </c>
      <c r="BD793" s="2" t="s">
        <v>9696</v>
      </c>
      <c r="BE793" s="2" t="s">
        <v>9697</v>
      </c>
      <c r="BF793" s="2" t="s">
        <v>9698</v>
      </c>
    </row>
    <row r="794" spans="1:58" ht="41.25" customHeight="1" x14ac:dyDescent="0.25">
      <c r="A794" s="8" t="s">
        <v>5</v>
      </c>
      <c r="B794" s="1" t="s">
        <v>0</v>
      </c>
      <c r="C794" s="1" t="s">
        <v>1</v>
      </c>
      <c r="D794" s="1" t="s">
        <v>9699</v>
      </c>
      <c r="E794" s="1" t="s">
        <v>9700</v>
      </c>
      <c r="F794" s="1" t="s">
        <v>9701</v>
      </c>
      <c r="H794" s="2" t="s">
        <v>5</v>
      </c>
      <c r="I794" s="2" t="s">
        <v>6</v>
      </c>
      <c r="J794" s="2" t="s">
        <v>5</v>
      </c>
      <c r="K794" s="2" t="s">
        <v>5</v>
      </c>
      <c r="L794" s="2" t="s">
        <v>7</v>
      </c>
      <c r="M794" s="1" t="s">
        <v>2813</v>
      </c>
      <c r="N794" s="1" t="s">
        <v>9702</v>
      </c>
      <c r="O794" s="2" t="s">
        <v>1102</v>
      </c>
      <c r="Q794" s="2" t="s">
        <v>11</v>
      </c>
      <c r="R794" s="2" t="s">
        <v>426</v>
      </c>
      <c r="T794" s="2" t="s">
        <v>520</v>
      </c>
      <c r="U794" s="3">
        <v>7</v>
      </c>
      <c r="V794" s="3">
        <v>7</v>
      </c>
      <c r="W794" s="4" t="s">
        <v>2969</v>
      </c>
      <c r="X794" s="4" t="s">
        <v>2969</v>
      </c>
      <c r="Y794" s="4" t="s">
        <v>3807</v>
      </c>
      <c r="Z794" s="4" t="s">
        <v>3807</v>
      </c>
      <c r="AA794" s="3">
        <v>351</v>
      </c>
      <c r="AB794" s="3">
        <v>298</v>
      </c>
      <c r="AC794" s="3">
        <v>304</v>
      </c>
      <c r="AD794" s="3">
        <v>4</v>
      </c>
      <c r="AE794" s="3">
        <v>4</v>
      </c>
      <c r="AF794" s="3">
        <v>16</v>
      </c>
      <c r="AG794" s="3">
        <v>16</v>
      </c>
      <c r="AH794" s="3">
        <v>7</v>
      </c>
      <c r="AI794" s="3">
        <v>7</v>
      </c>
      <c r="AJ794" s="3">
        <v>3</v>
      </c>
      <c r="AK794" s="3">
        <v>3</v>
      </c>
      <c r="AL794" s="3">
        <v>6</v>
      </c>
      <c r="AM794" s="3">
        <v>6</v>
      </c>
      <c r="AN794" s="3">
        <v>2</v>
      </c>
      <c r="AO794" s="3">
        <v>2</v>
      </c>
      <c r="AP794" s="3">
        <v>0</v>
      </c>
      <c r="AQ794" s="3">
        <v>0</v>
      </c>
      <c r="AR794" s="2" t="s">
        <v>5</v>
      </c>
      <c r="AS794" s="2" t="s">
        <v>16</v>
      </c>
      <c r="AT794" s="5" t="str">
        <f>HYPERLINK("http://catalog.hathitrust.org/Record/000447605","HathiTrust Record")</f>
        <v>HathiTrust Record</v>
      </c>
      <c r="AU794" s="5" t="str">
        <f>HYPERLINK("https://creighton-primo.hosted.exlibrisgroup.com/primo-explore/search?tab=default_tab&amp;search_scope=EVERYTHING&amp;vid=01CRU&amp;lang=en_US&amp;offset=0&amp;query=any,contains,991001451589702656","Catalog Record")</f>
        <v>Catalog Record</v>
      </c>
      <c r="AV794" s="5" t="str">
        <f>HYPERLINK("http://www.worldcat.org/oclc/13760396","WorldCat Record")</f>
        <v>WorldCat Record</v>
      </c>
      <c r="AW794" s="2" t="s">
        <v>9703</v>
      </c>
      <c r="AX794" s="2" t="s">
        <v>9704</v>
      </c>
      <c r="AY794" s="2" t="s">
        <v>9705</v>
      </c>
      <c r="AZ794" s="2" t="s">
        <v>9705</v>
      </c>
      <c r="BA794" s="2" t="s">
        <v>9706</v>
      </c>
      <c r="BB794" s="2" t="s">
        <v>21</v>
      </c>
      <c r="BD794" s="2" t="s">
        <v>9707</v>
      </c>
      <c r="BE794" s="2" t="s">
        <v>9708</v>
      </c>
      <c r="BF794" s="2" t="s">
        <v>9709</v>
      </c>
    </row>
    <row r="795" spans="1:58" ht="41.25" customHeight="1" x14ac:dyDescent="0.25">
      <c r="A795" s="8" t="s">
        <v>5</v>
      </c>
      <c r="B795" s="1" t="s">
        <v>0</v>
      </c>
      <c r="C795" s="1" t="s">
        <v>1</v>
      </c>
      <c r="D795" s="1" t="s">
        <v>9710</v>
      </c>
      <c r="E795" s="1" t="s">
        <v>9711</v>
      </c>
      <c r="F795" s="1" t="s">
        <v>9712</v>
      </c>
      <c r="H795" s="2" t="s">
        <v>5</v>
      </c>
      <c r="I795" s="2" t="s">
        <v>6</v>
      </c>
      <c r="J795" s="2" t="s">
        <v>5</v>
      </c>
      <c r="K795" s="2" t="s">
        <v>5</v>
      </c>
      <c r="L795" s="2" t="s">
        <v>7</v>
      </c>
      <c r="M795" s="1" t="s">
        <v>9713</v>
      </c>
      <c r="N795" s="1" t="s">
        <v>7103</v>
      </c>
      <c r="O795" s="2" t="s">
        <v>734</v>
      </c>
      <c r="P795" s="1" t="s">
        <v>211</v>
      </c>
      <c r="Q795" s="2" t="s">
        <v>11</v>
      </c>
      <c r="R795" s="2" t="s">
        <v>426</v>
      </c>
      <c r="T795" s="2" t="s">
        <v>520</v>
      </c>
      <c r="U795" s="3">
        <v>8</v>
      </c>
      <c r="V795" s="3">
        <v>8</v>
      </c>
      <c r="W795" s="4" t="s">
        <v>9714</v>
      </c>
      <c r="X795" s="4" t="s">
        <v>9714</v>
      </c>
      <c r="Y795" s="4" t="s">
        <v>96</v>
      </c>
      <c r="Z795" s="4" t="s">
        <v>96</v>
      </c>
      <c r="AA795" s="3">
        <v>30</v>
      </c>
      <c r="AB795" s="3">
        <v>29</v>
      </c>
      <c r="AC795" s="3">
        <v>183</v>
      </c>
      <c r="AD795" s="3">
        <v>1</v>
      </c>
      <c r="AE795" s="3">
        <v>1</v>
      </c>
      <c r="AF795" s="3">
        <v>0</v>
      </c>
      <c r="AG795" s="3">
        <v>6</v>
      </c>
      <c r="AH795" s="3">
        <v>0</v>
      </c>
      <c r="AI795" s="3">
        <v>3</v>
      </c>
      <c r="AJ795" s="3">
        <v>0</v>
      </c>
      <c r="AK795" s="3">
        <v>0</v>
      </c>
      <c r="AL795" s="3">
        <v>0</v>
      </c>
      <c r="AM795" s="3">
        <v>4</v>
      </c>
      <c r="AN795" s="3">
        <v>0</v>
      </c>
      <c r="AO795" s="3">
        <v>0</v>
      </c>
      <c r="AP795" s="3">
        <v>0</v>
      </c>
      <c r="AQ795" s="3">
        <v>0</v>
      </c>
      <c r="AR795" s="2" t="s">
        <v>5</v>
      </c>
      <c r="AS795" s="2" t="s">
        <v>5</v>
      </c>
      <c r="AU795" s="5" t="str">
        <f>HYPERLINK("https://creighton-primo.hosted.exlibrisgroup.com/primo-explore/search?tab=default_tab&amp;search_scope=EVERYTHING&amp;vid=01CRU&amp;lang=en_US&amp;offset=0&amp;query=any,contains,991001133339702656","Catalog Record")</f>
        <v>Catalog Record</v>
      </c>
      <c r="AV795" s="5" t="str">
        <f>HYPERLINK("http://www.worldcat.org/oclc/8284789","WorldCat Record")</f>
        <v>WorldCat Record</v>
      </c>
      <c r="AW795" s="2" t="s">
        <v>9715</v>
      </c>
      <c r="AX795" s="2" t="s">
        <v>9716</v>
      </c>
      <c r="AY795" s="2" t="s">
        <v>9717</v>
      </c>
      <c r="AZ795" s="2" t="s">
        <v>9717</v>
      </c>
      <c r="BA795" s="2" t="s">
        <v>9718</v>
      </c>
      <c r="BB795" s="2" t="s">
        <v>21</v>
      </c>
      <c r="BD795" s="2" t="s">
        <v>9719</v>
      </c>
      <c r="BE795" s="2" t="s">
        <v>9720</v>
      </c>
      <c r="BF795" s="2" t="s">
        <v>9721</v>
      </c>
    </row>
    <row r="796" spans="1:58" ht="41.25" customHeight="1" x14ac:dyDescent="0.25">
      <c r="A796" s="8" t="s">
        <v>5</v>
      </c>
      <c r="B796" s="1" t="s">
        <v>0</v>
      </c>
      <c r="C796" s="1" t="s">
        <v>1</v>
      </c>
      <c r="D796" s="1" t="s">
        <v>9722</v>
      </c>
      <c r="E796" s="1" t="s">
        <v>9723</v>
      </c>
      <c r="F796" s="1" t="s">
        <v>9724</v>
      </c>
      <c r="H796" s="2" t="s">
        <v>5</v>
      </c>
      <c r="I796" s="2" t="s">
        <v>6</v>
      </c>
      <c r="J796" s="2" t="s">
        <v>5</v>
      </c>
      <c r="K796" s="2" t="s">
        <v>5</v>
      </c>
      <c r="L796" s="2" t="s">
        <v>7</v>
      </c>
      <c r="N796" s="1" t="s">
        <v>9725</v>
      </c>
      <c r="O796" s="2" t="s">
        <v>228</v>
      </c>
      <c r="Q796" s="2" t="s">
        <v>11</v>
      </c>
      <c r="R796" s="2" t="s">
        <v>426</v>
      </c>
      <c r="T796" s="2" t="s">
        <v>520</v>
      </c>
      <c r="U796" s="3">
        <v>7</v>
      </c>
      <c r="V796" s="3">
        <v>7</v>
      </c>
      <c r="W796" s="4" t="s">
        <v>9726</v>
      </c>
      <c r="X796" s="4" t="s">
        <v>9726</v>
      </c>
      <c r="Y796" s="4" t="s">
        <v>96</v>
      </c>
      <c r="Z796" s="4" t="s">
        <v>96</v>
      </c>
      <c r="AA796" s="3">
        <v>321</v>
      </c>
      <c r="AB796" s="3">
        <v>288</v>
      </c>
      <c r="AC796" s="3">
        <v>291</v>
      </c>
      <c r="AD796" s="3">
        <v>3</v>
      </c>
      <c r="AE796" s="3">
        <v>3</v>
      </c>
      <c r="AF796" s="3">
        <v>17</v>
      </c>
      <c r="AG796" s="3">
        <v>17</v>
      </c>
      <c r="AH796" s="3">
        <v>9</v>
      </c>
      <c r="AI796" s="3">
        <v>9</v>
      </c>
      <c r="AJ796" s="3">
        <v>4</v>
      </c>
      <c r="AK796" s="3">
        <v>4</v>
      </c>
      <c r="AL796" s="3">
        <v>8</v>
      </c>
      <c r="AM796" s="3">
        <v>8</v>
      </c>
      <c r="AN796" s="3">
        <v>2</v>
      </c>
      <c r="AO796" s="3">
        <v>2</v>
      </c>
      <c r="AP796" s="3">
        <v>0</v>
      </c>
      <c r="AQ796" s="3">
        <v>0</v>
      </c>
      <c r="AR796" s="2" t="s">
        <v>5</v>
      </c>
      <c r="AS796" s="2" t="s">
        <v>16</v>
      </c>
      <c r="AT796" s="5" t="str">
        <f>HYPERLINK("http://catalog.hathitrust.org/Record/000146547","HathiTrust Record")</f>
        <v>HathiTrust Record</v>
      </c>
      <c r="AU796" s="5" t="str">
        <f>HYPERLINK("https://creighton-primo.hosted.exlibrisgroup.com/primo-explore/search?tab=default_tab&amp;search_scope=EVERYTHING&amp;vid=01CRU&amp;lang=en_US&amp;offset=0&amp;query=any,contains,991001133379702656","Catalog Record")</f>
        <v>Catalog Record</v>
      </c>
      <c r="AV796" s="5" t="str">
        <f>HYPERLINK("http://www.worldcat.org/oclc/7876010","WorldCat Record")</f>
        <v>WorldCat Record</v>
      </c>
      <c r="AW796" s="2" t="s">
        <v>9727</v>
      </c>
      <c r="AX796" s="2" t="s">
        <v>9728</v>
      </c>
      <c r="AY796" s="2" t="s">
        <v>9729</v>
      </c>
      <c r="AZ796" s="2" t="s">
        <v>9729</v>
      </c>
      <c r="BA796" s="2" t="s">
        <v>9730</v>
      </c>
      <c r="BB796" s="2" t="s">
        <v>21</v>
      </c>
      <c r="BD796" s="2" t="s">
        <v>9731</v>
      </c>
      <c r="BE796" s="2" t="s">
        <v>9732</v>
      </c>
      <c r="BF796" s="2" t="s">
        <v>9733</v>
      </c>
    </row>
    <row r="797" spans="1:58" ht="41.25" customHeight="1" x14ac:dyDescent="0.25">
      <c r="A797" s="8" t="s">
        <v>5</v>
      </c>
      <c r="B797" s="1" t="s">
        <v>0</v>
      </c>
      <c r="C797" s="1" t="s">
        <v>1</v>
      </c>
      <c r="D797" s="1" t="s">
        <v>9734</v>
      </c>
      <c r="E797" s="1" t="s">
        <v>9735</v>
      </c>
      <c r="F797" s="1" t="s">
        <v>9736</v>
      </c>
      <c r="H797" s="2" t="s">
        <v>5</v>
      </c>
      <c r="I797" s="2" t="s">
        <v>6</v>
      </c>
      <c r="J797" s="2" t="s">
        <v>5</v>
      </c>
      <c r="K797" s="2" t="s">
        <v>5</v>
      </c>
      <c r="L797" s="2" t="s">
        <v>7</v>
      </c>
      <c r="N797" s="1" t="s">
        <v>9737</v>
      </c>
      <c r="O797" s="2" t="s">
        <v>794</v>
      </c>
      <c r="Q797" s="2" t="s">
        <v>11</v>
      </c>
      <c r="R797" s="2" t="s">
        <v>426</v>
      </c>
      <c r="T797" s="2" t="s">
        <v>520</v>
      </c>
      <c r="U797" s="3">
        <v>8</v>
      </c>
      <c r="V797" s="3">
        <v>8</v>
      </c>
      <c r="W797" s="4" t="s">
        <v>6742</v>
      </c>
      <c r="X797" s="4" t="s">
        <v>6742</v>
      </c>
      <c r="Y797" s="4" t="s">
        <v>4830</v>
      </c>
      <c r="Z797" s="4" t="s">
        <v>4830</v>
      </c>
      <c r="AA797" s="3">
        <v>195</v>
      </c>
      <c r="AB797" s="3">
        <v>176</v>
      </c>
      <c r="AC797" s="3">
        <v>248</v>
      </c>
      <c r="AD797" s="3">
        <v>1</v>
      </c>
      <c r="AE797" s="3">
        <v>3</v>
      </c>
      <c r="AF797" s="3">
        <v>5</v>
      </c>
      <c r="AG797" s="3">
        <v>11</v>
      </c>
      <c r="AH797" s="3">
        <v>3</v>
      </c>
      <c r="AI797" s="3">
        <v>4</v>
      </c>
      <c r="AJ797" s="3">
        <v>0</v>
      </c>
      <c r="AK797" s="3">
        <v>1</v>
      </c>
      <c r="AL797" s="3">
        <v>3</v>
      </c>
      <c r="AM797" s="3">
        <v>7</v>
      </c>
      <c r="AN797" s="3">
        <v>0</v>
      </c>
      <c r="AO797" s="3">
        <v>1</v>
      </c>
      <c r="AP797" s="3">
        <v>0</v>
      </c>
      <c r="AQ797" s="3">
        <v>0</v>
      </c>
      <c r="AR797" s="2" t="s">
        <v>5</v>
      </c>
      <c r="AS797" s="2" t="s">
        <v>16</v>
      </c>
      <c r="AT797" s="5" t="str">
        <f>HYPERLINK("http://catalog.hathitrust.org/Record/003189682","HathiTrust Record")</f>
        <v>HathiTrust Record</v>
      </c>
      <c r="AU797" s="5" t="str">
        <f>HYPERLINK("https://creighton-primo.hosted.exlibrisgroup.com/primo-explore/search?tab=default_tab&amp;search_scope=EVERYTHING&amp;vid=01CRU&amp;lang=en_US&amp;offset=0&amp;query=any,contains,991001792089702656","Catalog Record")</f>
        <v>Catalog Record</v>
      </c>
      <c r="AV797" s="5" t="str">
        <f>HYPERLINK("http://www.worldcat.org/oclc/36470638","WorldCat Record")</f>
        <v>WorldCat Record</v>
      </c>
      <c r="AW797" s="2" t="s">
        <v>9738</v>
      </c>
      <c r="AX797" s="2" t="s">
        <v>9739</v>
      </c>
      <c r="AY797" s="2" t="s">
        <v>9740</v>
      </c>
      <c r="AZ797" s="2" t="s">
        <v>9740</v>
      </c>
      <c r="BA797" s="2" t="s">
        <v>9741</v>
      </c>
      <c r="BB797" s="2" t="s">
        <v>21</v>
      </c>
      <c r="BD797" s="2" t="s">
        <v>9742</v>
      </c>
      <c r="BE797" s="2" t="s">
        <v>9743</v>
      </c>
      <c r="BF797" s="2" t="s">
        <v>9744</v>
      </c>
    </row>
    <row r="798" spans="1:58" ht="41.25" customHeight="1" x14ac:dyDescent="0.25">
      <c r="A798" s="8" t="s">
        <v>5</v>
      </c>
      <c r="B798" s="1" t="s">
        <v>0</v>
      </c>
      <c r="C798" s="1" t="s">
        <v>1</v>
      </c>
      <c r="D798" s="1" t="s">
        <v>9745</v>
      </c>
      <c r="E798" s="1" t="s">
        <v>9746</v>
      </c>
      <c r="F798" s="1" t="s">
        <v>1258</v>
      </c>
      <c r="H798" s="2" t="s">
        <v>5</v>
      </c>
      <c r="I798" s="2" t="s">
        <v>6</v>
      </c>
      <c r="J798" s="2" t="s">
        <v>5</v>
      </c>
      <c r="K798" s="2" t="s">
        <v>16</v>
      </c>
      <c r="L798" s="2" t="s">
        <v>7</v>
      </c>
      <c r="N798" s="1" t="s">
        <v>9747</v>
      </c>
      <c r="O798" s="2" t="s">
        <v>1863</v>
      </c>
      <c r="Q798" s="2" t="s">
        <v>11</v>
      </c>
      <c r="R798" s="2" t="s">
        <v>271</v>
      </c>
      <c r="S798" s="1" t="s">
        <v>9748</v>
      </c>
      <c r="T798" s="2" t="s">
        <v>520</v>
      </c>
      <c r="U798" s="3">
        <v>3</v>
      </c>
      <c r="V798" s="3">
        <v>3</v>
      </c>
      <c r="W798" s="4" t="s">
        <v>9749</v>
      </c>
      <c r="X798" s="4" t="s">
        <v>9749</v>
      </c>
      <c r="Y798" s="4" t="s">
        <v>5600</v>
      </c>
      <c r="Z798" s="4" t="s">
        <v>5600</v>
      </c>
      <c r="AA798" s="3">
        <v>338</v>
      </c>
      <c r="AB798" s="3">
        <v>289</v>
      </c>
      <c r="AC798" s="3">
        <v>803</v>
      </c>
      <c r="AD798" s="3">
        <v>4</v>
      </c>
      <c r="AE798" s="3">
        <v>9</v>
      </c>
      <c r="AF798" s="3">
        <v>16</v>
      </c>
      <c r="AG798" s="3">
        <v>37</v>
      </c>
      <c r="AH798" s="3">
        <v>7</v>
      </c>
      <c r="AI798" s="3">
        <v>16</v>
      </c>
      <c r="AJ798" s="3">
        <v>4</v>
      </c>
      <c r="AK798" s="3">
        <v>6</v>
      </c>
      <c r="AL798" s="3">
        <v>5</v>
      </c>
      <c r="AM798" s="3">
        <v>15</v>
      </c>
      <c r="AN798" s="3">
        <v>2</v>
      </c>
      <c r="AO798" s="3">
        <v>7</v>
      </c>
      <c r="AP798" s="3">
        <v>0</v>
      </c>
      <c r="AQ798" s="3">
        <v>0</v>
      </c>
      <c r="AR798" s="2" t="s">
        <v>5</v>
      </c>
      <c r="AS798" s="2" t="s">
        <v>16</v>
      </c>
      <c r="AT798" s="5" t="str">
        <f>HYPERLINK("http://catalog.hathitrust.org/Record/003545810","HathiTrust Record")</f>
        <v>HathiTrust Record</v>
      </c>
      <c r="AU798" s="5" t="str">
        <f>HYPERLINK("https://creighton-primo.hosted.exlibrisgroup.com/primo-explore/search?tab=default_tab&amp;search_scope=EVERYTHING&amp;vid=01CRU&amp;lang=en_US&amp;offset=0&amp;query=any,contains,991000295919702656","Catalog Record")</f>
        <v>Catalog Record</v>
      </c>
      <c r="AV798" s="5" t="str">
        <f>HYPERLINK("http://www.worldcat.org/oclc/45917120","WorldCat Record")</f>
        <v>WorldCat Record</v>
      </c>
      <c r="AW798" s="2" t="s">
        <v>1261</v>
      </c>
      <c r="AX798" s="2" t="s">
        <v>9750</v>
      </c>
      <c r="AY798" s="2" t="s">
        <v>9751</v>
      </c>
      <c r="AZ798" s="2" t="s">
        <v>9751</v>
      </c>
      <c r="BA798" s="2" t="s">
        <v>9752</v>
      </c>
      <c r="BB798" s="2" t="s">
        <v>21</v>
      </c>
      <c r="BD798" s="2" t="s">
        <v>9753</v>
      </c>
      <c r="BE798" s="2" t="s">
        <v>9754</v>
      </c>
      <c r="BF798" s="2" t="s">
        <v>9755</v>
      </c>
    </row>
    <row r="799" spans="1:58" ht="41.25" customHeight="1" x14ac:dyDescent="0.25">
      <c r="A799" s="8" t="s">
        <v>5</v>
      </c>
      <c r="B799" s="1" t="s">
        <v>0</v>
      </c>
      <c r="C799" s="1" t="s">
        <v>1</v>
      </c>
      <c r="D799" s="1" t="s">
        <v>9756</v>
      </c>
      <c r="E799" s="1" t="s">
        <v>9757</v>
      </c>
      <c r="F799" s="1" t="s">
        <v>9758</v>
      </c>
      <c r="H799" s="2" t="s">
        <v>5</v>
      </c>
      <c r="I799" s="2" t="s">
        <v>6</v>
      </c>
      <c r="J799" s="2" t="s">
        <v>5</v>
      </c>
      <c r="K799" s="2" t="s">
        <v>5</v>
      </c>
      <c r="L799" s="2" t="s">
        <v>7</v>
      </c>
      <c r="M799" s="1" t="s">
        <v>9759</v>
      </c>
      <c r="N799" s="1" t="s">
        <v>9760</v>
      </c>
      <c r="O799" s="2" t="s">
        <v>888</v>
      </c>
      <c r="Q799" s="2" t="s">
        <v>11</v>
      </c>
      <c r="R799" s="2" t="s">
        <v>93</v>
      </c>
      <c r="T799" s="2" t="s">
        <v>520</v>
      </c>
      <c r="U799" s="3">
        <v>5</v>
      </c>
      <c r="V799" s="3">
        <v>5</v>
      </c>
      <c r="W799" s="4" t="s">
        <v>9761</v>
      </c>
      <c r="X799" s="4" t="s">
        <v>9761</v>
      </c>
      <c r="Y799" s="4" t="s">
        <v>96</v>
      </c>
      <c r="Z799" s="4" t="s">
        <v>96</v>
      </c>
      <c r="AA799" s="3">
        <v>290</v>
      </c>
      <c r="AB799" s="3">
        <v>230</v>
      </c>
      <c r="AC799" s="3">
        <v>237</v>
      </c>
      <c r="AD799" s="3">
        <v>2</v>
      </c>
      <c r="AE799" s="3">
        <v>2</v>
      </c>
      <c r="AF799" s="3">
        <v>6</v>
      </c>
      <c r="AG799" s="3">
        <v>6</v>
      </c>
      <c r="AH799" s="3">
        <v>3</v>
      </c>
      <c r="AI799" s="3">
        <v>3</v>
      </c>
      <c r="AJ799" s="3">
        <v>1</v>
      </c>
      <c r="AK799" s="3">
        <v>1</v>
      </c>
      <c r="AL799" s="3">
        <v>4</v>
      </c>
      <c r="AM799" s="3">
        <v>4</v>
      </c>
      <c r="AN799" s="3">
        <v>0</v>
      </c>
      <c r="AO799" s="3">
        <v>0</v>
      </c>
      <c r="AP799" s="3">
        <v>0</v>
      </c>
      <c r="AQ799" s="3">
        <v>0</v>
      </c>
      <c r="AR799" s="2" t="s">
        <v>5</v>
      </c>
      <c r="AS799" s="2" t="s">
        <v>16</v>
      </c>
      <c r="AT799" s="5" t="str">
        <f>HYPERLINK("http://catalog.hathitrust.org/Record/000162474","HathiTrust Record")</f>
        <v>HathiTrust Record</v>
      </c>
      <c r="AU799" s="5" t="str">
        <f>HYPERLINK("https://creighton-primo.hosted.exlibrisgroup.com/primo-explore/search?tab=default_tab&amp;search_scope=EVERYTHING&amp;vid=01CRU&amp;lang=en_US&amp;offset=0&amp;query=any,contains,991001133469702656","Catalog Record")</f>
        <v>Catalog Record</v>
      </c>
      <c r="AV799" s="5" t="str">
        <f>HYPERLINK("http://www.worldcat.org/oclc/9413003","WorldCat Record")</f>
        <v>WorldCat Record</v>
      </c>
      <c r="AW799" s="2" t="s">
        <v>9762</v>
      </c>
      <c r="AX799" s="2" t="s">
        <v>9763</v>
      </c>
      <c r="AY799" s="2" t="s">
        <v>9764</v>
      </c>
      <c r="AZ799" s="2" t="s">
        <v>9764</v>
      </c>
      <c r="BA799" s="2" t="s">
        <v>9765</v>
      </c>
      <c r="BB799" s="2" t="s">
        <v>21</v>
      </c>
      <c r="BD799" s="2" t="s">
        <v>9766</v>
      </c>
      <c r="BE799" s="2" t="s">
        <v>9767</v>
      </c>
      <c r="BF799" s="2" t="s">
        <v>9768</v>
      </c>
    </row>
    <row r="800" spans="1:58" ht="41.25" customHeight="1" x14ac:dyDescent="0.25">
      <c r="A800" s="8" t="s">
        <v>5</v>
      </c>
      <c r="B800" s="1" t="s">
        <v>0</v>
      </c>
      <c r="C800" s="1" t="s">
        <v>1</v>
      </c>
      <c r="D800" s="1" t="s">
        <v>9769</v>
      </c>
      <c r="E800" s="1" t="s">
        <v>9770</v>
      </c>
      <c r="F800" s="1" t="s">
        <v>9771</v>
      </c>
      <c r="H800" s="2" t="s">
        <v>5</v>
      </c>
      <c r="I800" s="2" t="s">
        <v>6</v>
      </c>
      <c r="J800" s="2" t="s">
        <v>5</v>
      </c>
      <c r="K800" s="2" t="s">
        <v>5</v>
      </c>
      <c r="L800" s="2" t="s">
        <v>7</v>
      </c>
      <c r="M800" s="1" t="s">
        <v>9772</v>
      </c>
      <c r="N800" s="1" t="s">
        <v>9773</v>
      </c>
      <c r="O800" s="2" t="s">
        <v>354</v>
      </c>
      <c r="Q800" s="2" t="s">
        <v>11</v>
      </c>
      <c r="R800" s="2" t="s">
        <v>12</v>
      </c>
      <c r="T800" s="2" t="s">
        <v>520</v>
      </c>
      <c r="U800" s="3">
        <v>3</v>
      </c>
      <c r="V800" s="3">
        <v>3</v>
      </c>
      <c r="W800" s="4" t="s">
        <v>9774</v>
      </c>
      <c r="X800" s="4" t="s">
        <v>9774</v>
      </c>
      <c r="Y800" s="4" t="s">
        <v>96</v>
      </c>
      <c r="Z800" s="4" t="s">
        <v>96</v>
      </c>
      <c r="AA800" s="3">
        <v>289</v>
      </c>
      <c r="AB800" s="3">
        <v>239</v>
      </c>
      <c r="AC800" s="3">
        <v>246</v>
      </c>
      <c r="AD800" s="3">
        <v>3</v>
      </c>
      <c r="AE800" s="3">
        <v>3</v>
      </c>
      <c r="AF800" s="3">
        <v>16</v>
      </c>
      <c r="AG800" s="3">
        <v>16</v>
      </c>
      <c r="AH800" s="3">
        <v>5</v>
      </c>
      <c r="AI800" s="3">
        <v>5</v>
      </c>
      <c r="AJ800" s="3">
        <v>4</v>
      </c>
      <c r="AK800" s="3">
        <v>4</v>
      </c>
      <c r="AL800" s="3">
        <v>7</v>
      </c>
      <c r="AM800" s="3">
        <v>7</v>
      </c>
      <c r="AN800" s="3">
        <v>2</v>
      </c>
      <c r="AO800" s="3">
        <v>2</v>
      </c>
      <c r="AP800" s="3">
        <v>0</v>
      </c>
      <c r="AQ800" s="3">
        <v>0</v>
      </c>
      <c r="AR800" s="2" t="s">
        <v>5</v>
      </c>
      <c r="AS800" s="2" t="s">
        <v>16</v>
      </c>
      <c r="AT800" s="5" t="str">
        <f>HYPERLINK("http://catalog.hathitrust.org/Record/000102015","HathiTrust Record")</f>
        <v>HathiTrust Record</v>
      </c>
      <c r="AU800" s="5" t="str">
        <f>HYPERLINK("https://creighton-primo.hosted.exlibrisgroup.com/primo-explore/search?tab=default_tab&amp;search_scope=EVERYTHING&amp;vid=01CRU&amp;lang=en_US&amp;offset=0&amp;query=any,contains,991001133669702656","Catalog Record")</f>
        <v>Catalog Record</v>
      </c>
      <c r="AV800" s="5" t="str">
        <f>HYPERLINK("http://www.worldcat.org/oclc/6196523","WorldCat Record")</f>
        <v>WorldCat Record</v>
      </c>
      <c r="AW800" s="2" t="s">
        <v>9775</v>
      </c>
      <c r="AX800" s="2" t="s">
        <v>9776</v>
      </c>
      <c r="AY800" s="2" t="s">
        <v>9777</v>
      </c>
      <c r="AZ800" s="2" t="s">
        <v>9777</v>
      </c>
      <c r="BA800" s="2" t="s">
        <v>9778</v>
      </c>
      <c r="BB800" s="2" t="s">
        <v>21</v>
      </c>
      <c r="BD800" s="2" t="s">
        <v>9779</v>
      </c>
      <c r="BE800" s="2" t="s">
        <v>9780</v>
      </c>
      <c r="BF800" s="2" t="s">
        <v>9781</v>
      </c>
    </row>
    <row r="801" spans="1:58" ht="41.25" customHeight="1" x14ac:dyDescent="0.25">
      <c r="A801" s="8" t="s">
        <v>5</v>
      </c>
      <c r="B801" s="1" t="s">
        <v>0</v>
      </c>
      <c r="C801" s="1" t="s">
        <v>1</v>
      </c>
      <c r="D801" s="1" t="s">
        <v>9782</v>
      </c>
      <c r="E801" s="1" t="s">
        <v>9783</v>
      </c>
      <c r="F801" s="1" t="s">
        <v>9784</v>
      </c>
      <c r="H801" s="2" t="s">
        <v>5</v>
      </c>
      <c r="I801" s="2" t="s">
        <v>6</v>
      </c>
      <c r="J801" s="2" t="s">
        <v>5</v>
      </c>
      <c r="K801" s="2" t="s">
        <v>5</v>
      </c>
      <c r="L801" s="2" t="s">
        <v>7</v>
      </c>
      <c r="N801" s="1" t="s">
        <v>9785</v>
      </c>
      <c r="O801" s="2" t="s">
        <v>92</v>
      </c>
      <c r="P801" s="1" t="s">
        <v>211</v>
      </c>
      <c r="Q801" s="2" t="s">
        <v>11</v>
      </c>
      <c r="R801" s="2" t="s">
        <v>78</v>
      </c>
      <c r="S801" s="1" t="s">
        <v>9786</v>
      </c>
      <c r="T801" s="2" t="s">
        <v>520</v>
      </c>
      <c r="U801" s="3">
        <v>1</v>
      </c>
      <c r="V801" s="3">
        <v>1</v>
      </c>
      <c r="W801" s="4" t="s">
        <v>9787</v>
      </c>
      <c r="X801" s="4" t="s">
        <v>9787</v>
      </c>
      <c r="Y801" s="4" t="s">
        <v>96</v>
      </c>
      <c r="Z801" s="4" t="s">
        <v>96</v>
      </c>
      <c r="AA801" s="3">
        <v>101</v>
      </c>
      <c r="AB801" s="3">
        <v>95</v>
      </c>
      <c r="AC801" s="3">
        <v>95</v>
      </c>
      <c r="AD801" s="3">
        <v>2</v>
      </c>
      <c r="AE801" s="3">
        <v>2</v>
      </c>
      <c r="AF801" s="3">
        <v>4</v>
      </c>
      <c r="AG801" s="3">
        <v>4</v>
      </c>
      <c r="AH801" s="3">
        <v>0</v>
      </c>
      <c r="AI801" s="3">
        <v>0</v>
      </c>
      <c r="AJ801" s="3">
        <v>0</v>
      </c>
      <c r="AK801" s="3">
        <v>0</v>
      </c>
      <c r="AL801" s="3">
        <v>3</v>
      </c>
      <c r="AM801" s="3">
        <v>3</v>
      </c>
      <c r="AN801" s="3">
        <v>1</v>
      </c>
      <c r="AO801" s="3">
        <v>1</v>
      </c>
      <c r="AP801" s="3">
        <v>0</v>
      </c>
      <c r="AQ801" s="3">
        <v>0</v>
      </c>
      <c r="AR801" s="2" t="s">
        <v>5</v>
      </c>
      <c r="AS801" s="2" t="s">
        <v>5</v>
      </c>
      <c r="AU801" s="5" t="str">
        <f>HYPERLINK("https://creighton-primo.hosted.exlibrisgroup.com/primo-explore/search?tab=default_tab&amp;search_scope=EVERYTHING&amp;vid=01CRU&amp;lang=en_US&amp;offset=0&amp;query=any,contains,991001133699702656","Catalog Record")</f>
        <v>Catalog Record</v>
      </c>
      <c r="AV801" s="5" t="str">
        <f>HYPERLINK("http://www.worldcat.org/oclc/6545945","WorldCat Record")</f>
        <v>WorldCat Record</v>
      </c>
      <c r="AW801" s="2" t="s">
        <v>9788</v>
      </c>
      <c r="AX801" s="2" t="s">
        <v>9789</v>
      </c>
      <c r="AY801" s="2" t="s">
        <v>9790</v>
      </c>
      <c r="AZ801" s="2" t="s">
        <v>9790</v>
      </c>
      <c r="BA801" s="2" t="s">
        <v>9791</v>
      </c>
      <c r="BB801" s="2" t="s">
        <v>21</v>
      </c>
      <c r="BD801" s="2" t="s">
        <v>9792</v>
      </c>
      <c r="BE801" s="2" t="s">
        <v>9793</v>
      </c>
      <c r="BF801" s="2" t="s">
        <v>9794</v>
      </c>
    </row>
    <row r="802" spans="1:58" ht="41.25" customHeight="1" x14ac:dyDescent="0.25">
      <c r="A802" s="8" t="s">
        <v>5</v>
      </c>
      <c r="B802" s="1" t="s">
        <v>0</v>
      </c>
      <c r="C802" s="1" t="s">
        <v>1</v>
      </c>
      <c r="D802" s="1" t="s">
        <v>9795</v>
      </c>
      <c r="E802" s="1" t="s">
        <v>9796</v>
      </c>
      <c r="F802" s="1" t="s">
        <v>9797</v>
      </c>
      <c r="H802" s="2" t="s">
        <v>5</v>
      </c>
      <c r="I802" s="2" t="s">
        <v>6</v>
      </c>
      <c r="J802" s="2" t="s">
        <v>5</v>
      </c>
      <c r="K802" s="2" t="s">
        <v>5</v>
      </c>
      <c r="L802" s="2" t="s">
        <v>7</v>
      </c>
      <c r="M802" s="1" t="s">
        <v>9798</v>
      </c>
      <c r="N802" s="1" t="s">
        <v>9799</v>
      </c>
      <c r="O802" s="2" t="s">
        <v>1824</v>
      </c>
      <c r="P802" s="1" t="s">
        <v>901</v>
      </c>
      <c r="Q802" s="2" t="s">
        <v>11</v>
      </c>
      <c r="R802" s="2" t="s">
        <v>78</v>
      </c>
      <c r="T802" s="2" t="s">
        <v>520</v>
      </c>
      <c r="U802" s="3">
        <v>2</v>
      </c>
      <c r="V802" s="3">
        <v>2</v>
      </c>
      <c r="W802" s="4" t="s">
        <v>9800</v>
      </c>
      <c r="X802" s="4" t="s">
        <v>9800</v>
      </c>
      <c r="Y802" s="4" t="s">
        <v>80</v>
      </c>
      <c r="Z802" s="4" t="s">
        <v>80</v>
      </c>
      <c r="AA802" s="3">
        <v>240</v>
      </c>
      <c r="AB802" s="3">
        <v>175</v>
      </c>
      <c r="AC802" s="3">
        <v>269</v>
      </c>
      <c r="AD802" s="3">
        <v>2</v>
      </c>
      <c r="AE802" s="3">
        <v>2</v>
      </c>
      <c r="AF802" s="3">
        <v>4</v>
      </c>
      <c r="AG802" s="3">
        <v>8</v>
      </c>
      <c r="AH802" s="3">
        <v>2</v>
      </c>
      <c r="AI802" s="3">
        <v>5</v>
      </c>
      <c r="AJ802" s="3">
        <v>0</v>
      </c>
      <c r="AK802" s="3">
        <v>1</v>
      </c>
      <c r="AL802" s="3">
        <v>1</v>
      </c>
      <c r="AM802" s="3">
        <v>2</v>
      </c>
      <c r="AN802" s="3">
        <v>1</v>
      </c>
      <c r="AO802" s="3">
        <v>1</v>
      </c>
      <c r="AP802" s="3">
        <v>0</v>
      </c>
      <c r="AQ802" s="3">
        <v>0</v>
      </c>
      <c r="AR802" s="2" t="s">
        <v>5</v>
      </c>
      <c r="AS802" s="2" t="s">
        <v>16</v>
      </c>
      <c r="AT802" s="5" t="str">
        <f>HYPERLINK("http://catalog.hathitrust.org/Record/000662849","HathiTrust Record")</f>
        <v>HathiTrust Record</v>
      </c>
      <c r="AU802" s="5" t="str">
        <f>HYPERLINK("https://creighton-primo.hosted.exlibrisgroup.com/primo-explore/search?tab=default_tab&amp;search_scope=EVERYTHING&amp;vid=01CRU&amp;lang=en_US&amp;offset=0&amp;query=any,contains,991001133839702656","Catalog Record")</f>
        <v>Catalog Record</v>
      </c>
      <c r="AV802" s="5" t="str">
        <f>HYPERLINK("http://www.worldcat.org/oclc/1129695","WorldCat Record")</f>
        <v>WorldCat Record</v>
      </c>
      <c r="AW802" s="2" t="s">
        <v>9801</v>
      </c>
      <c r="AX802" s="2" t="s">
        <v>9802</v>
      </c>
      <c r="AY802" s="2" t="s">
        <v>9803</v>
      </c>
      <c r="AZ802" s="2" t="s">
        <v>9803</v>
      </c>
      <c r="BA802" s="2" t="s">
        <v>9804</v>
      </c>
      <c r="BB802" s="2" t="s">
        <v>21</v>
      </c>
      <c r="BE802" s="2" t="s">
        <v>9805</v>
      </c>
      <c r="BF802" s="2" t="s">
        <v>9806</v>
      </c>
    </row>
    <row r="803" spans="1:58" ht="41.25" customHeight="1" x14ac:dyDescent="0.25">
      <c r="A803" s="8" t="s">
        <v>5</v>
      </c>
      <c r="B803" s="1" t="s">
        <v>0</v>
      </c>
      <c r="C803" s="1" t="s">
        <v>1</v>
      </c>
      <c r="D803" s="1" t="s">
        <v>9807</v>
      </c>
      <c r="E803" s="1" t="s">
        <v>9808</v>
      </c>
      <c r="F803" s="1" t="s">
        <v>9809</v>
      </c>
      <c r="H803" s="2" t="s">
        <v>5</v>
      </c>
      <c r="I803" s="2" t="s">
        <v>6</v>
      </c>
      <c r="J803" s="2" t="s">
        <v>5</v>
      </c>
      <c r="K803" s="2" t="s">
        <v>5</v>
      </c>
      <c r="L803" s="2" t="s">
        <v>7</v>
      </c>
      <c r="N803" s="1" t="s">
        <v>9810</v>
      </c>
      <c r="O803" s="2" t="s">
        <v>393</v>
      </c>
      <c r="Q803" s="2" t="s">
        <v>11</v>
      </c>
      <c r="R803" s="2" t="s">
        <v>426</v>
      </c>
      <c r="T803" s="2" t="s">
        <v>520</v>
      </c>
      <c r="U803" s="3">
        <v>3</v>
      </c>
      <c r="V803" s="3">
        <v>3</v>
      </c>
      <c r="W803" s="4" t="s">
        <v>9811</v>
      </c>
      <c r="X803" s="4" t="s">
        <v>9811</v>
      </c>
      <c r="Y803" s="4" t="s">
        <v>96</v>
      </c>
      <c r="Z803" s="4" t="s">
        <v>96</v>
      </c>
      <c r="AA803" s="3">
        <v>145</v>
      </c>
      <c r="AB803" s="3">
        <v>109</v>
      </c>
      <c r="AC803" s="3">
        <v>111</v>
      </c>
      <c r="AD803" s="3">
        <v>2</v>
      </c>
      <c r="AE803" s="3">
        <v>2</v>
      </c>
      <c r="AF803" s="3">
        <v>5</v>
      </c>
      <c r="AG803" s="3">
        <v>5</v>
      </c>
      <c r="AH803" s="3">
        <v>1</v>
      </c>
      <c r="AI803" s="3">
        <v>1</v>
      </c>
      <c r="AJ803" s="3">
        <v>0</v>
      </c>
      <c r="AK803" s="3">
        <v>0</v>
      </c>
      <c r="AL803" s="3">
        <v>4</v>
      </c>
      <c r="AM803" s="3">
        <v>4</v>
      </c>
      <c r="AN803" s="3">
        <v>1</v>
      </c>
      <c r="AO803" s="3">
        <v>1</v>
      </c>
      <c r="AP803" s="3">
        <v>0</v>
      </c>
      <c r="AQ803" s="3">
        <v>0</v>
      </c>
      <c r="AR803" s="2" t="s">
        <v>5</v>
      </c>
      <c r="AS803" s="2" t="s">
        <v>16</v>
      </c>
      <c r="AT803" s="5" t="str">
        <f>HYPERLINK("http://catalog.hathitrust.org/Record/000263329","HathiTrust Record")</f>
        <v>HathiTrust Record</v>
      </c>
      <c r="AU803" s="5" t="str">
        <f>HYPERLINK("https://creighton-primo.hosted.exlibrisgroup.com/primo-explore/search?tab=default_tab&amp;search_scope=EVERYTHING&amp;vid=01CRU&amp;lang=en_US&amp;offset=0&amp;query=any,contains,991001133499702656","Catalog Record")</f>
        <v>Catalog Record</v>
      </c>
      <c r="AV803" s="5" t="str">
        <f>HYPERLINK("http://www.worldcat.org/oclc/7576299","WorldCat Record")</f>
        <v>WorldCat Record</v>
      </c>
      <c r="AW803" s="2" t="s">
        <v>9812</v>
      </c>
      <c r="AX803" s="2" t="s">
        <v>9813</v>
      </c>
      <c r="AY803" s="2" t="s">
        <v>9814</v>
      </c>
      <c r="AZ803" s="2" t="s">
        <v>9814</v>
      </c>
      <c r="BA803" s="2" t="s">
        <v>9815</v>
      </c>
      <c r="BB803" s="2" t="s">
        <v>21</v>
      </c>
      <c r="BD803" s="2" t="s">
        <v>9816</v>
      </c>
      <c r="BE803" s="2" t="s">
        <v>9817</v>
      </c>
      <c r="BF803" s="2" t="s">
        <v>9818</v>
      </c>
    </row>
    <row r="804" spans="1:58" ht="41.25" customHeight="1" x14ac:dyDescent="0.25">
      <c r="A804" s="8" t="s">
        <v>5</v>
      </c>
      <c r="B804" s="1" t="s">
        <v>0</v>
      </c>
      <c r="C804" s="1" t="s">
        <v>1</v>
      </c>
      <c r="D804" s="1" t="s">
        <v>9819</v>
      </c>
      <c r="E804" s="1" t="s">
        <v>9820</v>
      </c>
      <c r="F804" s="1" t="s">
        <v>9821</v>
      </c>
      <c r="H804" s="2" t="s">
        <v>5</v>
      </c>
      <c r="I804" s="2" t="s">
        <v>6</v>
      </c>
      <c r="J804" s="2" t="s">
        <v>5</v>
      </c>
      <c r="K804" s="2" t="s">
        <v>5</v>
      </c>
      <c r="L804" s="2" t="s">
        <v>7</v>
      </c>
      <c r="M804" s="1" t="s">
        <v>9822</v>
      </c>
      <c r="N804" s="1" t="s">
        <v>2250</v>
      </c>
      <c r="O804" s="2" t="s">
        <v>228</v>
      </c>
      <c r="Q804" s="2" t="s">
        <v>11</v>
      </c>
      <c r="R804" s="2" t="s">
        <v>426</v>
      </c>
      <c r="T804" s="2" t="s">
        <v>520</v>
      </c>
      <c r="U804" s="3">
        <v>3</v>
      </c>
      <c r="V804" s="3">
        <v>3</v>
      </c>
      <c r="W804" s="4" t="s">
        <v>9823</v>
      </c>
      <c r="X804" s="4" t="s">
        <v>9823</v>
      </c>
      <c r="Y804" s="4" t="s">
        <v>96</v>
      </c>
      <c r="Z804" s="4" t="s">
        <v>96</v>
      </c>
      <c r="AA804" s="3">
        <v>234</v>
      </c>
      <c r="AB804" s="3">
        <v>185</v>
      </c>
      <c r="AC804" s="3">
        <v>187</v>
      </c>
      <c r="AD804" s="3">
        <v>2</v>
      </c>
      <c r="AE804" s="3">
        <v>2</v>
      </c>
      <c r="AF804" s="3">
        <v>5</v>
      </c>
      <c r="AG804" s="3">
        <v>5</v>
      </c>
      <c r="AH804" s="3">
        <v>2</v>
      </c>
      <c r="AI804" s="3">
        <v>2</v>
      </c>
      <c r="AJ804" s="3">
        <v>0</v>
      </c>
      <c r="AK804" s="3">
        <v>0</v>
      </c>
      <c r="AL804" s="3">
        <v>2</v>
      </c>
      <c r="AM804" s="3">
        <v>2</v>
      </c>
      <c r="AN804" s="3">
        <v>1</v>
      </c>
      <c r="AO804" s="3">
        <v>1</v>
      </c>
      <c r="AP804" s="3">
        <v>0</v>
      </c>
      <c r="AQ804" s="3">
        <v>0</v>
      </c>
      <c r="AR804" s="2" t="s">
        <v>5</v>
      </c>
      <c r="AS804" s="2" t="s">
        <v>16</v>
      </c>
      <c r="AT804" s="5" t="str">
        <f>HYPERLINK("http://catalog.hathitrust.org/Record/000311906","HathiTrust Record")</f>
        <v>HathiTrust Record</v>
      </c>
      <c r="AU804" s="5" t="str">
        <f>HYPERLINK("https://creighton-primo.hosted.exlibrisgroup.com/primo-explore/search?tab=default_tab&amp;search_scope=EVERYTHING&amp;vid=01CRU&amp;lang=en_US&amp;offset=0&amp;query=any,contains,991001133919702656","Catalog Record")</f>
        <v>Catalog Record</v>
      </c>
      <c r="AV804" s="5" t="str">
        <f>HYPERLINK("http://www.worldcat.org/oclc/8032634","WorldCat Record")</f>
        <v>WorldCat Record</v>
      </c>
      <c r="AW804" s="2" t="s">
        <v>9824</v>
      </c>
      <c r="AX804" s="2" t="s">
        <v>9825</v>
      </c>
      <c r="AY804" s="2" t="s">
        <v>9826</v>
      </c>
      <c r="AZ804" s="2" t="s">
        <v>9826</v>
      </c>
      <c r="BA804" s="2" t="s">
        <v>9827</v>
      </c>
      <c r="BB804" s="2" t="s">
        <v>21</v>
      </c>
      <c r="BD804" s="2" t="s">
        <v>9828</v>
      </c>
      <c r="BE804" s="2" t="s">
        <v>9829</v>
      </c>
      <c r="BF804" s="2" t="s">
        <v>9830</v>
      </c>
    </row>
    <row r="805" spans="1:58" ht="41.25" customHeight="1" x14ac:dyDescent="0.25">
      <c r="A805" s="8" t="s">
        <v>5</v>
      </c>
      <c r="B805" s="1" t="s">
        <v>0</v>
      </c>
      <c r="C805" s="1" t="s">
        <v>1</v>
      </c>
      <c r="D805" s="1" t="s">
        <v>9831</v>
      </c>
      <c r="E805" s="1" t="s">
        <v>9832</v>
      </c>
      <c r="F805" s="1" t="s">
        <v>9833</v>
      </c>
      <c r="H805" s="2" t="s">
        <v>5</v>
      </c>
      <c r="I805" s="2" t="s">
        <v>6</v>
      </c>
      <c r="J805" s="2" t="s">
        <v>5</v>
      </c>
      <c r="K805" s="2" t="s">
        <v>5</v>
      </c>
      <c r="L805" s="2" t="s">
        <v>7</v>
      </c>
      <c r="M805" s="1" t="s">
        <v>9834</v>
      </c>
      <c r="N805" s="1" t="s">
        <v>8637</v>
      </c>
      <c r="O805" s="2" t="s">
        <v>393</v>
      </c>
      <c r="Q805" s="2" t="s">
        <v>11</v>
      </c>
      <c r="R805" s="2" t="s">
        <v>31</v>
      </c>
      <c r="T805" s="2" t="s">
        <v>520</v>
      </c>
      <c r="U805" s="3">
        <v>4</v>
      </c>
      <c r="V805" s="3">
        <v>4</v>
      </c>
      <c r="W805" s="4" t="s">
        <v>9592</v>
      </c>
      <c r="X805" s="4" t="s">
        <v>9592</v>
      </c>
      <c r="Y805" s="4" t="s">
        <v>96</v>
      </c>
      <c r="Z805" s="4" t="s">
        <v>96</v>
      </c>
      <c r="AA805" s="3">
        <v>201</v>
      </c>
      <c r="AB805" s="3">
        <v>152</v>
      </c>
      <c r="AC805" s="3">
        <v>159</v>
      </c>
      <c r="AD805" s="3">
        <v>2</v>
      </c>
      <c r="AE805" s="3">
        <v>2</v>
      </c>
      <c r="AF805" s="3">
        <v>2</v>
      </c>
      <c r="AG805" s="3">
        <v>2</v>
      </c>
      <c r="AH805" s="3">
        <v>1</v>
      </c>
      <c r="AI805" s="3">
        <v>1</v>
      </c>
      <c r="AJ805" s="3">
        <v>0</v>
      </c>
      <c r="AK805" s="3">
        <v>0</v>
      </c>
      <c r="AL805" s="3">
        <v>1</v>
      </c>
      <c r="AM805" s="3">
        <v>1</v>
      </c>
      <c r="AN805" s="3">
        <v>1</v>
      </c>
      <c r="AO805" s="3">
        <v>1</v>
      </c>
      <c r="AP805" s="3">
        <v>0</v>
      </c>
      <c r="AQ805" s="3">
        <v>0</v>
      </c>
      <c r="AR805" s="2" t="s">
        <v>5</v>
      </c>
      <c r="AS805" s="2" t="s">
        <v>16</v>
      </c>
      <c r="AT805" s="5" t="str">
        <f>HYPERLINK("http://catalog.hathitrust.org/Record/000270297","HathiTrust Record")</f>
        <v>HathiTrust Record</v>
      </c>
      <c r="AU805" s="5" t="str">
        <f>HYPERLINK("https://creighton-primo.hosted.exlibrisgroup.com/primo-explore/search?tab=default_tab&amp;search_scope=EVERYTHING&amp;vid=01CRU&amp;lang=en_US&amp;offset=0&amp;query=any,contains,991001133949702656","Catalog Record")</f>
        <v>Catalog Record</v>
      </c>
      <c r="AV805" s="5" t="str">
        <f>HYPERLINK("http://www.worldcat.org/oclc/7275994","WorldCat Record")</f>
        <v>WorldCat Record</v>
      </c>
      <c r="AW805" s="2" t="s">
        <v>9835</v>
      </c>
      <c r="AX805" s="2" t="s">
        <v>9836</v>
      </c>
      <c r="AY805" s="2" t="s">
        <v>9837</v>
      </c>
      <c r="AZ805" s="2" t="s">
        <v>9837</v>
      </c>
      <c r="BA805" s="2" t="s">
        <v>9838</v>
      </c>
      <c r="BB805" s="2" t="s">
        <v>21</v>
      </c>
      <c r="BD805" s="2" t="s">
        <v>9839</v>
      </c>
      <c r="BE805" s="2" t="s">
        <v>9840</v>
      </c>
      <c r="BF805" s="2" t="s">
        <v>9841</v>
      </c>
    </row>
    <row r="806" spans="1:58" ht="41.25" customHeight="1" x14ac:dyDescent="0.25">
      <c r="A806" s="8" t="s">
        <v>5</v>
      </c>
      <c r="B806" s="1" t="s">
        <v>0</v>
      </c>
      <c r="C806" s="1" t="s">
        <v>1</v>
      </c>
      <c r="D806" s="1" t="s">
        <v>9842</v>
      </c>
      <c r="E806" s="1" t="s">
        <v>9843</v>
      </c>
      <c r="F806" s="1" t="s">
        <v>9844</v>
      </c>
      <c r="H806" s="2" t="s">
        <v>5</v>
      </c>
      <c r="I806" s="2" t="s">
        <v>6</v>
      </c>
      <c r="J806" s="2" t="s">
        <v>5</v>
      </c>
      <c r="K806" s="2" t="s">
        <v>5</v>
      </c>
      <c r="L806" s="2" t="s">
        <v>7</v>
      </c>
      <c r="N806" s="1" t="s">
        <v>9845</v>
      </c>
      <c r="O806" s="2" t="s">
        <v>734</v>
      </c>
      <c r="Q806" s="2" t="s">
        <v>11</v>
      </c>
      <c r="R806" s="2" t="s">
        <v>426</v>
      </c>
      <c r="T806" s="2" t="s">
        <v>520</v>
      </c>
      <c r="U806" s="3">
        <v>3</v>
      </c>
      <c r="V806" s="3">
        <v>3</v>
      </c>
      <c r="W806" s="4" t="s">
        <v>1298</v>
      </c>
      <c r="X806" s="4" t="s">
        <v>1298</v>
      </c>
      <c r="Y806" s="4" t="s">
        <v>96</v>
      </c>
      <c r="Z806" s="4" t="s">
        <v>96</v>
      </c>
      <c r="AA806" s="3">
        <v>212</v>
      </c>
      <c r="AB806" s="3">
        <v>164</v>
      </c>
      <c r="AC806" s="3">
        <v>171</v>
      </c>
      <c r="AD806" s="3">
        <v>1</v>
      </c>
      <c r="AE806" s="3">
        <v>1</v>
      </c>
      <c r="AF806" s="3">
        <v>6</v>
      </c>
      <c r="AG806" s="3">
        <v>6</v>
      </c>
      <c r="AH806" s="3">
        <v>2</v>
      </c>
      <c r="AI806" s="3">
        <v>2</v>
      </c>
      <c r="AJ806" s="3">
        <v>0</v>
      </c>
      <c r="AK806" s="3">
        <v>0</v>
      </c>
      <c r="AL806" s="3">
        <v>6</v>
      </c>
      <c r="AM806" s="3">
        <v>6</v>
      </c>
      <c r="AN806" s="3">
        <v>0</v>
      </c>
      <c r="AO806" s="3">
        <v>0</v>
      </c>
      <c r="AP806" s="3">
        <v>0</v>
      </c>
      <c r="AQ806" s="3">
        <v>0</v>
      </c>
      <c r="AR806" s="2" t="s">
        <v>5</v>
      </c>
      <c r="AS806" s="2" t="s">
        <v>16</v>
      </c>
      <c r="AT806" s="5" t="str">
        <f>HYPERLINK("http://catalog.hathitrust.org/Record/000404310","HathiTrust Record")</f>
        <v>HathiTrust Record</v>
      </c>
      <c r="AU806" s="5" t="str">
        <f>HYPERLINK("https://creighton-primo.hosted.exlibrisgroup.com/primo-explore/search?tab=default_tab&amp;search_scope=EVERYTHING&amp;vid=01CRU&amp;lang=en_US&amp;offset=0&amp;query=any,contains,991001134209702656","Catalog Record")</f>
        <v>Catalog Record</v>
      </c>
      <c r="AV806" s="5" t="str">
        <f>HYPERLINK("http://www.worldcat.org/oclc/8112958","WorldCat Record")</f>
        <v>WorldCat Record</v>
      </c>
      <c r="AW806" s="2" t="s">
        <v>9846</v>
      </c>
      <c r="AX806" s="2" t="s">
        <v>9847</v>
      </c>
      <c r="AY806" s="2" t="s">
        <v>9848</v>
      </c>
      <c r="AZ806" s="2" t="s">
        <v>9848</v>
      </c>
      <c r="BA806" s="2" t="s">
        <v>9849</v>
      </c>
      <c r="BB806" s="2" t="s">
        <v>21</v>
      </c>
      <c r="BD806" s="2" t="s">
        <v>9850</v>
      </c>
      <c r="BE806" s="2" t="s">
        <v>9851</v>
      </c>
      <c r="BF806" s="2" t="s">
        <v>9852</v>
      </c>
    </row>
    <row r="807" spans="1:58" ht="41.25" customHeight="1" x14ac:dyDescent="0.25">
      <c r="A807" s="8" t="s">
        <v>5</v>
      </c>
      <c r="B807" s="1" t="s">
        <v>0</v>
      </c>
      <c r="C807" s="1" t="s">
        <v>1</v>
      </c>
      <c r="D807" s="1" t="s">
        <v>9853</v>
      </c>
      <c r="E807" s="1" t="s">
        <v>9854</v>
      </c>
      <c r="F807" s="1" t="s">
        <v>9855</v>
      </c>
      <c r="H807" s="2" t="s">
        <v>5</v>
      </c>
      <c r="I807" s="2" t="s">
        <v>6</v>
      </c>
      <c r="J807" s="2" t="s">
        <v>5</v>
      </c>
      <c r="K807" s="2" t="s">
        <v>5</v>
      </c>
      <c r="L807" s="2" t="s">
        <v>7</v>
      </c>
      <c r="N807" s="1" t="s">
        <v>1985</v>
      </c>
      <c r="O807" s="2" t="s">
        <v>92</v>
      </c>
      <c r="Q807" s="2" t="s">
        <v>11</v>
      </c>
      <c r="R807" s="2" t="s">
        <v>426</v>
      </c>
      <c r="S807" s="1" t="s">
        <v>9856</v>
      </c>
      <c r="T807" s="2" t="s">
        <v>520</v>
      </c>
      <c r="U807" s="3">
        <v>5</v>
      </c>
      <c r="V807" s="3">
        <v>5</v>
      </c>
      <c r="W807" s="4" t="s">
        <v>9857</v>
      </c>
      <c r="X807" s="4" t="s">
        <v>9857</v>
      </c>
      <c r="Y807" s="4" t="s">
        <v>2579</v>
      </c>
      <c r="Z807" s="4" t="s">
        <v>2579</v>
      </c>
      <c r="AA807" s="3">
        <v>171</v>
      </c>
      <c r="AB807" s="3">
        <v>154</v>
      </c>
      <c r="AC807" s="3">
        <v>156</v>
      </c>
      <c r="AD807" s="3">
        <v>4</v>
      </c>
      <c r="AE807" s="3">
        <v>4</v>
      </c>
      <c r="AF807" s="3">
        <v>6</v>
      </c>
      <c r="AG807" s="3">
        <v>6</v>
      </c>
      <c r="AH807" s="3">
        <v>1</v>
      </c>
      <c r="AI807" s="3">
        <v>1</v>
      </c>
      <c r="AJ807" s="3">
        <v>1</v>
      </c>
      <c r="AK807" s="3">
        <v>1</v>
      </c>
      <c r="AL807" s="3">
        <v>2</v>
      </c>
      <c r="AM807" s="3">
        <v>2</v>
      </c>
      <c r="AN807" s="3">
        <v>2</v>
      </c>
      <c r="AO807" s="3">
        <v>2</v>
      </c>
      <c r="AP807" s="3">
        <v>0</v>
      </c>
      <c r="AQ807" s="3">
        <v>0</v>
      </c>
      <c r="AR807" s="2" t="s">
        <v>5</v>
      </c>
      <c r="AS807" s="2" t="s">
        <v>16</v>
      </c>
      <c r="AT807" s="5" t="str">
        <f>HYPERLINK("http://catalog.hathitrust.org/Record/000742723","HathiTrust Record")</f>
        <v>HathiTrust Record</v>
      </c>
      <c r="AU807" s="5" t="str">
        <f>HYPERLINK("https://creighton-primo.hosted.exlibrisgroup.com/primo-explore/search?tab=default_tab&amp;search_scope=EVERYTHING&amp;vid=01CRU&amp;lang=en_US&amp;offset=0&amp;query=any,contains,991001363729702656","Catalog Record")</f>
        <v>Catalog Record</v>
      </c>
      <c r="AV807" s="5" t="str">
        <f>HYPERLINK("http://www.worldcat.org/oclc/2399307","WorldCat Record")</f>
        <v>WorldCat Record</v>
      </c>
      <c r="AW807" s="2" t="s">
        <v>9858</v>
      </c>
      <c r="AX807" s="2" t="s">
        <v>9859</v>
      </c>
      <c r="AY807" s="2" t="s">
        <v>9860</v>
      </c>
      <c r="AZ807" s="2" t="s">
        <v>9860</v>
      </c>
      <c r="BA807" s="2" t="s">
        <v>9861</v>
      </c>
      <c r="BB807" s="2" t="s">
        <v>21</v>
      </c>
      <c r="BE807" s="2" t="s">
        <v>9862</v>
      </c>
      <c r="BF807" s="2" t="s">
        <v>9863</v>
      </c>
    </row>
    <row r="808" spans="1:58" ht="41.25" customHeight="1" x14ac:dyDescent="0.25">
      <c r="A808" s="8" t="s">
        <v>5</v>
      </c>
      <c r="B808" s="1" t="s">
        <v>0</v>
      </c>
      <c r="C808" s="1" t="s">
        <v>1</v>
      </c>
      <c r="D808" s="1" t="s">
        <v>9864</v>
      </c>
      <c r="E808" s="1" t="s">
        <v>9865</v>
      </c>
      <c r="F808" s="1" t="s">
        <v>9866</v>
      </c>
      <c r="H808" s="2" t="s">
        <v>5</v>
      </c>
      <c r="I808" s="2" t="s">
        <v>6</v>
      </c>
      <c r="J808" s="2" t="s">
        <v>5</v>
      </c>
      <c r="K808" s="2" t="s">
        <v>5</v>
      </c>
      <c r="L808" s="2" t="s">
        <v>7</v>
      </c>
      <c r="M808" s="1" t="s">
        <v>9867</v>
      </c>
      <c r="N808" s="1" t="s">
        <v>9868</v>
      </c>
      <c r="O808" s="2" t="s">
        <v>62</v>
      </c>
      <c r="Q808" s="2" t="s">
        <v>11</v>
      </c>
      <c r="R808" s="2" t="s">
        <v>6660</v>
      </c>
      <c r="T808" s="2" t="s">
        <v>520</v>
      </c>
      <c r="U808" s="3">
        <v>11</v>
      </c>
      <c r="V808" s="3">
        <v>11</v>
      </c>
      <c r="W808" s="4" t="s">
        <v>9869</v>
      </c>
      <c r="X808" s="4" t="s">
        <v>9869</v>
      </c>
      <c r="Y808" s="4" t="s">
        <v>96</v>
      </c>
      <c r="Z808" s="4" t="s">
        <v>96</v>
      </c>
      <c r="AA808" s="3">
        <v>266</v>
      </c>
      <c r="AB808" s="3">
        <v>227</v>
      </c>
      <c r="AC808" s="3">
        <v>390</v>
      </c>
      <c r="AD808" s="3">
        <v>5</v>
      </c>
      <c r="AE808" s="3">
        <v>6</v>
      </c>
      <c r="AF808" s="3">
        <v>18</v>
      </c>
      <c r="AG808" s="3">
        <v>23</v>
      </c>
      <c r="AH808" s="3">
        <v>7</v>
      </c>
      <c r="AI808" s="3">
        <v>9</v>
      </c>
      <c r="AJ808" s="3">
        <v>2</v>
      </c>
      <c r="AK808" s="3">
        <v>3</v>
      </c>
      <c r="AL808" s="3">
        <v>6</v>
      </c>
      <c r="AM808" s="3">
        <v>10</v>
      </c>
      <c r="AN808" s="3">
        <v>4</v>
      </c>
      <c r="AO808" s="3">
        <v>4</v>
      </c>
      <c r="AP808" s="3">
        <v>0</v>
      </c>
      <c r="AQ808" s="3">
        <v>0</v>
      </c>
      <c r="AR808" s="2" t="s">
        <v>5</v>
      </c>
      <c r="AS808" s="2" t="s">
        <v>5</v>
      </c>
      <c r="AU808" s="5" t="str">
        <f>HYPERLINK("https://creighton-primo.hosted.exlibrisgroup.com/primo-explore/search?tab=default_tab&amp;search_scope=EVERYTHING&amp;vid=01CRU&amp;lang=en_US&amp;offset=0&amp;query=any,contains,991001134249702656","Catalog Record")</f>
        <v>Catalog Record</v>
      </c>
      <c r="AV808" s="5" t="str">
        <f>HYPERLINK("http://www.worldcat.org/oclc/3856716","WorldCat Record")</f>
        <v>WorldCat Record</v>
      </c>
      <c r="AW808" s="2" t="s">
        <v>9870</v>
      </c>
      <c r="AX808" s="2" t="s">
        <v>9871</v>
      </c>
      <c r="AY808" s="2" t="s">
        <v>9872</v>
      </c>
      <c r="AZ808" s="2" t="s">
        <v>9872</v>
      </c>
      <c r="BA808" s="2" t="s">
        <v>9873</v>
      </c>
      <c r="BB808" s="2" t="s">
        <v>21</v>
      </c>
      <c r="BD808" s="2" t="s">
        <v>9874</v>
      </c>
      <c r="BE808" s="2" t="s">
        <v>9875</v>
      </c>
      <c r="BF808" s="2" t="s">
        <v>9876</v>
      </c>
    </row>
    <row r="809" spans="1:58" ht="41.25" customHeight="1" x14ac:dyDescent="0.25">
      <c r="A809" s="8" t="s">
        <v>5</v>
      </c>
      <c r="B809" s="1" t="s">
        <v>0</v>
      </c>
      <c r="C809" s="1" t="s">
        <v>1</v>
      </c>
      <c r="D809" s="1" t="s">
        <v>9877</v>
      </c>
      <c r="E809" s="1" t="s">
        <v>9878</v>
      </c>
      <c r="F809" s="1" t="s">
        <v>9879</v>
      </c>
      <c r="H809" s="2" t="s">
        <v>5</v>
      </c>
      <c r="I809" s="2" t="s">
        <v>6</v>
      </c>
      <c r="J809" s="2" t="s">
        <v>5</v>
      </c>
      <c r="K809" s="2" t="s">
        <v>5</v>
      </c>
      <c r="L809" s="2" t="s">
        <v>7</v>
      </c>
      <c r="M809" s="1" t="s">
        <v>9880</v>
      </c>
      <c r="N809" s="1" t="s">
        <v>8713</v>
      </c>
      <c r="O809" s="2" t="s">
        <v>888</v>
      </c>
      <c r="Q809" s="2" t="s">
        <v>11</v>
      </c>
      <c r="R809" s="2" t="s">
        <v>229</v>
      </c>
      <c r="T809" s="2" t="s">
        <v>520</v>
      </c>
      <c r="U809" s="3">
        <v>4</v>
      </c>
      <c r="V809" s="3">
        <v>4</v>
      </c>
      <c r="W809" s="4" t="s">
        <v>9881</v>
      </c>
      <c r="X809" s="4" t="s">
        <v>9881</v>
      </c>
      <c r="Y809" s="4" t="s">
        <v>96</v>
      </c>
      <c r="Z809" s="4" t="s">
        <v>96</v>
      </c>
      <c r="AA809" s="3">
        <v>179</v>
      </c>
      <c r="AB809" s="3">
        <v>150</v>
      </c>
      <c r="AC809" s="3">
        <v>152</v>
      </c>
      <c r="AD809" s="3">
        <v>1</v>
      </c>
      <c r="AE809" s="3">
        <v>1</v>
      </c>
      <c r="AF809" s="3">
        <v>3</v>
      </c>
      <c r="AG809" s="3">
        <v>3</v>
      </c>
      <c r="AH809" s="3">
        <v>1</v>
      </c>
      <c r="AI809" s="3">
        <v>1</v>
      </c>
      <c r="AJ809" s="3">
        <v>0</v>
      </c>
      <c r="AK809" s="3">
        <v>0</v>
      </c>
      <c r="AL809" s="3">
        <v>3</v>
      </c>
      <c r="AM809" s="3">
        <v>3</v>
      </c>
      <c r="AN809" s="3">
        <v>0</v>
      </c>
      <c r="AO809" s="3">
        <v>0</v>
      </c>
      <c r="AP809" s="3">
        <v>0</v>
      </c>
      <c r="AQ809" s="3">
        <v>0</v>
      </c>
      <c r="AR809" s="2" t="s">
        <v>5</v>
      </c>
      <c r="AS809" s="2" t="s">
        <v>16</v>
      </c>
      <c r="AT809" s="5" t="str">
        <f>HYPERLINK("http://catalog.hathitrust.org/Record/000323846","HathiTrust Record")</f>
        <v>HathiTrust Record</v>
      </c>
      <c r="AU809" s="5" t="str">
        <f>HYPERLINK("https://creighton-primo.hosted.exlibrisgroup.com/primo-explore/search?tab=default_tab&amp;search_scope=EVERYTHING&amp;vid=01CRU&amp;lang=en_US&amp;offset=0&amp;query=any,contains,991001134269702656","Catalog Record")</f>
        <v>Catalog Record</v>
      </c>
      <c r="AV809" s="5" t="str">
        <f>HYPERLINK("http://www.worldcat.org/oclc/9829218","WorldCat Record")</f>
        <v>WorldCat Record</v>
      </c>
      <c r="AW809" s="2" t="s">
        <v>9882</v>
      </c>
      <c r="AX809" s="2" t="s">
        <v>9883</v>
      </c>
      <c r="AY809" s="2" t="s">
        <v>9884</v>
      </c>
      <c r="AZ809" s="2" t="s">
        <v>9884</v>
      </c>
      <c r="BA809" s="2" t="s">
        <v>9885</v>
      </c>
      <c r="BB809" s="2" t="s">
        <v>21</v>
      </c>
      <c r="BD809" s="2" t="s">
        <v>9886</v>
      </c>
      <c r="BE809" s="2" t="s">
        <v>9887</v>
      </c>
      <c r="BF809" s="2" t="s">
        <v>9888</v>
      </c>
    </row>
    <row r="810" spans="1:58" ht="41.25" customHeight="1" x14ac:dyDescent="0.25">
      <c r="A810" s="8" t="s">
        <v>5</v>
      </c>
      <c r="B810" s="1" t="s">
        <v>0</v>
      </c>
      <c r="C810" s="1" t="s">
        <v>1</v>
      </c>
      <c r="D810" s="1" t="s">
        <v>9889</v>
      </c>
      <c r="E810" s="1" t="s">
        <v>9890</v>
      </c>
      <c r="F810" s="1" t="s">
        <v>9891</v>
      </c>
      <c r="H810" s="2" t="s">
        <v>5</v>
      </c>
      <c r="I810" s="2" t="s">
        <v>6</v>
      </c>
      <c r="J810" s="2" t="s">
        <v>5</v>
      </c>
      <c r="K810" s="2" t="s">
        <v>5</v>
      </c>
      <c r="L810" s="2" t="s">
        <v>7</v>
      </c>
      <c r="M810" s="1" t="s">
        <v>9892</v>
      </c>
      <c r="N810" s="1" t="s">
        <v>9893</v>
      </c>
      <c r="O810" s="2" t="s">
        <v>414</v>
      </c>
      <c r="Q810" s="2" t="s">
        <v>11</v>
      </c>
      <c r="R810" s="2" t="s">
        <v>9894</v>
      </c>
      <c r="S810" s="1" t="s">
        <v>9895</v>
      </c>
      <c r="T810" s="2" t="s">
        <v>520</v>
      </c>
      <c r="U810" s="3">
        <v>3</v>
      </c>
      <c r="V810" s="3">
        <v>3</v>
      </c>
      <c r="W810" s="4" t="s">
        <v>9568</v>
      </c>
      <c r="X810" s="4" t="s">
        <v>9568</v>
      </c>
      <c r="Y810" s="4" t="s">
        <v>80</v>
      </c>
      <c r="Z810" s="4" t="s">
        <v>80</v>
      </c>
      <c r="AA810" s="3">
        <v>144</v>
      </c>
      <c r="AB810" s="3">
        <v>120</v>
      </c>
      <c r="AC810" s="3">
        <v>208</v>
      </c>
      <c r="AD810" s="3">
        <v>1</v>
      </c>
      <c r="AE810" s="3">
        <v>2</v>
      </c>
      <c r="AF810" s="3">
        <v>6</v>
      </c>
      <c r="AG810" s="3">
        <v>10</v>
      </c>
      <c r="AH810" s="3">
        <v>1</v>
      </c>
      <c r="AI810" s="3">
        <v>2</v>
      </c>
      <c r="AJ810" s="3">
        <v>1</v>
      </c>
      <c r="AK810" s="3">
        <v>2</v>
      </c>
      <c r="AL810" s="3">
        <v>4</v>
      </c>
      <c r="AM810" s="3">
        <v>7</v>
      </c>
      <c r="AN810" s="3">
        <v>0</v>
      </c>
      <c r="AO810" s="3">
        <v>1</v>
      </c>
      <c r="AP810" s="3">
        <v>0</v>
      </c>
      <c r="AQ810" s="3">
        <v>0</v>
      </c>
      <c r="AR810" s="2" t="s">
        <v>5</v>
      </c>
      <c r="AS810" s="2" t="s">
        <v>16</v>
      </c>
      <c r="AT810" s="5" t="str">
        <f>HYPERLINK("http://catalog.hathitrust.org/Record/002072507","HathiTrust Record")</f>
        <v>HathiTrust Record</v>
      </c>
      <c r="AU810" s="5" t="str">
        <f>HYPERLINK("https://creighton-primo.hosted.exlibrisgroup.com/primo-explore/search?tab=default_tab&amp;search_scope=EVERYTHING&amp;vid=01CRU&amp;lang=en_US&amp;offset=0&amp;query=any,contains,991001134299702656","Catalog Record")</f>
        <v>Catalog Record</v>
      </c>
      <c r="AV810" s="5" t="str">
        <f>HYPERLINK("http://www.worldcat.org/oclc/239024","WorldCat Record")</f>
        <v>WorldCat Record</v>
      </c>
      <c r="AW810" s="2" t="s">
        <v>9896</v>
      </c>
      <c r="AX810" s="2" t="s">
        <v>9897</v>
      </c>
      <c r="AY810" s="2" t="s">
        <v>9898</v>
      </c>
      <c r="AZ810" s="2" t="s">
        <v>9898</v>
      </c>
      <c r="BA810" s="2" t="s">
        <v>9899</v>
      </c>
      <c r="BB810" s="2" t="s">
        <v>21</v>
      </c>
      <c r="BE810" s="2" t="s">
        <v>9900</v>
      </c>
      <c r="BF810" s="2" t="s">
        <v>9901</v>
      </c>
    </row>
    <row r="811" spans="1:58" ht="41.25" customHeight="1" x14ac:dyDescent="0.25">
      <c r="A811" s="8" t="s">
        <v>5</v>
      </c>
      <c r="B811" s="1" t="s">
        <v>0</v>
      </c>
      <c r="C811" s="1" t="s">
        <v>1</v>
      </c>
      <c r="D811" s="1" t="s">
        <v>9902</v>
      </c>
      <c r="E811" s="1" t="s">
        <v>9903</v>
      </c>
      <c r="F811" s="1" t="s">
        <v>9904</v>
      </c>
      <c r="H811" s="2" t="s">
        <v>5</v>
      </c>
      <c r="I811" s="2" t="s">
        <v>6</v>
      </c>
      <c r="J811" s="2" t="s">
        <v>5</v>
      </c>
      <c r="K811" s="2" t="s">
        <v>5</v>
      </c>
      <c r="L811" s="2" t="s">
        <v>7</v>
      </c>
      <c r="M811" s="1" t="s">
        <v>9905</v>
      </c>
      <c r="N811" s="1" t="s">
        <v>9906</v>
      </c>
      <c r="O811" s="2" t="s">
        <v>228</v>
      </c>
      <c r="Q811" s="2" t="s">
        <v>11</v>
      </c>
      <c r="R811" s="2" t="s">
        <v>426</v>
      </c>
      <c r="T811" s="2" t="s">
        <v>520</v>
      </c>
      <c r="U811" s="3">
        <v>3</v>
      </c>
      <c r="V811" s="3">
        <v>3</v>
      </c>
      <c r="W811" s="4" t="s">
        <v>9907</v>
      </c>
      <c r="X811" s="4" t="s">
        <v>9907</v>
      </c>
      <c r="Y811" s="4" t="s">
        <v>96</v>
      </c>
      <c r="Z811" s="4" t="s">
        <v>96</v>
      </c>
      <c r="AA811" s="3">
        <v>176</v>
      </c>
      <c r="AB811" s="3">
        <v>135</v>
      </c>
      <c r="AC811" s="3">
        <v>137</v>
      </c>
      <c r="AD811" s="3">
        <v>1</v>
      </c>
      <c r="AE811" s="3">
        <v>1</v>
      </c>
      <c r="AF811" s="3">
        <v>4</v>
      </c>
      <c r="AG811" s="3">
        <v>4</v>
      </c>
      <c r="AH811" s="3">
        <v>2</v>
      </c>
      <c r="AI811" s="3">
        <v>2</v>
      </c>
      <c r="AJ811" s="3">
        <v>0</v>
      </c>
      <c r="AK811" s="3">
        <v>0</v>
      </c>
      <c r="AL811" s="3">
        <v>3</v>
      </c>
      <c r="AM811" s="3">
        <v>3</v>
      </c>
      <c r="AN811" s="3">
        <v>0</v>
      </c>
      <c r="AO811" s="3">
        <v>0</v>
      </c>
      <c r="AP811" s="3">
        <v>0</v>
      </c>
      <c r="AQ811" s="3">
        <v>0</v>
      </c>
      <c r="AR811" s="2" t="s">
        <v>5</v>
      </c>
      <c r="AS811" s="2" t="s">
        <v>16</v>
      </c>
      <c r="AT811" s="5" t="str">
        <f>HYPERLINK("http://catalog.hathitrust.org/Record/000311946","HathiTrust Record")</f>
        <v>HathiTrust Record</v>
      </c>
      <c r="AU811" s="5" t="str">
        <f>HYPERLINK("https://creighton-primo.hosted.exlibrisgroup.com/primo-explore/search?tab=default_tab&amp;search_scope=EVERYTHING&amp;vid=01CRU&amp;lang=en_US&amp;offset=0&amp;query=any,contains,991001134399702656","Catalog Record")</f>
        <v>Catalog Record</v>
      </c>
      <c r="AV811" s="5" t="str">
        <f>HYPERLINK("http://www.worldcat.org/oclc/7876653","WorldCat Record")</f>
        <v>WorldCat Record</v>
      </c>
      <c r="AW811" s="2" t="s">
        <v>9908</v>
      </c>
      <c r="AX811" s="2" t="s">
        <v>9909</v>
      </c>
      <c r="AY811" s="2" t="s">
        <v>9910</v>
      </c>
      <c r="AZ811" s="2" t="s">
        <v>9910</v>
      </c>
      <c r="BA811" s="2" t="s">
        <v>9911</v>
      </c>
      <c r="BB811" s="2" t="s">
        <v>21</v>
      </c>
      <c r="BD811" s="2" t="s">
        <v>9912</v>
      </c>
      <c r="BE811" s="2" t="s">
        <v>9913</v>
      </c>
      <c r="BF811" s="2" t="s">
        <v>9914</v>
      </c>
    </row>
    <row r="812" spans="1:58" ht="41.25" customHeight="1" x14ac:dyDescent="0.25">
      <c r="A812" s="8" t="s">
        <v>5</v>
      </c>
      <c r="B812" s="1" t="s">
        <v>0</v>
      </c>
      <c r="C812" s="1" t="s">
        <v>1</v>
      </c>
      <c r="D812" s="1" t="s">
        <v>9915</v>
      </c>
      <c r="E812" s="1" t="s">
        <v>9916</v>
      </c>
      <c r="F812" s="1" t="s">
        <v>9917</v>
      </c>
      <c r="H812" s="2" t="s">
        <v>5</v>
      </c>
      <c r="I812" s="2" t="s">
        <v>6</v>
      </c>
      <c r="J812" s="2" t="s">
        <v>5</v>
      </c>
      <c r="K812" s="2" t="s">
        <v>5</v>
      </c>
      <c r="L812" s="2" t="s">
        <v>7</v>
      </c>
      <c r="M812" s="1" t="s">
        <v>9918</v>
      </c>
      <c r="N812" s="1" t="s">
        <v>9919</v>
      </c>
      <c r="O812" s="2" t="s">
        <v>210</v>
      </c>
      <c r="Q812" s="2" t="s">
        <v>11</v>
      </c>
      <c r="R812" s="2" t="s">
        <v>12</v>
      </c>
      <c r="S812" s="1" t="s">
        <v>9920</v>
      </c>
      <c r="T812" s="2" t="s">
        <v>520</v>
      </c>
      <c r="U812" s="3">
        <v>3</v>
      </c>
      <c r="V812" s="3">
        <v>3</v>
      </c>
      <c r="W812" s="4" t="s">
        <v>9312</v>
      </c>
      <c r="X812" s="4" t="s">
        <v>9312</v>
      </c>
      <c r="Y812" s="4" t="s">
        <v>604</v>
      </c>
      <c r="Z812" s="4" t="s">
        <v>604</v>
      </c>
      <c r="AA812" s="3">
        <v>359</v>
      </c>
      <c r="AB812" s="3">
        <v>305</v>
      </c>
      <c r="AC812" s="3">
        <v>305</v>
      </c>
      <c r="AD812" s="3">
        <v>6</v>
      </c>
      <c r="AE812" s="3">
        <v>6</v>
      </c>
      <c r="AF812" s="3">
        <v>19</v>
      </c>
      <c r="AG812" s="3">
        <v>19</v>
      </c>
      <c r="AH812" s="3">
        <v>6</v>
      </c>
      <c r="AI812" s="3">
        <v>6</v>
      </c>
      <c r="AJ812" s="3">
        <v>4</v>
      </c>
      <c r="AK812" s="3">
        <v>4</v>
      </c>
      <c r="AL812" s="3">
        <v>8</v>
      </c>
      <c r="AM812" s="3">
        <v>8</v>
      </c>
      <c r="AN812" s="3">
        <v>4</v>
      </c>
      <c r="AO812" s="3">
        <v>4</v>
      </c>
      <c r="AP812" s="3">
        <v>0</v>
      </c>
      <c r="AQ812" s="3">
        <v>0</v>
      </c>
      <c r="AR812" s="2" t="s">
        <v>5</v>
      </c>
      <c r="AS812" s="2" t="s">
        <v>5</v>
      </c>
      <c r="AU812" s="5" t="str">
        <f>HYPERLINK("https://creighton-primo.hosted.exlibrisgroup.com/primo-explore/search?tab=default_tab&amp;search_scope=EVERYTHING&amp;vid=01CRU&amp;lang=en_US&amp;offset=0&amp;query=any,contains,991000234349702656","Catalog Record")</f>
        <v>Catalog Record</v>
      </c>
      <c r="AV812" s="5" t="str">
        <f>HYPERLINK("http://www.worldcat.org/oclc/25828642","WorldCat Record")</f>
        <v>WorldCat Record</v>
      </c>
      <c r="AW812" s="2" t="s">
        <v>9921</v>
      </c>
      <c r="AX812" s="2" t="s">
        <v>9922</v>
      </c>
      <c r="AY812" s="2" t="s">
        <v>9923</v>
      </c>
      <c r="AZ812" s="2" t="s">
        <v>9923</v>
      </c>
      <c r="BA812" s="2" t="s">
        <v>9924</v>
      </c>
      <c r="BB812" s="2" t="s">
        <v>21</v>
      </c>
      <c r="BD812" s="2" t="s">
        <v>9925</v>
      </c>
      <c r="BE812" s="2" t="s">
        <v>9926</v>
      </c>
      <c r="BF812" s="2" t="s">
        <v>9927</v>
      </c>
    </row>
    <row r="813" spans="1:58" ht="41.25" customHeight="1" x14ac:dyDescent="0.25">
      <c r="A813" s="8" t="s">
        <v>5</v>
      </c>
      <c r="B813" s="1" t="s">
        <v>0</v>
      </c>
      <c r="C813" s="1" t="s">
        <v>1</v>
      </c>
      <c r="D813" s="1" t="s">
        <v>9928</v>
      </c>
      <c r="E813" s="1" t="s">
        <v>9929</v>
      </c>
      <c r="F813" s="1" t="s">
        <v>9930</v>
      </c>
      <c r="H813" s="2" t="s">
        <v>5</v>
      </c>
      <c r="I813" s="2" t="s">
        <v>6</v>
      </c>
      <c r="J813" s="2" t="s">
        <v>5</v>
      </c>
      <c r="K813" s="2" t="s">
        <v>5</v>
      </c>
      <c r="L813" s="2" t="s">
        <v>7</v>
      </c>
      <c r="N813" s="1" t="s">
        <v>9931</v>
      </c>
      <c r="O813" s="2" t="s">
        <v>354</v>
      </c>
      <c r="Q813" s="2" t="s">
        <v>11</v>
      </c>
      <c r="R813" s="2" t="s">
        <v>9932</v>
      </c>
      <c r="T813" s="2" t="s">
        <v>520</v>
      </c>
      <c r="U813" s="3">
        <v>10</v>
      </c>
      <c r="V813" s="3">
        <v>10</v>
      </c>
      <c r="W813" s="4" t="s">
        <v>9933</v>
      </c>
      <c r="X813" s="4" t="s">
        <v>9933</v>
      </c>
      <c r="Y813" s="4" t="s">
        <v>96</v>
      </c>
      <c r="Z813" s="4" t="s">
        <v>96</v>
      </c>
      <c r="AA813" s="3">
        <v>340</v>
      </c>
      <c r="AB813" s="3">
        <v>280</v>
      </c>
      <c r="AC813" s="3">
        <v>283</v>
      </c>
      <c r="AD813" s="3">
        <v>3</v>
      </c>
      <c r="AE813" s="3">
        <v>3</v>
      </c>
      <c r="AF813" s="3">
        <v>15</v>
      </c>
      <c r="AG813" s="3">
        <v>15</v>
      </c>
      <c r="AH813" s="3">
        <v>4</v>
      </c>
      <c r="AI813" s="3">
        <v>4</v>
      </c>
      <c r="AJ813" s="3">
        <v>3</v>
      </c>
      <c r="AK813" s="3">
        <v>3</v>
      </c>
      <c r="AL813" s="3">
        <v>7</v>
      </c>
      <c r="AM813" s="3">
        <v>7</v>
      </c>
      <c r="AN813" s="3">
        <v>2</v>
      </c>
      <c r="AO813" s="3">
        <v>2</v>
      </c>
      <c r="AP813" s="3">
        <v>0</v>
      </c>
      <c r="AQ813" s="3">
        <v>0</v>
      </c>
      <c r="AR813" s="2" t="s">
        <v>5</v>
      </c>
      <c r="AS813" s="2" t="s">
        <v>16</v>
      </c>
      <c r="AT813" s="5" t="str">
        <f>HYPERLINK("http://catalog.hathitrust.org/Record/000184983","HathiTrust Record")</f>
        <v>HathiTrust Record</v>
      </c>
      <c r="AU813" s="5" t="str">
        <f>HYPERLINK("https://creighton-primo.hosted.exlibrisgroup.com/primo-explore/search?tab=default_tab&amp;search_scope=EVERYTHING&amp;vid=01CRU&amp;lang=en_US&amp;offset=0&amp;query=any,contains,991001136229702656","Catalog Record")</f>
        <v>Catalog Record</v>
      </c>
      <c r="AV813" s="5" t="str">
        <f>HYPERLINK("http://www.worldcat.org/oclc/5497954","WorldCat Record")</f>
        <v>WorldCat Record</v>
      </c>
      <c r="AW813" s="2" t="s">
        <v>9934</v>
      </c>
      <c r="AX813" s="2" t="s">
        <v>9935</v>
      </c>
      <c r="AY813" s="2" t="s">
        <v>9936</v>
      </c>
      <c r="AZ813" s="2" t="s">
        <v>9936</v>
      </c>
      <c r="BA813" s="2" t="s">
        <v>9937</v>
      </c>
      <c r="BB813" s="2" t="s">
        <v>21</v>
      </c>
      <c r="BD813" s="2" t="s">
        <v>9938</v>
      </c>
      <c r="BE813" s="2" t="s">
        <v>9939</v>
      </c>
      <c r="BF813" s="2" t="s">
        <v>9940</v>
      </c>
    </row>
    <row r="814" spans="1:58" ht="41.25" customHeight="1" x14ac:dyDescent="0.25">
      <c r="A814" s="8" t="s">
        <v>5</v>
      </c>
      <c r="B814" s="1" t="s">
        <v>0</v>
      </c>
      <c r="C814" s="1" t="s">
        <v>1</v>
      </c>
      <c r="D814" s="1" t="s">
        <v>9941</v>
      </c>
      <c r="E814" s="1" t="s">
        <v>9942</v>
      </c>
      <c r="F814" s="1" t="s">
        <v>9943</v>
      </c>
      <c r="H814" s="2" t="s">
        <v>5</v>
      </c>
      <c r="I814" s="2" t="s">
        <v>6</v>
      </c>
      <c r="J814" s="2" t="s">
        <v>5</v>
      </c>
      <c r="K814" s="2" t="s">
        <v>5</v>
      </c>
      <c r="L814" s="2" t="s">
        <v>7</v>
      </c>
      <c r="M814" s="1" t="s">
        <v>9944</v>
      </c>
      <c r="N814" s="1" t="s">
        <v>9945</v>
      </c>
      <c r="O814" s="2" t="s">
        <v>1246</v>
      </c>
      <c r="Q814" s="2" t="s">
        <v>11</v>
      </c>
      <c r="R814" s="2" t="s">
        <v>271</v>
      </c>
      <c r="T814" s="2" t="s">
        <v>520</v>
      </c>
      <c r="U814" s="3">
        <v>7</v>
      </c>
      <c r="V814" s="3">
        <v>7</v>
      </c>
      <c r="W814" s="4" t="s">
        <v>9946</v>
      </c>
      <c r="X814" s="4" t="s">
        <v>9946</v>
      </c>
      <c r="Y814" s="4" t="s">
        <v>96</v>
      </c>
      <c r="Z814" s="4" t="s">
        <v>96</v>
      </c>
      <c r="AA814" s="3">
        <v>194</v>
      </c>
      <c r="AB814" s="3">
        <v>155</v>
      </c>
      <c r="AC814" s="3">
        <v>300</v>
      </c>
      <c r="AD814" s="3">
        <v>3</v>
      </c>
      <c r="AE814" s="3">
        <v>4</v>
      </c>
      <c r="AF814" s="3">
        <v>3</v>
      </c>
      <c r="AG814" s="3">
        <v>13</v>
      </c>
      <c r="AH814" s="3">
        <v>0</v>
      </c>
      <c r="AI814" s="3">
        <v>6</v>
      </c>
      <c r="AJ814" s="3">
        <v>0</v>
      </c>
      <c r="AK814" s="3">
        <v>2</v>
      </c>
      <c r="AL814" s="3">
        <v>2</v>
      </c>
      <c r="AM814" s="3">
        <v>7</v>
      </c>
      <c r="AN814" s="3">
        <v>1</v>
      </c>
      <c r="AO814" s="3">
        <v>2</v>
      </c>
      <c r="AP814" s="3">
        <v>0</v>
      </c>
      <c r="AQ814" s="3">
        <v>0</v>
      </c>
      <c r="AR814" s="2" t="s">
        <v>5</v>
      </c>
      <c r="AS814" s="2" t="s">
        <v>16</v>
      </c>
      <c r="AT814" s="5" t="str">
        <f>HYPERLINK("http://catalog.hathitrust.org/Record/001574739","HathiTrust Record")</f>
        <v>HathiTrust Record</v>
      </c>
      <c r="AU814" s="5" t="str">
        <f>HYPERLINK("https://creighton-primo.hosted.exlibrisgroup.com/primo-explore/search?tab=default_tab&amp;search_scope=EVERYTHING&amp;vid=01CRU&amp;lang=en_US&amp;offset=0&amp;query=any,contains,991001136429702656","Catalog Record")</f>
        <v>Catalog Record</v>
      </c>
      <c r="AV814" s="5" t="str">
        <f>HYPERLINK("http://www.worldcat.org/oclc/702972","WorldCat Record")</f>
        <v>WorldCat Record</v>
      </c>
      <c r="AW814" s="2" t="s">
        <v>9947</v>
      </c>
      <c r="AX814" s="2" t="s">
        <v>9948</v>
      </c>
      <c r="AY814" s="2" t="s">
        <v>9949</v>
      </c>
      <c r="AZ814" s="2" t="s">
        <v>9949</v>
      </c>
      <c r="BA814" s="2" t="s">
        <v>9950</v>
      </c>
      <c r="BB814" s="2" t="s">
        <v>21</v>
      </c>
      <c r="BE814" s="2" t="s">
        <v>9951</v>
      </c>
      <c r="BF814" s="2" t="s">
        <v>9952</v>
      </c>
    </row>
    <row r="815" spans="1:58" ht="41.25" customHeight="1" x14ac:dyDescent="0.25">
      <c r="A815" s="8" t="s">
        <v>5</v>
      </c>
      <c r="B815" s="1" t="s">
        <v>0</v>
      </c>
      <c r="C815" s="1" t="s">
        <v>1</v>
      </c>
      <c r="D815" s="1" t="s">
        <v>9953</v>
      </c>
      <c r="E815" s="1" t="s">
        <v>9954</v>
      </c>
      <c r="F815" s="1" t="s">
        <v>9955</v>
      </c>
      <c r="H815" s="2" t="s">
        <v>5</v>
      </c>
      <c r="I815" s="2" t="s">
        <v>6</v>
      </c>
      <c r="J815" s="2" t="s">
        <v>5</v>
      </c>
      <c r="K815" s="2" t="s">
        <v>5</v>
      </c>
      <c r="L815" s="2" t="s">
        <v>7</v>
      </c>
      <c r="N815" s="1" t="s">
        <v>9956</v>
      </c>
      <c r="O815" s="2" t="s">
        <v>9957</v>
      </c>
      <c r="Q815" s="2" t="s">
        <v>11</v>
      </c>
      <c r="R815" s="2" t="s">
        <v>93</v>
      </c>
      <c r="S815" s="1" t="s">
        <v>9958</v>
      </c>
      <c r="T815" s="2" t="s">
        <v>520</v>
      </c>
      <c r="U815" s="3">
        <v>2</v>
      </c>
      <c r="V815" s="3">
        <v>2</v>
      </c>
      <c r="W815" s="4" t="s">
        <v>2788</v>
      </c>
      <c r="X815" s="4" t="s">
        <v>2788</v>
      </c>
      <c r="Y815" s="4" t="s">
        <v>577</v>
      </c>
      <c r="Z815" s="4" t="s">
        <v>577</v>
      </c>
      <c r="AA815" s="3">
        <v>36</v>
      </c>
      <c r="AB815" s="3">
        <v>34</v>
      </c>
      <c r="AC815" s="3">
        <v>35</v>
      </c>
      <c r="AD815" s="3">
        <v>1</v>
      </c>
      <c r="AE815" s="3">
        <v>1</v>
      </c>
      <c r="AF815" s="3">
        <v>1</v>
      </c>
      <c r="AG815" s="3">
        <v>1</v>
      </c>
      <c r="AH815" s="3">
        <v>0</v>
      </c>
      <c r="AI815" s="3">
        <v>0</v>
      </c>
      <c r="AJ815" s="3">
        <v>0</v>
      </c>
      <c r="AK815" s="3">
        <v>0</v>
      </c>
      <c r="AL815" s="3">
        <v>1</v>
      </c>
      <c r="AM815" s="3">
        <v>1</v>
      </c>
      <c r="AN815" s="3">
        <v>0</v>
      </c>
      <c r="AO815" s="3">
        <v>0</v>
      </c>
      <c r="AP815" s="3">
        <v>0</v>
      </c>
      <c r="AQ815" s="3">
        <v>0</v>
      </c>
      <c r="AR815" s="2" t="s">
        <v>5</v>
      </c>
      <c r="AS815" s="2" t="s">
        <v>5</v>
      </c>
      <c r="AU815" s="5" t="str">
        <f>HYPERLINK("https://creighton-primo.hosted.exlibrisgroup.com/primo-explore/search?tab=default_tab&amp;search_scope=EVERYTHING&amp;vid=01CRU&amp;lang=en_US&amp;offset=0&amp;query=any,contains,991001361799702656","Catalog Record")</f>
        <v>Catalog Record</v>
      </c>
      <c r="AV815" s="5" t="str">
        <f>HYPERLINK("http://www.worldcat.org/oclc/14597357","WorldCat Record")</f>
        <v>WorldCat Record</v>
      </c>
      <c r="AW815" s="2" t="s">
        <v>9959</v>
      </c>
      <c r="AX815" s="2" t="s">
        <v>9960</v>
      </c>
      <c r="AY815" s="2" t="s">
        <v>9961</v>
      </c>
      <c r="AZ815" s="2" t="s">
        <v>9961</v>
      </c>
      <c r="BA815" s="2" t="s">
        <v>9962</v>
      </c>
      <c r="BB815" s="2" t="s">
        <v>21</v>
      </c>
      <c r="BE815" s="2" t="s">
        <v>9963</v>
      </c>
      <c r="BF815" s="2" t="s">
        <v>9964</v>
      </c>
    </row>
    <row r="816" spans="1:58" ht="41.25" customHeight="1" x14ac:dyDescent="0.25">
      <c r="A816" s="8" t="s">
        <v>5</v>
      </c>
      <c r="B816" s="1" t="s">
        <v>0</v>
      </c>
      <c r="C816" s="1" t="s">
        <v>1</v>
      </c>
      <c r="D816" s="1" t="s">
        <v>9965</v>
      </c>
      <c r="E816" s="1" t="s">
        <v>9966</v>
      </c>
      <c r="F816" s="1" t="s">
        <v>9967</v>
      </c>
      <c r="H816" s="2" t="s">
        <v>5</v>
      </c>
      <c r="I816" s="2" t="s">
        <v>6</v>
      </c>
      <c r="J816" s="2" t="s">
        <v>5</v>
      </c>
      <c r="K816" s="2" t="s">
        <v>5</v>
      </c>
      <c r="L816" s="2" t="s">
        <v>7</v>
      </c>
      <c r="M816" s="1" t="s">
        <v>9968</v>
      </c>
      <c r="N816" s="1" t="s">
        <v>9969</v>
      </c>
      <c r="O816" s="2" t="s">
        <v>62</v>
      </c>
      <c r="Q816" s="2" t="s">
        <v>11</v>
      </c>
      <c r="R816" s="2" t="s">
        <v>12</v>
      </c>
      <c r="T816" s="2" t="s">
        <v>520</v>
      </c>
      <c r="U816" s="3">
        <v>3</v>
      </c>
      <c r="V816" s="3">
        <v>3</v>
      </c>
      <c r="W816" s="4" t="s">
        <v>9881</v>
      </c>
      <c r="X816" s="4" t="s">
        <v>9881</v>
      </c>
      <c r="Y816" s="4" t="s">
        <v>96</v>
      </c>
      <c r="Z816" s="4" t="s">
        <v>96</v>
      </c>
      <c r="AA816" s="3">
        <v>225</v>
      </c>
      <c r="AB816" s="3">
        <v>193</v>
      </c>
      <c r="AC816" s="3">
        <v>213</v>
      </c>
      <c r="AD816" s="3">
        <v>3</v>
      </c>
      <c r="AE816" s="3">
        <v>3</v>
      </c>
      <c r="AF816" s="3">
        <v>7</v>
      </c>
      <c r="AG816" s="3">
        <v>8</v>
      </c>
      <c r="AH816" s="3">
        <v>2</v>
      </c>
      <c r="AI816" s="3">
        <v>2</v>
      </c>
      <c r="AJ816" s="3">
        <v>0</v>
      </c>
      <c r="AK816" s="3">
        <v>0</v>
      </c>
      <c r="AL816" s="3">
        <v>3</v>
      </c>
      <c r="AM816" s="3">
        <v>4</v>
      </c>
      <c r="AN816" s="3">
        <v>2</v>
      </c>
      <c r="AO816" s="3">
        <v>2</v>
      </c>
      <c r="AP816" s="3">
        <v>0</v>
      </c>
      <c r="AQ816" s="3">
        <v>0</v>
      </c>
      <c r="AR816" s="2" t="s">
        <v>5</v>
      </c>
      <c r="AS816" s="2" t="s">
        <v>16</v>
      </c>
      <c r="AT816" s="5" t="str">
        <f>HYPERLINK("http://catalog.hathitrust.org/Record/000134227","HathiTrust Record")</f>
        <v>HathiTrust Record</v>
      </c>
      <c r="AU816" s="5" t="str">
        <f>HYPERLINK("https://creighton-primo.hosted.exlibrisgroup.com/primo-explore/search?tab=default_tab&amp;search_scope=EVERYTHING&amp;vid=01CRU&amp;lang=en_US&amp;offset=0&amp;query=any,contains,991001136469702656","Catalog Record")</f>
        <v>Catalog Record</v>
      </c>
      <c r="AV816" s="5" t="str">
        <f>HYPERLINK("http://www.worldcat.org/oclc/3802159","WorldCat Record")</f>
        <v>WorldCat Record</v>
      </c>
      <c r="AW816" s="2" t="s">
        <v>9970</v>
      </c>
      <c r="AX816" s="2" t="s">
        <v>9971</v>
      </c>
      <c r="AY816" s="2" t="s">
        <v>9972</v>
      </c>
      <c r="AZ816" s="2" t="s">
        <v>9972</v>
      </c>
      <c r="BA816" s="2" t="s">
        <v>9973</v>
      </c>
      <c r="BB816" s="2" t="s">
        <v>21</v>
      </c>
      <c r="BD816" s="2" t="s">
        <v>9974</v>
      </c>
      <c r="BE816" s="2" t="s">
        <v>9975</v>
      </c>
      <c r="BF816" s="2" t="s">
        <v>9976</v>
      </c>
    </row>
    <row r="817" spans="1:58" ht="41.25" customHeight="1" x14ac:dyDescent="0.25">
      <c r="A817" s="8" t="s">
        <v>5</v>
      </c>
      <c r="B817" s="1" t="s">
        <v>0</v>
      </c>
      <c r="C817" s="1" t="s">
        <v>1</v>
      </c>
      <c r="D817" s="1" t="s">
        <v>9977</v>
      </c>
      <c r="E817" s="1" t="s">
        <v>9978</v>
      </c>
      <c r="F817" s="1" t="s">
        <v>9979</v>
      </c>
      <c r="H817" s="2" t="s">
        <v>5</v>
      </c>
      <c r="I817" s="2" t="s">
        <v>6</v>
      </c>
      <c r="J817" s="2" t="s">
        <v>5</v>
      </c>
      <c r="K817" s="2" t="s">
        <v>5</v>
      </c>
      <c r="L817" s="2" t="s">
        <v>7</v>
      </c>
      <c r="M817" s="1" t="s">
        <v>9980</v>
      </c>
      <c r="N817" s="1" t="s">
        <v>9981</v>
      </c>
      <c r="O817" s="2" t="s">
        <v>1102</v>
      </c>
      <c r="Q817" s="2" t="s">
        <v>11</v>
      </c>
      <c r="R817" s="2" t="s">
        <v>1427</v>
      </c>
      <c r="S817" s="1" t="s">
        <v>3264</v>
      </c>
      <c r="T817" s="2" t="s">
        <v>520</v>
      </c>
      <c r="U817" s="3">
        <v>5</v>
      </c>
      <c r="V817" s="3">
        <v>5</v>
      </c>
      <c r="W817" s="4" t="s">
        <v>9982</v>
      </c>
      <c r="X817" s="4" t="s">
        <v>9982</v>
      </c>
      <c r="Y817" s="4" t="s">
        <v>96</v>
      </c>
      <c r="Z817" s="4" t="s">
        <v>96</v>
      </c>
      <c r="AA817" s="3">
        <v>173</v>
      </c>
      <c r="AB817" s="3">
        <v>113</v>
      </c>
      <c r="AC817" s="3">
        <v>115</v>
      </c>
      <c r="AD817" s="3">
        <v>1</v>
      </c>
      <c r="AE817" s="3">
        <v>1</v>
      </c>
      <c r="AF817" s="3">
        <v>4</v>
      </c>
      <c r="AG817" s="3">
        <v>4</v>
      </c>
      <c r="AH817" s="3">
        <v>0</v>
      </c>
      <c r="AI817" s="3">
        <v>0</v>
      </c>
      <c r="AJ817" s="3">
        <v>1</v>
      </c>
      <c r="AK817" s="3">
        <v>1</v>
      </c>
      <c r="AL817" s="3">
        <v>3</v>
      </c>
      <c r="AM817" s="3">
        <v>3</v>
      </c>
      <c r="AN817" s="3">
        <v>0</v>
      </c>
      <c r="AO817" s="3">
        <v>0</v>
      </c>
      <c r="AP817" s="3">
        <v>0</v>
      </c>
      <c r="AQ817" s="3">
        <v>0</v>
      </c>
      <c r="AR817" s="2" t="s">
        <v>5</v>
      </c>
      <c r="AS817" s="2" t="s">
        <v>16</v>
      </c>
      <c r="AT817" s="5" t="str">
        <f>HYPERLINK("http://catalog.hathitrust.org/Record/000490946","HathiTrust Record")</f>
        <v>HathiTrust Record</v>
      </c>
      <c r="AU817" s="5" t="str">
        <f>HYPERLINK("https://creighton-primo.hosted.exlibrisgroup.com/primo-explore/search?tab=default_tab&amp;search_scope=EVERYTHING&amp;vid=01CRU&amp;lang=en_US&amp;offset=0&amp;query=any,contains,991001136599702656","Catalog Record")</f>
        <v>Catalog Record</v>
      </c>
      <c r="AV817" s="5" t="str">
        <f>HYPERLINK("http://www.worldcat.org/oclc/13214447","WorldCat Record")</f>
        <v>WorldCat Record</v>
      </c>
      <c r="AW817" s="2" t="s">
        <v>9983</v>
      </c>
      <c r="AX817" s="2" t="s">
        <v>9984</v>
      </c>
      <c r="AY817" s="2" t="s">
        <v>9985</v>
      </c>
      <c r="AZ817" s="2" t="s">
        <v>9985</v>
      </c>
      <c r="BA817" s="2" t="s">
        <v>9986</v>
      </c>
      <c r="BB817" s="2" t="s">
        <v>21</v>
      </c>
      <c r="BD817" s="2" t="s">
        <v>9987</v>
      </c>
      <c r="BE817" s="2" t="s">
        <v>9988</v>
      </c>
      <c r="BF817" s="2" t="s">
        <v>9989</v>
      </c>
    </row>
    <row r="818" spans="1:58" ht="41.25" customHeight="1" x14ac:dyDescent="0.25">
      <c r="A818" s="8" t="s">
        <v>5</v>
      </c>
      <c r="B818" s="1" t="s">
        <v>0</v>
      </c>
      <c r="C818" s="1" t="s">
        <v>1</v>
      </c>
      <c r="D818" s="1" t="s">
        <v>9990</v>
      </c>
      <c r="E818" s="1" t="s">
        <v>9991</v>
      </c>
      <c r="F818" s="1" t="s">
        <v>9992</v>
      </c>
      <c r="H818" s="2" t="s">
        <v>5</v>
      </c>
      <c r="I818" s="2" t="s">
        <v>6</v>
      </c>
      <c r="J818" s="2" t="s">
        <v>5</v>
      </c>
      <c r="K818" s="2" t="s">
        <v>5</v>
      </c>
      <c r="L818" s="2" t="s">
        <v>7</v>
      </c>
      <c r="N818" s="1" t="s">
        <v>9993</v>
      </c>
      <c r="O818" s="2" t="s">
        <v>62</v>
      </c>
      <c r="Q818" s="2" t="s">
        <v>11</v>
      </c>
      <c r="R818" s="2" t="s">
        <v>31</v>
      </c>
      <c r="T818" s="2" t="s">
        <v>520</v>
      </c>
      <c r="U818" s="3">
        <v>12</v>
      </c>
      <c r="V818" s="3">
        <v>12</v>
      </c>
      <c r="W818" s="4" t="s">
        <v>9994</v>
      </c>
      <c r="X818" s="4" t="s">
        <v>9994</v>
      </c>
      <c r="Y818" s="4" t="s">
        <v>96</v>
      </c>
      <c r="Z818" s="4" t="s">
        <v>96</v>
      </c>
      <c r="AA818" s="3">
        <v>330</v>
      </c>
      <c r="AB818" s="3">
        <v>313</v>
      </c>
      <c r="AC818" s="3">
        <v>320</v>
      </c>
      <c r="AD818" s="3">
        <v>3</v>
      </c>
      <c r="AE818" s="3">
        <v>3</v>
      </c>
      <c r="AF818" s="3">
        <v>13</v>
      </c>
      <c r="AG818" s="3">
        <v>13</v>
      </c>
      <c r="AH818" s="3">
        <v>4</v>
      </c>
      <c r="AI818" s="3">
        <v>4</v>
      </c>
      <c r="AJ818" s="3">
        <v>3</v>
      </c>
      <c r="AK818" s="3">
        <v>3</v>
      </c>
      <c r="AL818" s="3">
        <v>7</v>
      </c>
      <c r="AM818" s="3">
        <v>7</v>
      </c>
      <c r="AN818" s="3">
        <v>2</v>
      </c>
      <c r="AO818" s="3">
        <v>2</v>
      </c>
      <c r="AP818" s="3">
        <v>0</v>
      </c>
      <c r="AQ818" s="3">
        <v>0</v>
      </c>
      <c r="AR818" s="2" t="s">
        <v>5</v>
      </c>
      <c r="AS818" s="2" t="s">
        <v>16</v>
      </c>
      <c r="AT818" s="5" t="str">
        <f>HYPERLINK("http://catalog.hathitrust.org/Record/000089583","HathiTrust Record")</f>
        <v>HathiTrust Record</v>
      </c>
      <c r="AU818" s="5" t="str">
        <f>HYPERLINK("https://creighton-primo.hosted.exlibrisgroup.com/primo-explore/search?tab=default_tab&amp;search_scope=EVERYTHING&amp;vid=01CRU&amp;lang=en_US&amp;offset=0&amp;query=any,contains,991001136649702656","Catalog Record")</f>
        <v>Catalog Record</v>
      </c>
      <c r="AV818" s="5" t="str">
        <f>HYPERLINK("http://www.worldcat.org/oclc/3542501","WorldCat Record")</f>
        <v>WorldCat Record</v>
      </c>
      <c r="AW818" s="2" t="s">
        <v>9995</v>
      </c>
      <c r="AX818" s="2" t="s">
        <v>9996</v>
      </c>
      <c r="AY818" s="2" t="s">
        <v>9997</v>
      </c>
      <c r="AZ818" s="2" t="s">
        <v>9997</v>
      </c>
      <c r="BA818" s="2" t="s">
        <v>9998</v>
      </c>
      <c r="BB818" s="2" t="s">
        <v>21</v>
      </c>
      <c r="BD818" s="2" t="s">
        <v>9999</v>
      </c>
      <c r="BE818" s="2" t="s">
        <v>10000</v>
      </c>
      <c r="BF818" s="2" t="s">
        <v>10001</v>
      </c>
    </row>
    <row r="819" spans="1:58" ht="41.25" customHeight="1" x14ac:dyDescent="0.25">
      <c r="A819" s="8" t="s">
        <v>5</v>
      </c>
      <c r="B819" s="1" t="s">
        <v>0</v>
      </c>
      <c r="C819" s="1" t="s">
        <v>1</v>
      </c>
      <c r="D819" s="1" t="s">
        <v>10002</v>
      </c>
      <c r="E819" s="1" t="s">
        <v>10003</v>
      </c>
      <c r="F819" s="1" t="s">
        <v>10004</v>
      </c>
      <c r="H819" s="2" t="s">
        <v>5</v>
      </c>
      <c r="I819" s="2" t="s">
        <v>6</v>
      </c>
      <c r="J819" s="2" t="s">
        <v>5</v>
      </c>
      <c r="K819" s="2" t="s">
        <v>5</v>
      </c>
      <c r="L819" s="2" t="s">
        <v>7</v>
      </c>
      <c r="N819" s="1" t="s">
        <v>887</v>
      </c>
      <c r="O819" s="2" t="s">
        <v>888</v>
      </c>
      <c r="Q819" s="2" t="s">
        <v>11</v>
      </c>
      <c r="R819" s="2" t="s">
        <v>426</v>
      </c>
      <c r="T819" s="2" t="s">
        <v>520</v>
      </c>
      <c r="U819" s="3">
        <v>6</v>
      </c>
      <c r="V819" s="3">
        <v>6</v>
      </c>
      <c r="W819" s="4" t="s">
        <v>2679</v>
      </c>
      <c r="X819" s="4" t="s">
        <v>2679</v>
      </c>
      <c r="Y819" s="4" t="s">
        <v>96</v>
      </c>
      <c r="Z819" s="4" t="s">
        <v>96</v>
      </c>
      <c r="AA819" s="3">
        <v>220</v>
      </c>
      <c r="AB819" s="3">
        <v>160</v>
      </c>
      <c r="AC819" s="3">
        <v>167</v>
      </c>
      <c r="AD819" s="3">
        <v>1</v>
      </c>
      <c r="AE819" s="3">
        <v>1</v>
      </c>
      <c r="AF819" s="3">
        <v>4</v>
      </c>
      <c r="AG819" s="3">
        <v>4</v>
      </c>
      <c r="AH819" s="3">
        <v>1</v>
      </c>
      <c r="AI819" s="3">
        <v>1</v>
      </c>
      <c r="AJ819" s="3">
        <v>0</v>
      </c>
      <c r="AK819" s="3">
        <v>0</v>
      </c>
      <c r="AL819" s="3">
        <v>3</v>
      </c>
      <c r="AM819" s="3">
        <v>3</v>
      </c>
      <c r="AN819" s="3">
        <v>0</v>
      </c>
      <c r="AO819" s="3">
        <v>0</v>
      </c>
      <c r="AP819" s="3">
        <v>0</v>
      </c>
      <c r="AQ819" s="3">
        <v>0</v>
      </c>
      <c r="AR819" s="2" t="s">
        <v>5</v>
      </c>
      <c r="AS819" s="2" t="s">
        <v>16</v>
      </c>
      <c r="AT819" s="5" t="str">
        <f>HYPERLINK("http://catalog.hathitrust.org/Record/000322873","HathiTrust Record")</f>
        <v>HathiTrust Record</v>
      </c>
      <c r="AU819" s="5" t="str">
        <f>HYPERLINK("https://creighton-primo.hosted.exlibrisgroup.com/primo-explore/search?tab=default_tab&amp;search_scope=EVERYTHING&amp;vid=01CRU&amp;lang=en_US&amp;offset=0&amp;query=any,contains,991001136689702656","Catalog Record")</f>
        <v>Catalog Record</v>
      </c>
      <c r="AV819" s="5" t="str">
        <f>HYPERLINK("http://www.worldcat.org/oclc/9893387","WorldCat Record")</f>
        <v>WorldCat Record</v>
      </c>
      <c r="AW819" s="2" t="s">
        <v>10005</v>
      </c>
      <c r="AX819" s="2" t="s">
        <v>10006</v>
      </c>
      <c r="AY819" s="2" t="s">
        <v>10007</v>
      </c>
      <c r="AZ819" s="2" t="s">
        <v>10007</v>
      </c>
      <c r="BA819" s="2" t="s">
        <v>10008</v>
      </c>
      <c r="BB819" s="2" t="s">
        <v>21</v>
      </c>
      <c r="BD819" s="2" t="s">
        <v>10009</v>
      </c>
      <c r="BE819" s="2" t="s">
        <v>10010</v>
      </c>
      <c r="BF819" s="2" t="s">
        <v>10011</v>
      </c>
    </row>
    <row r="820" spans="1:58" ht="41.25" customHeight="1" x14ac:dyDescent="0.25">
      <c r="A820" s="8" t="s">
        <v>5</v>
      </c>
      <c r="B820" s="1" t="s">
        <v>0</v>
      </c>
      <c r="C820" s="1" t="s">
        <v>1</v>
      </c>
      <c r="D820" s="1" t="s">
        <v>10012</v>
      </c>
      <c r="E820" s="1" t="s">
        <v>10013</v>
      </c>
      <c r="F820" s="1" t="s">
        <v>10014</v>
      </c>
      <c r="H820" s="2" t="s">
        <v>5</v>
      </c>
      <c r="I820" s="2" t="s">
        <v>6</v>
      </c>
      <c r="J820" s="2" t="s">
        <v>5</v>
      </c>
      <c r="K820" s="2" t="s">
        <v>5</v>
      </c>
      <c r="L820" s="2" t="s">
        <v>7</v>
      </c>
      <c r="M820" s="1" t="s">
        <v>10015</v>
      </c>
      <c r="N820" s="1" t="s">
        <v>10016</v>
      </c>
      <c r="O820" s="2" t="s">
        <v>285</v>
      </c>
      <c r="Q820" s="2" t="s">
        <v>11</v>
      </c>
      <c r="R820" s="2" t="s">
        <v>31</v>
      </c>
      <c r="T820" s="2" t="s">
        <v>520</v>
      </c>
      <c r="U820" s="3">
        <v>7</v>
      </c>
      <c r="V820" s="3">
        <v>7</v>
      </c>
      <c r="W820" s="4" t="s">
        <v>10017</v>
      </c>
      <c r="X820" s="4" t="s">
        <v>10017</v>
      </c>
      <c r="Y820" s="4" t="s">
        <v>722</v>
      </c>
      <c r="Z820" s="4" t="s">
        <v>722</v>
      </c>
      <c r="AA820" s="3">
        <v>214</v>
      </c>
      <c r="AB820" s="3">
        <v>163</v>
      </c>
      <c r="AC820" s="3">
        <v>165</v>
      </c>
      <c r="AD820" s="3">
        <v>5</v>
      </c>
      <c r="AE820" s="3">
        <v>5</v>
      </c>
      <c r="AF820" s="3">
        <v>7</v>
      </c>
      <c r="AG820" s="3">
        <v>7</v>
      </c>
      <c r="AH820" s="3">
        <v>1</v>
      </c>
      <c r="AI820" s="3">
        <v>1</v>
      </c>
      <c r="AJ820" s="3">
        <v>0</v>
      </c>
      <c r="AK820" s="3">
        <v>0</v>
      </c>
      <c r="AL820" s="3">
        <v>3</v>
      </c>
      <c r="AM820" s="3">
        <v>3</v>
      </c>
      <c r="AN820" s="3">
        <v>3</v>
      </c>
      <c r="AO820" s="3">
        <v>3</v>
      </c>
      <c r="AP820" s="3">
        <v>0</v>
      </c>
      <c r="AQ820" s="3">
        <v>0</v>
      </c>
      <c r="AR820" s="2" t="s">
        <v>5</v>
      </c>
      <c r="AS820" s="2" t="s">
        <v>16</v>
      </c>
      <c r="AT820" s="5" t="str">
        <f>HYPERLINK("http://catalog.hathitrust.org/Record/000255465","HathiTrust Record")</f>
        <v>HathiTrust Record</v>
      </c>
      <c r="AU820" s="5" t="str">
        <f>HYPERLINK("https://creighton-primo.hosted.exlibrisgroup.com/primo-explore/search?tab=default_tab&amp;search_scope=EVERYTHING&amp;vid=01CRU&amp;lang=en_US&amp;offset=0&amp;query=any,contains,991001136849702656","Catalog Record")</f>
        <v>Catalog Record</v>
      </c>
      <c r="AV820" s="5" t="str">
        <f>HYPERLINK("http://www.worldcat.org/oclc/4491835","WorldCat Record")</f>
        <v>WorldCat Record</v>
      </c>
      <c r="AW820" s="2" t="s">
        <v>10018</v>
      </c>
      <c r="AX820" s="2" t="s">
        <v>10019</v>
      </c>
      <c r="AY820" s="2" t="s">
        <v>10020</v>
      </c>
      <c r="AZ820" s="2" t="s">
        <v>10020</v>
      </c>
      <c r="BA820" s="2" t="s">
        <v>10021</v>
      </c>
      <c r="BB820" s="2" t="s">
        <v>21</v>
      </c>
      <c r="BD820" s="2" t="s">
        <v>10022</v>
      </c>
      <c r="BE820" s="2" t="s">
        <v>10023</v>
      </c>
      <c r="BF820" s="2" t="s">
        <v>10024</v>
      </c>
    </row>
    <row r="821" spans="1:58" ht="41.25" customHeight="1" x14ac:dyDescent="0.25">
      <c r="A821" s="8" t="s">
        <v>5</v>
      </c>
      <c r="B821" s="1" t="s">
        <v>0</v>
      </c>
      <c r="C821" s="1" t="s">
        <v>1</v>
      </c>
      <c r="D821" s="1" t="s">
        <v>10025</v>
      </c>
      <c r="E821" s="1" t="s">
        <v>10026</v>
      </c>
      <c r="F821" s="1" t="s">
        <v>10027</v>
      </c>
      <c r="H821" s="2" t="s">
        <v>5</v>
      </c>
      <c r="I821" s="2" t="s">
        <v>6</v>
      </c>
      <c r="J821" s="2" t="s">
        <v>5</v>
      </c>
      <c r="K821" s="2" t="s">
        <v>5</v>
      </c>
      <c r="L821" s="2" t="s">
        <v>7</v>
      </c>
      <c r="M821" s="1" t="s">
        <v>9096</v>
      </c>
      <c r="N821" s="1" t="s">
        <v>10028</v>
      </c>
      <c r="O821" s="2" t="s">
        <v>2738</v>
      </c>
      <c r="Q821" s="2" t="s">
        <v>11</v>
      </c>
      <c r="R821" s="2" t="s">
        <v>12</v>
      </c>
      <c r="S821" s="1" t="s">
        <v>3857</v>
      </c>
      <c r="T821" s="2" t="s">
        <v>520</v>
      </c>
      <c r="U821" s="3">
        <v>15</v>
      </c>
      <c r="V821" s="3">
        <v>15</v>
      </c>
      <c r="W821" s="4" t="s">
        <v>10029</v>
      </c>
      <c r="X821" s="4" t="s">
        <v>10029</v>
      </c>
      <c r="Y821" s="4" t="s">
        <v>10030</v>
      </c>
      <c r="Z821" s="4" t="s">
        <v>10030</v>
      </c>
      <c r="AA821" s="3">
        <v>406</v>
      </c>
      <c r="AB821" s="3">
        <v>334</v>
      </c>
      <c r="AC821" s="3">
        <v>336</v>
      </c>
      <c r="AD821" s="3">
        <v>7</v>
      </c>
      <c r="AE821" s="3">
        <v>7</v>
      </c>
      <c r="AF821" s="3">
        <v>17</v>
      </c>
      <c r="AG821" s="3">
        <v>17</v>
      </c>
      <c r="AH821" s="3">
        <v>5</v>
      </c>
      <c r="AI821" s="3">
        <v>5</v>
      </c>
      <c r="AJ821" s="3">
        <v>4</v>
      </c>
      <c r="AK821" s="3">
        <v>4</v>
      </c>
      <c r="AL821" s="3">
        <v>6</v>
      </c>
      <c r="AM821" s="3">
        <v>6</v>
      </c>
      <c r="AN821" s="3">
        <v>5</v>
      </c>
      <c r="AO821" s="3">
        <v>5</v>
      </c>
      <c r="AP821" s="3">
        <v>0</v>
      </c>
      <c r="AQ821" s="3">
        <v>0</v>
      </c>
      <c r="AR821" s="2" t="s">
        <v>5</v>
      </c>
      <c r="AS821" s="2" t="s">
        <v>16</v>
      </c>
      <c r="AT821" s="5" t="str">
        <f>HYPERLINK("http://catalog.hathitrust.org/Record/001574436","HathiTrust Record")</f>
        <v>HathiTrust Record</v>
      </c>
      <c r="AU821" s="5" t="str">
        <f>HYPERLINK("https://creighton-primo.hosted.exlibrisgroup.com/primo-explore/search?tab=default_tab&amp;search_scope=EVERYTHING&amp;vid=01CRU&amp;lang=en_US&amp;offset=0&amp;query=any,contains,991001136959702656","Catalog Record")</f>
        <v>Catalog Record</v>
      </c>
      <c r="AV821" s="5" t="str">
        <f>HYPERLINK("http://www.worldcat.org/oclc/116519","WorldCat Record")</f>
        <v>WorldCat Record</v>
      </c>
      <c r="AW821" s="2" t="s">
        <v>10031</v>
      </c>
      <c r="AX821" s="2" t="s">
        <v>10032</v>
      </c>
      <c r="AY821" s="2" t="s">
        <v>10033</v>
      </c>
      <c r="AZ821" s="2" t="s">
        <v>10033</v>
      </c>
      <c r="BA821" s="2" t="s">
        <v>10034</v>
      </c>
      <c r="BB821" s="2" t="s">
        <v>21</v>
      </c>
      <c r="BD821" s="2" t="s">
        <v>10035</v>
      </c>
      <c r="BE821" s="2" t="s">
        <v>10036</v>
      </c>
      <c r="BF821" s="2" t="s">
        <v>10037</v>
      </c>
    </row>
    <row r="822" spans="1:58" ht="41.25" customHeight="1" x14ac:dyDescent="0.25">
      <c r="A822" s="8" t="s">
        <v>5</v>
      </c>
      <c r="B822" s="1" t="s">
        <v>0</v>
      </c>
      <c r="C822" s="1" t="s">
        <v>1</v>
      </c>
      <c r="D822" s="1" t="s">
        <v>10038</v>
      </c>
      <c r="E822" s="1" t="s">
        <v>10039</v>
      </c>
      <c r="F822" s="1" t="s">
        <v>10040</v>
      </c>
      <c r="H822" s="2" t="s">
        <v>5</v>
      </c>
      <c r="I822" s="2" t="s">
        <v>6</v>
      </c>
      <c r="J822" s="2" t="s">
        <v>5</v>
      </c>
      <c r="K822" s="2" t="s">
        <v>5</v>
      </c>
      <c r="L822" s="2" t="s">
        <v>7</v>
      </c>
      <c r="M822" s="1" t="s">
        <v>10041</v>
      </c>
      <c r="N822" s="1" t="s">
        <v>2250</v>
      </c>
      <c r="O822" s="2" t="s">
        <v>228</v>
      </c>
      <c r="Q822" s="2" t="s">
        <v>11</v>
      </c>
      <c r="R822" s="2" t="s">
        <v>426</v>
      </c>
      <c r="T822" s="2" t="s">
        <v>520</v>
      </c>
      <c r="U822" s="3">
        <v>1</v>
      </c>
      <c r="V822" s="3">
        <v>1</v>
      </c>
      <c r="W822" s="4" t="s">
        <v>10042</v>
      </c>
      <c r="X822" s="4" t="s">
        <v>10042</v>
      </c>
      <c r="Y822" s="4" t="s">
        <v>329</v>
      </c>
      <c r="Z822" s="4" t="s">
        <v>329</v>
      </c>
      <c r="AA822" s="3">
        <v>277</v>
      </c>
      <c r="AB822" s="3">
        <v>211</v>
      </c>
      <c r="AC822" s="3">
        <v>218</v>
      </c>
      <c r="AD822" s="3">
        <v>2</v>
      </c>
      <c r="AE822" s="3">
        <v>2</v>
      </c>
      <c r="AF822" s="3">
        <v>8</v>
      </c>
      <c r="AG822" s="3">
        <v>8</v>
      </c>
      <c r="AH822" s="3">
        <v>2</v>
      </c>
      <c r="AI822" s="3">
        <v>2</v>
      </c>
      <c r="AJ822" s="3">
        <v>1</v>
      </c>
      <c r="AK822" s="3">
        <v>1</v>
      </c>
      <c r="AL822" s="3">
        <v>6</v>
      </c>
      <c r="AM822" s="3">
        <v>6</v>
      </c>
      <c r="AN822" s="3">
        <v>1</v>
      </c>
      <c r="AO822" s="3">
        <v>1</v>
      </c>
      <c r="AP822" s="3">
        <v>0</v>
      </c>
      <c r="AQ822" s="3">
        <v>0</v>
      </c>
      <c r="AR822" s="2" t="s">
        <v>5</v>
      </c>
      <c r="AS822" s="2" t="s">
        <v>16</v>
      </c>
      <c r="AT822" s="5" t="str">
        <f>HYPERLINK("http://catalog.hathitrust.org/Record/000108356","HathiTrust Record")</f>
        <v>HathiTrust Record</v>
      </c>
      <c r="AU822" s="5" t="str">
        <f>HYPERLINK("https://creighton-primo.hosted.exlibrisgroup.com/primo-explore/search?tab=default_tab&amp;search_scope=EVERYTHING&amp;vid=01CRU&amp;lang=en_US&amp;offset=0&amp;query=any,contains,991000738399702656","Catalog Record")</f>
        <v>Catalog Record</v>
      </c>
      <c r="AV822" s="5" t="str">
        <f>HYPERLINK("http://www.worldcat.org/oclc/8409918","WorldCat Record")</f>
        <v>WorldCat Record</v>
      </c>
      <c r="AW822" s="2" t="s">
        <v>10043</v>
      </c>
      <c r="AX822" s="2" t="s">
        <v>10044</v>
      </c>
      <c r="AY822" s="2" t="s">
        <v>10045</v>
      </c>
      <c r="AZ822" s="2" t="s">
        <v>10045</v>
      </c>
      <c r="BA822" s="2" t="s">
        <v>10046</v>
      </c>
      <c r="BB822" s="2" t="s">
        <v>21</v>
      </c>
      <c r="BD822" s="2" t="s">
        <v>10047</v>
      </c>
      <c r="BE822" s="2" t="s">
        <v>10048</v>
      </c>
      <c r="BF822" s="2" t="s">
        <v>10049</v>
      </c>
    </row>
    <row r="823" spans="1:58" ht="41.25" customHeight="1" x14ac:dyDescent="0.25">
      <c r="A823" s="8" t="s">
        <v>5</v>
      </c>
      <c r="B823" s="1" t="s">
        <v>0</v>
      </c>
      <c r="C823" s="1" t="s">
        <v>1</v>
      </c>
      <c r="D823" s="1" t="s">
        <v>10050</v>
      </c>
      <c r="E823" s="1" t="s">
        <v>10051</v>
      </c>
      <c r="F823" s="1" t="s">
        <v>10052</v>
      </c>
      <c r="H823" s="2" t="s">
        <v>5</v>
      </c>
      <c r="I823" s="2" t="s">
        <v>6</v>
      </c>
      <c r="J823" s="2" t="s">
        <v>5</v>
      </c>
      <c r="K823" s="2" t="s">
        <v>5</v>
      </c>
      <c r="L823" s="2" t="s">
        <v>7</v>
      </c>
      <c r="M823" s="1" t="s">
        <v>10053</v>
      </c>
      <c r="N823" s="1" t="s">
        <v>10054</v>
      </c>
      <c r="O823" s="2" t="s">
        <v>2713</v>
      </c>
      <c r="Q823" s="2" t="s">
        <v>11</v>
      </c>
      <c r="R823" s="2" t="s">
        <v>12</v>
      </c>
      <c r="T823" s="2" t="s">
        <v>520</v>
      </c>
      <c r="U823" s="3">
        <v>24</v>
      </c>
      <c r="V823" s="3">
        <v>24</v>
      </c>
      <c r="W823" s="4" t="s">
        <v>10055</v>
      </c>
      <c r="X823" s="4" t="s">
        <v>10055</v>
      </c>
      <c r="Y823" s="4" t="s">
        <v>80</v>
      </c>
      <c r="Z823" s="4" t="s">
        <v>80</v>
      </c>
      <c r="AA823" s="3">
        <v>436</v>
      </c>
      <c r="AB823" s="3">
        <v>370</v>
      </c>
      <c r="AC823" s="3">
        <v>396</v>
      </c>
      <c r="AD823" s="3">
        <v>4</v>
      </c>
      <c r="AE823" s="3">
        <v>5</v>
      </c>
      <c r="AF823" s="3">
        <v>19</v>
      </c>
      <c r="AG823" s="3">
        <v>21</v>
      </c>
      <c r="AH823" s="3">
        <v>7</v>
      </c>
      <c r="AI823" s="3">
        <v>8</v>
      </c>
      <c r="AJ823" s="3">
        <v>2</v>
      </c>
      <c r="AK823" s="3">
        <v>2</v>
      </c>
      <c r="AL823" s="3">
        <v>9</v>
      </c>
      <c r="AM823" s="3">
        <v>10</v>
      </c>
      <c r="AN823" s="3">
        <v>2</v>
      </c>
      <c r="AO823" s="3">
        <v>3</v>
      </c>
      <c r="AP823" s="3">
        <v>0</v>
      </c>
      <c r="AQ823" s="3">
        <v>0</v>
      </c>
      <c r="AR823" s="2" t="s">
        <v>5</v>
      </c>
      <c r="AS823" s="2" t="s">
        <v>16</v>
      </c>
      <c r="AT823" s="5" t="str">
        <f>HYPERLINK("http://catalog.hathitrust.org/Record/001574437","HathiTrust Record")</f>
        <v>HathiTrust Record</v>
      </c>
      <c r="AU823" s="5" t="str">
        <f>HYPERLINK("https://creighton-primo.hosted.exlibrisgroup.com/primo-explore/search?tab=default_tab&amp;search_scope=EVERYTHING&amp;vid=01CRU&amp;lang=en_US&amp;offset=0&amp;query=any,contains,991001137089702656","Catalog Record")</f>
        <v>Catalog Record</v>
      </c>
      <c r="AV823" s="5" t="str">
        <f>HYPERLINK("http://www.worldcat.org/oclc/109534","WorldCat Record")</f>
        <v>WorldCat Record</v>
      </c>
      <c r="AW823" s="2" t="s">
        <v>10056</v>
      </c>
      <c r="AX823" s="2" t="s">
        <v>10057</v>
      </c>
      <c r="AY823" s="2" t="s">
        <v>10058</v>
      </c>
      <c r="AZ823" s="2" t="s">
        <v>10058</v>
      </c>
      <c r="BA823" s="2" t="s">
        <v>10059</v>
      </c>
      <c r="BB823" s="2" t="s">
        <v>21</v>
      </c>
      <c r="BD823" s="2" t="s">
        <v>10060</v>
      </c>
      <c r="BE823" s="2" t="s">
        <v>10061</v>
      </c>
      <c r="BF823" s="2" t="s">
        <v>10062</v>
      </c>
    </row>
    <row r="824" spans="1:58" ht="41.25" customHeight="1" x14ac:dyDescent="0.25">
      <c r="A824" s="8" t="s">
        <v>5</v>
      </c>
      <c r="B824" s="1" t="s">
        <v>0</v>
      </c>
      <c r="C824" s="1" t="s">
        <v>1</v>
      </c>
      <c r="D824" s="1" t="s">
        <v>10063</v>
      </c>
      <c r="E824" s="1" t="s">
        <v>10064</v>
      </c>
      <c r="F824" s="1" t="s">
        <v>10065</v>
      </c>
      <c r="H824" s="2" t="s">
        <v>5</v>
      </c>
      <c r="I824" s="2" t="s">
        <v>6</v>
      </c>
      <c r="J824" s="2" t="s">
        <v>5</v>
      </c>
      <c r="K824" s="2" t="s">
        <v>5</v>
      </c>
      <c r="L824" s="2" t="s">
        <v>7</v>
      </c>
      <c r="M824" s="1" t="s">
        <v>10053</v>
      </c>
      <c r="N824" s="1" t="s">
        <v>10066</v>
      </c>
      <c r="O824" s="2" t="s">
        <v>601</v>
      </c>
      <c r="P824" s="1" t="s">
        <v>211</v>
      </c>
      <c r="Q824" s="2" t="s">
        <v>11</v>
      </c>
      <c r="R824" s="2" t="s">
        <v>12</v>
      </c>
      <c r="S824" s="1" t="s">
        <v>10067</v>
      </c>
      <c r="T824" s="2" t="s">
        <v>520</v>
      </c>
      <c r="U824" s="3">
        <v>19</v>
      </c>
      <c r="V824" s="3">
        <v>19</v>
      </c>
      <c r="W824" s="4" t="s">
        <v>10068</v>
      </c>
      <c r="X824" s="4" t="s">
        <v>10068</v>
      </c>
      <c r="Y824" s="4" t="s">
        <v>9012</v>
      </c>
      <c r="Z824" s="4" t="s">
        <v>9012</v>
      </c>
      <c r="AA824" s="3">
        <v>248</v>
      </c>
      <c r="AB824" s="3">
        <v>196</v>
      </c>
      <c r="AC824" s="3">
        <v>827</v>
      </c>
      <c r="AD824" s="3">
        <v>3</v>
      </c>
      <c r="AE824" s="3">
        <v>7</v>
      </c>
      <c r="AF824" s="3">
        <v>8</v>
      </c>
      <c r="AG824" s="3">
        <v>33</v>
      </c>
      <c r="AH824" s="3">
        <v>4</v>
      </c>
      <c r="AI824" s="3">
        <v>15</v>
      </c>
      <c r="AJ824" s="3">
        <v>1</v>
      </c>
      <c r="AK824" s="3">
        <v>5</v>
      </c>
      <c r="AL824" s="3">
        <v>3</v>
      </c>
      <c r="AM824" s="3">
        <v>13</v>
      </c>
      <c r="AN824" s="3">
        <v>2</v>
      </c>
      <c r="AO824" s="3">
        <v>6</v>
      </c>
      <c r="AP824" s="3">
        <v>0</v>
      </c>
      <c r="AQ824" s="3">
        <v>0</v>
      </c>
      <c r="AR824" s="2" t="s">
        <v>5</v>
      </c>
      <c r="AS824" s="2" t="s">
        <v>5</v>
      </c>
      <c r="AU824" s="5" t="str">
        <f>HYPERLINK("https://creighton-primo.hosted.exlibrisgroup.com/primo-explore/search?tab=default_tab&amp;search_scope=EVERYTHING&amp;vid=01CRU&amp;lang=en_US&amp;offset=0&amp;query=any,contains,991001048689702656","Catalog Record")</f>
        <v>Catalog Record</v>
      </c>
      <c r="AV824" s="5" t="str">
        <f>HYPERLINK("http://www.worldcat.org/oclc/34110081","WorldCat Record")</f>
        <v>WorldCat Record</v>
      </c>
      <c r="AW824" s="2" t="s">
        <v>10069</v>
      </c>
      <c r="AX824" s="2" t="s">
        <v>10070</v>
      </c>
      <c r="AY824" s="2" t="s">
        <v>10071</v>
      </c>
      <c r="AZ824" s="2" t="s">
        <v>10071</v>
      </c>
      <c r="BA824" s="2" t="s">
        <v>10072</v>
      </c>
      <c r="BB824" s="2" t="s">
        <v>21</v>
      </c>
      <c r="BD824" s="2" t="s">
        <v>10073</v>
      </c>
      <c r="BE824" s="2" t="s">
        <v>10074</v>
      </c>
      <c r="BF824" s="2" t="s">
        <v>10075</v>
      </c>
    </row>
    <row r="825" spans="1:58" ht="41.25" customHeight="1" x14ac:dyDescent="0.25">
      <c r="A825" s="8" t="s">
        <v>5</v>
      </c>
      <c r="B825" s="1" t="s">
        <v>0</v>
      </c>
      <c r="C825" s="1" t="s">
        <v>1</v>
      </c>
      <c r="D825" s="1" t="s">
        <v>10076</v>
      </c>
      <c r="E825" s="1" t="s">
        <v>10077</v>
      </c>
      <c r="F825" s="1" t="s">
        <v>10078</v>
      </c>
      <c r="H825" s="2" t="s">
        <v>5</v>
      </c>
      <c r="I825" s="2" t="s">
        <v>6</v>
      </c>
      <c r="J825" s="2" t="s">
        <v>5</v>
      </c>
      <c r="K825" s="2" t="s">
        <v>16</v>
      </c>
      <c r="L825" s="2" t="s">
        <v>7</v>
      </c>
      <c r="M825" s="1" t="s">
        <v>10079</v>
      </c>
      <c r="N825" s="1" t="s">
        <v>10080</v>
      </c>
      <c r="O825" s="2" t="s">
        <v>210</v>
      </c>
      <c r="P825" s="1" t="s">
        <v>1208</v>
      </c>
      <c r="Q825" s="2" t="s">
        <v>11</v>
      </c>
      <c r="R825" s="2" t="s">
        <v>12</v>
      </c>
      <c r="T825" s="2" t="s">
        <v>520</v>
      </c>
      <c r="U825" s="3">
        <v>3</v>
      </c>
      <c r="V825" s="3">
        <v>3</v>
      </c>
      <c r="W825" s="4" t="s">
        <v>10081</v>
      </c>
      <c r="X825" s="4" t="s">
        <v>10081</v>
      </c>
      <c r="Y825" s="4" t="s">
        <v>2802</v>
      </c>
      <c r="Z825" s="4" t="s">
        <v>2802</v>
      </c>
      <c r="AA825" s="3">
        <v>183</v>
      </c>
      <c r="AB825" s="3">
        <v>149</v>
      </c>
      <c r="AC825" s="3">
        <v>356</v>
      </c>
      <c r="AD825" s="3">
        <v>2</v>
      </c>
      <c r="AE825" s="3">
        <v>3</v>
      </c>
      <c r="AF825" s="3">
        <v>9</v>
      </c>
      <c r="AG825" s="3">
        <v>14</v>
      </c>
      <c r="AH825" s="3">
        <v>3</v>
      </c>
      <c r="AI825" s="3">
        <v>5</v>
      </c>
      <c r="AJ825" s="3">
        <v>1</v>
      </c>
      <c r="AK825" s="3">
        <v>2</v>
      </c>
      <c r="AL825" s="3">
        <v>6</v>
      </c>
      <c r="AM825" s="3">
        <v>7</v>
      </c>
      <c r="AN825" s="3">
        <v>1</v>
      </c>
      <c r="AO825" s="3">
        <v>2</v>
      </c>
      <c r="AP825" s="3">
        <v>0</v>
      </c>
      <c r="AQ825" s="3">
        <v>0</v>
      </c>
      <c r="AR825" s="2" t="s">
        <v>5</v>
      </c>
      <c r="AS825" s="2" t="s">
        <v>16</v>
      </c>
      <c r="AT825" s="5" t="str">
        <f>HYPERLINK("http://catalog.hathitrust.org/Record/002533381","HathiTrust Record")</f>
        <v>HathiTrust Record</v>
      </c>
      <c r="AU825" s="5" t="str">
        <f>HYPERLINK("https://creighton-primo.hosted.exlibrisgroup.com/primo-explore/search?tab=default_tab&amp;search_scope=EVERYTHING&amp;vid=01CRU&amp;lang=en_US&amp;offset=0&amp;query=any,contains,991001351069702656","Catalog Record")</f>
        <v>Catalog Record</v>
      </c>
      <c r="AV825" s="5" t="str">
        <f>HYPERLINK("http://www.worldcat.org/oclc/23582553","WorldCat Record")</f>
        <v>WorldCat Record</v>
      </c>
      <c r="AW825" s="2" t="s">
        <v>10082</v>
      </c>
      <c r="AX825" s="2" t="s">
        <v>10083</v>
      </c>
      <c r="AY825" s="2" t="s">
        <v>10084</v>
      </c>
      <c r="AZ825" s="2" t="s">
        <v>10084</v>
      </c>
      <c r="BA825" s="2" t="s">
        <v>10085</v>
      </c>
      <c r="BB825" s="2" t="s">
        <v>21</v>
      </c>
      <c r="BD825" s="2" t="s">
        <v>10086</v>
      </c>
      <c r="BE825" s="2" t="s">
        <v>10087</v>
      </c>
      <c r="BF825" s="2" t="s">
        <v>10088</v>
      </c>
    </row>
    <row r="826" spans="1:58" ht="41.25" customHeight="1" x14ac:dyDescent="0.25">
      <c r="A826" s="8" t="s">
        <v>5</v>
      </c>
      <c r="B826" s="1" t="s">
        <v>0</v>
      </c>
      <c r="C826" s="1" t="s">
        <v>1</v>
      </c>
      <c r="D826" s="1" t="s">
        <v>10089</v>
      </c>
      <c r="E826" s="1" t="s">
        <v>10090</v>
      </c>
      <c r="F826" s="1" t="s">
        <v>10091</v>
      </c>
      <c r="H826" s="2" t="s">
        <v>5</v>
      </c>
      <c r="I826" s="2" t="s">
        <v>6</v>
      </c>
      <c r="J826" s="2" t="s">
        <v>5</v>
      </c>
      <c r="K826" s="2" t="s">
        <v>5</v>
      </c>
      <c r="L826" s="2" t="s">
        <v>7</v>
      </c>
      <c r="M826" s="1" t="s">
        <v>10092</v>
      </c>
      <c r="N826" s="1" t="s">
        <v>10093</v>
      </c>
      <c r="O826" s="2" t="s">
        <v>393</v>
      </c>
      <c r="Q826" s="2" t="s">
        <v>11</v>
      </c>
      <c r="R826" s="2" t="s">
        <v>1019</v>
      </c>
      <c r="T826" s="2" t="s">
        <v>520</v>
      </c>
      <c r="U826" s="3">
        <v>2</v>
      </c>
      <c r="V826" s="3">
        <v>2</v>
      </c>
      <c r="W826" s="4" t="s">
        <v>10094</v>
      </c>
      <c r="X826" s="4" t="s">
        <v>10094</v>
      </c>
      <c r="Y826" s="4" t="s">
        <v>96</v>
      </c>
      <c r="Z826" s="4" t="s">
        <v>96</v>
      </c>
      <c r="AA826" s="3">
        <v>142</v>
      </c>
      <c r="AB826" s="3">
        <v>116</v>
      </c>
      <c r="AC826" s="3">
        <v>257</v>
      </c>
      <c r="AD826" s="3">
        <v>1</v>
      </c>
      <c r="AE826" s="3">
        <v>1</v>
      </c>
      <c r="AF826" s="3">
        <v>3</v>
      </c>
      <c r="AG826" s="3">
        <v>13</v>
      </c>
      <c r="AH826" s="3">
        <v>3</v>
      </c>
      <c r="AI826" s="3">
        <v>5</v>
      </c>
      <c r="AJ826" s="3">
        <v>0</v>
      </c>
      <c r="AK826" s="3">
        <v>1</v>
      </c>
      <c r="AL826" s="3">
        <v>1</v>
      </c>
      <c r="AM826" s="3">
        <v>10</v>
      </c>
      <c r="AN826" s="3">
        <v>0</v>
      </c>
      <c r="AO826" s="3">
        <v>0</v>
      </c>
      <c r="AP826" s="3">
        <v>0</v>
      </c>
      <c r="AQ826" s="3">
        <v>0</v>
      </c>
      <c r="AR826" s="2" t="s">
        <v>5</v>
      </c>
      <c r="AS826" s="2" t="s">
        <v>16</v>
      </c>
      <c r="AT826" s="5" t="str">
        <f>HYPERLINK("http://catalog.hathitrust.org/Record/000266480","HathiTrust Record")</f>
        <v>HathiTrust Record</v>
      </c>
      <c r="AU826" s="5" t="str">
        <f>HYPERLINK("https://creighton-primo.hosted.exlibrisgroup.com/primo-explore/search?tab=default_tab&amp;search_scope=EVERYTHING&amp;vid=01CRU&amp;lang=en_US&amp;offset=0&amp;query=any,contains,991001132639702656","Catalog Record")</f>
        <v>Catalog Record</v>
      </c>
      <c r="AV826" s="5" t="str">
        <f>HYPERLINK("http://www.worldcat.org/oclc/6447026","WorldCat Record")</f>
        <v>WorldCat Record</v>
      </c>
      <c r="AW826" s="2" t="s">
        <v>10095</v>
      </c>
      <c r="AX826" s="2" t="s">
        <v>10096</v>
      </c>
      <c r="AY826" s="2" t="s">
        <v>10097</v>
      </c>
      <c r="AZ826" s="2" t="s">
        <v>10097</v>
      </c>
      <c r="BA826" s="2" t="s">
        <v>10098</v>
      </c>
      <c r="BB826" s="2" t="s">
        <v>21</v>
      </c>
      <c r="BD826" s="2" t="s">
        <v>10099</v>
      </c>
      <c r="BE826" s="2" t="s">
        <v>10100</v>
      </c>
      <c r="BF826" s="2" t="s">
        <v>10101</v>
      </c>
    </row>
    <row r="827" spans="1:58" ht="41.25" customHeight="1" x14ac:dyDescent="0.25">
      <c r="A827" s="8" t="s">
        <v>5</v>
      </c>
      <c r="B827" s="1" t="s">
        <v>0</v>
      </c>
      <c r="C827" s="1" t="s">
        <v>1</v>
      </c>
      <c r="D827" s="1" t="s">
        <v>10102</v>
      </c>
      <c r="E827" s="1" t="s">
        <v>10103</v>
      </c>
      <c r="F827" s="1" t="s">
        <v>10104</v>
      </c>
      <c r="H827" s="2" t="s">
        <v>5</v>
      </c>
      <c r="I827" s="2" t="s">
        <v>6</v>
      </c>
      <c r="J827" s="2" t="s">
        <v>5</v>
      </c>
      <c r="K827" s="2" t="s">
        <v>5</v>
      </c>
      <c r="L827" s="2" t="s">
        <v>7</v>
      </c>
      <c r="M827" s="1" t="s">
        <v>10105</v>
      </c>
      <c r="N827" s="1" t="s">
        <v>10106</v>
      </c>
      <c r="O827" s="2" t="s">
        <v>285</v>
      </c>
      <c r="Q827" s="2" t="s">
        <v>11</v>
      </c>
      <c r="R827" s="2" t="s">
        <v>12</v>
      </c>
      <c r="S827" s="1" t="s">
        <v>3264</v>
      </c>
      <c r="T827" s="2" t="s">
        <v>520</v>
      </c>
      <c r="U827" s="3">
        <v>3</v>
      </c>
      <c r="V827" s="3">
        <v>3</v>
      </c>
      <c r="W827" s="4" t="s">
        <v>3452</v>
      </c>
      <c r="X827" s="4" t="s">
        <v>3452</v>
      </c>
      <c r="Y827" s="4" t="s">
        <v>96</v>
      </c>
      <c r="Z827" s="4" t="s">
        <v>96</v>
      </c>
      <c r="AA827" s="3">
        <v>279</v>
      </c>
      <c r="AB827" s="3">
        <v>220</v>
      </c>
      <c r="AC827" s="3">
        <v>229</v>
      </c>
      <c r="AD827" s="3">
        <v>3</v>
      </c>
      <c r="AE827" s="3">
        <v>3</v>
      </c>
      <c r="AF827" s="3">
        <v>9</v>
      </c>
      <c r="AG827" s="3">
        <v>9</v>
      </c>
      <c r="AH827" s="3">
        <v>3</v>
      </c>
      <c r="AI827" s="3">
        <v>3</v>
      </c>
      <c r="AJ827" s="3">
        <v>2</v>
      </c>
      <c r="AK827" s="3">
        <v>2</v>
      </c>
      <c r="AL827" s="3">
        <v>3</v>
      </c>
      <c r="AM827" s="3">
        <v>3</v>
      </c>
      <c r="AN827" s="3">
        <v>2</v>
      </c>
      <c r="AO827" s="3">
        <v>2</v>
      </c>
      <c r="AP827" s="3">
        <v>0</v>
      </c>
      <c r="AQ827" s="3">
        <v>0</v>
      </c>
      <c r="AR827" s="2" t="s">
        <v>5</v>
      </c>
      <c r="AS827" s="2" t="s">
        <v>16</v>
      </c>
      <c r="AT827" s="5" t="str">
        <f>HYPERLINK("http://catalog.hathitrust.org/Record/000710164","HathiTrust Record")</f>
        <v>HathiTrust Record</v>
      </c>
      <c r="AU827" s="5" t="str">
        <f>HYPERLINK("https://creighton-primo.hosted.exlibrisgroup.com/primo-explore/search?tab=default_tab&amp;search_scope=EVERYTHING&amp;vid=01CRU&amp;lang=en_US&amp;offset=0&amp;query=any,contains,991001132829702656","Catalog Record")</f>
        <v>Catalog Record</v>
      </c>
      <c r="AV827" s="5" t="str">
        <f>HYPERLINK("http://www.worldcat.org/oclc/4496507","WorldCat Record")</f>
        <v>WorldCat Record</v>
      </c>
      <c r="AW827" s="2" t="s">
        <v>10107</v>
      </c>
      <c r="AX827" s="2" t="s">
        <v>10108</v>
      </c>
      <c r="AY827" s="2" t="s">
        <v>10109</v>
      </c>
      <c r="AZ827" s="2" t="s">
        <v>10109</v>
      </c>
      <c r="BA827" s="2" t="s">
        <v>10110</v>
      </c>
      <c r="BB827" s="2" t="s">
        <v>21</v>
      </c>
      <c r="BD827" s="2" t="s">
        <v>10111</v>
      </c>
      <c r="BE827" s="2" t="s">
        <v>10112</v>
      </c>
      <c r="BF827" s="2" t="s">
        <v>10113</v>
      </c>
    </row>
    <row r="828" spans="1:58" ht="41.25" customHeight="1" x14ac:dyDescent="0.25">
      <c r="A828" s="8" t="s">
        <v>5</v>
      </c>
      <c r="B828" s="1" t="s">
        <v>0</v>
      </c>
      <c r="C828" s="1" t="s">
        <v>1</v>
      </c>
      <c r="D828" s="1" t="s">
        <v>10114</v>
      </c>
      <c r="E828" s="1" t="s">
        <v>10115</v>
      </c>
      <c r="F828" s="1" t="s">
        <v>10116</v>
      </c>
      <c r="H828" s="2" t="s">
        <v>5</v>
      </c>
      <c r="I828" s="2" t="s">
        <v>6</v>
      </c>
      <c r="J828" s="2" t="s">
        <v>5</v>
      </c>
      <c r="K828" s="2" t="s">
        <v>5</v>
      </c>
      <c r="L828" s="2" t="s">
        <v>7</v>
      </c>
      <c r="M828" s="1" t="s">
        <v>3943</v>
      </c>
      <c r="N828" s="1" t="s">
        <v>2887</v>
      </c>
      <c r="O828" s="2" t="s">
        <v>10</v>
      </c>
      <c r="Q828" s="2" t="s">
        <v>11</v>
      </c>
      <c r="R828" s="2" t="s">
        <v>12</v>
      </c>
      <c r="S828" s="1" t="s">
        <v>10117</v>
      </c>
      <c r="T828" s="2" t="s">
        <v>520</v>
      </c>
      <c r="U828" s="3">
        <v>1</v>
      </c>
      <c r="V828" s="3">
        <v>1</v>
      </c>
      <c r="W828" s="4" t="s">
        <v>1826</v>
      </c>
      <c r="X828" s="4" t="s">
        <v>1826</v>
      </c>
      <c r="Y828" s="4" t="s">
        <v>2425</v>
      </c>
      <c r="Z828" s="4" t="s">
        <v>2425</v>
      </c>
      <c r="AA828" s="3">
        <v>100</v>
      </c>
      <c r="AB828" s="3">
        <v>86</v>
      </c>
      <c r="AC828" s="3">
        <v>88</v>
      </c>
      <c r="AD828" s="3">
        <v>3</v>
      </c>
      <c r="AE828" s="3">
        <v>3</v>
      </c>
      <c r="AF828" s="3">
        <v>2</v>
      </c>
      <c r="AG828" s="3">
        <v>2</v>
      </c>
      <c r="AH828" s="3">
        <v>0</v>
      </c>
      <c r="AI828" s="3">
        <v>0</v>
      </c>
      <c r="AJ828" s="3">
        <v>0</v>
      </c>
      <c r="AK828" s="3">
        <v>0</v>
      </c>
      <c r="AL828" s="3">
        <v>1</v>
      </c>
      <c r="AM828" s="3">
        <v>1</v>
      </c>
      <c r="AN828" s="3">
        <v>1</v>
      </c>
      <c r="AO828" s="3">
        <v>1</v>
      </c>
      <c r="AP828" s="3">
        <v>0</v>
      </c>
      <c r="AQ828" s="3">
        <v>0</v>
      </c>
      <c r="AR828" s="2" t="s">
        <v>5</v>
      </c>
      <c r="AS828" s="2" t="s">
        <v>16</v>
      </c>
      <c r="AT828" s="5" t="str">
        <f>HYPERLINK("http://catalog.hathitrust.org/Record/000747785","HathiTrust Record")</f>
        <v>HathiTrust Record</v>
      </c>
      <c r="AU828" s="5" t="str">
        <f>HYPERLINK("https://creighton-primo.hosted.exlibrisgroup.com/primo-explore/search?tab=default_tab&amp;search_scope=EVERYTHING&amp;vid=01CRU&amp;lang=en_US&amp;offset=0&amp;query=any,contains,991001370539702656","Catalog Record")</f>
        <v>Catalog Record</v>
      </c>
      <c r="AV828" s="5" t="str">
        <f>HYPERLINK("http://www.worldcat.org/oclc/3293044","WorldCat Record")</f>
        <v>WorldCat Record</v>
      </c>
      <c r="AW828" s="2" t="s">
        <v>10118</v>
      </c>
      <c r="AX828" s="2" t="s">
        <v>10119</v>
      </c>
      <c r="AY828" s="2" t="s">
        <v>10120</v>
      </c>
      <c r="AZ828" s="2" t="s">
        <v>10120</v>
      </c>
      <c r="BA828" s="2" t="s">
        <v>10121</v>
      </c>
      <c r="BB828" s="2" t="s">
        <v>21</v>
      </c>
      <c r="BE828" s="2" t="s">
        <v>10122</v>
      </c>
      <c r="BF828" s="2" t="s">
        <v>10123</v>
      </c>
    </row>
    <row r="829" spans="1:58" ht="41.25" customHeight="1" x14ac:dyDescent="0.25">
      <c r="A829" s="8" t="s">
        <v>5</v>
      </c>
      <c r="B829" s="1" t="s">
        <v>0</v>
      </c>
      <c r="C829" s="1" t="s">
        <v>1</v>
      </c>
      <c r="D829" s="1" t="s">
        <v>10124</v>
      </c>
      <c r="E829" s="1" t="s">
        <v>10125</v>
      </c>
      <c r="F829" s="1" t="s">
        <v>10126</v>
      </c>
      <c r="H829" s="2" t="s">
        <v>5</v>
      </c>
      <c r="I829" s="2" t="s">
        <v>6</v>
      </c>
      <c r="J829" s="2" t="s">
        <v>5</v>
      </c>
      <c r="K829" s="2" t="s">
        <v>5</v>
      </c>
      <c r="L829" s="2" t="s">
        <v>7</v>
      </c>
      <c r="N829" s="1" t="s">
        <v>9242</v>
      </c>
      <c r="O829" s="2" t="s">
        <v>1378</v>
      </c>
      <c r="P829" s="1" t="s">
        <v>63</v>
      </c>
      <c r="Q829" s="2" t="s">
        <v>11</v>
      </c>
      <c r="R829" s="2" t="s">
        <v>31</v>
      </c>
      <c r="T829" s="2" t="s">
        <v>520</v>
      </c>
      <c r="U829" s="3">
        <v>1</v>
      </c>
      <c r="V829" s="3">
        <v>1</v>
      </c>
      <c r="W829" s="4" t="s">
        <v>6832</v>
      </c>
      <c r="X829" s="4" t="s">
        <v>6832</v>
      </c>
      <c r="Y829" s="4" t="s">
        <v>6832</v>
      </c>
      <c r="Z829" s="4" t="s">
        <v>6832</v>
      </c>
      <c r="AA829" s="3">
        <v>422</v>
      </c>
      <c r="AB829" s="3">
        <v>319</v>
      </c>
      <c r="AC829" s="3">
        <v>772</v>
      </c>
      <c r="AD829" s="3">
        <v>2</v>
      </c>
      <c r="AE829" s="3">
        <v>8</v>
      </c>
      <c r="AF829" s="3">
        <v>14</v>
      </c>
      <c r="AG829" s="3">
        <v>29</v>
      </c>
      <c r="AH829" s="3">
        <v>6</v>
      </c>
      <c r="AI829" s="3">
        <v>10</v>
      </c>
      <c r="AJ829" s="3">
        <v>2</v>
      </c>
      <c r="AK829" s="3">
        <v>6</v>
      </c>
      <c r="AL829" s="3">
        <v>8</v>
      </c>
      <c r="AM829" s="3">
        <v>13</v>
      </c>
      <c r="AN829" s="3">
        <v>1</v>
      </c>
      <c r="AO829" s="3">
        <v>6</v>
      </c>
      <c r="AP829" s="3">
        <v>0</v>
      </c>
      <c r="AQ829" s="3">
        <v>0</v>
      </c>
      <c r="AR829" s="2" t="s">
        <v>5</v>
      </c>
      <c r="AS829" s="2" t="s">
        <v>16</v>
      </c>
      <c r="AT829" s="5" t="str">
        <f>HYPERLINK("http://catalog.hathitrust.org/Record/003241221","HathiTrust Record")</f>
        <v>HathiTrust Record</v>
      </c>
      <c r="AU829" s="5" t="str">
        <f>HYPERLINK("https://creighton-primo.hosted.exlibrisgroup.com/primo-explore/search?tab=default_tab&amp;search_scope=EVERYTHING&amp;vid=01CRU&amp;lang=en_US&amp;offset=0&amp;query=any,contains,991001306049702656","Catalog Record")</f>
        <v>Catalog Record</v>
      </c>
      <c r="AV829" s="5" t="str">
        <f>HYPERLINK("http://www.worldcat.org/oclc/37879075","WorldCat Record")</f>
        <v>WorldCat Record</v>
      </c>
      <c r="AW829" s="2" t="s">
        <v>10127</v>
      </c>
      <c r="AX829" s="2" t="s">
        <v>10128</v>
      </c>
      <c r="AY829" s="2" t="s">
        <v>10129</v>
      </c>
      <c r="AZ829" s="2" t="s">
        <v>10129</v>
      </c>
      <c r="BA829" s="2" t="s">
        <v>10130</v>
      </c>
      <c r="BB829" s="2" t="s">
        <v>21</v>
      </c>
      <c r="BD829" s="2" t="s">
        <v>10131</v>
      </c>
      <c r="BE829" s="2" t="s">
        <v>10132</v>
      </c>
      <c r="BF829" s="2" t="s">
        <v>10133</v>
      </c>
    </row>
    <row r="830" spans="1:58" ht="41.25" customHeight="1" x14ac:dyDescent="0.25">
      <c r="A830" s="8" t="s">
        <v>5</v>
      </c>
      <c r="B830" s="1" t="s">
        <v>0</v>
      </c>
      <c r="C830" s="1" t="s">
        <v>1</v>
      </c>
      <c r="D830" s="1" t="s">
        <v>10134</v>
      </c>
      <c r="E830" s="1" t="s">
        <v>10135</v>
      </c>
      <c r="F830" s="1" t="s">
        <v>10136</v>
      </c>
      <c r="H830" s="2" t="s">
        <v>5</v>
      </c>
      <c r="I830" s="2" t="s">
        <v>6</v>
      </c>
      <c r="J830" s="2" t="s">
        <v>5</v>
      </c>
      <c r="K830" s="2" t="s">
        <v>5</v>
      </c>
      <c r="L830" s="2" t="s">
        <v>7</v>
      </c>
      <c r="N830" s="1" t="s">
        <v>7333</v>
      </c>
      <c r="O830" s="2" t="s">
        <v>734</v>
      </c>
      <c r="Q830" s="2" t="s">
        <v>11</v>
      </c>
      <c r="R830" s="2" t="s">
        <v>426</v>
      </c>
      <c r="S830" s="1" t="s">
        <v>3264</v>
      </c>
      <c r="T830" s="2" t="s">
        <v>520</v>
      </c>
      <c r="U830" s="3">
        <v>5</v>
      </c>
      <c r="V830" s="3">
        <v>5</v>
      </c>
      <c r="W830" s="4" t="s">
        <v>10137</v>
      </c>
      <c r="X830" s="4" t="s">
        <v>10137</v>
      </c>
      <c r="Y830" s="4" t="s">
        <v>96</v>
      </c>
      <c r="Z830" s="4" t="s">
        <v>96</v>
      </c>
      <c r="AA830" s="3">
        <v>402</v>
      </c>
      <c r="AB830" s="3">
        <v>338</v>
      </c>
      <c r="AC830" s="3">
        <v>345</v>
      </c>
      <c r="AD830" s="3">
        <v>3</v>
      </c>
      <c r="AE830" s="3">
        <v>3</v>
      </c>
      <c r="AF830" s="3">
        <v>14</v>
      </c>
      <c r="AG830" s="3">
        <v>14</v>
      </c>
      <c r="AH830" s="3">
        <v>7</v>
      </c>
      <c r="AI830" s="3">
        <v>7</v>
      </c>
      <c r="AJ830" s="3">
        <v>2</v>
      </c>
      <c r="AK830" s="3">
        <v>2</v>
      </c>
      <c r="AL830" s="3">
        <v>7</v>
      </c>
      <c r="AM830" s="3">
        <v>7</v>
      </c>
      <c r="AN830" s="3">
        <v>1</v>
      </c>
      <c r="AO830" s="3">
        <v>1</v>
      </c>
      <c r="AP830" s="3">
        <v>0</v>
      </c>
      <c r="AQ830" s="3">
        <v>0</v>
      </c>
      <c r="AR830" s="2" t="s">
        <v>5</v>
      </c>
      <c r="AS830" s="2" t="s">
        <v>16</v>
      </c>
      <c r="AT830" s="5" t="str">
        <f>HYPERLINK("http://catalog.hathitrust.org/Record/000116228","HathiTrust Record")</f>
        <v>HathiTrust Record</v>
      </c>
      <c r="AU830" s="5" t="str">
        <f>HYPERLINK("https://creighton-primo.hosted.exlibrisgroup.com/primo-explore/search?tab=default_tab&amp;search_scope=EVERYTHING&amp;vid=01CRU&amp;lang=en_US&amp;offset=0&amp;query=any,contains,991001132949702656","Catalog Record")</f>
        <v>Catalog Record</v>
      </c>
      <c r="AV830" s="5" t="str">
        <f>HYPERLINK("http://www.worldcat.org/oclc/8847213","WorldCat Record")</f>
        <v>WorldCat Record</v>
      </c>
      <c r="AW830" s="2" t="s">
        <v>10138</v>
      </c>
      <c r="AX830" s="2" t="s">
        <v>10139</v>
      </c>
      <c r="AY830" s="2" t="s">
        <v>10140</v>
      </c>
      <c r="AZ830" s="2" t="s">
        <v>10140</v>
      </c>
      <c r="BA830" s="2" t="s">
        <v>10141</v>
      </c>
      <c r="BB830" s="2" t="s">
        <v>21</v>
      </c>
      <c r="BD830" s="2" t="s">
        <v>10142</v>
      </c>
      <c r="BE830" s="2" t="s">
        <v>10143</v>
      </c>
      <c r="BF830" s="2" t="s">
        <v>10144</v>
      </c>
    </row>
    <row r="831" spans="1:58" ht="41.25" customHeight="1" x14ac:dyDescent="0.25">
      <c r="A831" s="8" t="s">
        <v>5</v>
      </c>
      <c r="B831" s="1" t="s">
        <v>0</v>
      </c>
      <c r="C831" s="1" t="s">
        <v>1</v>
      </c>
      <c r="D831" s="1" t="s">
        <v>10145</v>
      </c>
      <c r="E831" s="1" t="s">
        <v>10146</v>
      </c>
      <c r="F831" s="1" t="s">
        <v>10147</v>
      </c>
      <c r="H831" s="2" t="s">
        <v>5</v>
      </c>
      <c r="I831" s="2" t="s">
        <v>6</v>
      </c>
      <c r="J831" s="2" t="s">
        <v>5</v>
      </c>
      <c r="K831" s="2" t="s">
        <v>5</v>
      </c>
      <c r="L831" s="2" t="s">
        <v>7</v>
      </c>
      <c r="N831" s="1" t="s">
        <v>2929</v>
      </c>
      <c r="O831" s="2" t="s">
        <v>382</v>
      </c>
      <c r="Q831" s="2" t="s">
        <v>11</v>
      </c>
      <c r="R831" s="2" t="s">
        <v>426</v>
      </c>
      <c r="T831" s="2" t="s">
        <v>520</v>
      </c>
      <c r="U831" s="3">
        <v>14</v>
      </c>
      <c r="V831" s="3">
        <v>14</v>
      </c>
      <c r="W831" s="4" t="s">
        <v>3754</v>
      </c>
      <c r="X831" s="4" t="s">
        <v>3754</v>
      </c>
      <c r="Y831" s="4" t="s">
        <v>96</v>
      </c>
      <c r="Z831" s="4" t="s">
        <v>96</v>
      </c>
      <c r="AA831" s="3">
        <v>280</v>
      </c>
      <c r="AB831" s="3">
        <v>218</v>
      </c>
      <c r="AC831" s="3">
        <v>220</v>
      </c>
      <c r="AD831" s="3">
        <v>2</v>
      </c>
      <c r="AE831" s="3">
        <v>2</v>
      </c>
      <c r="AF831" s="3">
        <v>7</v>
      </c>
      <c r="AG831" s="3">
        <v>7</v>
      </c>
      <c r="AH831" s="3">
        <v>3</v>
      </c>
      <c r="AI831" s="3">
        <v>3</v>
      </c>
      <c r="AJ831" s="3">
        <v>0</v>
      </c>
      <c r="AK831" s="3">
        <v>0</v>
      </c>
      <c r="AL831" s="3">
        <v>3</v>
      </c>
      <c r="AM831" s="3">
        <v>3</v>
      </c>
      <c r="AN831" s="3">
        <v>1</v>
      </c>
      <c r="AO831" s="3">
        <v>1</v>
      </c>
      <c r="AP831" s="3">
        <v>0</v>
      </c>
      <c r="AQ831" s="3">
        <v>0</v>
      </c>
      <c r="AR831" s="2" t="s">
        <v>5</v>
      </c>
      <c r="AS831" s="2" t="s">
        <v>16</v>
      </c>
      <c r="AT831" s="5" t="str">
        <f>HYPERLINK("http://catalog.hathitrust.org/Record/000647841","HathiTrust Record")</f>
        <v>HathiTrust Record</v>
      </c>
      <c r="AU831" s="5" t="str">
        <f>HYPERLINK("https://creighton-primo.hosted.exlibrisgroup.com/primo-explore/search?tab=default_tab&amp;search_scope=EVERYTHING&amp;vid=01CRU&amp;lang=en_US&amp;offset=0&amp;query=any,contains,991001137689702656","Catalog Record")</f>
        <v>Catalog Record</v>
      </c>
      <c r="AV831" s="5" t="str">
        <f>HYPERLINK("http://www.worldcat.org/oclc/11842852","WorldCat Record")</f>
        <v>WorldCat Record</v>
      </c>
      <c r="AW831" s="2" t="s">
        <v>10148</v>
      </c>
      <c r="AX831" s="2" t="s">
        <v>10149</v>
      </c>
      <c r="AY831" s="2" t="s">
        <v>10150</v>
      </c>
      <c r="AZ831" s="2" t="s">
        <v>10150</v>
      </c>
      <c r="BA831" s="2" t="s">
        <v>10151</v>
      </c>
      <c r="BB831" s="2" t="s">
        <v>21</v>
      </c>
      <c r="BD831" s="2" t="s">
        <v>10152</v>
      </c>
      <c r="BE831" s="2" t="s">
        <v>10153</v>
      </c>
      <c r="BF831" s="2" t="s">
        <v>10154</v>
      </c>
    </row>
    <row r="832" spans="1:58" ht="41.25" customHeight="1" x14ac:dyDescent="0.25">
      <c r="A832" s="8" t="s">
        <v>5</v>
      </c>
      <c r="B832" s="1" t="s">
        <v>0</v>
      </c>
      <c r="C832" s="1" t="s">
        <v>1</v>
      </c>
      <c r="D832" s="1" t="s">
        <v>10155</v>
      </c>
      <c r="E832" s="1" t="s">
        <v>10156</v>
      </c>
      <c r="F832" s="1" t="s">
        <v>10157</v>
      </c>
      <c r="H832" s="2" t="s">
        <v>5</v>
      </c>
      <c r="I832" s="2" t="s">
        <v>6</v>
      </c>
      <c r="J832" s="2" t="s">
        <v>5</v>
      </c>
      <c r="K832" s="2" t="s">
        <v>5</v>
      </c>
      <c r="L832" s="2" t="s">
        <v>7</v>
      </c>
      <c r="M832" s="1" t="s">
        <v>10158</v>
      </c>
      <c r="N832" s="1" t="s">
        <v>10159</v>
      </c>
      <c r="O832" s="2" t="s">
        <v>1441</v>
      </c>
      <c r="Q832" s="2" t="s">
        <v>11</v>
      </c>
      <c r="R832" s="2" t="s">
        <v>31</v>
      </c>
      <c r="T832" s="2" t="s">
        <v>520</v>
      </c>
      <c r="U832" s="3">
        <v>3</v>
      </c>
      <c r="V832" s="3">
        <v>3</v>
      </c>
      <c r="W832" s="4" t="s">
        <v>10160</v>
      </c>
      <c r="X832" s="4" t="s">
        <v>10160</v>
      </c>
      <c r="Y832" s="4" t="s">
        <v>722</v>
      </c>
      <c r="Z832" s="4" t="s">
        <v>722</v>
      </c>
      <c r="AA832" s="3">
        <v>140</v>
      </c>
      <c r="AB832" s="3">
        <v>106</v>
      </c>
      <c r="AC832" s="3">
        <v>216</v>
      </c>
      <c r="AD832" s="3">
        <v>2</v>
      </c>
      <c r="AE832" s="3">
        <v>3</v>
      </c>
      <c r="AF832" s="3">
        <v>2</v>
      </c>
      <c r="AG832" s="3">
        <v>7</v>
      </c>
      <c r="AH832" s="3">
        <v>0</v>
      </c>
      <c r="AI832" s="3">
        <v>2</v>
      </c>
      <c r="AJ832" s="3">
        <v>0</v>
      </c>
      <c r="AK832" s="3">
        <v>0</v>
      </c>
      <c r="AL832" s="3">
        <v>1</v>
      </c>
      <c r="AM832" s="3">
        <v>3</v>
      </c>
      <c r="AN832" s="3">
        <v>1</v>
      </c>
      <c r="AO832" s="3">
        <v>2</v>
      </c>
      <c r="AP832" s="3">
        <v>0</v>
      </c>
      <c r="AQ832" s="3">
        <v>0</v>
      </c>
      <c r="AR832" s="2" t="s">
        <v>5</v>
      </c>
      <c r="AS832" s="2" t="s">
        <v>16</v>
      </c>
      <c r="AT832" s="5" t="str">
        <f>HYPERLINK("http://catalog.hathitrust.org/Record/001574323","HathiTrust Record")</f>
        <v>HathiTrust Record</v>
      </c>
      <c r="AU832" s="5" t="str">
        <f>HYPERLINK("https://creighton-primo.hosted.exlibrisgroup.com/primo-explore/search?tab=default_tab&amp;search_scope=EVERYTHING&amp;vid=01CRU&amp;lang=en_US&amp;offset=0&amp;query=any,contains,991001134879702656","Catalog Record")</f>
        <v>Catalog Record</v>
      </c>
      <c r="AV832" s="5" t="str">
        <f>HYPERLINK("http://www.worldcat.org/oclc/797873","WorldCat Record")</f>
        <v>WorldCat Record</v>
      </c>
      <c r="AW832" s="2" t="s">
        <v>10161</v>
      </c>
      <c r="AX832" s="2" t="s">
        <v>10162</v>
      </c>
      <c r="AY832" s="2" t="s">
        <v>10163</v>
      </c>
      <c r="AZ832" s="2" t="s">
        <v>10163</v>
      </c>
      <c r="BA832" s="2" t="s">
        <v>10164</v>
      </c>
      <c r="BB832" s="2" t="s">
        <v>21</v>
      </c>
      <c r="BD832" s="2" t="s">
        <v>10165</v>
      </c>
      <c r="BE832" s="2" t="s">
        <v>10166</v>
      </c>
      <c r="BF832" s="2" t="s">
        <v>10167</v>
      </c>
    </row>
    <row r="833" spans="1:58" ht="41.25" customHeight="1" x14ac:dyDescent="0.25">
      <c r="A833" s="8" t="s">
        <v>5</v>
      </c>
      <c r="B833" s="1" t="s">
        <v>0</v>
      </c>
      <c r="C833" s="1" t="s">
        <v>1</v>
      </c>
      <c r="D833" s="1" t="s">
        <v>10168</v>
      </c>
      <c r="E833" s="1" t="s">
        <v>10169</v>
      </c>
      <c r="F833" s="1" t="s">
        <v>10170</v>
      </c>
      <c r="H833" s="2" t="s">
        <v>5</v>
      </c>
      <c r="I833" s="2" t="s">
        <v>6</v>
      </c>
      <c r="J833" s="2" t="s">
        <v>5</v>
      </c>
      <c r="K833" s="2" t="s">
        <v>5</v>
      </c>
      <c r="L833" s="2" t="s">
        <v>7</v>
      </c>
      <c r="M833" s="1" t="s">
        <v>10171</v>
      </c>
      <c r="N833" s="1" t="s">
        <v>10172</v>
      </c>
      <c r="O833" s="2" t="s">
        <v>414</v>
      </c>
      <c r="P833" s="1" t="s">
        <v>1937</v>
      </c>
      <c r="Q833" s="2" t="s">
        <v>11</v>
      </c>
      <c r="R833" s="2" t="s">
        <v>1019</v>
      </c>
      <c r="S833" s="1" t="s">
        <v>10173</v>
      </c>
      <c r="T833" s="2" t="s">
        <v>520</v>
      </c>
      <c r="U833" s="3">
        <v>2</v>
      </c>
      <c r="V833" s="3">
        <v>2</v>
      </c>
      <c r="W833" s="4" t="s">
        <v>10174</v>
      </c>
      <c r="X833" s="4" t="s">
        <v>10174</v>
      </c>
      <c r="Y833" s="4" t="s">
        <v>96</v>
      </c>
      <c r="Z833" s="4" t="s">
        <v>96</v>
      </c>
      <c r="AA833" s="3">
        <v>455</v>
      </c>
      <c r="AB833" s="3">
        <v>368</v>
      </c>
      <c r="AC833" s="3">
        <v>377</v>
      </c>
      <c r="AD833" s="3">
        <v>5</v>
      </c>
      <c r="AE833" s="3">
        <v>5</v>
      </c>
      <c r="AF833" s="3">
        <v>13</v>
      </c>
      <c r="AG833" s="3">
        <v>13</v>
      </c>
      <c r="AH833" s="3">
        <v>0</v>
      </c>
      <c r="AI833" s="3">
        <v>0</v>
      </c>
      <c r="AJ833" s="3">
        <v>3</v>
      </c>
      <c r="AK833" s="3">
        <v>3</v>
      </c>
      <c r="AL833" s="3">
        <v>6</v>
      </c>
      <c r="AM833" s="3">
        <v>6</v>
      </c>
      <c r="AN833" s="3">
        <v>4</v>
      </c>
      <c r="AO833" s="3">
        <v>4</v>
      </c>
      <c r="AP833" s="3">
        <v>0</v>
      </c>
      <c r="AQ833" s="3">
        <v>0</v>
      </c>
      <c r="AR833" s="2" t="s">
        <v>5</v>
      </c>
      <c r="AS833" s="2" t="s">
        <v>16</v>
      </c>
      <c r="AT833" s="5" t="str">
        <f>HYPERLINK("http://catalog.hathitrust.org/Record/001574602","HathiTrust Record")</f>
        <v>HathiTrust Record</v>
      </c>
      <c r="AU833" s="5" t="str">
        <f>HYPERLINK("https://creighton-primo.hosted.exlibrisgroup.com/primo-explore/search?tab=default_tab&amp;search_scope=EVERYTHING&amp;vid=01CRU&amp;lang=en_US&amp;offset=0&amp;query=any,contains,991001134789702656","Catalog Record")</f>
        <v>Catalog Record</v>
      </c>
      <c r="AV833" s="5" t="str">
        <f>HYPERLINK("http://www.worldcat.org/oclc/252423","WorldCat Record")</f>
        <v>WorldCat Record</v>
      </c>
      <c r="AW833" s="2" t="s">
        <v>10175</v>
      </c>
      <c r="AX833" s="2" t="s">
        <v>10176</v>
      </c>
      <c r="AY833" s="2" t="s">
        <v>10177</v>
      </c>
      <c r="AZ833" s="2" t="s">
        <v>10177</v>
      </c>
      <c r="BA833" s="2" t="s">
        <v>10178</v>
      </c>
      <c r="BB833" s="2" t="s">
        <v>21</v>
      </c>
      <c r="BE833" s="2" t="s">
        <v>10179</v>
      </c>
      <c r="BF833" s="2" t="s">
        <v>10180</v>
      </c>
    </row>
    <row r="834" spans="1:58" ht="41.25" customHeight="1" x14ac:dyDescent="0.25">
      <c r="A834" s="8" t="s">
        <v>5</v>
      </c>
      <c r="B834" s="1" t="s">
        <v>0</v>
      </c>
      <c r="C834" s="1" t="s">
        <v>1</v>
      </c>
      <c r="D834" s="1" t="s">
        <v>10181</v>
      </c>
      <c r="E834" s="1" t="s">
        <v>10182</v>
      </c>
      <c r="F834" s="1" t="s">
        <v>10183</v>
      </c>
      <c r="H834" s="2" t="s">
        <v>5</v>
      </c>
      <c r="I834" s="2" t="s">
        <v>6</v>
      </c>
      <c r="J834" s="2" t="s">
        <v>5</v>
      </c>
      <c r="K834" s="2" t="s">
        <v>5</v>
      </c>
      <c r="L834" s="2" t="s">
        <v>6</v>
      </c>
      <c r="M834" s="1" t="s">
        <v>10184</v>
      </c>
      <c r="N834" s="1" t="s">
        <v>10185</v>
      </c>
      <c r="O834" s="2" t="s">
        <v>8055</v>
      </c>
      <c r="Q834" s="2" t="s">
        <v>11</v>
      </c>
      <c r="R834" s="2" t="s">
        <v>10186</v>
      </c>
      <c r="T834" s="2" t="s">
        <v>520</v>
      </c>
      <c r="U834" s="3">
        <v>3</v>
      </c>
      <c r="V834" s="3">
        <v>3</v>
      </c>
      <c r="W834" s="4" t="s">
        <v>10187</v>
      </c>
      <c r="X834" s="4" t="s">
        <v>10187</v>
      </c>
      <c r="Y834" s="4" t="s">
        <v>10188</v>
      </c>
      <c r="Z834" s="4" t="s">
        <v>10188</v>
      </c>
      <c r="AA834" s="3">
        <v>190</v>
      </c>
      <c r="AB834" s="3">
        <v>166</v>
      </c>
      <c r="AC834" s="3">
        <v>1051</v>
      </c>
      <c r="AD834" s="3">
        <v>2</v>
      </c>
      <c r="AE834" s="3">
        <v>12</v>
      </c>
      <c r="AF834" s="3">
        <v>9</v>
      </c>
      <c r="AG834" s="3">
        <v>38</v>
      </c>
      <c r="AH834" s="3">
        <v>5</v>
      </c>
      <c r="AI834" s="3">
        <v>15</v>
      </c>
      <c r="AJ834" s="3">
        <v>0</v>
      </c>
      <c r="AK834" s="3">
        <v>7</v>
      </c>
      <c r="AL834" s="3">
        <v>5</v>
      </c>
      <c r="AM834" s="3">
        <v>13</v>
      </c>
      <c r="AN834" s="3">
        <v>1</v>
      </c>
      <c r="AO834" s="3">
        <v>10</v>
      </c>
      <c r="AP834" s="3">
        <v>0</v>
      </c>
      <c r="AQ834" s="3">
        <v>1</v>
      </c>
      <c r="AR834" s="2" t="s">
        <v>5</v>
      </c>
      <c r="AS834" s="2" t="s">
        <v>5</v>
      </c>
      <c r="AU834" s="5" t="str">
        <f>HYPERLINK("https://creighton-primo.hosted.exlibrisgroup.com/primo-explore/search?tab=default_tab&amp;search_scope=EVERYTHING&amp;vid=01CRU&amp;lang=en_US&amp;offset=0&amp;query=any,contains,991001373999702656","Catalog Record")</f>
        <v>Catalog Record</v>
      </c>
      <c r="AV834" s="5" t="str">
        <f>HYPERLINK("http://www.worldcat.org/oclc/222135065","WorldCat Record")</f>
        <v>WorldCat Record</v>
      </c>
      <c r="AW834" s="2" t="s">
        <v>10189</v>
      </c>
      <c r="AX834" s="2" t="s">
        <v>10190</v>
      </c>
      <c r="AY834" s="2" t="s">
        <v>10191</v>
      </c>
      <c r="AZ834" s="2" t="s">
        <v>10191</v>
      </c>
      <c r="BA834" s="2" t="s">
        <v>10192</v>
      </c>
      <c r="BB834" s="2" t="s">
        <v>21</v>
      </c>
      <c r="BD834" s="2" t="s">
        <v>10193</v>
      </c>
      <c r="BE834" s="2" t="s">
        <v>10194</v>
      </c>
      <c r="BF834" s="2" t="s">
        <v>10195</v>
      </c>
    </row>
    <row r="835" spans="1:58" ht="41.25" customHeight="1" x14ac:dyDescent="0.25">
      <c r="A835" s="8" t="s">
        <v>5</v>
      </c>
      <c r="B835" s="1" t="s">
        <v>0</v>
      </c>
      <c r="C835" s="1" t="s">
        <v>1</v>
      </c>
      <c r="D835" s="1" t="s">
        <v>10196</v>
      </c>
      <c r="E835" s="1" t="s">
        <v>10197</v>
      </c>
      <c r="F835" s="1" t="s">
        <v>10198</v>
      </c>
      <c r="H835" s="2" t="s">
        <v>5</v>
      </c>
      <c r="I835" s="2" t="s">
        <v>6</v>
      </c>
      <c r="J835" s="2" t="s">
        <v>5</v>
      </c>
      <c r="K835" s="2" t="s">
        <v>5</v>
      </c>
      <c r="L835" s="2" t="s">
        <v>7</v>
      </c>
      <c r="M835" s="1" t="s">
        <v>10199</v>
      </c>
      <c r="N835" s="1" t="s">
        <v>10200</v>
      </c>
      <c r="O835" s="2" t="s">
        <v>92</v>
      </c>
      <c r="Q835" s="2" t="s">
        <v>11</v>
      </c>
      <c r="R835" s="2" t="s">
        <v>12</v>
      </c>
      <c r="S835" s="1" t="s">
        <v>10201</v>
      </c>
      <c r="T835" s="2" t="s">
        <v>520</v>
      </c>
      <c r="U835" s="3">
        <v>6</v>
      </c>
      <c r="V835" s="3">
        <v>6</v>
      </c>
      <c r="W835" s="4" t="s">
        <v>10202</v>
      </c>
      <c r="X835" s="4" t="s">
        <v>10202</v>
      </c>
      <c r="Y835" s="4" t="s">
        <v>10203</v>
      </c>
      <c r="Z835" s="4" t="s">
        <v>10203</v>
      </c>
      <c r="AA835" s="3">
        <v>281</v>
      </c>
      <c r="AB835" s="3">
        <v>225</v>
      </c>
      <c r="AC835" s="3">
        <v>426</v>
      </c>
      <c r="AD835" s="3">
        <v>2</v>
      </c>
      <c r="AE835" s="3">
        <v>5</v>
      </c>
      <c r="AF835" s="3">
        <v>10</v>
      </c>
      <c r="AG835" s="3">
        <v>25</v>
      </c>
      <c r="AH835" s="3">
        <v>2</v>
      </c>
      <c r="AI835" s="3">
        <v>9</v>
      </c>
      <c r="AJ835" s="3">
        <v>3</v>
      </c>
      <c r="AK835" s="3">
        <v>6</v>
      </c>
      <c r="AL835" s="3">
        <v>5</v>
      </c>
      <c r="AM835" s="3">
        <v>10</v>
      </c>
      <c r="AN835" s="3">
        <v>1</v>
      </c>
      <c r="AO835" s="3">
        <v>3</v>
      </c>
      <c r="AP835" s="3">
        <v>0</v>
      </c>
      <c r="AQ835" s="3">
        <v>0</v>
      </c>
      <c r="AR835" s="2" t="s">
        <v>5</v>
      </c>
      <c r="AS835" s="2" t="s">
        <v>16</v>
      </c>
      <c r="AT835" s="5" t="str">
        <f>HYPERLINK("http://catalog.hathitrust.org/Record/000710428","HathiTrust Record")</f>
        <v>HathiTrust Record</v>
      </c>
      <c r="AU835" s="5" t="str">
        <f>HYPERLINK("https://creighton-primo.hosted.exlibrisgroup.com/primo-explore/search?tab=default_tab&amp;search_scope=EVERYTHING&amp;vid=01CRU&amp;lang=en_US&amp;offset=0&amp;query=any,contains,991001186459702656","Catalog Record")</f>
        <v>Catalog Record</v>
      </c>
      <c r="AV835" s="5" t="str">
        <f>HYPERLINK("http://www.worldcat.org/oclc/1959544","WorldCat Record")</f>
        <v>WorldCat Record</v>
      </c>
      <c r="AW835" s="2" t="s">
        <v>10204</v>
      </c>
      <c r="AX835" s="2" t="s">
        <v>10205</v>
      </c>
      <c r="AY835" s="2" t="s">
        <v>10206</v>
      </c>
      <c r="AZ835" s="2" t="s">
        <v>10206</v>
      </c>
      <c r="BA835" s="2" t="s">
        <v>10207</v>
      </c>
      <c r="BB835" s="2" t="s">
        <v>21</v>
      </c>
      <c r="BD835" s="2" t="s">
        <v>10208</v>
      </c>
      <c r="BE835" s="2" t="s">
        <v>10209</v>
      </c>
      <c r="BF835" s="2" t="s">
        <v>10210</v>
      </c>
    </row>
    <row r="836" spans="1:58" ht="41.25" customHeight="1" x14ac:dyDescent="0.25">
      <c r="A836" s="8" t="s">
        <v>5</v>
      </c>
      <c r="B836" s="1" t="s">
        <v>0</v>
      </c>
      <c r="C836" s="1" t="s">
        <v>1</v>
      </c>
      <c r="D836" s="1" t="s">
        <v>10211</v>
      </c>
      <c r="E836" s="1" t="s">
        <v>10212</v>
      </c>
      <c r="F836" s="1" t="s">
        <v>10213</v>
      </c>
      <c r="H836" s="2" t="s">
        <v>5</v>
      </c>
      <c r="I836" s="2" t="s">
        <v>6</v>
      </c>
      <c r="J836" s="2" t="s">
        <v>5</v>
      </c>
      <c r="K836" s="2" t="s">
        <v>5</v>
      </c>
      <c r="L836" s="2" t="s">
        <v>7</v>
      </c>
      <c r="M836" s="1" t="s">
        <v>10214</v>
      </c>
      <c r="N836" s="1" t="s">
        <v>10215</v>
      </c>
      <c r="O836" s="2" t="s">
        <v>888</v>
      </c>
      <c r="Q836" s="2" t="s">
        <v>11</v>
      </c>
      <c r="R836" s="2" t="s">
        <v>10216</v>
      </c>
      <c r="T836" s="2" t="s">
        <v>520</v>
      </c>
      <c r="U836" s="3">
        <v>9</v>
      </c>
      <c r="V836" s="3">
        <v>9</v>
      </c>
      <c r="W836" s="4" t="s">
        <v>9592</v>
      </c>
      <c r="X836" s="4" t="s">
        <v>9592</v>
      </c>
      <c r="Y836" s="4" t="s">
        <v>96</v>
      </c>
      <c r="Z836" s="4" t="s">
        <v>96</v>
      </c>
      <c r="AA836" s="3">
        <v>56</v>
      </c>
      <c r="AB836" s="3">
        <v>11</v>
      </c>
      <c r="AC836" s="3">
        <v>61</v>
      </c>
      <c r="AD836" s="3">
        <v>1</v>
      </c>
      <c r="AE836" s="3">
        <v>1</v>
      </c>
      <c r="AF836" s="3">
        <v>0</v>
      </c>
      <c r="AG836" s="3">
        <v>2</v>
      </c>
      <c r="AH836" s="3">
        <v>0</v>
      </c>
      <c r="AI836" s="3">
        <v>1</v>
      </c>
      <c r="AJ836" s="3">
        <v>0</v>
      </c>
      <c r="AK836" s="3">
        <v>0</v>
      </c>
      <c r="AL836" s="3">
        <v>0</v>
      </c>
      <c r="AM836" s="3">
        <v>2</v>
      </c>
      <c r="AN836" s="3">
        <v>0</v>
      </c>
      <c r="AO836" s="3">
        <v>0</v>
      </c>
      <c r="AP836" s="3">
        <v>0</v>
      </c>
      <c r="AQ836" s="3">
        <v>0</v>
      </c>
      <c r="AR836" s="2" t="s">
        <v>5</v>
      </c>
      <c r="AS836" s="2" t="s">
        <v>5</v>
      </c>
      <c r="AU836" s="5" t="str">
        <f>HYPERLINK("https://creighton-primo.hosted.exlibrisgroup.com/primo-explore/search?tab=default_tab&amp;search_scope=EVERYTHING&amp;vid=01CRU&amp;lang=en_US&amp;offset=0&amp;query=any,contains,991001134979702656","Catalog Record")</f>
        <v>Catalog Record</v>
      </c>
      <c r="AV836" s="5" t="str">
        <f>HYPERLINK("http://www.worldcat.org/oclc/9829356","WorldCat Record")</f>
        <v>WorldCat Record</v>
      </c>
      <c r="AW836" s="2" t="s">
        <v>10217</v>
      </c>
      <c r="AX836" s="2" t="s">
        <v>10218</v>
      </c>
      <c r="AY836" s="2" t="s">
        <v>10219</v>
      </c>
      <c r="AZ836" s="2" t="s">
        <v>10219</v>
      </c>
      <c r="BA836" s="2" t="s">
        <v>10220</v>
      </c>
      <c r="BB836" s="2" t="s">
        <v>21</v>
      </c>
      <c r="BD836" s="2" t="s">
        <v>10221</v>
      </c>
      <c r="BE836" s="2" t="s">
        <v>10222</v>
      </c>
      <c r="BF836" s="2" t="s">
        <v>10223</v>
      </c>
    </row>
    <row r="837" spans="1:58" ht="41.25" customHeight="1" x14ac:dyDescent="0.25">
      <c r="A837" s="8" t="s">
        <v>5</v>
      </c>
      <c r="B837" s="1" t="s">
        <v>0</v>
      </c>
      <c r="C837" s="1" t="s">
        <v>1</v>
      </c>
      <c r="D837" s="1" t="s">
        <v>10224</v>
      </c>
      <c r="E837" s="1" t="s">
        <v>10225</v>
      </c>
      <c r="F837" s="1" t="s">
        <v>10226</v>
      </c>
      <c r="H837" s="2" t="s">
        <v>5</v>
      </c>
      <c r="I837" s="2" t="s">
        <v>6</v>
      </c>
      <c r="J837" s="2" t="s">
        <v>5</v>
      </c>
      <c r="K837" s="2" t="s">
        <v>5</v>
      </c>
      <c r="L837" s="2" t="s">
        <v>7</v>
      </c>
      <c r="N837" s="1" t="s">
        <v>9993</v>
      </c>
      <c r="O837" s="2" t="s">
        <v>62</v>
      </c>
      <c r="Q837" s="2" t="s">
        <v>11</v>
      </c>
      <c r="R837" s="2" t="s">
        <v>31</v>
      </c>
      <c r="T837" s="2" t="s">
        <v>520</v>
      </c>
      <c r="U837" s="3">
        <v>5</v>
      </c>
      <c r="V837" s="3">
        <v>5</v>
      </c>
      <c r="W837" s="4" t="s">
        <v>10227</v>
      </c>
      <c r="X837" s="4" t="s">
        <v>10227</v>
      </c>
      <c r="Y837" s="4" t="s">
        <v>96</v>
      </c>
      <c r="Z837" s="4" t="s">
        <v>96</v>
      </c>
      <c r="AA837" s="3">
        <v>186</v>
      </c>
      <c r="AB837" s="3">
        <v>152</v>
      </c>
      <c r="AC837" s="3">
        <v>153</v>
      </c>
      <c r="AD837" s="3">
        <v>3</v>
      </c>
      <c r="AE837" s="3">
        <v>3</v>
      </c>
      <c r="AF837" s="3">
        <v>5</v>
      </c>
      <c r="AG837" s="3">
        <v>5</v>
      </c>
      <c r="AH837" s="3">
        <v>0</v>
      </c>
      <c r="AI837" s="3">
        <v>0</v>
      </c>
      <c r="AJ837" s="3">
        <v>0</v>
      </c>
      <c r="AK837" s="3">
        <v>0</v>
      </c>
      <c r="AL837" s="3">
        <v>3</v>
      </c>
      <c r="AM837" s="3">
        <v>3</v>
      </c>
      <c r="AN837" s="3">
        <v>2</v>
      </c>
      <c r="AO837" s="3">
        <v>2</v>
      </c>
      <c r="AP837" s="3">
        <v>0</v>
      </c>
      <c r="AQ837" s="3">
        <v>0</v>
      </c>
      <c r="AR837" s="2" t="s">
        <v>5</v>
      </c>
      <c r="AS837" s="2" t="s">
        <v>5</v>
      </c>
      <c r="AU837" s="5" t="str">
        <f>HYPERLINK("https://creighton-primo.hosted.exlibrisgroup.com/primo-explore/search?tab=default_tab&amp;search_scope=EVERYTHING&amp;vid=01CRU&amp;lang=en_US&amp;offset=0&amp;query=any,contains,991001135389702656","Catalog Record")</f>
        <v>Catalog Record</v>
      </c>
      <c r="AV837" s="5" t="str">
        <f>HYPERLINK("http://www.worldcat.org/oclc/3843355","WorldCat Record")</f>
        <v>WorldCat Record</v>
      </c>
      <c r="AW837" s="2" t="s">
        <v>10228</v>
      </c>
      <c r="AX837" s="2" t="s">
        <v>10229</v>
      </c>
      <c r="AY837" s="2" t="s">
        <v>10230</v>
      </c>
      <c r="AZ837" s="2" t="s">
        <v>10230</v>
      </c>
      <c r="BA837" s="2" t="s">
        <v>10231</v>
      </c>
      <c r="BB837" s="2" t="s">
        <v>21</v>
      </c>
      <c r="BD837" s="2" t="s">
        <v>10232</v>
      </c>
      <c r="BE837" s="2" t="s">
        <v>10233</v>
      </c>
      <c r="BF837" s="2" t="s">
        <v>10234</v>
      </c>
    </row>
    <row r="838" spans="1:58" ht="41.25" customHeight="1" x14ac:dyDescent="0.25">
      <c r="A838" s="8" t="s">
        <v>5</v>
      </c>
      <c r="B838" s="1" t="s">
        <v>0</v>
      </c>
      <c r="C838" s="1" t="s">
        <v>1</v>
      </c>
      <c r="D838" s="1" t="s">
        <v>10235</v>
      </c>
      <c r="E838" s="1" t="s">
        <v>10236</v>
      </c>
      <c r="F838" s="1" t="s">
        <v>10237</v>
      </c>
      <c r="H838" s="2" t="s">
        <v>5</v>
      </c>
      <c r="I838" s="2" t="s">
        <v>6</v>
      </c>
      <c r="J838" s="2" t="s">
        <v>5</v>
      </c>
      <c r="K838" s="2" t="s">
        <v>5</v>
      </c>
      <c r="L838" s="2" t="s">
        <v>7</v>
      </c>
      <c r="N838" s="1" t="s">
        <v>6493</v>
      </c>
      <c r="O838" s="2" t="s">
        <v>888</v>
      </c>
      <c r="P838" s="1" t="s">
        <v>355</v>
      </c>
      <c r="Q838" s="2" t="s">
        <v>11</v>
      </c>
      <c r="R838" s="2" t="s">
        <v>271</v>
      </c>
      <c r="T838" s="2" t="s">
        <v>520</v>
      </c>
      <c r="U838" s="3">
        <v>3</v>
      </c>
      <c r="V838" s="3">
        <v>3</v>
      </c>
      <c r="W838" s="4" t="s">
        <v>10227</v>
      </c>
      <c r="X838" s="4" t="s">
        <v>10227</v>
      </c>
      <c r="Y838" s="4" t="s">
        <v>96</v>
      </c>
      <c r="Z838" s="4" t="s">
        <v>96</v>
      </c>
      <c r="AA838" s="3">
        <v>199</v>
      </c>
      <c r="AB838" s="3">
        <v>169</v>
      </c>
      <c r="AC838" s="3">
        <v>171</v>
      </c>
      <c r="AD838" s="3">
        <v>2</v>
      </c>
      <c r="AE838" s="3">
        <v>2</v>
      </c>
      <c r="AF838" s="3">
        <v>3</v>
      </c>
      <c r="AG838" s="3">
        <v>3</v>
      </c>
      <c r="AH838" s="3">
        <v>1</v>
      </c>
      <c r="AI838" s="3">
        <v>1</v>
      </c>
      <c r="AJ838" s="3">
        <v>0</v>
      </c>
      <c r="AK838" s="3">
        <v>0</v>
      </c>
      <c r="AL838" s="3">
        <v>2</v>
      </c>
      <c r="AM838" s="3">
        <v>2</v>
      </c>
      <c r="AN838" s="3">
        <v>0</v>
      </c>
      <c r="AO838" s="3">
        <v>0</v>
      </c>
      <c r="AP838" s="3">
        <v>0</v>
      </c>
      <c r="AQ838" s="3">
        <v>0</v>
      </c>
      <c r="AR838" s="2" t="s">
        <v>5</v>
      </c>
      <c r="AS838" s="2" t="s">
        <v>16</v>
      </c>
      <c r="AT838" s="5" t="str">
        <f>HYPERLINK("http://catalog.hathitrust.org/Record/000370578","HathiTrust Record")</f>
        <v>HathiTrust Record</v>
      </c>
      <c r="AU838" s="5" t="str">
        <f>HYPERLINK("https://creighton-primo.hosted.exlibrisgroup.com/primo-explore/search?tab=default_tab&amp;search_scope=EVERYTHING&amp;vid=01CRU&amp;lang=en_US&amp;offset=0&amp;query=any,contains,991001135219702656","Catalog Record")</f>
        <v>Catalog Record</v>
      </c>
      <c r="AV838" s="5" t="str">
        <f>HYPERLINK("http://www.worldcat.org/oclc/12667243","WorldCat Record")</f>
        <v>WorldCat Record</v>
      </c>
      <c r="AW838" s="2" t="s">
        <v>10238</v>
      </c>
      <c r="AX838" s="2" t="s">
        <v>10239</v>
      </c>
      <c r="AY838" s="2" t="s">
        <v>10240</v>
      </c>
      <c r="AZ838" s="2" t="s">
        <v>10240</v>
      </c>
      <c r="BA838" s="2" t="s">
        <v>10241</v>
      </c>
      <c r="BB838" s="2" t="s">
        <v>21</v>
      </c>
      <c r="BD838" s="2" t="s">
        <v>10242</v>
      </c>
      <c r="BE838" s="2" t="s">
        <v>10243</v>
      </c>
      <c r="BF838" s="2" t="s">
        <v>10244</v>
      </c>
    </row>
    <row r="839" spans="1:58" ht="41.25" customHeight="1" x14ac:dyDescent="0.25">
      <c r="A839" s="8" t="s">
        <v>5</v>
      </c>
      <c r="B839" s="1" t="s">
        <v>0</v>
      </c>
      <c r="C839" s="1" t="s">
        <v>1</v>
      </c>
      <c r="D839" s="1" t="s">
        <v>10245</v>
      </c>
      <c r="E839" s="1" t="s">
        <v>10246</v>
      </c>
      <c r="F839" s="1" t="s">
        <v>10247</v>
      </c>
      <c r="H839" s="2" t="s">
        <v>5</v>
      </c>
      <c r="I839" s="2" t="s">
        <v>6</v>
      </c>
      <c r="J839" s="2" t="s">
        <v>5</v>
      </c>
      <c r="K839" s="2" t="s">
        <v>5</v>
      </c>
      <c r="L839" s="2" t="s">
        <v>7</v>
      </c>
      <c r="M839" s="1" t="s">
        <v>10248</v>
      </c>
      <c r="N839" s="1" t="s">
        <v>10249</v>
      </c>
      <c r="O839" s="2" t="s">
        <v>1824</v>
      </c>
      <c r="Q839" s="2" t="s">
        <v>11</v>
      </c>
      <c r="R839" s="2" t="s">
        <v>12</v>
      </c>
      <c r="T839" s="2" t="s">
        <v>520</v>
      </c>
      <c r="U839" s="3">
        <v>6</v>
      </c>
      <c r="V839" s="3">
        <v>6</v>
      </c>
      <c r="W839" s="4" t="s">
        <v>10250</v>
      </c>
      <c r="X839" s="4" t="s">
        <v>10250</v>
      </c>
      <c r="Y839" s="4" t="s">
        <v>80</v>
      </c>
      <c r="Z839" s="4" t="s">
        <v>80</v>
      </c>
      <c r="AA839" s="3">
        <v>405</v>
      </c>
      <c r="AB839" s="3">
        <v>337</v>
      </c>
      <c r="AC839" s="3">
        <v>340</v>
      </c>
      <c r="AD839" s="3">
        <v>5</v>
      </c>
      <c r="AE839" s="3">
        <v>5</v>
      </c>
      <c r="AF839" s="3">
        <v>14</v>
      </c>
      <c r="AG839" s="3">
        <v>14</v>
      </c>
      <c r="AH839" s="3">
        <v>2</v>
      </c>
      <c r="AI839" s="3">
        <v>2</v>
      </c>
      <c r="AJ839" s="3">
        <v>3</v>
      </c>
      <c r="AK839" s="3">
        <v>3</v>
      </c>
      <c r="AL839" s="3">
        <v>8</v>
      </c>
      <c r="AM839" s="3">
        <v>8</v>
      </c>
      <c r="AN839" s="3">
        <v>3</v>
      </c>
      <c r="AO839" s="3">
        <v>3</v>
      </c>
      <c r="AP839" s="3">
        <v>0</v>
      </c>
      <c r="AQ839" s="3">
        <v>0</v>
      </c>
      <c r="AR839" s="2" t="s">
        <v>5</v>
      </c>
      <c r="AS839" s="2" t="s">
        <v>16</v>
      </c>
      <c r="AT839" s="5" t="str">
        <f>HYPERLINK("http://catalog.hathitrust.org/Record/001574759","HathiTrust Record")</f>
        <v>HathiTrust Record</v>
      </c>
      <c r="AU839" s="5" t="str">
        <f>HYPERLINK("https://creighton-primo.hosted.exlibrisgroup.com/primo-explore/search?tab=default_tab&amp;search_scope=EVERYTHING&amp;vid=01CRU&amp;lang=en_US&amp;offset=0&amp;query=any,contains,991001135489702656","Catalog Record")</f>
        <v>Catalog Record</v>
      </c>
      <c r="AV839" s="5" t="str">
        <f>HYPERLINK("http://www.worldcat.org/oclc/274434","WorldCat Record")</f>
        <v>WorldCat Record</v>
      </c>
      <c r="AW839" s="2" t="s">
        <v>10251</v>
      </c>
      <c r="AX839" s="2" t="s">
        <v>10252</v>
      </c>
      <c r="AY839" s="2" t="s">
        <v>10253</v>
      </c>
      <c r="AZ839" s="2" t="s">
        <v>10253</v>
      </c>
      <c r="BA839" s="2" t="s">
        <v>10254</v>
      </c>
      <c r="BB839" s="2" t="s">
        <v>21</v>
      </c>
      <c r="BE839" s="2" t="s">
        <v>10255</v>
      </c>
      <c r="BF839" s="2" t="s">
        <v>10256</v>
      </c>
    </row>
    <row r="840" spans="1:58" ht="41.25" customHeight="1" x14ac:dyDescent="0.25">
      <c r="A840" s="8" t="s">
        <v>5</v>
      </c>
      <c r="B840" s="1" t="s">
        <v>0</v>
      </c>
      <c r="C840" s="1" t="s">
        <v>1</v>
      </c>
      <c r="D840" s="1" t="s">
        <v>10257</v>
      </c>
      <c r="E840" s="1" t="s">
        <v>10258</v>
      </c>
      <c r="F840" s="1" t="s">
        <v>10259</v>
      </c>
      <c r="H840" s="2" t="s">
        <v>5</v>
      </c>
      <c r="I840" s="2" t="s">
        <v>6</v>
      </c>
      <c r="J840" s="2" t="s">
        <v>5</v>
      </c>
      <c r="K840" s="2" t="s">
        <v>5</v>
      </c>
      <c r="L840" s="2" t="s">
        <v>7</v>
      </c>
      <c r="M840" s="1" t="s">
        <v>10260</v>
      </c>
      <c r="N840" s="1" t="s">
        <v>9760</v>
      </c>
      <c r="O840" s="2" t="s">
        <v>888</v>
      </c>
      <c r="P840" s="1" t="s">
        <v>1284</v>
      </c>
      <c r="Q840" s="2" t="s">
        <v>11</v>
      </c>
      <c r="R840" s="2" t="s">
        <v>426</v>
      </c>
      <c r="T840" s="2" t="s">
        <v>520</v>
      </c>
      <c r="U840" s="3">
        <v>10</v>
      </c>
      <c r="V840" s="3">
        <v>10</v>
      </c>
      <c r="W840" s="4" t="s">
        <v>3452</v>
      </c>
      <c r="X840" s="4" t="s">
        <v>3452</v>
      </c>
      <c r="Y840" s="4" t="s">
        <v>33</v>
      </c>
      <c r="Z840" s="4" t="s">
        <v>33</v>
      </c>
      <c r="AA840" s="3">
        <v>271</v>
      </c>
      <c r="AB840" s="3">
        <v>212</v>
      </c>
      <c r="AC840" s="3">
        <v>563</v>
      </c>
      <c r="AD840" s="3">
        <v>1</v>
      </c>
      <c r="AE840" s="3">
        <v>4</v>
      </c>
      <c r="AF840" s="3">
        <v>4</v>
      </c>
      <c r="AG840" s="3">
        <v>17</v>
      </c>
      <c r="AH840" s="3">
        <v>2</v>
      </c>
      <c r="AI840" s="3">
        <v>6</v>
      </c>
      <c r="AJ840" s="3">
        <v>0</v>
      </c>
      <c r="AK840" s="3">
        <v>3</v>
      </c>
      <c r="AL840" s="3">
        <v>2</v>
      </c>
      <c r="AM840" s="3">
        <v>10</v>
      </c>
      <c r="AN840" s="3">
        <v>0</v>
      </c>
      <c r="AO840" s="3">
        <v>2</v>
      </c>
      <c r="AP840" s="3">
        <v>0</v>
      </c>
      <c r="AQ840" s="3">
        <v>0</v>
      </c>
      <c r="AR840" s="2" t="s">
        <v>5</v>
      </c>
      <c r="AS840" s="2" t="s">
        <v>16</v>
      </c>
      <c r="AT840" s="5" t="str">
        <f>HYPERLINK("http://catalog.hathitrust.org/Record/000783678","HathiTrust Record")</f>
        <v>HathiTrust Record</v>
      </c>
      <c r="AU840" s="5" t="str">
        <f>HYPERLINK("https://creighton-primo.hosted.exlibrisgroup.com/primo-explore/search?tab=default_tab&amp;search_scope=EVERYTHING&amp;vid=01CRU&amp;lang=en_US&amp;offset=0&amp;query=any,contains,991000738239702656","Catalog Record")</f>
        <v>Catalog Record</v>
      </c>
      <c r="AV840" s="5" t="str">
        <f>HYPERLINK("http://www.worldcat.org/oclc/9557513","WorldCat Record")</f>
        <v>WorldCat Record</v>
      </c>
      <c r="AW840" s="2" t="s">
        <v>10261</v>
      </c>
      <c r="AX840" s="2" t="s">
        <v>10262</v>
      </c>
      <c r="AY840" s="2" t="s">
        <v>10263</v>
      </c>
      <c r="AZ840" s="2" t="s">
        <v>10263</v>
      </c>
      <c r="BA840" s="2" t="s">
        <v>10264</v>
      </c>
      <c r="BB840" s="2" t="s">
        <v>21</v>
      </c>
      <c r="BD840" s="2" t="s">
        <v>10265</v>
      </c>
      <c r="BE840" s="2" t="s">
        <v>10266</v>
      </c>
      <c r="BF840" s="2" t="s">
        <v>10267</v>
      </c>
    </row>
    <row r="841" spans="1:58" ht="41.25" customHeight="1" x14ac:dyDescent="0.25">
      <c r="A841" s="8" t="s">
        <v>5</v>
      </c>
      <c r="B841" s="1" t="s">
        <v>0</v>
      </c>
      <c r="C841" s="1" t="s">
        <v>1</v>
      </c>
      <c r="D841" s="1" t="s">
        <v>10268</v>
      </c>
      <c r="E841" s="1" t="s">
        <v>10269</v>
      </c>
      <c r="F841" s="1" t="s">
        <v>10270</v>
      </c>
      <c r="H841" s="2" t="s">
        <v>5</v>
      </c>
      <c r="I841" s="2" t="s">
        <v>6</v>
      </c>
      <c r="J841" s="2" t="s">
        <v>5</v>
      </c>
      <c r="K841" s="2" t="s">
        <v>16</v>
      </c>
      <c r="L841" s="2" t="s">
        <v>7</v>
      </c>
      <c r="M841" s="1" t="s">
        <v>10260</v>
      </c>
      <c r="N841" s="1" t="s">
        <v>1282</v>
      </c>
      <c r="O841" s="2" t="s">
        <v>1283</v>
      </c>
      <c r="P841" s="1" t="s">
        <v>771</v>
      </c>
      <c r="Q841" s="2" t="s">
        <v>11</v>
      </c>
      <c r="R841" s="2" t="s">
        <v>31</v>
      </c>
      <c r="T841" s="2" t="s">
        <v>520</v>
      </c>
      <c r="U841" s="3">
        <v>5</v>
      </c>
      <c r="V841" s="3">
        <v>5</v>
      </c>
      <c r="W841" s="4" t="s">
        <v>6266</v>
      </c>
      <c r="X841" s="4" t="s">
        <v>6266</v>
      </c>
      <c r="Y841" s="4" t="s">
        <v>5219</v>
      </c>
      <c r="Z841" s="4" t="s">
        <v>5219</v>
      </c>
      <c r="AA841" s="3">
        <v>361</v>
      </c>
      <c r="AB841" s="3">
        <v>297</v>
      </c>
      <c r="AC841" s="3">
        <v>507</v>
      </c>
      <c r="AD841" s="3">
        <v>2</v>
      </c>
      <c r="AE841" s="3">
        <v>3</v>
      </c>
      <c r="AF841" s="3">
        <v>8</v>
      </c>
      <c r="AG841" s="3">
        <v>21</v>
      </c>
      <c r="AH841" s="3">
        <v>3</v>
      </c>
      <c r="AI841" s="3">
        <v>11</v>
      </c>
      <c r="AJ841" s="3">
        <v>0</v>
      </c>
      <c r="AK841" s="3">
        <v>2</v>
      </c>
      <c r="AL841" s="3">
        <v>5</v>
      </c>
      <c r="AM841" s="3">
        <v>8</v>
      </c>
      <c r="AN841" s="3">
        <v>0</v>
      </c>
      <c r="AO841" s="3">
        <v>1</v>
      </c>
      <c r="AP841" s="3">
        <v>0</v>
      </c>
      <c r="AQ841" s="3">
        <v>0</v>
      </c>
      <c r="AR841" s="2" t="s">
        <v>5</v>
      </c>
      <c r="AS841" s="2" t="s">
        <v>16</v>
      </c>
      <c r="AT841" s="5" t="str">
        <f>HYPERLINK("http://catalog.hathitrust.org/Record/003139857","HathiTrust Record")</f>
        <v>HathiTrust Record</v>
      </c>
      <c r="AU841" s="5" t="str">
        <f>HYPERLINK("https://creighton-primo.hosted.exlibrisgroup.com/primo-explore/search?tab=default_tab&amp;search_scope=EVERYTHING&amp;vid=01CRU&amp;lang=en_US&amp;offset=0&amp;query=any,contains,991001572859702656","Catalog Record")</f>
        <v>Catalog Record</v>
      </c>
      <c r="AV841" s="5" t="str">
        <f>HYPERLINK("http://www.worldcat.org/oclc/34772122","WorldCat Record")</f>
        <v>WorldCat Record</v>
      </c>
      <c r="AW841" s="2" t="s">
        <v>10271</v>
      </c>
      <c r="AX841" s="2" t="s">
        <v>10272</v>
      </c>
      <c r="AY841" s="2" t="s">
        <v>10273</v>
      </c>
      <c r="AZ841" s="2" t="s">
        <v>10273</v>
      </c>
      <c r="BA841" s="2" t="s">
        <v>10274</v>
      </c>
      <c r="BB841" s="2" t="s">
        <v>21</v>
      </c>
      <c r="BD841" s="2" t="s">
        <v>10275</v>
      </c>
      <c r="BE841" s="2" t="s">
        <v>10276</v>
      </c>
      <c r="BF841" s="2" t="s">
        <v>10277</v>
      </c>
    </row>
    <row r="842" spans="1:58" ht="41.25" customHeight="1" x14ac:dyDescent="0.25">
      <c r="A842" s="8" t="s">
        <v>5</v>
      </c>
      <c r="B842" s="1" t="s">
        <v>0</v>
      </c>
      <c r="C842" s="1" t="s">
        <v>1</v>
      </c>
      <c r="D842" s="1" t="s">
        <v>10278</v>
      </c>
      <c r="E842" s="1" t="s">
        <v>10279</v>
      </c>
      <c r="F842" s="1" t="s">
        <v>10270</v>
      </c>
      <c r="H842" s="2" t="s">
        <v>5</v>
      </c>
      <c r="I842" s="2" t="s">
        <v>6</v>
      </c>
      <c r="J842" s="2" t="s">
        <v>5</v>
      </c>
      <c r="K842" s="2" t="s">
        <v>16</v>
      </c>
      <c r="L842" s="2" t="s">
        <v>7</v>
      </c>
      <c r="M842" s="1" t="s">
        <v>10260</v>
      </c>
      <c r="N842" s="1" t="s">
        <v>10280</v>
      </c>
      <c r="O842" s="2" t="s">
        <v>1863</v>
      </c>
      <c r="P842" s="1" t="s">
        <v>1652</v>
      </c>
      <c r="Q842" s="2" t="s">
        <v>11</v>
      </c>
      <c r="R842" s="2" t="s">
        <v>31</v>
      </c>
      <c r="T842" s="2" t="s">
        <v>520</v>
      </c>
      <c r="U842" s="3">
        <v>4</v>
      </c>
      <c r="V842" s="3">
        <v>4</v>
      </c>
      <c r="W842" s="4" t="s">
        <v>10281</v>
      </c>
      <c r="X842" s="4" t="s">
        <v>10281</v>
      </c>
      <c r="Y842" s="4" t="s">
        <v>10282</v>
      </c>
      <c r="Z842" s="4" t="s">
        <v>10282</v>
      </c>
      <c r="AA842" s="3">
        <v>421</v>
      </c>
      <c r="AB842" s="3">
        <v>324</v>
      </c>
      <c r="AC842" s="3">
        <v>507</v>
      </c>
      <c r="AD842" s="3">
        <v>1</v>
      </c>
      <c r="AE842" s="3">
        <v>3</v>
      </c>
      <c r="AF842" s="3">
        <v>17</v>
      </c>
      <c r="AG842" s="3">
        <v>21</v>
      </c>
      <c r="AH842" s="3">
        <v>10</v>
      </c>
      <c r="AI842" s="3">
        <v>11</v>
      </c>
      <c r="AJ842" s="3">
        <v>2</v>
      </c>
      <c r="AK842" s="3">
        <v>2</v>
      </c>
      <c r="AL842" s="3">
        <v>5</v>
      </c>
      <c r="AM842" s="3">
        <v>8</v>
      </c>
      <c r="AN842" s="3">
        <v>1</v>
      </c>
      <c r="AO842" s="3">
        <v>1</v>
      </c>
      <c r="AP842" s="3">
        <v>0</v>
      </c>
      <c r="AQ842" s="3">
        <v>0</v>
      </c>
      <c r="AR842" s="2" t="s">
        <v>5</v>
      </c>
      <c r="AS842" s="2" t="s">
        <v>16</v>
      </c>
      <c r="AT842" s="5" t="str">
        <f>HYPERLINK("http://catalog.hathitrust.org/Record/004156709","HathiTrust Record")</f>
        <v>HathiTrust Record</v>
      </c>
      <c r="AU842" s="5" t="str">
        <f>HYPERLINK("https://creighton-primo.hosted.exlibrisgroup.com/primo-explore/search?tab=default_tab&amp;search_scope=EVERYTHING&amp;vid=01CRU&amp;lang=en_US&amp;offset=0&amp;query=any,contains,991001706329702656","Catalog Record")</f>
        <v>Catalog Record</v>
      </c>
      <c r="AV842" s="5" t="str">
        <f>HYPERLINK("http://www.worldcat.org/oclc/44979664","WorldCat Record")</f>
        <v>WorldCat Record</v>
      </c>
      <c r="AW842" s="2" t="s">
        <v>10271</v>
      </c>
      <c r="AX842" s="2" t="s">
        <v>10283</v>
      </c>
      <c r="AY842" s="2" t="s">
        <v>10284</v>
      </c>
      <c r="AZ842" s="2" t="s">
        <v>10284</v>
      </c>
      <c r="BA842" s="2" t="s">
        <v>10285</v>
      </c>
      <c r="BB842" s="2" t="s">
        <v>21</v>
      </c>
      <c r="BD842" s="2" t="s">
        <v>10286</v>
      </c>
      <c r="BE842" s="2" t="s">
        <v>10287</v>
      </c>
      <c r="BF842" s="2" t="s">
        <v>10288</v>
      </c>
    </row>
    <row r="843" spans="1:58" ht="41.25" customHeight="1" x14ac:dyDescent="0.25">
      <c r="A843" s="8" t="s">
        <v>5</v>
      </c>
      <c r="B843" s="1" t="s">
        <v>0</v>
      </c>
      <c r="C843" s="1" t="s">
        <v>1</v>
      </c>
      <c r="D843" s="1" t="s">
        <v>10289</v>
      </c>
      <c r="E843" s="1" t="s">
        <v>10290</v>
      </c>
      <c r="F843" s="1" t="s">
        <v>10291</v>
      </c>
      <c r="H843" s="2" t="s">
        <v>5</v>
      </c>
      <c r="I843" s="2" t="s">
        <v>6</v>
      </c>
      <c r="J843" s="2" t="s">
        <v>5</v>
      </c>
      <c r="K843" s="2" t="s">
        <v>5</v>
      </c>
      <c r="L843" s="2" t="s">
        <v>7</v>
      </c>
      <c r="M843" s="1" t="s">
        <v>10292</v>
      </c>
      <c r="N843" s="1" t="s">
        <v>10293</v>
      </c>
      <c r="O843" s="2" t="s">
        <v>62</v>
      </c>
      <c r="Q843" s="2" t="s">
        <v>11</v>
      </c>
      <c r="R843" s="2" t="s">
        <v>229</v>
      </c>
      <c r="T843" s="2" t="s">
        <v>520</v>
      </c>
      <c r="U843" s="3">
        <v>2</v>
      </c>
      <c r="V843" s="3">
        <v>2</v>
      </c>
      <c r="W843" s="4" t="s">
        <v>10294</v>
      </c>
      <c r="X843" s="4" t="s">
        <v>10294</v>
      </c>
      <c r="Y843" s="4" t="s">
        <v>96</v>
      </c>
      <c r="Z843" s="4" t="s">
        <v>96</v>
      </c>
      <c r="AA843" s="3">
        <v>302</v>
      </c>
      <c r="AB843" s="3">
        <v>253</v>
      </c>
      <c r="AC843" s="3">
        <v>260</v>
      </c>
      <c r="AD843" s="3">
        <v>2</v>
      </c>
      <c r="AE843" s="3">
        <v>2</v>
      </c>
      <c r="AF843" s="3">
        <v>13</v>
      </c>
      <c r="AG843" s="3">
        <v>13</v>
      </c>
      <c r="AH843" s="3">
        <v>4</v>
      </c>
      <c r="AI843" s="3">
        <v>4</v>
      </c>
      <c r="AJ843" s="3">
        <v>4</v>
      </c>
      <c r="AK843" s="3">
        <v>4</v>
      </c>
      <c r="AL843" s="3">
        <v>7</v>
      </c>
      <c r="AM843" s="3">
        <v>7</v>
      </c>
      <c r="AN843" s="3">
        <v>1</v>
      </c>
      <c r="AO843" s="3">
        <v>1</v>
      </c>
      <c r="AP843" s="3">
        <v>0</v>
      </c>
      <c r="AQ843" s="3">
        <v>0</v>
      </c>
      <c r="AR843" s="2" t="s">
        <v>5</v>
      </c>
      <c r="AS843" s="2" t="s">
        <v>16</v>
      </c>
      <c r="AT843" s="5" t="str">
        <f>HYPERLINK("http://catalog.hathitrust.org/Record/000295629","HathiTrust Record")</f>
        <v>HathiTrust Record</v>
      </c>
      <c r="AU843" s="5" t="str">
        <f>HYPERLINK("https://creighton-primo.hosted.exlibrisgroup.com/primo-explore/search?tab=default_tab&amp;search_scope=EVERYTHING&amp;vid=01CRU&amp;lang=en_US&amp;offset=0&amp;query=any,contains,991001136079702656","Catalog Record")</f>
        <v>Catalog Record</v>
      </c>
      <c r="AV843" s="5" t="str">
        <f>HYPERLINK("http://www.worldcat.org/oclc/3224072","WorldCat Record")</f>
        <v>WorldCat Record</v>
      </c>
      <c r="AW843" s="2" t="s">
        <v>10295</v>
      </c>
      <c r="AX843" s="2" t="s">
        <v>10296</v>
      </c>
      <c r="AY843" s="2" t="s">
        <v>10297</v>
      </c>
      <c r="AZ843" s="2" t="s">
        <v>10297</v>
      </c>
      <c r="BA843" s="2" t="s">
        <v>10298</v>
      </c>
      <c r="BB843" s="2" t="s">
        <v>21</v>
      </c>
      <c r="BD843" s="2" t="s">
        <v>10299</v>
      </c>
      <c r="BE843" s="2" t="s">
        <v>10300</v>
      </c>
      <c r="BF843" s="2" t="s">
        <v>10301</v>
      </c>
    </row>
    <row r="844" spans="1:58" ht="41.25" customHeight="1" x14ac:dyDescent="0.25">
      <c r="A844" s="8" t="s">
        <v>5</v>
      </c>
      <c r="B844" s="1" t="s">
        <v>0</v>
      </c>
      <c r="C844" s="1" t="s">
        <v>1</v>
      </c>
      <c r="D844" s="1" t="s">
        <v>10302</v>
      </c>
      <c r="E844" s="1" t="s">
        <v>10303</v>
      </c>
      <c r="F844" s="1" t="s">
        <v>10304</v>
      </c>
      <c r="H844" s="2" t="s">
        <v>5</v>
      </c>
      <c r="I844" s="2" t="s">
        <v>6</v>
      </c>
      <c r="J844" s="2" t="s">
        <v>5</v>
      </c>
      <c r="K844" s="2" t="s">
        <v>5</v>
      </c>
      <c r="L844" s="2" t="s">
        <v>7</v>
      </c>
      <c r="M844" s="1" t="s">
        <v>10305</v>
      </c>
      <c r="N844" s="1" t="s">
        <v>2968</v>
      </c>
      <c r="O844" s="2" t="s">
        <v>1339</v>
      </c>
      <c r="Q844" s="2" t="s">
        <v>11</v>
      </c>
      <c r="R844" s="2" t="s">
        <v>426</v>
      </c>
      <c r="T844" s="2" t="s">
        <v>520</v>
      </c>
      <c r="U844" s="3">
        <v>11</v>
      </c>
      <c r="V844" s="3">
        <v>11</v>
      </c>
      <c r="W844" s="4" t="s">
        <v>3452</v>
      </c>
      <c r="X844" s="4" t="s">
        <v>3452</v>
      </c>
      <c r="Y844" s="4" t="s">
        <v>10306</v>
      </c>
      <c r="Z844" s="4" t="s">
        <v>10306</v>
      </c>
      <c r="AA844" s="3">
        <v>239</v>
      </c>
      <c r="AB844" s="3">
        <v>173</v>
      </c>
      <c r="AC844" s="3">
        <v>175</v>
      </c>
      <c r="AD844" s="3">
        <v>1</v>
      </c>
      <c r="AE844" s="3">
        <v>1</v>
      </c>
      <c r="AF844" s="3">
        <v>8</v>
      </c>
      <c r="AG844" s="3">
        <v>8</v>
      </c>
      <c r="AH844" s="3">
        <v>4</v>
      </c>
      <c r="AI844" s="3">
        <v>4</v>
      </c>
      <c r="AJ844" s="3">
        <v>0</v>
      </c>
      <c r="AK844" s="3">
        <v>0</v>
      </c>
      <c r="AL844" s="3">
        <v>5</v>
      </c>
      <c r="AM844" s="3">
        <v>5</v>
      </c>
      <c r="AN844" s="3">
        <v>0</v>
      </c>
      <c r="AO844" s="3">
        <v>0</v>
      </c>
      <c r="AP844" s="3">
        <v>0</v>
      </c>
      <c r="AQ844" s="3">
        <v>0</v>
      </c>
      <c r="AR844" s="2" t="s">
        <v>5</v>
      </c>
      <c r="AS844" s="2" t="s">
        <v>16</v>
      </c>
      <c r="AT844" s="5" t="str">
        <f>HYPERLINK("http://catalog.hathitrust.org/Record/000823440","HathiTrust Record")</f>
        <v>HathiTrust Record</v>
      </c>
      <c r="AU844" s="5" t="str">
        <f>HYPERLINK("https://creighton-primo.hosted.exlibrisgroup.com/primo-explore/search?tab=default_tab&amp;search_scope=EVERYTHING&amp;vid=01CRU&amp;lang=en_US&amp;offset=0&amp;query=any,contains,991001172659702656","Catalog Record")</f>
        <v>Catalog Record</v>
      </c>
      <c r="AV844" s="5" t="str">
        <f>HYPERLINK("http://www.worldcat.org/oclc/14693206","WorldCat Record")</f>
        <v>WorldCat Record</v>
      </c>
      <c r="AW844" s="2" t="s">
        <v>10307</v>
      </c>
      <c r="AX844" s="2" t="s">
        <v>10308</v>
      </c>
      <c r="AY844" s="2" t="s">
        <v>10309</v>
      </c>
      <c r="AZ844" s="2" t="s">
        <v>10309</v>
      </c>
      <c r="BA844" s="2" t="s">
        <v>10310</v>
      </c>
      <c r="BB844" s="2" t="s">
        <v>21</v>
      </c>
      <c r="BD844" s="2" t="s">
        <v>10311</v>
      </c>
      <c r="BE844" s="2" t="s">
        <v>10312</v>
      </c>
      <c r="BF844" s="2" t="s">
        <v>10313</v>
      </c>
    </row>
    <row r="845" spans="1:58" ht="41.25" customHeight="1" x14ac:dyDescent="0.25">
      <c r="A845" s="8" t="s">
        <v>5</v>
      </c>
      <c r="B845" s="1" t="s">
        <v>0</v>
      </c>
      <c r="C845" s="1" t="s">
        <v>1</v>
      </c>
      <c r="D845" s="1" t="s">
        <v>10314</v>
      </c>
      <c r="E845" s="1" t="s">
        <v>10315</v>
      </c>
      <c r="F845" s="1" t="s">
        <v>10316</v>
      </c>
      <c r="H845" s="2" t="s">
        <v>5</v>
      </c>
      <c r="I845" s="2" t="s">
        <v>6</v>
      </c>
      <c r="J845" s="2" t="s">
        <v>5</v>
      </c>
      <c r="K845" s="2" t="s">
        <v>5</v>
      </c>
      <c r="L845" s="2" t="s">
        <v>7</v>
      </c>
      <c r="M845" s="1" t="s">
        <v>10317</v>
      </c>
      <c r="N845" s="1" t="s">
        <v>10318</v>
      </c>
      <c r="O845" s="2" t="s">
        <v>285</v>
      </c>
      <c r="P845" s="1" t="s">
        <v>355</v>
      </c>
      <c r="Q845" s="2" t="s">
        <v>11</v>
      </c>
      <c r="R845" s="2" t="s">
        <v>271</v>
      </c>
      <c r="T845" s="2" t="s">
        <v>520</v>
      </c>
      <c r="U845" s="3">
        <v>2</v>
      </c>
      <c r="V845" s="3">
        <v>2</v>
      </c>
      <c r="W845" s="4" t="s">
        <v>10319</v>
      </c>
      <c r="X845" s="4" t="s">
        <v>10319</v>
      </c>
      <c r="Y845" s="4" t="s">
        <v>96</v>
      </c>
      <c r="Z845" s="4" t="s">
        <v>96</v>
      </c>
      <c r="AA845" s="3">
        <v>285</v>
      </c>
      <c r="AB845" s="3">
        <v>249</v>
      </c>
      <c r="AC845" s="3">
        <v>251</v>
      </c>
      <c r="AD845" s="3">
        <v>4</v>
      </c>
      <c r="AE845" s="3">
        <v>4</v>
      </c>
      <c r="AF845" s="3">
        <v>12</v>
      </c>
      <c r="AG845" s="3">
        <v>12</v>
      </c>
      <c r="AH845" s="3">
        <v>4</v>
      </c>
      <c r="AI845" s="3">
        <v>4</v>
      </c>
      <c r="AJ845" s="3">
        <v>2</v>
      </c>
      <c r="AK845" s="3">
        <v>2</v>
      </c>
      <c r="AL845" s="3">
        <v>6</v>
      </c>
      <c r="AM845" s="3">
        <v>6</v>
      </c>
      <c r="AN845" s="3">
        <v>3</v>
      </c>
      <c r="AO845" s="3">
        <v>3</v>
      </c>
      <c r="AP845" s="3">
        <v>0</v>
      </c>
      <c r="AQ845" s="3">
        <v>0</v>
      </c>
      <c r="AR845" s="2" t="s">
        <v>5</v>
      </c>
      <c r="AS845" s="2" t="s">
        <v>16</v>
      </c>
      <c r="AT845" s="5" t="str">
        <f>HYPERLINK("http://catalog.hathitrust.org/Record/000027909","HathiTrust Record")</f>
        <v>HathiTrust Record</v>
      </c>
      <c r="AU845" s="5" t="str">
        <f>HYPERLINK("https://creighton-primo.hosted.exlibrisgroup.com/primo-explore/search?tab=default_tab&amp;search_scope=EVERYTHING&amp;vid=01CRU&amp;lang=en_US&amp;offset=0&amp;query=any,contains,991001152209702656","Catalog Record")</f>
        <v>Catalog Record</v>
      </c>
      <c r="AV845" s="5" t="str">
        <f>HYPERLINK("http://www.worldcat.org/oclc/4668704","WorldCat Record")</f>
        <v>WorldCat Record</v>
      </c>
      <c r="AW845" s="2" t="s">
        <v>10320</v>
      </c>
      <c r="AX845" s="2" t="s">
        <v>10321</v>
      </c>
      <c r="AY845" s="2" t="s">
        <v>10322</v>
      </c>
      <c r="AZ845" s="2" t="s">
        <v>10322</v>
      </c>
      <c r="BA845" s="2" t="s">
        <v>10323</v>
      </c>
      <c r="BB845" s="2" t="s">
        <v>21</v>
      </c>
      <c r="BD845" s="2" t="s">
        <v>10324</v>
      </c>
      <c r="BE845" s="2" t="s">
        <v>10325</v>
      </c>
      <c r="BF845" s="2" t="s">
        <v>10326</v>
      </c>
    </row>
    <row r="846" spans="1:58" ht="41.25" customHeight="1" x14ac:dyDescent="0.25">
      <c r="A846" s="8" t="s">
        <v>5</v>
      </c>
      <c r="B846" s="1" t="s">
        <v>0</v>
      </c>
      <c r="C846" s="1" t="s">
        <v>1</v>
      </c>
      <c r="D846" s="1" t="s">
        <v>10327</v>
      </c>
      <c r="E846" s="1" t="s">
        <v>10328</v>
      </c>
      <c r="F846" s="1" t="s">
        <v>10329</v>
      </c>
      <c r="H846" s="2" t="s">
        <v>5</v>
      </c>
      <c r="I846" s="2" t="s">
        <v>6</v>
      </c>
      <c r="J846" s="2" t="s">
        <v>5</v>
      </c>
      <c r="K846" s="2" t="s">
        <v>5</v>
      </c>
      <c r="L846" s="2" t="s">
        <v>7</v>
      </c>
      <c r="M846" s="1" t="s">
        <v>10330</v>
      </c>
      <c r="N846" s="1" t="s">
        <v>10331</v>
      </c>
      <c r="O846" s="2" t="s">
        <v>2726</v>
      </c>
      <c r="Q846" s="2" t="s">
        <v>11</v>
      </c>
      <c r="R846" s="2" t="s">
        <v>229</v>
      </c>
      <c r="T846" s="2" t="s">
        <v>520</v>
      </c>
      <c r="U846" s="3">
        <v>3</v>
      </c>
      <c r="V846" s="3">
        <v>3</v>
      </c>
      <c r="W846" s="4" t="s">
        <v>10332</v>
      </c>
      <c r="X846" s="4" t="s">
        <v>10332</v>
      </c>
      <c r="Y846" s="4" t="s">
        <v>80</v>
      </c>
      <c r="Z846" s="4" t="s">
        <v>80</v>
      </c>
      <c r="AA846" s="3">
        <v>268</v>
      </c>
      <c r="AB846" s="3">
        <v>214</v>
      </c>
      <c r="AC846" s="3">
        <v>223</v>
      </c>
      <c r="AD846" s="3">
        <v>2</v>
      </c>
      <c r="AE846" s="3">
        <v>2</v>
      </c>
      <c r="AF846" s="3">
        <v>11</v>
      </c>
      <c r="AG846" s="3">
        <v>11</v>
      </c>
      <c r="AH846" s="3">
        <v>3</v>
      </c>
      <c r="AI846" s="3">
        <v>3</v>
      </c>
      <c r="AJ846" s="3">
        <v>3</v>
      </c>
      <c r="AK846" s="3">
        <v>3</v>
      </c>
      <c r="AL846" s="3">
        <v>6</v>
      </c>
      <c r="AM846" s="3">
        <v>6</v>
      </c>
      <c r="AN846" s="3">
        <v>1</v>
      </c>
      <c r="AO846" s="3">
        <v>1</v>
      </c>
      <c r="AP846" s="3">
        <v>0</v>
      </c>
      <c r="AQ846" s="3">
        <v>0</v>
      </c>
      <c r="AR846" s="2" t="s">
        <v>5</v>
      </c>
      <c r="AS846" s="2" t="s">
        <v>16</v>
      </c>
      <c r="AT846" s="5" t="str">
        <f>HYPERLINK("http://catalog.hathitrust.org/Record/001574761","HathiTrust Record")</f>
        <v>HathiTrust Record</v>
      </c>
      <c r="AU846" s="5" t="str">
        <f>HYPERLINK("https://creighton-primo.hosted.exlibrisgroup.com/primo-explore/search?tab=default_tab&amp;search_scope=EVERYTHING&amp;vid=01CRU&amp;lang=en_US&amp;offset=0&amp;query=any,contains,991001152289702656","Catalog Record")</f>
        <v>Catalog Record</v>
      </c>
      <c r="AV846" s="5" t="str">
        <f>HYPERLINK("http://www.worldcat.org/oclc/286829","WorldCat Record")</f>
        <v>WorldCat Record</v>
      </c>
      <c r="AW846" s="2" t="s">
        <v>10333</v>
      </c>
      <c r="AX846" s="2" t="s">
        <v>10334</v>
      </c>
      <c r="AY846" s="2" t="s">
        <v>10335</v>
      </c>
      <c r="AZ846" s="2" t="s">
        <v>10335</v>
      </c>
      <c r="BA846" s="2" t="s">
        <v>10336</v>
      </c>
      <c r="BB846" s="2" t="s">
        <v>21</v>
      </c>
      <c r="BD846" s="2" t="s">
        <v>10337</v>
      </c>
      <c r="BE846" s="2" t="s">
        <v>10338</v>
      </c>
      <c r="BF846" s="2" t="s">
        <v>10339</v>
      </c>
    </row>
    <row r="847" spans="1:58" ht="41.25" customHeight="1" x14ac:dyDescent="0.25">
      <c r="A847" s="8" t="s">
        <v>5</v>
      </c>
      <c r="B847" s="1" t="s">
        <v>0</v>
      </c>
      <c r="C847" s="1" t="s">
        <v>1</v>
      </c>
      <c r="D847" s="1" t="s">
        <v>10340</v>
      </c>
      <c r="E847" s="1" t="s">
        <v>10341</v>
      </c>
      <c r="F847" s="1" t="s">
        <v>10342</v>
      </c>
      <c r="H847" s="2" t="s">
        <v>5</v>
      </c>
      <c r="I847" s="2" t="s">
        <v>6</v>
      </c>
      <c r="J847" s="2" t="s">
        <v>5</v>
      </c>
      <c r="K847" s="2" t="s">
        <v>16</v>
      </c>
      <c r="L847" s="2" t="s">
        <v>7</v>
      </c>
      <c r="M847" s="1" t="s">
        <v>10343</v>
      </c>
      <c r="N847" s="1" t="s">
        <v>10344</v>
      </c>
      <c r="O847" s="2" t="s">
        <v>1060</v>
      </c>
      <c r="Q847" s="2" t="s">
        <v>11</v>
      </c>
      <c r="R847" s="2" t="s">
        <v>271</v>
      </c>
      <c r="T847" s="2" t="s">
        <v>520</v>
      </c>
      <c r="U847" s="3">
        <v>3</v>
      </c>
      <c r="V847" s="3">
        <v>3</v>
      </c>
      <c r="W847" s="4" t="s">
        <v>10345</v>
      </c>
      <c r="X847" s="4" t="s">
        <v>10345</v>
      </c>
      <c r="Y847" s="4" t="s">
        <v>10346</v>
      </c>
      <c r="Z847" s="4" t="s">
        <v>10346</v>
      </c>
      <c r="AA847" s="3">
        <v>210</v>
      </c>
      <c r="AB847" s="3">
        <v>155</v>
      </c>
      <c r="AC847" s="3">
        <v>701</v>
      </c>
      <c r="AD847" s="3">
        <v>2</v>
      </c>
      <c r="AE847" s="3">
        <v>4</v>
      </c>
      <c r="AF847" s="3">
        <v>3</v>
      </c>
      <c r="AG847" s="3">
        <v>22</v>
      </c>
      <c r="AH847" s="3">
        <v>2</v>
      </c>
      <c r="AI847" s="3">
        <v>8</v>
      </c>
      <c r="AJ847" s="3">
        <v>0</v>
      </c>
      <c r="AK847" s="3">
        <v>4</v>
      </c>
      <c r="AL847" s="3">
        <v>1</v>
      </c>
      <c r="AM847" s="3">
        <v>11</v>
      </c>
      <c r="AN847" s="3">
        <v>1</v>
      </c>
      <c r="AO847" s="3">
        <v>2</v>
      </c>
      <c r="AP847" s="3">
        <v>0</v>
      </c>
      <c r="AQ847" s="3">
        <v>0</v>
      </c>
      <c r="AR847" s="2" t="s">
        <v>5</v>
      </c>
      <c r="AS847" s="2" t="s">
        <v>5</v>
      </c>
      <c r="AU847" s="5" t="str">
        <f>HYPERLINK("https://creighton-primo.hosted.exlibrisgroup.com/primo-explore/search?tab=default_tab&amp;search_scope=EVERYTHING&amp;vid=01CRU&amp;lang=en_US&amp;offset=0&amp;query=any,contains,991000475939702656","Catalog Record")</f>
        <v>Catalog Record</v>
      </c>
      <c r="AV847" s="5" t="str">
        <f>HYPERLINK("http://www.worldcat.org/oclc/57937093","WorldCat Record")</f>
        <v>WorldCat Record</v>
      </c>
      <c r="AW847" s="2" t="s">
        <v>10347</v>
      </c>
      <c r="AX847" s="2" t="s">
        <v>10348</v>
      </c>
      <c r="AY847" s="2" t="s">
        <v>10349</v>
      </c>
      <c r="AZ847" s="2" t="s">
        <v>10349</v>
      </c>
      <c r="BA847" s="2" t="s">
        <v>10350</v>
      </c>
      <c r="BB847" s="2" t="s">
        <v>21</v>
      </c>
      <c r="BD847" s="2" t="s">
        <v>10351</v>
      </c>
      <c r="BE847" s="2" t="s">
        <v>10352</v>
      </c>
      <c r="BF847" s="2" t="s">
        <v>10353</v>
      </c>
    </row>
    <row r="848" spans="1:58" ht="41.25" customHeight="1" x14ac:dyDescent="0.25">
      <c r="A848" s="8" t="s">
        <v>5</v>
      </c>
      <c r="B848" s="1" t="s">
        <v>0</v>
      </c>
      <c r="C848" s="1" t="s">
        <v>1</v>
      </c>
      <c r="D848" s="1" t="s">
        <v>10354</v>
      </c>
      <c r="E848" s="1" t="s">
        <v>10355</v>
      </c>
      <c r="F848" s="1" t="s">
        <v>10356</v>
      </c>
      <c r="H848" s="2" t="s">
        <v>5</v>
      </c>
      <c r="I848" s="2" t="s">
        <v>6</v>
      </c>
      <c r="J848" s="2" t="s">
        <v>5</v>
      </c>
      <c r="K848" s="2" t="s">
        <v>5</v>
      </c>
      <c r="L848" s="2" t="s">
        <v>7</v>
      </c>
      <c r="M848" s="1" t="s">
        <v>8820</v>
      </c>
      <c r="N848" s="1" t="s">
        <v>10357</v>
      </c>
      <c r="O848" s="2" t="s">
        <v>62</v>
      </c>
      <c r="Q848" s="2" t="s">
        <v>11</v>
      </c>
      <c r="R848" s="2" t="s">
        <v>7271</v>
      </c>
      <c r="T848" s="2" t="s">
        <v>520</v>
      </c>
      <c r="U848" s="3">
        <v>4</v>
      </c>
      <c r="V848" s="3">
        <v>4</v>
      </c>
      <c r="W848" s="4" t="s">
        <v>10358</v>
      </c>
      <c r="X848" s="4" t="s">
        <v>10358</v>
      </c>
      <c r="Y848" s="4" t="s">
        <v>96</v>
      </c>
      <c r="Z848" s="4" t="s">
        <v>96</v>
      </c>
      <c r="AA848" s="3">
        <v>43</v>
      </c>
      <c r="AB848" s="3">
        <v>38</v>
      </c>
      <c r="AC848" s="3">
        <v>38</v>
      </c>
      <c r="AD848" s="3">
        <v>2</v>
      </c>
      <c r="AE848" s="3">
        <v>2</v>
      </c>
      <c r="AF848" s="3">
        <v>5</v>
      </c>
      <c r="AG848" s="3">
        <v>5</v>
      </c>
      <c r="AH848" s="3">
        <v>1</v>
      </c>
      <c r="AI848" s="3">
        <v>1</v>
      </c>
      <c r="AJ848" s="3">
        <v>0</v>
      </c>
      <c r="AK848" s="3">
        <v>0</v>
      </c>
      <c r="AL848" s="3">
        <v>3</v>
      </c>
      <c r="AM848" s="3">
        <v>3</v>
      </c>
      <c r="AN848" s="3">
        <v>1</v>
      </c>
      <c r="AO848" s="3">
        <v>1</v>
      </c>
      <c r="AP848" s="3">
        <v>0</v>
      </c>
      <c r="AQ848" s="3">
        <v>0</v>
      </c>
      <c r="AR848" s="2" t="s">
        <v>5</v>
      </c>
      <c r="AS848" s="2" t="s">
        <v>5</v>
      </c>
      <c r="AU848" s="5" t="str">
        <f>HYPERLINK("https://creighton-primo.hosted.exlibrisgroup.com/primo-explore/search?tab=default_tab&amp;search_scope=EVERYTHING&amp;vid=01CRU&amp;lang=en_US&amp;offset=0&amp;query=any,contains,991001152309702656","Catalog Record")</f>
        <v>Catalog Record</v>
      </c>
      <c r="AV848" s="5" t="str">
        <f>HYPERLINK("http://www.worldcat.org/oclc/3856808","WorldCat Record")</f>
        <v>WorldCat Record</v>
      </c>
      <c r="AW848" s="2" t="s">
        <v>10359</v>
      </c>
      <c r="AX848" s="2" t="s">
        <v>10360</v>
      </c>
      <c r="AY848" s="2" t="s">
        <v>10361</v>
      </c>
      <c r="AZ848" s="2" t="s">
        <v>10361</v>
      </c>
      <c r="BA848" s="2" t="s">
        <v>10362</v>
      </c>
      <c r="BB848" s="2" t="s">
        <v>21</v>
      </c>
      <c r="BD848" s="2" t="s">
        <v>10363</v>
      </c>
      <c r="BE848" s="2" t="s">
        <v>10364</v>
      </c>
      <c r="BF848" s="2" t="s">
        <v>10365</v>
      </c>
    </row>
    <row r="849" spans="1:58" ht="41.25" customHeight="1" x14ac:dyDescent="0.25">
      <c r="A849" s="8" t="s">
        <v>5</v>
      </c>
      <c r="B849" s="1" t="s">
        <v>0</v>
      </c>
      <c r="C849" s="1" t="s">
        <v>1</v>
      </c>
      <c r="D849" s="1" t="s">
        <v>10366</v>
      </c>
      <c r="E849" s="1" t="s">
        <v>10367</v>
      </c>
      <c r="F849" s="1" t="s">
        <v>10368</v>
      </c>
      <c r="H849" s="2" t="s">
        <v>5</v>
      </c>
      <c r="I849" s="2" t="s">
        <v>6</v>
      </c>
      <c r="J849" s="2" t="s">
        <v>5</v>
      </c>
      <c r="K849" s="2" t="s">
        <v>5</v>
      </c>
      <c r="L849" s="2" t="s">
        <v>7</v>
      </c>
      <c r="M849" s="1" t="s">
        <v>10369</v>
      </c>
      <c r="N849" s="1" t="s">
        <v>10370</v>
      </c>
      <c r="O849" s="2" t="s">
        <v>62</v>
      </c>
      <c r="Q849" s="2" t="s">
        <v>11</v>
      </c>
      <c r="R849" s="2" t="s">
        <v>12</v>
      </c>
      <c r="T849" s="2" t="s">
        <v>520</v>
      </c>
      <c r="U849" s="3">
        <v>3</v>
      </c>
      <c r="V849" s="3">
        <v>3</v>
      </c>
      <c r="W849" s="4" t="s">
        <v>10371</v>
      </c>
      <c r="X849" s="4" t="s">
        <v>10371</v>
      </c>
      <c r="Y849" s="4" t="s">
        <v>96</v>
      </c>
      <c r="Z849" s="4" t="s">
        <v>96</v>
      </c>
      <c r="AA849" s="3">
        <v>206</v>
      </c>
      <c r="AB849" s="3">
        <v>172</v>
      </c>
      <c r="AC849" s="3">
        <v>174</v>
      </c>
      <c r="AD849" s="3">
        <v>3</v>
      </c>
      <c r="AE849" s="3">
        <v>3</v>
      </c>
      <c r="AF849" s="3">
        <v>13</v>
      </c>
      <c r="AG849" s="3">
        <v>13</v>
      </c>
      <c r="AH849" s="3">
        <v>6</v>
      </c>
      <c r="AI849" s="3">
        <v>6</v>
      </c>
      <c r="AJ849" s="3">
        <v>1</v>
      </c>
      <c r="AK849" s="3">
        <v>1</v>
      </c>
      <c r="AL849" s="3">
        <v>5</v>
      </c>
      <c r="AM849" s="3">
        <v>5</v>
      </c>
      <c r="AN849" s="3">
        <v>2</v>
      </c>
      <c r="AO849" s="3">
        <v>2</v>
      </c>
      <c r="AP849" s="3">
        <v>0</v>
      </c>
      <c r="AQ849" s="3">
        <v>0</v>
      </c>
      <c r="AR849" s="2" t="s">
        <v>5</v>
      </c>
      <c r="AS849" s="2" t="s">
        <v>16</v>
      </c>
      <c r="AT849" s="5" t="str">
        <f>HYPERLINK("http://catalog.hathitrust.org/Record/000747327","HathiTrust Record")</f>
        <v>HathiTrust Record</v>
      </c>
      <c r="AU849" s="5" t="str">
        <f>HYPERLINK("https://creighton-primo.hosted.exlibrisgroup.com/primo-explore/search?tab=default_tab&amp;search_scope=EVERYTHING&amp;vid=01CRU&amp;lang=en_US&amp;offset=0&amp;query=any,contains,991001152349702656","Catalog Record")</f>
        <v>Catalog Record</v>
      </c>
      <c r="AV849" s="5" t="str">
        <f>HYPERLINK("http://www.worldcat.org/oclc/3275416","WorldCat Record")</f>
        <v>WorldCat Record</v>
      </c>
      <c r="AW849" s="2" t="s">
        <v>10372</v>
      </c>
      <c r="AX849" s="2" t="s">
        <v>10373</v>
      </c>
      <c r="AY849" s="2" t="s">
        <v>10374</v>
      </c>
      <c r="AZ849" s="2" t="s">
        <v>10374</v>
      </c>
      <c r="BA849" s="2" t="s">
        <v>10375</v>
      </c>
      <c r="BB849" s="2" t="s">
        <v>21</v>
      </c>
      <c r="BD849" s="2" t="s">
        <v>10376</v>
      </c>
      <c r="BE849" s="2" t="s">
        <v>10377</v>
      </c>
      <c r="BF849" s="2" t="s">
        <v>10378</v>
      </c>
    </row>
    <row r="850" spans="1:58" ht="41.25" customHeight="1" x14ac:dyDescent="0.25">
      <c r="A850" s="8" t="s">
        <v>5</v>
      </c>
      <c r="B850" s="1" t="s">
        <v>0</v>
      </c>
      <c r="C850" s="1" t="s">
        <v>1</v>
      </c>
      <c r="D850" s="1" t="s">
        <v>10379</v>
      </c>
      <c r="E850" s="1" t="s">
        <v>10380</v>
      </c>
      <c r="F850" s="1" t="s">
        <v>10381</v>
      </c>
      <c r="H850" s="2" t="s">
        <v>5</v>
      </c>
      <c r="I850" s="2" t="s">
        <v>6</v>
      </c>
      <c r="J850" s="2" t="s">
        <v>5</v>
      </c>
      <c r="K850" s="2" t="s">
        <v>5</v>
      </c>
      <c r="L850" s="2" t="s">
        <v>7</v>
      </c>
      <c r="M850" s="1" t="s">
        <v>10382</v>
      </c>
      <c r="N850" s="1" t="s">
        <v>10383</v>
      </c>
      <c r="O850" s="2" t="s">
        <v>210</v>
      </c>
      <c r="P850" s="1" t="s">
        <v>211</v>
      </c>
      <c r="Q850" s="2" t="s">
        <v>11</v>
      </c>
      <c r="R850" s="2" t="s">
        <v>31</v>
      </c>
      <c r="T850" s="2" t="s">
        <v>520</v>
      </c>
      <c r="U850" s="3">
        <v>9</v>
      </c>
      <c r="V850" s="3">
        <v>9</v>
      </c>
      <c r="W850" s="4" t="s">
        <v>2815</v>
      </c>
      <c r="X850" s="4" t="s">
        <v>2815</v>
      </c>
      <c r="Y850" s="4" t="s">
        <v>10384</v>
      </c>
      <c r="Z850" s="4" t="s">
        <v>10384</v>
      </c>
      <c r="AA850" s="3">
        <v>405</v>
      </c>
      <c r="AB850" s="3">
        <v>319</v>
      </c>
      <c r="AC850" s="3">
        <v>328</v>
      </c>
      <c r="AD850" s="3">
        <v>1</v>
      </c>
      <c r="AE850" s="3">
        <v>1</v>
      </c>
      <c r="AF850" s="3">
        <v>7</v>
      </c>
      <c r="AG850" s="3">
        <v>7</v>
      </c>
      <c r="AH850" s="3">
        <v>4</v>
      </c>
      <c r="AI850" s="3">
        <v>4</v>
      </c>
      <c r="AJ850" s="3">
        <v>1</v>
      </c>
      <c r="AK850" s="3">
        <v>1</v>
      </c>
      <c r="AL850" s="3">
        <v>5</v>
      </c>
      <c r="AM850" s="3">
        <v>5</v>
      </c>
      <c r="AN850" s="3">
        <v>0</v>
      </c>
      <c r="AO850" s="3">
        <v>0</v>
      </c>
      <c r="AP850" s="3">
        <v>0</v>
      </c>
      <c r="AQ850" s="3">
        <v>0</v>
      </c>
      <c r="AR850" s="2" t="s">
        <v>5</v>
      </c>
      <c r="AS850" s="2" t="s">
        <v>16</v>
      </c>
      <c r="AT850" s="5" t="str">
        <f>HYPERLINK("http://catalog.hathitrust.org/Record/002611720","HathiTrust Record")</f>
        <v>HathiTrust Record</v>
      </c>
      <c r="AU850" s="5" t="str">
        <f>HYPERLINK("https://creighton-primo.hosted.exlibrisgroup.com/primo-explore/search?tab=default_tab&amp;search_scope=EVERYTHING&amp;vid=01CRU&amp;lang=en_US&amp;offset=0&amp;query=any,contains,991001471499702656","Catalog Record")</f>
        <v>Catalog Record</v>
      </c>
      <c r="AV850" s="5" t="str">
        <f>HYPERLINK("http://www.worldcat.org/oclc/24319409","WorldCat Record")</f>
        <v>WorldCat Record</v>
      </c>
      <c r="AW850" s="2" t="s">
        <v>10385</v>
      </c>
      <c r="AX850" s="2" t="s">
        <v>10386</v>
      </c>
      <c r="AY850" s="2" t="s">
        <v>10387</v>
      </c>
      <c r="AZ850" s="2" t="s">
        <v>10387</v>
      </c>
      <c r="BA850" s="2" t="s">
        <v>10388</v>
      </c>
      <c r="BB850" s="2" t="s">
        <v>21</v>
      </c>
      <c r="BD850" s="2" t="s">
        <v>10389</v>
      </c>
      <c r="BE850" s="2" t="s">
        <v>10390</v>
      </c>
      <c r="BF850" s="2" t="s">
        <v>10391</v>
      </c>
    </row>
    <row r="851" spans="1:58" ht="41.25" customHeight="1" x14ac:dyDescent="0.25">
      <c r="A851" s="8" t="s">
        <v>5</v>
      </c>
      <c r="B851" s="1" t="s">
        <v>0</v>
      </c>
      <c r="C851" s="1" t="s">
        <v>1</v>
      </c>
      <c r="D851" s="1" t="s">
        <v>10392</v>
      </c>
      <c r="E851" s="1" t="s">
        <v>10393</v>
      </c>
      <c r="F851" s="1" t="s">
        <v>10394</v>
      </c>
      <c r="H851" s="2" t="s">
        <v>5</v>
      </c>
      <c r="I851" s="2" t="s">
        <v>6</v>
      </c>
      <c r="J851" s="2" t="s">
        <v>5</v>
      </c>
      <c r="K851" s="2" t="s">
        <v>5</v>
      </c>
      <c r="L851" s="2" t="s">
        <v>6</v>
      </c>
      <c r="N851" s="1" t="s">
        <v>10395</v>
      </c>
      <c r="O851" s="2" t="s">
        <v>8055</v>
      </c>
      <c r="P851" s="1" t="s">
        <v>8431</v>
      </c>
      <c r="Q851" s="2" t="s">
        <v>11</v>
      </c>
      <c r="R851" s="2" t="s">
        <v>78</v>
      </c>
      <c r="T851" s="2" t="s">
        <v>520</v>
      </c>
      <c r="U851" s="3">
        <v>2</v>
      </c>
      <c r="V851" s="3">
        <v>2</v>
      </c>
      <c r="W851" s="4" t="s">
        <v>10187</v>
      </c>
      <c r="X851" s="4" t="s">
        <v>10187</v>
      </c>
      <c r="Y851" s="4" t="s">
        <v>10396</v>
      </c>
      <c r="Z851" s="4" t="s">
        <v>10396</v>
      </c>
      <c r="AA851" s="3">
        <v>357</v>
      </c>
      <c r="AB851" s="3">
        <v>303</v>
      </c>
      <c r="AC851" s="3">
        <v>1558</v>
      </c>
      <c r="AD851" s="3">
        <v>2</v>
      </c>
      <c r="AE851" s="3">
        <v>16</v>
      </c>
      <c r="AF851" s="3">
        <v>13</v>
      </c>
      <c r="AG851" s="3">
        <v>58</v>
      </c>
      <c r="AH851" s="3">
        <v>7</v>
      </c>
      <c r="AI851" s="3">
        <v>21</v>
      </c>
      <c r="AJ851" s="3">
        <v>2</v>
      </c>
      <c r="AK851" s="3">
        <v>9</v>
      </c>
      <c r="AL851" s="3">
        <v>5</v>
      </c>
      <c r="AM851" s="3">
        <v>21</v>
      </c>
      <c r="AN851" s="3">
        <v>0</v>
      </c>
      <c r="AO851" s="3">
        <v>13</v>
      </c>
      <c r="AP851" s="3">
        <v>0</v>
      </c>
      <c r="AQ851" s="3">
        <v>3</v>
      </c>
      <c r="AR851" s="2" t="s">
        <v>5</v>
      </c>
      <c r="AS851" s="2" t="s">
        <v>5</v>
      </c>
      <c r="AU851" s="5" t="str">
        <f>HYPERLINK("https://creighton-primo.hosted.exlibrisgroup.com/primo-explore/search?tab=default_tab&amp;search_scope=EVERYTHING&amp;vid=01CRU&amp;lang=en_US&amp;offset=0&amp;query=any,contains,991001466789702656","Catalog Record")</f>
        <v>Catalog Record</v>
      </c>
      <c r="AV851" s="5" t="str">
        <f>HYPERLINK("http://www.worldcat.org/oclc/225389320","WorldCat Record")</f>
        <v>WorldCat Record</v>
      </c>
      <c r="AW851" s="2" t="s">
        <v>10397</v>
      </c>
      <c r="AX851" s="2" t="s">
        <v>10398</v>
      </c>
      <c r="AY851" s="2" t="s">
        <v>10399</v>
      </c>
      <c r="AZ851" s="2" t="s">
        <v>10399</v>
      </c>
      <c r="BA851" s="2" t="s">
        <v>10400</v>
      </c>
      <c r="BB851" s="2" t="s">
        <v>21</v>
      </c>
      <c r="BD851" s="2" t="s">
        <v>10401</v>
      </c>
      <c r="BE851" s="2" t="s">
        <v>10402</v>
      </c>
      <c r="BF851" s="2" t="s">
        <v>10403</v>
      </c>
    </row>
    <row r="852" spans="1:58" ht="41.25" customHeight="1" x14ac:dyDescent="0.25">
      <c r="A852" s="8" t="s">
        <v>5</v>
      </c>
      <c r="B852" s="1" t="s">
        <v>0</v>
      </c>
      <c r="C852" s="1" t="s">
        <v>1</v>
      </c>
      <c r="D852" s="1" t="s">
        <v>10404</v>
      </c>
      <c r="E852" s="1" t="s">
        <v>10405</v>
      </c>
      <c r="F852" s="1" t="s">
        <v>10406</v>
      </c>
      <c r="H852" s="2" t="s">
        <v>5</v>
      </c>
      <c r="I852" s="2" t="s">
        <v>6</v>
      </c>
      <c r="J852" s="2" t="s">
        <v>5</v>
      </c>
      <c r="K852" s="2" t="s">
        <v>5</v>
      </c>
      <c r="L852" s="2" t="s">
        <v>7</v>
      </c>
      <c r="M852" s="1" t="s">
        <v>10407</v>
      </c>
      <c r="N852" s="1" t="s">
        <v>10408</v>
      </c>
      <c r="O852" s="2" t="s">
        <v>151</v>
      </c>
      <c r="Q852" s="2" t="s">
        <v>11</v>
      </c>
      <c r="R852" s="2" t="s">
        <v>12</v>
      </c>
      <c r="T852" s="2" t="s">
        <v>520</v>
      </c>
      <c r="U852" s="3">
        <v>2</v>
      </c>
      <c r="V852" s="3">
        <v>2</v>
      </c>
      <c r="W852" s="4" t="s">
        <v>10409</v>
      </c>
      <c r="X852" s="4" t="s">
        <v>10409</v>
      </c>
      <c r="Y852" s="4" t="s">
        <v>96</v>
      </c>
      <c r="Z852" s="4" t="s">
        <v>96</v>
      </c>
      <c r="AA852" s="3">
        <v>204</v>
      </c>
      <c r="AB852" s="3">
        <v>167</v>
      </c>
      <c r="AC852" s="3">
        <v>172</v>
      </c>
      <c r="AD852" s="3">
        <v>1</v>
      </c>
      <c r="AE852" s="3">
        <v>1</v>
      </c>
      <c r="AF852" s="3">
        <v>6</v>
      </c>
      <c r="AG852" s="3">
        <v>6</v>
      </c>
      <c r="AH852" s="3">
        <v>2</v>
      </c>
      <c r="AI852" s="3">
        <v>2</v>
      </c>
      <c r="AJ852" s="3">
        <v>0</v>
      </c>
      <c r="AK852" s="3">
        <v>0</v>
      </c>
      <c r="AL852" s="3">
        <v>4</v>
      </c>
      <c r="AM852" s="3">
        <v>4</v>
      </c>
      <c r="AN852" s="3">
        <v>0</v>
      </c>
      <c r="AO852" s="3">
        <v>0</v>
      </c>
      <c r="AP852" s="3">
        <v>0</v>
      </c>
      <c r="AQ852" s="3">
        <v>0</v>
      </c>
      <c r="AR852" s="2" t="s">
        <v>5</v>
      </c>
      <c r="AS852" s="2" t="s">
        <v>5</v>
      </c>
      <c r="AU852" s="5" t="str">
        <f>HYPERLINK("https://creighton-primo.hosted.exlibrisgroup.com/primo-explore/search?tab=default_tab&amp;search_scope=EVERYTHING&amp;vid=01CRU&amp;lang=en_US&amp;offset=0&amp;query=any,contains,991001152379702656","Catalog Record")</f>
        <v>Catalog Record</v>
      </c>
      <c r="AV852" s="5" t="str">
        <f>HYPERLINK("http://www.worldcat.org/oclc/1169799","WorldCat Record")</f>
        <v>WorldCat Record</v>
      </c>
      <c r="AW852" s="2" t="s">
        <v>10410</v>
      </c>
      <c r="AX852" s="2" t="s">
        <v>10411</v>
      </c>
      <c r="AY852" s="2" t="s">
        <v>10412</v>
      </c>
      <c r="AZ852" s="2" t="s">
        <v>10412</v>
      </c>
      <c r="BA852" s="2" t="s">
        <v>10413</v>
      </c>
      <c r="BB852" s="2" t="s">
        <v>21</v>
      </c>
      <c r="BD852" s="2" t="s">
        <v>10414</v>
      </c>
      <c r="BE852" s="2" t="s">
        <v>10415</v>
      </c>
      <c r="BF852" s="2" t="s">
        <v>10416</v>
      </c>
    </row>
    <row r="853" spans="1:58" ht="41.25" customHeight="1" x14ac:dyDescent="0.25">
      <c r="A853" s="8" t="s">
        <v>5</v>
      </c>
      <c r="B853" s="1" t="s">
        <v>0</v>
      </c>
      <c r="C853" s="1" t="s">
        <v>1</v>
      </c>
      <c r="D853" s="1" t="s">
        <v>10417</v>
      </c>
      <c r="E853" s="1" t="s">
        <v>10418</v>
      </c>
      <c r="F853" s="1" t="s">
        <v>10419</v>
      </c>
      <c r="H853" s="2" t="s">
        <v>5</v>
      </c>
      <c r="I853" s="2" t="s">
        <v>6</v>
      </c>
      <c r="J853" s="2" t="s">
        <v>5</v>
      </c>
      <c r="K853" s="2" t="s">
        <v>5</v>
      </c>
      <c r="L853" s="2" t="s">
        <v>7</v>
      </c>
      <c r="M853" s="1" t="s">
        <v>10420</v>
      </c>
      <c r="N853" s="1" t="s">
        <v>6408</v>
      </c>
      <c r="O853" s="2" t="s">
        <v>228</v>
      </c>
      <c r="Q853" s="2" t="s">
        <v>11</v>
      </c>
      <c r="R853" s="2" t="s">
        <v>12</v>
      </c>
      <c r="T853" s="2" t="s">
        <v>520</v>
      </c>
      <c r="U853" s="3">
        <v>5</v>
      </c>
      <c r="V853" s="3">
        <v>5</v>
      </c>
      <c r="W853" s="4" t="s">
        <v>10421</v>
      </c>
      <c r="X853" s="4" t="s">
        <v>10421</v>
      </c>
      <c r="Y853" s="4" t="s">
        <v>96</v>
      </c>
      <c r="Z853" s="4" t="s">
        <v>96</v>
      </c>
      <c r="AA853" s="3">
        <v>179</v>
      </c>
      <c r="AB853" s="3">
        <v>142</v>
      </c>
      <c r="AC853" s="3">
        <v>144</v>
      </c>
      <c r="AD853" s="3">
        <v>1</v>
      </c>
      <c r="AE853" s="3">
        <v>1</v>
      </c>
      <c r="AF853" s="3">
        <v>4</v>
      </c>
      <c r="AG853" s="3">
        <v>4</v>
      </c>
      <c r="AH853" s="3">
        <v>2</v>
      </c>
      <c r="AI853" s="3">
        <v>2</v>
      </c>
      <c r="AJ853" s="3">
        <v>0</v>
      </c>
      <c r="AK853" s="3">
        <v>0</v>
      </c>
      <c r="AL853" s="3">
        <v>3</v>
      </c>
      <c r="AM853" s="3">
        <v>3</v>
      </c>
      <c r="AN853" s="3">
        <v>0</v>
      </c>
      <c r="AO853" s="3">
        <v>0</v>
      </c>
      <c r="AP853" s="3">
        <v>0</v>
      </c>
      <c r="AQ853" s="3">
        <v>0</v>
      </c>
      <c r="AR853" s="2" t="s">
        <v>5</v>
      </c>
      <c r="AS853" s="2" t="s">
        <v>16</v>
      </c>
      <c r="AT853" s="5" t="str">
        <f>HYPERLINK("http://catalog.hathitrust.org/Record/000307386","HathiTrust Record")</f>
        <v>HathiTrust Record</v>
      </c>
      <c r="AU853" s="5" t="str">
        <f>HYPERLINK("https://creighton-primo.hosted.exlibrisgroup.com/primo-explore/search?tab=default_tab&amp;search_scope=EVERYTHING&amp;vid=01CRU&amp;lang=en_US&amp;offset=0&amp;query=any,contains,991001152419702656","Catalog Record")</f>
        <v>Catalog Record</v>
      </c>
      <c r="AV853" s="5" t="str">
        <f>HYPERLINK("http://www.worldcat.org/oclc/8110656","WorldCat Record")</f>
        <v>WorldCat Record</v>
      </c>
      <c r="AW853" s="2" t="s">
        <v>10422</v>
      </c>
      <c r="AX853" s="2" t="s">
        <v>10423</v>
      </c>
      <c r="AY853" s="2" t="s">
        <v>10424</v>
      </c>
      <c r="AZ853" s="2" t="s">
        <v>10424</v>
      </c>
      <c r="BA853" s="2" t="s">
        <v>10425</v>
      </c>
      <c r="BB853" s="2" t="s">
        <v>21</v>
      </c>
      <c r="BD853" s="2" t="s">
        <v>10426</v>
      </c>
      <c r="BE853" s="2" t="s">
        <v>10427</v>
      </c>
      <c r="BF853" s="2" t="s">
        <v>10428</v>
      </c>
    </row>
    <row r="854" spans="1:58" ht="41.25" customHeight="1" x14ac:dyDescent="0.25">
      <c r="A854" s="8" t="s">
        <v>5</v>
      </c>
      <c r="B854" s="1" t="s">
        <v>0</v>
      </c>
      <c r="C854" s="1" t="s">
        <v>1</v>
      </c>
      <c r="D854" s="1" t="s">
        <v>10429</v>
      </c>
      <c r="E854" s="1" t="s">
        <v>10430</v>
      </c>
      <c r="F854" s="1" t="s">
        <v>10431</v>
      </c>
      <c r="H854" s="2" t="s">
        <v>5</v>
      </c>
      <c r="I854" s="2" t="s">
        <v>6</v>
      </c>
      <c r="J854" s="2" t="s">
        <v>5</v>
      </c>
      <c r="K854" s="2" t="s">
        <v>5</v>
      </c>
      <c r="L854" s="2" t="s">
        <v>7</v>
      </c>
      <c r="M854" s="1" t="s">
        <v>4769</v>
      </c>
      <c r="N854" s="1" t="s">
        <v>8540</v>
      </c>
      <c r="O854" s="2" t="s">
        <v>393</v>
      </c>
      <c r="Q854" s="2" t="s">
        <v>11</v>
      </c>
      <c r="R854" s="2" t="s">
        <v>229</v>
      </c>
      <c r="T854" s="2" t="s">
        <v>520</v>
      </c>
      <c r="U854" s="3">
        <v>6</v>
      </c>
      <c r="V854" s="3">
        <v>6</v>
      </c>
      <c r="W854" s="4" t="s">
        <v>10432</v>
      </c>
      <c r="X854" s="4" t="s">
        <v>10432</v>
      </c>
      <c r="Y854" s="4" t="s">
        <v>96</v>
      </c>
      <c r="Z854" s="4" t="s">
        <v>96</v>
      </c>
      <c r="AA854" s="3">
        <v>217</v>
      </c>
      <c r="AB854" s="3">
        <v>188</v>
      </c>
      <c r="AC854" s="3">
        <v>195</v>
      </c>
      <c r="AD854" s="3">
        <v>1</v>
      </c>
      <c r="AE854" s="3">
        <v>1</v>
      </c>
      <c r="AF854" s="3">
        <v>10</v>
      </c>
      <c r="AG854" s="3">
        <v>10</v>
      </c>
      <c r="AH854" s="3">
        <v>3</v>
      </c>
      <c r="AI854" s="3">
        <v>3</v>
      </c>
      <c r="AJ854" s="3">
        <v>3</v>
      </c>
      <c r="AK854" s="3">
        <v>3</v>
      </c>
      <c r="AL854" s="3">
        <v>6</v>
      </c>
      <c r="AM854" s="3">
        <v>6</v>
      </c>
      <c r="AN854" s="3">
        <v>0</v>
      </c>
      <c r="AO854" s="3">
        <v>0</v>
      </c>
      <c r="AP854" s="3">
        <v>0</v>
      </c>
      <c r="AQ854" s="3">
        <v>0</v>
      </c>
      <c r="AR854" s="2" t="s">
        <v>5</v>
      </c>
      <c r="AS854" s="2" t="s">
        <v>16</v>
      </c>
      <c r="AT854" s="5" t="str">
        <f>HYPERLINK("http://catalog.hathitrust.org/Record/000105004","HathiTrust Record")</f>
        <v>HathiTrust Record</v>
      </c>
      <c r="AU854" s="5" t="str">
        <f>HYPERLINK("https://creighton-primo.hosted.exlibrisgroup.com/primo-explore/search?tab=default_tab&amp;search_scope=EVERYTHING&amp;vid=01CRU&amp;lang=en_US&amp;offset=0&amp;query=any,contains,991001152449702656","Catalog Record")</f>
        <v>Catalog Record</v>
      </c>
      <c r="AV854" s="5" t="str">
        <f>HYPERLINK("http://www.worldcat.org/oclc/7647168","WorldCat Record")</f>
        <v>WorldCat Record</v>
      </c>
      <c r="AW854" s="2" t="s">
        <v>10433</v>
      </c>
      <c r="AX854" s="2" t="s">
        <v>10434</v>
      </c>
      <c r="AY854" s="2" t="s">
        <v>10435</v>
      </c>
      <c r="AZ854" s="2" t="s">
        <v>10435</v>
      </c>
      <c r="BA854" s="2" t="s">
        <v>10436</v>
      </c>
      <c r="BB854" s="2" t="s">
        <v>21</v>
      </c>
      <c r="BD854" s="2" t="s">
        <v>10437</v>
      </c>
      <c r="BE854" s="2" t="s">
        <v>10438</v>
      </c>
      <c r="BF854" s="2" t="s">
        <v>10439</v>
      </c>
    </row>
    <row r="855" spans="1:58" ht="41.25" customHeight="1" x14ac:dyDescent="0.25">
      <c r="A855" s="8" t="s">
        <v>5</v>
      </c>
      <c r="B855" s="1" t="s">
        <v>0</v>
      </c>
      <c r="C855" s="1" t="s">
        <v>1</v>
      </c>
      <c r="D855" s="1" t="s">
        <v>10440</v>
      </c>
      <c r="E855" s="1" t="s">
        <v>10441</v>
      </c>
      <c r="F855" s="1" t="s">
        <v>10442</v>
      </c>
      <c r="H855" s="2" t="s">
        <v>5</v>
      </c>
      <c r="I855" s="2" t="s">
        <v>6</v>
      </c>
      <c r="J855" s="2" t="s">
        <v>5</v>
      </c>
      <c r="K855" s="2" t="s">
        <v>5</v>
      </c>
      <c r="L855" s="2" t="s">
        <v>6</v>
      </c>
      <c r="M855" s="1" t="s">
        <v>10443</v>
      </c>
      <c r="N855" s="1" t="s">
        <v>10444</v>
      </c>
      <c r="O855" s="2" t="s">
        <v>4990</v>
      </c>
      <c r="Q855" s="2" t="s">
        <v>11</v>
      </c>
      <c r="R855" s="2" t="s">
        <v>12</v>
      </c>
      <c r="T855" s="2" t="s">
        <v>520</v>
      </c>
      <c r="U855" s="3">
        <v>1</v>
      </c>
      <c r="V855" s="3">
        <v>1</v>
      </c>
      <c r="W855" s="4" t="s">
        <v>5081</v>
      </c>
      <c r="X855" s="4" t="s">
        <v>5081</v>
      </c>
      <c r="Y855" s="4" t="s">
        <v>10445</v>
      </c>
      <c r="Z855" s="4" t="s">
        <v>10445</v>
      </c>
      <c r="AA855" s="3">
        <v>549</v>
      </c>
      <c r="AB855" s="3">
        <v>467</v>
      </c>
      <c r="AC855" s="3">
        <v>1378</v>
      </c>
      <c r="AD855" s="3">
        <v>2</v>
      </c>
      <c r="AE855" s="3">
        <v>14</v>
      </c>
      <c r="AF855" s="3">
        <v>28</v>
      </c>
      <c r="AG855" s="3">
        <v>58</v>
      </c>
      <c r="AH855" s="3">
        <v>13</v>
      </c>
      <c r="AI855" s="3">
        <v>22</v>
      </c>
      <c r="AJ855" s="3">
        <v>6</v>
      </c>
      <c r="AK855" s="3">
        <v>11</v>
      </c>
      <c r="AL855" s="3">
        <v>14</v>
      </c>
      <c r="AM855" s="3">
        <v>21</v>
      </c>
      <c r="AN855" s="3">
        <v>1</v>
      </c>
      <c r="AO855" s="3">
        <v>12</v>
      </c>
      <c r="AP855" s="3">
        <v>0</v>
      </c>
      <c r="AQ855" s="3">
        <v>2</v>
      </c>
      <c r="AR855" s="2" t="s">
        <v>5</v>
      </c>
      <c r="AS855" s="2" t="s">
        <v>16</v>
      </c>
      <c r="AT855" s="5" t="str">
        <f>HYPERLINK("http://catalog.hathitrust.org/Record/004212976","HathiTrust Record")</f>
        <v>HathiTrust Record</v>
      </c>
      <c r="AU855" s="5" t="str">
        <f>HYPERLINK("https://creighton-primo.hosted.exlibrisgroup.com/primo-explore/search?tab=default_tab&amp;search_scope=EVERYTHING&amp;vid=01CRU&amp;lang=en_US&amp;offset=0&amp;query=any,contains,991000308449702656","Catalog Record")</f>
        <v>Catalog Record</v>
      </c>
      <c r="AV855" s="5" t="str">
        <f>HYPERLINK("http://www.worldcat.org/oclc/46928686","WorldCat Record")</f>
        <v>WorldCat Record</v>
      </c>
      <c r="AW855" s="2" t="s">
        <v>10446</v>
      </c>
      <c r="AX855" s="2" t="s">
        <v>10447</v>
      </c>
      <c r="AY855" s="2" t="s">
        <v>10448</v>
      </c>
      <c r="AZ855" s="2" t="s">
        <v>10448</v>
      </c>
      <c r="BA855" s="2" t="s">
        <v>10449</v>
      </c>
      <c r="BB855" s="2" t="s">
        <v>21</v>
      </c>
      <c r="BD855" s="2" t="s">
        <v>10450</v>
      </c>
      <c r="BE855" s="2" t="s">
        <v>10451</v>
      </c>
      <c r="BF855" s="2" t="s">
        <v>10452</v>
      </c>
    </row>
    <row r="856" spans="1:58" ht="41.25" customHeight="1" x14ac:dyDescent="0.25">
      <c r="A856" s="8" t="s">
        <v>5</v>
      </c>
      <c r="B856" s="1" t="s">
        <v>0</v>
      </c>
      <c r="C856" s="1" t="s">
        <v>1</v>
      </c>
      <c r="D856" s="1" t="s">
        <v>10453</v>
      </c>
      <c r="E856" s="1" t="s">
        <v>10454</v>
      </c>
      <c r="F856" s="1" t="s">
        <v>10455</v>
      </c>
      <c r="H856" s="2" t="s">
        <v>5</v>
      </c>
      <c r="I856" s="2" t="s">
        <v>6</v>
      </c>
      <c r="J856" s="2" t="s">
        <v>5</v>
      </c>
      <c r="K856" s="2" t="s">
        <v>16</v>
      </c>
      <c r="L856" s="2" t="s">
        <v>7</v>
      </c>
      <c r="N856" s="1" t="s">
        <v>10456</v>
      </c>
      <c r="O856" s="2" t="s">
        <v>136</v>
      </c>
      <c r="Q856" s="2" t="s">
        <v>11</v>
      </c>
      <c r="R856" s="2" t="s">
        <v>31</v>
      </c>
      <c r="T856" s="2" t="s">
        <v>520</v>
      </c>
      <c r="U856" s="3">
        <v>30</v>
      </c>
      <c r="V856" s="3">
        <v>30</v>
      </c>
      <c r="W856" s="4" t="s">
        <v>10457</v>
      </c>
      <c r="X856" s="4" t="s">
        <v>10457</v>
      </c>
      <c r="Y856" s="4" t="s">
        <v>10458</v>
      </c>
      <c r="Z856" s="4" t="s">
        <v>10458</v>
      </c>
      <c r="AA856" s="3">
        <v>322</v>
      </c>
      <c r="AB856" s="3">
        <v>268</v>
      </c>
      <c r="AC856" s="3">
        <v>1146</v>
      </c>
      <c r="AD856" s="3">
        <v>1</v>
      </c>
      <c r="AE856" s="3">
        <v>7</v>
      </c>
      <c r="AF856" s="3">
        <v>8</v>
      </c>
      <c r="AG856" s="3">
        <v>31</v>
      </c>
      <c r="AH856" s="3">
        <v>4</v>
      </c>
      <c r="AI856" s="3">
        <v>11</v>
      </c>
      <c r="AJ856" s="3">
        <v>1</v>
      </c>
      <c r="AK856" s="3">
        <v>6</v>
      </c>
      <c r="AL856" s="3">
        <v>5</v>
      </c>
      <c r="AM856" s="3">
        <v>16</v>
      </c>
      <c r="AN856" s="3">
        <v>0</v>
      </c>
      <c r="AO856" s="3">
        <v>5</v>
      </c>
      <c r="AP856" s="3">
        <v>0</v>
      </c>
      <c r="AQ856" s="3">
        <v>0</v>
      </c>
      <c r="AR856" s="2" t="s">
        <v>5</v>
      </c>
      <c r="AS856" s="2" t="s">
        <v>16</v>
      </c>
      <c r="AT856" s="5" t="str">
        <f>HYPERLINK("http://catalog.hathitrust.org/Record/002475347","HathiTrust Record")</f>
        <v>HathiTrust Record</v>
      </c>
      <c r="AU856" s="5" t="str">
        <f>HYPERLINK("https://creighton-primo.hosted.exlibrisgroup.com/primo-explore/search?tab=default_tab&amp;search_scope=EVERYTHING&amp;vid=01CRU&amp;lang=en_US&amp;offset=0&amp;query=any,contains,991000781179702656","Catalog Record")</f>
        <v>Catalog Record</v>
      </c>
      <c r="AV856" s="5" t="str">
        <f>HYPERLINK("http://www.worldcat.org/oclc/21558701","WorldCat Record")</f>
        <v>WorldCat Record</v>
      </c>
      <c r="AW856" s="2" t="s">
        <v>10459</v>
      </c>
      <c r="AX856" s="2" t="s">
        <v>10460</v>
      </c>
      <c r="AY856" s="2" t="s">
        <v>10461</v>
      </c>
      <c r="AZ856" s="2" t="s">
        <v>10461</v>
      </c>
      <c r="BA856" s="2" t="s">
        <v>10462</v>
      </c>
      <c r="BB856" s="2" t="s">
        <v>21</v>
      </c>
      <c r="BD856" s="2" t="s">
        <v>10463</v>
      </c>
      <c r="BE856" s="2" t="s">
        <v>10464</v>
      </c>
      <c r="BF856" s="2" t="s">
        <v>10465</v>
      </c>
    </row>
    <row r="857" spans="1:58" ht="41.25" customHeight="1" x14ac:dyDescent="0.25">
      <c r="A857" s="8" t="s">
        <v>5</v>
      </c>
      <c r="B857" s="1" t="s">
        <v>0</v>
      </c>
      <c r="C857" s="1" t="s">
        <v>1</v>
      </c>
      <c r="D857" s="1" t="s">
        <v>10466</v>
      </c>
      <c r="E857" s="1" t="s">
        <v>10467</v>
      </c>
      <c r="F857" s="1" t="s">
        <v>10468</v>
      </c>
      <c r="H857" s="2" t="s">
        <v>5</v>
      </c>
      <c r="I857" s="2" t="s">
        <v>6</v>
      </c>
      <c r="J857" s="2" t="s">
        <v>5</v>
      </c>
      <c r="K857" s="2" t="s">
        <v>5</v>
      </c>
      <c r="L857" s="2" t="s">
        <v>7</v>
      </c>
      <c r="M857" s="1" t="s">
        <v>10469</v>
      </c>
      <c r="N857" s="1" t="s">
        <v>10470</v>
      </c>
      <c r="O857" s="2" t="s">
        <v>2738</v>
      </c>
      <c r="P857" s="1" t="s">
        <v>211</v>
      </c>
      <c r="Q857" s="2" t="s">
        <v>11</v>
      </c>
      <c r="R857" s="2" t="s">
        <v>78</v>
      </c>
      <c r="T857" s="2" t="s">
        <v>520</v>
      </c>
      <c r="U857" s="3">
        <v>7</v>
      </c>
      <c r="V857" s="3">
        <v>7</v>
      </c>
      <c r="W857" s="4" t="s">
        <v>10471</v>
      </c>
      <c r="X857" s="4" t="s">
        <v>10471</v>
      </c>
      <c r="Y857" s="4" t="s">
        <v>80</v>
      </c>
      <c r="Z857" s="4" t="s">
        <v>80</v>
      </c>
      <c r="AA857" s="3">
        <v>311</v>
      </c>
      <c r="AB857" s="3">
        <v>252</v>
      </c>
      <c r="AC857" s="3">
        <v>323</v>
      </c>
      <c r="AD857" s="3">
        <v>4</v>
      </c>
      <c r="AE857" s="3">
        <v>5</v>
      </c>
      <c r="AF857" s="3">
        <v>19</v>
      </c>
      <c r="AG857" s="3">
        <v>23</v>
      </c>
      <c r="AH857" s="3">
        <v>9</v>
      </c>
      <c r="AI857" s="3">
        <v>11</v>
      </c>
      <c r="AJ857" s="3">
        <v>3</v>
      </c>
      <c r="AK857" s="3">
        <v>4</v>
      </c>
      <c r="AL857" s="3">
        <v>10</v>
      </c>
      <c r="AM857" s="3">
        <v>11</v>
      </c>
      <c r="AN857" s="3">
        <v>2</v>
      </c>
      <c r="AO857" s="3">
        <v>3</v>
      </c>
      <c r="AP857" s="3">
        <v>0</v>
      </c>
      <c r="AQ857" s="3">
        <v>0</v>
      </c>
      <c r="AR857" s="2" t="s">
        <v>5</v>
      </c>
      <c r="AS857" s="2" t="s">
        <v>5</v>
      </c>
      <c r="AU857" s="5" t="str">
        <f>HYPERLINK("https://creighton-primo.hosted.exlibrisgroup.com/primo-explore/search?tab=default_tab&amp;search_scope=EVERYTHING&amp;vid=01CRU&amp;lang=en_US&amp;offset=0&amp;query=any,contains,991001152549702656","Catalog Record")</f>
        <v>Catalog Record</v>
      </c>
      <c r="AV857" s="5" t="str">
        <f>HYPERLINK("http://www.worldcat.org/oclc/157323","WorldCat Record")</f>
        <v>WorldCat Record</v>
      </c>
      <c r="AW857" s="2" t="s">
        <v>10472</v>
      </c>
      <c r="AX857" s="2" t="s">
        <v>10473</v>
      </c>
      <c r="AY857" s="2" t="s">
        <v>10474</v>
      </c>
      <c r="AZ857" s="2" t="s">
        <v>10474</v>
      </c>
      <c r="BA857" s="2" t="s">
        <v>10475</v>
      </c>
      <c r="BB857" s="2" t="s">
        <v>21</v>
      </c>
      <c r="BD857" s="2" t="s">
        <v>10476</v>
      </c>
      <c r="BE857" s="2" t="s">
        <v>10477</v>
      </c>
      <c r="BF857" s="2" t="s">
        <v>10478</v>
      </c>
    </row>
    <row r="858" spans="1:58" ht="41.25" customHeight="1" x14ac:dyDescent="0.25">
      <c r="A858" s="8" t="s">
        <v>5</v>
      </c>
      <c r="B858" s="1" t="s">
        <v>0</v>
      </c>
      <c r="C858" s="1" t="s">
        <v>1</v>
      </c>
      <c r="D858" s="1" t="s">
        <v>10479</v>
      </c>
      <c r="E858" s="1" t="s">
        <v>10480</v>
      </c>
      <c r="F858" s="1" t="s">
        <v>10481</v>
      </c>
      <c r="H858" s="2" t="s">
        <v>5</v>
      </c>
      <c r="I858" s="2" t="s">
        <v>6</v>
      </c>
      <c r="J858" s="2" t="s">
        <v>5</v>
      </c>
      <c r="K858" s="2" t="s">
        <v>5</v>
      </c>
      <c r="L858" s="2" t="s">
        <v>7</v>
      </c>
      <c r="M858" s="1" t="s">
        <v>10482</v>
      </c>
      <c r="N858" s="1" t="s">
        <v>10483</v>
      </c>
      <c r="O858" s="2" t="s">
        <v>574</v>
      </c>
      <c r="Q858" s="2" t="s">
        <v>11</v>
      </c>
      <c r="R858" s="2" t="s">
        <v>12</v>
      </c>
      <c r="T858" s="2" t="s">
        <v>520</v>
      </c>
      <c r="U858" s="3">
        <v>1</v>
      </c>
      <c r="V858" s="3">
        <v>1</v>
      </c>
      <c r="W858" s="4" t="s">
        <v>1552</v>
      </c>
      <c r="X858" s="4" t="s">
        <v>1552</v>
      </c>
      <c r="Y858" s="4" t="s">
        <v>722</v>
      </c>
      <c r="Z858" s="4" t="s">
        <v>722</v>
      </c>
      <c r="AA858" s="3">
        <v>177</v>
      </c>
      <c r="AB858" s="3">
        <v>156</v>
      </c>
      <c r="AC858" s="3">
        <v>169</v>
      </c>
      <c r="AD858" s="3">
        <v>2</v>
      </c>
      <c r="AE858" s="3">
        <v>2</v>
      </c>
      <c r="AF858" s="3">
        <v>6</v>
      </c>
      <c r="AG858" s="3">
        <v>6</v>
      </c>
      <c r="AH858" s="3">
        <v>1</v>
      </c>
      <c r="AI858" s="3">
        <v>1</v>
      </c>
      <c r="AJ858" s="3">
        <v>1</v>
      </c>
      <c r="AK858" s="3">
        <v>1</v>
      </c>
      <c r="AL858" s="3">
        <v>3</v>
      </c>
      <c r="AM858" s="3">
        <v>3</v>
      </c>
      <c r="AN858" s="3">
        <v>1</v>
      </c>
      <c r="AO858" s="3">
        <v>1</v>
      </c>
      <c r="AP858" s="3">
        <v>0</v>
      </c>
      <c r="AQ858" s="3">
        <v>0</v>
      </c>
      <c r="AR858" s="2" t="s">
        <v>16</v>
      </c>
      <c r="AS858" s="2" t="s">
        <v>5</v>
      </c>
      <c r="AT858" s="5" t="str">
        <f>HYPERLINK("http://catalog.hathitrust.org/Record/002071692","HathiTrust Record")</f>
        <v>HathiTrust Record</v>
      </c>
      <c r="AU858" s="5" t="str">
        <f>HYPERLINK("https://creighton-primo.hosted.exlibrisgroup.com/primo-explore/search?tab=default_tab&amp;search_scope=EVERYTHING&amp;vid=01CRU&amp;lang=en_US&amp;offset=0&amp;query=any,contains,991001152589702656","Catalog Record")</f>
        <v>Catalog Record</v>
      </c>
      <c r="AV858" s="5" t="str">
        <f>HYPERLINK("http://www.worldcat.org/oclc/312815","WorldCat Record")</f>
        <v>WorldCat Record</v>
      </c>
      <c r="AW858" s="2" t="s">
        <v>10484</v>
      </c>
      <c r="AX858" s="2" t="s">
        <v>10485</v>
      </c>
      <c r="AY858" s="2" t="s">
        <v>10486</v>
      </c>
      <c r="AZ858" s="2" t="s">
        <v>10486</v>
      </c>
      <c r="BA858" s="2" t="s">
        <v>10487</v>
      </c>
      <c r="BB858" s="2" t="s">
        <v>21</v>
      </c>
      <c r="BE858" s="2" t="s">
        <v>10488</v>
      </c>
      <c r="BF858" s="2" t="s">
        <v>10489</v>
      </c>
    </row>
    <row r="859" spans="1:58" ht="41.25" customHeight="1" x14ac:dyDescent="0.25">
      <c r="A859" s="8" t="s">
        <v>5</v>
      </c>
      <c r="B859" s="1" t="s">
        <v>0</v>
      </c>
      <c r="C859" s="1" t="s">
        <v>1</v>
      </c>
      <c r="D859" s="1" t="s">
        <v>10490</v>
      </c>
      <c r="E859" s="1" t="s">
        <v>10491</v>
      </c>
      <c r="F859" s="1" t="s">
        <v>10492</v>
      </c>
      <c r="H859" s="2" t="s">
        <v>5</v>
      </c>
      <c r="I859" s="2" t="s">
        <v>6</v>
      </c>
      <c r="J859" s="2" t="s">
        <v>5</v>
      </c>
      <c r="K859" s="2" t="s">
        <v>5</v>
      </c>
      <c r="L859" s="2" t="s">
        <v>7</v>
      </c>
      <c r="M859" s="1" t="s">
        <v>10493</v>
      </c>
      <c r="N859" s="1" t="s">
        <v>10494</v>
      </c>
      <c r="O859" s="2" t="s">
        <v>1060</v>
      </c>
      <c r="Q859" s="2" t="s">
        <v>11</v>
      </c>
      <c r="R859" s="2" t="s">
        <v>78</v>
      </c>
      <c r="T859" s="2" t="s">
        <v>520</v>
      </c>
      <c r="U859" s="3">
        <v>5</v>
      </c>
      <c r="V859" s="3">
        <v>5</v>
      </c>
      <c r="W859" s="4" t="s">
        <v>10495</v>
      </c>
      <c r="X859" s="4" t="s">
        <v>10495</v>
      </c>
      <c r="Y859" s="4" t="s">
        <v>10496</v>
      </c>
      <c r="Z859" s="4" t="s">
        <v>10496</v>
      </c>
      <c r="AA859" s="3">
        <v>323</v>
      </c>
      <c r="AB859" s="3">
        <v>248</v>
      </c>
      <c r="AC859" s="3">
        <v>568</v>
      </c>
      <c r="AD859" s="3">
        <v>1</v>
      </c>
      <c r="AE859" s="3">
        <v>12</v>
      </c>
      <c r="AF859" s="3">
        <v>11</v>
      </c>
      <c r="AG859" s="3">
        <v>23</v>
      </c>
      <c r="AH859" s="3">
        <v>7</v>
      </c>
      <c r="AI859" s="3">
        <v>12</v>
      </c>
      <c r="AJ859" s="3">
        <v>2</v>
      </c>
      <c r="AK859" s="3">
        <v>3</v>
      </c>
      <c r="AL859" s="3">
        <v>4</v>
      </c>
      <c r="AM859" s="3">
        <v>4</v>
      </c>
      <c r="AN859" s="3">
        <v>0</v>
      </c>
      <c r="AO859" s="3">
        <v>7</v>
      </c>
      <c r="AP859" s="3">
        <v>0</v>
      </c>
      <c r="AQ859" s="3">
        <v>0</v>
      </c>
      <c r="AR859" s="2" t="s">
        <v>5</v>
      </c>
      <c r="AS859" s="2" t="s">
        <v>5</v>
      </c>
      <c r="AU859" s="5" t="str">
        <f>HYPERLINK("https://creighton-primo.hosted.exlibrisgroup.com/primo-explore/search?tab=default_tab&amp;search_scope=EVERYTHING&amp;vid=01CRU&amp;lang=en_US&amp;offset=0&amp;query=any,contains,991000463679702656","Catalog Record")</f>
        <v>Catalog Record</v>
      </c>
      <c r="AV859" s="5" t="str">
        <f>HYPERLINK("http://www.worldcat.org/oclc/55494911","WorldCat Record")</f>
        <v>WorldCat Record</v>
      </c>
      <c r="AW859" s="2" t="s">
        <v>10497</v>
      </c>
      <c r="AX859" s="2" t="s">
        <v>10498</v>
      </c>
      <c r="AY859" s="2" t="s">
        <v>10499</v>
      </c>
      <c r="AZ859" s="2" t="s">
        <v>10499</v>
      </c>
      <c r="BA859" s="2" t="s">
        <v>10500</v>
      </c>
      <c r="BB859" s="2" t="s">
        <v>21</v>
      </c>
      <c r="BD859" s="2" t="s">
        <v>10501</v>
      </c>
      <c r="BE859" s="2" t="s">
        <v>10502</v>
      </c>
      <c r="BF859" s="2" t="s">
        <v>10503</v>
      </c>
    </row>
    <row r="860" spans="1:58" ht="41.25" customHeight="1" x14ac:dyDescent="0.25">
      <c r="A860" s="8" t="s">
        <v>5</v>
      </c>
      <c r="B860" s="1" t="s">
        <v>0</v>
      </c>
      <c r="C860" s="1" t="s">
        <v>1</v>
      </c>
      <c r="D860" s="1" t="s">
        <v>10504</v>
      </c>
      <c r="E860" s="1" t="s">
        <v>10505</v>
      </c>
      <c r="F860" s="1" t="s">
        <v>10506</v>
      </c>
      <c r="H860" s="2" t="s">
        <v>5</v>
      </c>
      <c r="I860" s="2" t="s">
        <v>6</v>
      </c>
      <c r="J860" s="2" t="s">
        <v>5</v>
      </c>
      <c r="K860" s="2" t="s">
        <v>5</v>
      </c>
      <c r="L860" s="2" t="s">
        <v>7</v>
      </c>
      <c r="M860" s="1" t="s">
        <v>5563</v>
      </c>
      <c r="N860" s="1" t="s">
        <v>10507</v>
      </c>
      <c r="O860" s="2" t="s">
        <v>1283</v>
      </c>
      <c r="Q860" s="2" t="s">
        <v>11</v>
      </c>
      <c r="R860" s="2" t="s">
        <v>12</v>
      </c>
      <c r="T860" s="2" t="s">
        <v>520</v>
      </c>
      <c r="U860" s="3">
        <v>4</v>
      </c>
      <c r="V860" s="3">
        <v>4</v>
      </c>
      <c r="W860" s="4" t="s">
        <v>10508</v>
      </c>
      <c r="X860" s="4" t="s">
        <v>10508</v>
      </c>
      <c r="Y860" s="4" t="s">
        <v>6288</v>
      </c>
      <c r="Z860" s="4" t="s">
        <v>6288</v>
      </c>
      <c r="AA860" s="3">
        <v>166</v>
      </c>
      <c r="AB860" s="3">
        <v>140</v>
      </c>
      <c r="AC860" s="3">
        <v>142</v>
      </c>
      <c r="AD860" s="3">
        <v>1</v>
      </c>
      <c r="AE860" s="3">
        <v>1</v>
      </c>
      <c r="AF860" s="3">
        <v>7</v>
      </c>
      <c r="AG860" s="3">
        <v>7</v>
      </c>
      <c r="AH860" s="3">
        <v>4</v>
      </c>
      <c r="AI860" s="3">
        <v>4</v>
      </c>
      <c r="AJ860" s="3">
        <v>0</v>
      </c>
      <c r="AK860" s="3">
        <v>0</v>
      </c>
      <c r="AL860" s="3">
        <v>6</v>
      </c>
      <c r="AM860" s="3">
        <v>6</v>
      </c>
      <c r="AN860" s="3">
        <v>0</v>
      </c>
      <c r="AO860" s="3">
        <v>0</v>
      </c>
      <c r="AP860" s="3">
        <v>0</v>
      </c>
      <c r="AQ860" s="3">
        <v>0</v>
      </c>
      <c r="AR860" s="2" t="s">
        <v>5</v>
      </c>
      <c r="AS860" s="2" t="s">
        <v>16</v>
      </c>
      <c r="AT860" s="5" t="str">
        <f>HYPERLINK("http://catalog.hathitrust.org/Record/003130009","HathiTrust Record")</f>
        <v>HathiTrust Record</v>
      </c>
      <c r="AU860" s="5" t="str">
        <f>HYPERLINK("https://creighton-primo.hosted.exlibrisgroup.com/primo-explore/search?tab=default_tab&amp;search_scope=EVERYTHING&amp;vid=01CRU&amp;lang=en_US&amp;offset=0&amp;query=any,contains,991001569219702656","Catalog Record")</f>
        <v>Catalog Record</v>
      </c>
      <c r="AV860" s="5" t="str">
        <f>HYPERLINK("http://www.worldcat.org/oclc/35741782","WorldCat Record")</f>
        <v>WorldCat Record</v>
      </c>
      <c r="AW860" s="2" t="s">
        <v>10509</v>
      </c>
      <c r="AX860" s="2" t="s">
        <v>10510</v>
      </c>
      <c r="AY860" s="2" t="s">
        <v>10511</v>
      </c>
      <c r="AZ860" s="2" t="s">
        <v>10511</v>
      </c>
      <c r="BA860" s="2" t="s">
        <v>10512</v>
      </c>
      <c r="BB860" s="2" t="s">
        <v>21</v>
      </c>
      <c r="BD860" s="2" t="s">
        <v>10513</v>
      </c>
      <c r="BE860" s="2" t="s">
        <v>10514</v>
      </c>
      <c r="BF860" s="2" t="s">
        <v>10515</v>
      </c>
    </row>
    <row r="861" spans="1:58" ht="41.25" customHeight="1" x14ac:dyDescent="0.25">
      <c r="A861" s="8" t="s">
        <v>5</v>
      </c>
      <c r="B861" s="1" t="s">
        <v>0</v>
      </c>
      <c r="C861" s="1" t="s">
        <v>1</v>
      </c>
      <c r="D861" s="1" t="s">
        <v>10516</v>
      </c>
      <c r="E861" s="1" t="s">
        <v>10517</v>
      </c>
      <c r="F861" s="1" t="s">
        <v>10518</v>
      </c>
      <c r="H861" s="2" t="s">
        <v>5</v>
      </c>
      <c r="I861" s="2" t="s">
        <v>6</v>
      </c>
      <c r="J861" s="2" t="s">
        <v>5</v>
      </c>
      <c r="K861" s="2" t="s">
        <v>5</v>
      </c>
      <c r="L861" s="2" t="s">
        <v>7</v>
      </c>
      <c r="N861" s="1" t="s">
        <v>10519</v>
      </c>
      <c r="O861" s="2" t="s">
        <v>734</v>
      </c>
      <c r="Q861" s="2" t="s">
        <v>11</v>
      </c>
      <c r="R861" s="2" t="s">
        <v>426</v>
      </c>
      <c r="T861" s="2" t="s">
        <v>520</v>
      </c>
      <c r="U861" s="3">
        <v>3</v>
      </c>
      <c r="V861" s="3">
        <v>3</v>
      </c>
      <c r="W861" s="4" t="s">
        <v>10520</v>
      </c>
      <c r="X861" s="4" t="s">
        <v>10520</v>
      </c>
      <c r="Y861" s="4" t="s">
        <v>96</v>
      </c>
      <c r="Z861" s="4" t="s">
        <v>96</v>
      </c>
      <c r="AA861" s="3">
        <v>47</v>
      </c>
      <c r="AB861" s="3">
        <v>40</v>
      </c>
      <c r="AC861" s="3">
        <v>169</v>
      </c>
      <c r="AD861" s="3">
        <v>1</v>
      </c>
      <c r="AE861" s="3">
        <v>1</v>
      </c>
      <c r="AF861" s="3">
        <v>0</v>
      </c>
      <c r="AG861" s="3">
        <v>4</v>
      </c>
      <c r="AH861" s="3">
        <v>0</v>
      </c>
      <c r="AI861" s="3">
        <v>3</v>
      </c>
      <c r="AJ861" s="3">
        <v>0</v>
      </c>
      <c r="AK861" s="3">
        <v>1</v>
      </c>
      <c r="AL861" s="3">
        <v>0</v>
      </c>
      <c r="AM861" s="3">
        <v>1</v>
      </c>
      <c r="AN861" s="3">
        <v>0</v>
      </c>
      <c r="AO861" s="3">
        <v>0</v>
      </c>
      <c r="AP861" s="3">
        <v>0</v>
      </c>
      <c r="AQ861" s="3">
        <v>0</v>
      </c>
      <c r="AR861" s="2" t="s">
        <v>5</v>
      </c>
      <c r="AS861" s="2" t="s">
        <v>5</v>
      </c>
      <c r="AU861" s="5" t="str">
        <f>HYPERLINK("https://creighton-primo.hosted.exlibrisgroup.com/primo-explore/search?tab=default_tab&amp;search_scope=EVERYTHING&amp;vid=01CRU&amp;lang=en_US&amp;offset=0&amp;query=any,contains,991001152669702656","Catalog Record")</f>
        <v>Catalog Record</v>
      </c>
      <c r="AV861" s="5" t="str">
        <f>HYPERLINK("http://www.worldcat.org/oclc/9465145","WorldCat Record")</f>
        <v>WorldCat Record</v>
      </c>
      <c r="AW861" s="2" t="s">
        <v>10521</v>
      </c>
      <c r="AX861" s="2" t="s">
        <v>10522</v>
      </c>
      <c r="AY861" s="2" t="s">
        <v>10523</v>
      </c>
      <c r="AZ861" s="2" t="s">
        <v>10523</v>
      </c>
      <c r="BA861" s="2" t="s">
        <v>10524</v>
      </c>
      <c r="BB861" s="2" t="s">
        <v>21</v>
      </c>
      <c r="BD861" s="2" t="s">
        <v>10525</v>
      </c>
      <c r="BE861" s="2" t="s">
        <v>10526</v>
      </c>
      <c r="BF861" s="2" t="s">
        <v>10527</v>
      </c>
    </row>
    <row r="862" spans="1:58" ht="41.25" customHeight="1" x14ac:dyDescent="0.25">
      <c r="A862" s="8" t="s">
        <v>5</v>
      </c>
      <c r="B862" s="1" t="s">
        <v>0</v>
      </c>
      <c r="C862" s="1" t="s">
        <v>1</v>
      </c>
      <c r="D862" s="1" t="s">
        <v>10528</v>
      </c>
      <c r="E862" s="1" t="s">
        <v>10529</v>
      </c>
      <c r="F862" s="1" t="s">
        <v>10530</v>
      </c>
      <c r="H862" s="2" t="s">
        <v>5</v>
      </c>
      <c r="I862" s="2" t="s">
        <v>6</v>
      </c>
      <c r="J862" s="2" t="s">
        <v>5</v>
      </c>
      <c r="K862" s="2" t="s">
        <v>5</v>
      </c>
      <c r="L862" s="2" t="s">
        <v>7</v>
      </c>
      <c r="N862" s="1" t="s">
        <v>10531</v>
      </c>
      <c r="O862" s="2" t="s">
        <v>1102</v>
      </c>
      <c r="Q862" s="2" t="s">
        <v>11</v>
      </c>
      <c r="R862" s="2" t="s">
        <v>426</v>
      </c>
      <c r="T862" s="2" t="s">
        <v>520</v>
      </c>
      <c r="U862" s="3">
        <v>100</v>
      </c>
      <c r="V862" s="3">
        <v>100</v>
      </c>
      <c r="W862" s="4" t="s">
        <v>10532</v>
      </c>
      <c r="X862" s="4" t="s">
        <v>10532</v>
      </c>
      <c r="Y862" s="4" t="s">
        <v>33</v>
      </c>
      <c r="Z862" s="4" t="s">
        <v>33</v>
      </c>
      <c r="AA862" s="3">
        <v>257</v>
      </c>
      <c r="AB862" s="3">
        <v>188</v>
      </c>
      <c r="AC862" s="3">
        <v>194</v>
      </c>
      <c r="AD862" s="3">
        <v>2</v>
      </c>
      <c r="AE862" s="3">
        <v>2</v>
      </c>
      <c r="AF862" s="3">
        <v>5</v>
      </c>
      <c r="AG862" s="3">
        <v>5</v>
      </c>
      <c r="AH862" s="3">
        <v>2</v>
      </c>
      <c r="AI862" s="3">
        <v>2</v>
      </c>
      <c r="AJ862" s="3">
        <v>2</v>
      </c>
      <c r="AK862" s="3">
        <v>2</v>
      </c>
      <c r="AL862" s="3">
        <v>2</v>
      </c>
      <c r="AM862" s="3">
        <v>2</v>
      </c>
      <c r="AN862" s="3">
        <v>0</v>
      </c>
      <c r="AO862" s="3">
        <v>0</v>
      </c>
      <c r="AP862" s="3">
        <v>0</v>
      </c>
      <c r="AQ862" s="3">
        <v>0</v>
      </c>
      <c r="AR862" s="2" t="s">
        <v>5</v>
      </c>
      <c r="AS862" s="2" t="s">
        <v>5</v>
      </c>
      <c r="AU862" s="5" t="str">
        <f>HYPERLINK("https://creighton-primo.hosted.exlibrisgroup.com/primo-explore/search?tab=default_tab&amp;search_scope=EVERYTHING&amp;vid=01CRU&amp;lang=en_US&amp;offset=0&amp;query=any,contains,991000738319702656","Catalog Record")</f>
        <v>Catalog Record</v>
      </c>
      <c r="AV862" s="5" t="str">
        <f>HYPERLINK("http://www.worldcat.org/oclc/13269354","WorldCat Record")</f>
        <v>WorldCat Record</v>
      </c>
      <c r="AW862" s="2" t="s">
        <v>10533</v>
      </c>
      <c r="AX862" s="2" t="s">
        <v>10534</v>
      </c>
      <c r="AY862" s="2" t="s">
        <v>10535</v>
      </c>
      <c r="AZ862" s="2" t="s">
        <v>10535</v>
      </c>
      <c r="BA862" s="2" t="s">
        <v>10536</v>
      </c>
      <c r="BB862" s="2" t="s">
        <v>21</v>
      </c>
      <c r="BD862" s="2" t="s">
        <v>10537</v>
      </c>
      <c r="BE862" s="2" t="s">
        <v>10538</v>
      </c>
      <c r="BF862" s="2" t="s">
        <v>10539</v>
      </c>
    </row>
    <row r="863" spans="1:58" ht="41.25" customHeight="1" x14ac:dyDescent="0.25">
      <c r="A863" s="8" t="s">
        <v>5</v>
      </c>
      <c r="B863" s="1" t="s">
        <v>0</v>
      </c>
      <c r="C863" s="1" t="s">
        <v>1</v>
      </c>
      <c r="D863" s="1" t="s">
        <v>10540</v>
      </c>
      <c r="E863" s="1" t="s">
        <v>10541</v>
      </c>
      <c r="F863" s="1" t="s">
        <v>10542</v>
      </c>
      <c r="H863" s="2" t="s">
        <v>5</v>
      </c>
      <c r="I863" s="2" t="s">
        <v>6</v>
      </c>
      <c r="J863" s="2" t="s">
        <v>5</v>
      </c>
      <c r="K863" s="2" t="s">
        <v>5</v>
      </c>
      <c r="L863" s="2" t="s">
        <v>7</v>
      </c>
      <c r="M863" s="1" t="s">
        <v>10543</v>
      </c>
      <c r="N863" s="1" t="s">
        <v>10544</v>
      </c>
      <c r="O863" s="2" t="s">
        <v>1378</v>
      </c>
      <c r="P863" s="1" t="s">
        <v>1208</v>
      </c>
      <c r="Q863" s="2" t="s">
        <v>11</v>
      </c>
      <c r="R863" s="2" t="s">
        <v>78</v>
      </c>
      <c r="T863" s="2" t="s">
        <v>520</v>
      </c>
      <c r="U863" s="3">
        <v>1</v>
      </c>
      <c r="V863" s="3">
        <v>1</v>
      </c>
      <c r="W863" s="4" t="s">
        <v>5219</v>
      </c>
      <c r="X863" s="4" t="s">
        <v>5219</v>
      </c>
      <c r="Y863" s="4" t="s">
        <v>5219</v>
      </c>
      <c r="Z863" s="4" t="s">
        <v>5219</v>
      </c>
      <c r="AA863" s="3">
        <v>195</v>
      </c>
      <c r="AB863" s="3">
        <v>144</v>
      </c>
      <c r="AC863" s="3">
        <v>393</v>
      </c>
      <c r="AD863" s="3">
        <v>1</v>
      </c>
      <c r="AE863" s="3">
        <v>2</v>
      </c>
      <c r="AF863" s="3">
        <v>4</v>
      </c>
      <c r="AG863" s="3">
        <v>9</v>
      </c>
      <c r="AH863" s="3">
        <v>1</v>
      </c>
      <c r="AI863" s="3">
        <v>3</v>
      </c>
      <c r="AJ863" s="3">
        <v>0</v>
      </c>
      <c r="AK863" s="3">
        <v>1</v>
      </c>
      <c r="AL863" s="3">
        <v>4</v>
      </c>
      <c r="AM863" s="3">
        <v>7</v>
      </c>
      <c r="AN863" s="3">
        <v>0</v>
      </c>
      <c r="AO863" s="3">
        <v>1</v>
      </c>
      <c r="AP863" s="3">
        <v>0</v>
      </c>
      <c r="AQ863" s="3">
        <v>0</v>
      </c>
      <c r="AR863" s="2" t="s">
        <v>5</v>
      </c>
      <c r="AS863" s="2" t="s">
        <v>16</v>
      </c>
      <c r="AT863" s="5" t="str">
        <f>HYPERLINK("http://catalog.hathitrust.org/Record/003956196","HathiTrust Record")</f>
        <v>HathiTrust Record</v>
      </c>
      <c r="AU863" s="5" t="str">
        <f>HYPERLINK("https://creighton-primo.hosted.exlibrisgroup.com/primo-explore/search?tab=default_tab&amp;search_scope=EVERYTHING&amp;vid=01CRU&amp;lang=en_US&amp;offset=0&amp;query=any,contains,991000783949702656","Catalog Record")</f>
        <v>Catalog Record</v>
      </c>
      <c r="AV863" s="5" t="str">
        <f>HYPERLINK("http://www.worldcat.org/oclc/37116372","WorldCat Record")</f>
        <v>WorldCat Record</v>
      </c>
      <c r="AW863" s="2" t="s">
        <v>10545</v>
      </c>
      <c r="AX863" s="2" t="s">
        <v>10546</v>
      </c>
      <c r="AY863" s="2" t="s">
        <v>10547</v>
      </c>
      <c r="AZ863" s="2" t="s">
        <v>10547</v>
      </c>
      <c r="BA863" s="2" t="s">
        <v>10548</v>
      </c>
      <c r="BB863" s="2" t="s">
        <v>21</v>
      </c>
      <c r="BD863" s="2" t="s">
        <v>10549</v>
      </c>
      <c r="BE863" s="2" t="s">
        <v>10550</v>
      </c>
      <c r="BF863" s="2" t="s">
        <v>10551</v>
      </c>
    </row>
    <row r="864" spans="1:58" ht="41.25" customHeight="1" x14ac:dyDescent="0.25">
      <c r="A864" s="8" t="s">
        <v>5</v>
      </c>
      <c r="B864" s="1" t="s">
        <v>0</v>
      </c>
      <c r="C864" s="1" t="s">
        <v>1</v>
      </c>
      <c r="D864" s="1" t="s">
        <v>10552</v>
      </c>
      <c r="E864" s="1" t="s">
        <v>10553</v>
      </c>
      <c r="F864" s="1" t="s">
        <v>10554</v>
      </c>
      <c r="H864" s="2" t="s">
        <v>5</v>
      </c>
      <c r="I864" s="2" t="s">
        <v>6</v>
      </c>
      <c r="J864" s="2" t="s">
        <v>5</v>
      </c>
      <c r="K864" s="2" t="s">
        <v>5</v>
      </c>
      <c r="L864" s="2" t="s">
        <v>7</v>
      </c>
      <c r="M864" s="1" t="s">
        <v>10543</v>
      </c>
      <c r="N864" s="1" t="s">
        <v>10555</v>
      </c>
      <c r="O864" s="2" t="s">
        <v>601</v>
      </c>
      <c r="Q864" s="2" t="s">
        <v>11</v>
      </c>
      <c r="R864" s="2" t="s">
        <v>78</v>
      </c>
      <c r="T864" s="2" t="s">
        <v>520</v>
      </c>
      <c r="U864" s="3">
        <v>8</v>
      </c>
      <c r="V864" s="3">
        <v>8</v>
      </c>
      <c r="W864" s="4" t="s">
        <v>10556</v>
      </c>
      <c r="X864" s="4" t="s">
        <v>10556</v>
      </c>
      <c r="Y864" s="4" t="s">
        <v>10557</v>
      </c>
      <c r="Z864" s="4" t="s">
        <v>10557</v>
      </c>
      <c r="AA864" s="3">
        <v>278</v>
      </c>
      <c r="AB864" s="3">
        <v>196</v>
      </c>
      <c r="AC864" s="3">
        <v>347</v>
      </c>
      <c r="AD864" s="3">
        <v>1</v>
      </c>
      <c r="AE864" s="3">
        <v>2</v>
      </c>
      <c r="AF864" s="3">
        <v>9</v>
      </c>
      <c r="AG864" s="3">
        <v>12</v>
      </c>
      <c r="AH864" s="3">
        <v>3</v>
      </c>
      <c r="AI864" s="3">
        <v>4</v>
      </c>
      <c r="AJ864" s="3">
        <v>1</v>
      </c>
      <c r="AK864" s="3">
        <v>2</v>
      </c>
      <c r="AL864" s="3">
        <v>7</v>
      </c>
      <c r="AM864" s="3">
        <v>9</v>
      </c>
      <c r="AN864" s="3">
        <v>0</v>
      </c>
      <c r="AO864" s="3">
        <v>0</v>
      </c>
      <c r="AP864" s="3">
        <v>0</v>
      </c>
      <c r="AQ864" s="3">
        <v>0</v>
      </c>
      <c r="AR864" s="2" t="s">
        <v>5</v>
      </c>
      <c r="AS864" s="2" t="s">
        <v>16</v>
      </c>
      <c r="AT864" s="5" t="str">
        <f>HYPERLINK("http://catalog.hathitrust.org/Record/002961023","HathiTrust Record")</f>
        <v>HathiTrust Record</v>
      </c>
      <c r="AU864" s="5" t="str">
        <f>HYPERLINK("https://creighton-primo.hosted.exlibrisgroup.com/primo-explore/search?tab=default_tab&amp;search_scope=EVERYTHING&amp;vid=01CRU&amp;lang=en_US&amp;offset=0&amp;query=any,contains,991001769219702656","Catalog Record")</f>
        <v>Catalog Record</v>
      </c>
      <c r="AV864" s="5" t="str">
        <f>HYPERLINK("http://www.worldcat.org/oclc/31604972","WorldCat Record")</f>
        <v>WorldCat Record</v>
      </c>
      <c r="AW864" s="2" t="s">
        <v>10558</v>
      </c>
      <c r="AX864" s="2" t="s">
        <v>10559</v>
      </c>
      <c r="AY864" s="2" t="s">
        <v>10560</v>
      </c>
      <c r="AZ864" s="2" t="s">
        <v>10560</v>
      </c>
      <c r="BA864" s="2" t="s">
        <v>10561</v>
      </c>
      <c r="BB864" s="2" t="s">
        <v>21</v>
      </c>
      <c r="BD864" s="2" t="s">
        <v>10562</v>
      </c>
      <c r="BE864" s="2" t="s">
        <v>10563</v>
      </c>
      <c r="BF864" s="2" t="s">
        <v>10564</v>
      </c>
    </row>
    <row r="865" spans="1:58" ht="41.25" customHeight="1" x14ac:dyDescent="0.25">
      <c r="A865" s="8" t="s">
        <v>5</v>
      </c>
      <c r="B865" s="1" t="s">
        <v>0</v>
      </c>
      <c r="C865" s="1" t="s">
        <v>1</v>
      </c>
      <c r="D865" s="1" t="s">
        <v>10565</v>
      </c>
      <c r="E865" s="1" t="s">
        <v>10566</v>
      </c>
      <c r="F865" s="1" t="s">
        <v>10567</v>
      </c>
      <c r="H865" s="2" t="s">
        <v>5</v>
      </c>
      <c r="I865" s="2" t="s">
        <v>6</v>
      </c>
      <c r="J865" s="2" t="s">
        <v>5</v>
      </c>
      <c r="K865" s="2" t="s">
        <v>5</v>
      </c>
      <c r="L865" s="2" t="s">
        <v>7</v>
      </c>
      <c r="N865" s="1" t="s">
        <v>10568</v>
      </c>
      <c r="O865" s="2" t="s">
        <v>1339</v>
      </c>
      <c r="Q865" s="2" t="s">
        <v>11</v>
      </c>
      <c r="R865" s="2" t="s">
        <v>31</v>
      </c>
      <c r="S865" s="1" t="s">
        <v>10569</v>
      </c>
      <c r="T865" s="2" t="s">
        <v>520</v>
      </c>
      <c r="U865" s="3">
        <v>3</v>
      </c>
      <c r="V865" s="3">
        <v>3</v>
      </c>
      <c r="W865" s="4" t="s">
        <v>10570</v>
      </c>
      <c r="X865" s="4" t="s">
        <v>10570</v>
      </c>
      <c r="Y865" s="4" t="s">
        <v>7730</v>
      </c>
      <c r="Z865" s="4" t="s">
        <v>7730</v>
      </c>
      <c r="AA865" s="3">
        <v>103</v>
      </c>
      <c r="AB865" s="3">
        <v>97</v>
      </c>
      <c r="AC865" s="3">
        <v>97</v>
      </c>
      <c r="AD865" s="3">
        <v>1</v>
      </c>
      <c r="AE865" s="3">
        <v>1</v>
      </c>
      <c r="AF865" s="3">
        <v>3</v>
      </c>
      <c r="AG865" s="3">
        <v>3</v>
      </c>
      <c r="AH865" s="3">
        <v>0</v>
      </c>
      <c r="AI865" s="3">
        <v>0</v>
      </c>
      <c r="AJ865" s="3">
        <v>0</v>
      </c>
      <c r="AK865" s="3">
        <v>0</v>
      </c>
      <c r="AL865" s="3">
        <v>3</v>
      </c>
      <c r="AM865" s="3">
        <v>3</v>
      </c>
      <c r="AN865" s="3">
        <v>0</v>
      </c>
      <c r="AO865" s="3">
        <v>0</v>
      </c>
      <c r="AP865" s="3">
        <v>0</v>
      </c>
      <c r="AQ865" s="3">
        <v>0</v>
      </c>
      <c r="AR865" s="2" t="s">
        <v>5</v>
      </c>
      <c r="AS865" s="2" t="s">
        <v>5</v>
      </c>
      <c r="AU865" s="5" t="str">
        <f>HYPERLINK("https://creighton-primo.hosted.exlibrisgroup.com/primo-explore/search?tab=default_tab&amp;search_scope=EVERYTHING&amp;vid=01CRU&amp;lang=en_US&amp;offset=0&amp;query=any,contains,991001415119702656","Catalog Record")</f>
        <v>Catalog Record</v>
      </c>
      <c r="AV865" s="5" t="str">
        <f>HYPERLINK("http://www.worldcat.org/oclc/19876420","WorldCat Record")</f>
        <v>WorldCat Record</v>
      </c>
      <c r="AW865" s="2" t="s">
        <v>10571</v>
      </c>
      <c r="AX865" s="2" t="s">
        <v>10572</v>
      </c>
      <c r="AY865" s="2" t="s">
        <v>10573</v>
      </c>
      <c r="AZ865" s="2" t="s">
        <v>10573</v>
      </c>
      <c r="BA865" s="2" t="s">
        <v>10574</v>
      </c>
      <c r="BB865" s="2" t="s">
        <v>21</v>
      </c>
      <c r="BE865" s="2" t="s">
        <v>10575</v>
      </c>
      <c r="BF865" s="2" t="s">
        <v>10576</v>
      </c>
    </row>
    <row r="866" spans="1:58" ht="41.25" customHeight="1" x14ac:dyDescent="0.25">
      <c r="A866" s="8" t="s">
        <v>5</v>
      </c>
      <c r="B866" s="1" t="s">
        <v>0</v>
      </c>
      <c r="C866" s="1" t="s">
        <v>1</v>
      </c>
      <c r="D866" s="1" t="s">
        <v>10577</v>
      </c>
      <c r="E866" s="1" t="s">
        <v>10578</v>
      </c>
      <c r="F866" s="1" t="s">
        <v>10579</v>
      </c>
      <c r="H866" s="2" t="s">
        <v>5</v>
      </c>
      <c r="I866" s="2" t="s">
        <v>6</v>
      </c>
      <c r="J866" s="2" t="s">
        <v>5</v>
      </c>
      <c r="K866" s="2" t="s">
        <v>5</v>
      </c>
      <c r="L866" s="2" t="s">
        <v>7</v>
      </c>
      <c r="M866" s="1" t="s">
        <v>10580</v>
      </c>
      <c r="N866" s="1" t="s">
        <v>5387</v>
      </c>
      <c r="O866" s="2" t="s">
        <v>393</v>
      </c>
      <c r="Q866" s="2" t="s">
        <v>11</v>
      </c>
      <c r="R866" s="2" t="s">
        <v>12</v>
      </c>
      <c r="T866" s="2" t="s">
        <v>520</v>
      </c>
      <c r="U866" s="3">
        <v>5</v>
      </c>
      <c r="V866" s="3">
        <v>5</v>
      </c>
      <c r="W866" s="4" t="s">
        <v>10581</v>
      </c>
      <c r="X866" s="4" t="s">
        <v>10581</v>
      </c>
      <c r="Y866" s="4" t="s">
        <v>96</v>
      </c>
      <c r="Z866" s="4" t="s">
        <v>96</v>
      </c>
      <c r="AA866" s="3">
        <v>176</v>
      </c>
      <c r="AB866" s="3">
        <v>142</v>
      </c>
      <c r="AC866" s="3">
        <v>144</v>
      </c>
      <c r="AD866" s="3">
        <v>1</v>
      </c>
      <c r="AE866" s="3">
        <v>1</v>
      </c>
      <c r="AF866" s="3">
        <v>5</v>
      </c>
      <c r="AG866" s="3">
        <v>5</v>
      </c>
      <c r="AH866" s="3">
        <v>2</v>
      </c>
      <c r="AI866" s="3">
        <v>2</v>
      </c>
      <c r="AJ866" s="3">
        <v>0</v>
      </c>
      <c r="AK866" s="3">
        <v>0</v>
      </c>
      <c r="AL866" s="3">
        <v>3</v>
      </c>
      <c r="AM866" s="3">
        <v>3</v>
      </c>
      <c r="AN866" s="3">
        <v>0</v>
      </c>
      <c r="AO866" s="3">
        <v>0</v>
      </c>
      <c r="AP866" s="3">
        <v>0</v>
      </c>
      <c r="AQ866" s="3">
        <v>0</v>
      </c>
      <c r="AR866" s="2" t="s">
        <v>5</v>
      </c>
      <c r="AS866" s="2" t="s">
        <v>16</v>
      </c>
      <c r="AT866" s="5" t="str">
        <f>HYPERLINK("http://catalog.hathitrust.org/Record/000103218","HathiTrust Record")</f>
        <v>HathiTrust Record</v>
      </c>
      <c r="AU866" s="5" t="str">
        <f>HYPERLINK("https://creighton-primo.hosted.exlibrisgroup.com/primo-explore/search?tab=default_tab&amp;search_scope=EVERYTHING&amp;vid=01CRU&amp;lang=en_US&amp;offset=0&amp;query=any,contains,991001152849702656","Catalog Record")</f>
        <v>Catalog Record</v>
      </c>
      <c r="AV866" s="5" t="str">
        <f>HYPERLINK("http://www.worldcat.org/oclc/7282195","WorldCat Record")</f>
        <v>WorldCat Record</v>
      </c>
      <c r="AW866" s="2" t="s">
        <v>10582</v>
      </c>
      <c r="AX866" s="2" t="s">
        <v>10583</v>
      </c>
      <c r="AY866" s="2" t="s">
        <v>10584</v>
      </c>
      <c r="AZ866" s="2" t="s">
        <v>10584</v>
      </c>
      <c r="BA866" s="2" t="s">
        <v>10585</v>
      </c>
      <c r="BB866" s="2" t="s">
        <v>21</v>
      </c>
      <c r="BD866" s="2" t="s">
        <v>10586</v>
      </c>
      <c r="BE866" s="2" t="s">
        <v>10587</v>
      </c>
      <c r="BF866" s="2" t="s">
        <v>10588</v>
      </c>
    </row>
    <row r="867" spans="1:58" ht="41.25" customHeight="1" x14ac:dyDescent="0.25">
      <c r="A867" s="8" t="s">
        <v>5</v>
      </c>
      <c r="B867" s="1" t="s">
        <v>0</v>
      </c>
      <c r="C867" s="1" t="s">
        <v>1</v>
      </c>
      <c r="D867" s="1" t="s">
        <v>10589</v>
      </c>
      <c r="E867" s="1" t="s">
        <v>10590</v>
      </c>
      <c r="F867" s="1" t="s">
        <v>10591</v>
      </c>
      <c r="H867" s="2" t="s">
        <v>5</v>
      </c>
      <c r="I867" s="2" t="s">
        <v>6</v>
      </c>
      <c r="J867" s="2" t="s">
        <v>5</v>
      </c>
      <c r="K867" s="2" t="s">
        <v>5</v>
      </c>
      <c r="L867" s="2" t="s">
        <v>7</v>
      </c>
      <c r="N867" s="1" t="s">
        <v>10592</v>
      </c>
      <c r="O867" s="2" t="s">
        <v>354</v>
      </c>
      <c r="Q867" s="2" t="s">
        <v>11</v>
      </c>
      <c r="R867" s="2" t="s">
        <v>426</v>
      </c>
      <c r="S867" s="1" t="s">
        <v>10593</v>
      </c>
      <c r="T867" s="2" t="s">
        <v>520</v>
      </c>
      <c r="U867" s="3">
        <v>2</v>
      </c>
      <c r="V867" s="3">
        <v>2</v>
      </c>
      <c r="W867" s="4" t="s">
        <v>4910</v>
      </c>
      <c r="X867" s="4" t="s">
        <v>4910</v>
      </c>
      <c r="Y867" s="4" t="s">
        <v>96</v>
      </c>
      <c r="Z867" s="4" t="s">
        <v>96</v>
      </c>
      <c r="AA867" s="3">
        <v>58</v>
      </c>
      <c r="AB867" s="3">
        <v>50</v>
      </c>
      <c r="AC867" s="3">
        <v>50</v>
      </c>
      <c r="AD867" s="3">
        <v>1</v>
      </c>
      <c r="AE867" s="3">
        <v>1</v>
      </c>
      <c r="AF867" s="3">
        <v>0</v>
      </c>
      <c r="AG867" s="3">
        <v>0</v>
      </c>
      <c r="AH867" s="3">
        <v>0</v>
      </c>
      <c r="AI867" s="3">
        <v>0</v>
      </c>
      <c r="AJ867" s="3">
        <v>0</v>
      </c>
      <c r="AK867" s="3">
        <v>0</v>
      </c>
      <c r="AL867" s="3">
        <v>0</v>
      </c>
      <c r="AM867" s="3">
        <v>0</v>
      </c>
      <c r="AN867" s="3">
        <v>0</v>
      </c>
      <c r="AO867" s="3">
        <v>0</v>
      </c>
      <c r="AP867" s="3">
        <v>0</v>
      </c>
      <c r="AQ867" s="3">
        <v>0</v>
      </c>
      <c r="AR867" s="2" t="s">
        <v>5</v>
      </c>
      <c r="AS867" s="2" t="s">
        <v>5</v>
      </c>
      <c r="AU867" s="5" t="str">
        <f>HYPERLINK("https://creighton-primo.hosted.exlibrisgroup.com/primo-explore/search?tab=default_tab&amp;search_scope=EVERYTHING&amp;vid=01CRU&amp;lang=en_US&amp;offset=0&amp;query=any,contains,991001152889702656","Catalog Record")</f>
        <v>Catalog Record</v>
      </c>
      <c r="AV867" s="5" t="str">
        <f>HYPERLINK("http://www.worldcat.org/oclc/6484993","WorldCat Record")</f>
        <v>WorldCat Record</v>
      </c>
      <c r="AW867" s="2" t="s">
        <v>10594</v>
      </c>
      <c r="AX867" s="2" t="s">
        <v>10595</v>
      </c>
      <c r="AY867" s="2" t="s">
        <v>10596</v>
      </c>
      <c r="AZ867" s="2" t="s">
        <v>10596</v>
      </c>
      <c r="BA867" s="2" t="s">
        <v>10597</v>
      </c>
      <c r="BB867" s="2" t="s">
        <v>21</v>
      </c>
      <c r="BD867" s="2" t="s">
        <v>10598</v>
      </c>
      <c r="BE867" s="2" t="s">
        <v>10599</v>
      </c>
      <c r="BF867" s="2" t="s">
        <v>10600</v>
      </c>
    </row>
    <row r="868" spans="1:58" ht="41.25" customHeight="1" x14ac:dyDescent="0.25">
      <c r="A868" s="8" t="s">
        <v>5</v>
      </c>
      <c r="B868" s="1" t="s">
        <v>0</v>
      </c>
      <c r="C868" s="1" t="s">
        <v>1</v>
      </c>
      <c r="D868" s="1" t="s">
        <v>10601</v>
      </c>
      <c r="E868" s="1" t="s">
        <v>10602</v>
      </c>
      <c r="F868" s="1" t="s">
        <v>10603</v>
      </c>
      <c r="H868" s="2" t="s">
        <v>5</v>
      </c>
      <c r="I868" s="2" t="s">
        <v>6</v>
      </c>
      <c r="J868" s="2" t="s">
        <v>5</v>
      </c>
      <c r="K868" s="2" t="s">
        <v>5</v>
      </c>
      <c r="L868" s="2" t="s">
        <v>7</v>
      </c>
      <c r="N868" s="1" t="s">
        <v>10604</v>
      </c>
      <c r="O868" s="2" t="s">
        <v>228</v>
      </c>
      <c r="Q868" s="2" t="s">
        <v>11</v>
      </c>
      <c r="R868" s="2" t="s">
        <v>426</v>
      </c>
      <c r="S868" s="1" t="s">
        <v>10605</v>
      </c>
      <c r="T868" s="2" t="s">
        <v>520</v>
      </c>
      <c r="U868" s="3">
        <v>11</v>
      </c>
      <c r="V868" s="3">
        <v>11</v>
      </c>
      <c r="W868" s="4" t="s">
        <v>10606</v>
      </c>
      <c r="X868" s="4" t="s">
        <v>10606</v>
      </c>
      <c r="Y868" s="4" t="s">
        <v>33</v>
      </c>
      <c r="Z868" s="4" t="s">
        <v>33</v>
      </c>
      <c r="AA868" s="3">
        <v>261</v>
      </c>
      <c r="AB868" s="3">
        <v>228</v>
      </c>
      <c r="AC868" s="3">
        <v>247</v>
      </c>
      <c r="AD868" s="3">
        <v>1</v>
      </c>
      <c r="AE868" s="3">
        <v>1</v>
      </c>
      <c r="AF868" s="3">
        <v>1</v>
      </c>
      <c r="AG868" s="3">
        <v>2</v>
      </c>
      <c r="AH868" s="3">
        <v>1</v>
      </c>
      <c r="AI868" s="3">
        <v>2</v>
      </c>
      <c r="AJ868" s="3">
        <v>0</v>
      </c>
      <c r="AK868" s="3">
        <v>0</v>
      </c>
      <c r="AL868" s="3">
        <v>0</v>
      </c>
      <c r="AM868" s="3">
        <v>0</v>
      </c>
      <c r="AN868" s="3">
        <v>0</v>
      </c>
      <c r="AO868" s="3">
        <v>0</v>
      </c>
      <c r="AP868" s="3">
        <v>0</v>
      </c>
      <c r="AQ868" s="3">
        <v>0</v>
      </c>
      <c r="AR868" s="2" t="s">
        <v>5</v>
      </c>
      <c r="AS868" s="2" t="s">
        <v>16</v>
      </c>
      <c r="AT868" s="5" t="str">
        <f>HYPERLINK("http://catalog.hathitrust.org/Record/000204078","HathiTrust Record")</f>
        <v>HathiTrust Record</v>
      </c>
      <c r="AU868" s="5" t="str">
        <f>HYPERLINK("https://creighton-primo.hosted.exlibrisgroup.com/primo-explore/search?tab=default_tab&amp;search_scope=EVERYTHING&amp;vid=01CRU&amp;lang=en_US&amp;offset=0&amp;query=any,contains,991000738359702656","Catalog Record")</f>
        <v>Catalog Record</v>
      </c>
      <c r="AV868" s="5" t="str">
        <f>HYPERLINK("http://www.worldcat.org/oclc/8554175","WorldCat Record")</f>
        <v>WorldCat Record</v>
      </c>
      <c r="AW868" s="2" t="s">
        <v>10607</v>
      </c>
      <c r="AX868" s="2" t="s">
        <v>10608</v>
      </c>
      <c r="AY868" s="2" t="s">
        <v>10609</v>
      </c>
      <c r="AZ868" s="2" t="s">
        <v>10609</v>
      </c>
      <c r="BA868" s="2" t="s">
        <v>10610</v>
      </c>
      <c r="BB868" s="2" t="s">
        <v>21</v>
      </c>
      <c r="BD868" s="2" t="s">
        <v>10611</v>
      </c>
      <c r="BE868" s="2" t="s">
        <v>10612</v>
      </c>
      <c r="BF868" s="2" t="s">
        <v>10613</v>
      </c>
    </row>
    <row r="869" spans="1:58" ht="41.25" customHeight="1" x14ac:dyDescent="0.25">
      <c r="A869" s="8" t="s">
        <v>5</v>
      </c>
      <c r="B869" s="1" t="s">
        <v>0</v>
      </c>
      <c r="C869" s="1" t="s">
        <v>1</v>
      </c>
      <c r="D869" s="1" t="s">
        <v>10614</v>
      </c>
      <c r="E869" s="1" t="s">
        <v>10615</v>
      </c>
      <c r="F869" s="1" t="s">
        <v>10616</v>
      </c>
      <c r="H869" s="2" t="s">
        <v>5</v>
      </c>
      <c r="I869" s="2" t="s">
        <v>6</v>
      </c>
      <c r="J869" s="2" t="s">
        <v>5</v>
      </c>
      <c r="K869" s="2" t="s">
        <v>16</v>
      </c>
      <c r="L869" s="2" t="s">
        <v>7</v>
      </c>
      <c r="M869" s="1" t="s">
        <v>2528</v>
      </c>
      <c r="N869" s="1" t="s">
        <v>10617</v>
      </c>
      <c r="O869" s="2" t="s">
        <v>989</v>
      </c>
      <c r="P869" s="1" t="s">
        <v>1208</v>
      </c>
      <c r="Q869" s="2" t="s">
        <v>11</v>
      </c>
      <c r="R869" s="2" t="s">
        <v>426</v>
      </c>
      <c r="T869" s="2" t="s">
        <v>520</v>
      </c>
      <c r="U869" s="3">
        <v>2</v>
      </c>
      <c r="V869" s="3">
        <v>2</v>
      </c>
      <c r="W869" s="4" t="s">
        <v>4106</v>
      </c>
      <c r="X869" s="4" t="s">
        <v>4106</v>
      </c>
      <c r="Y869" s="4" t="s">
        <v>4106</v>
      </c>
      <c r="Z869" s="4" t="s">
        <v>4106</v>
      </c>
      <c r="AA869" s="3">
        <v>141</v>
      </c>
      <c r="AB869" s="3">
        <v>108</v>
      </c>
      <c r="AC869" s="3">
        <v>341</v>
      </c>
      <c r="AD869" s="3">
        <v>1</v>
      </c>
      <c r="AE869" s="3">
        <v>5</v>
      </c>
      <c r="AF869" s="3">
        <v>2</v>
      </c>
      <c r="AG869" s="3">
        <v>10</v>
      </c>
      <c r="AH869" s="3">
        <v>0</v>
      </c>
      <c r="AI869" s="3">
        <v>1</v>
      </c>
      <c r="AJ869" s="3">
        <v>0</v>
      </c>
      <c r="AK869" s="3">
        <v>1</v>
      </c>
      <c r="AL869" s="3">
        <v>2</v>
      </c>
      <c r="AM869" s="3">
        <v>6</v>
      </c>
      <c r="AN869" s="3">
        <v>0</v>
      </c>
      <c r="AO869" s="3">
        <v>3</v>
      </c>
      <c r="AP869" s="3">
        <v>0</v>
      </c>
      <c r="AQ869" s="3">
        <v>0</v>
      </c>
      <c r="AR869" s="2" t="s">
        <v>5</v>
      </c>
      <c r="AS869" s="2" t="s">
        <v>16</v>
      </c>
      <c r="AT869" s="5" t="str">
        <f>HYPERLINK("http://catalog.hathitrust.org/Record/002205256","HathiTrust Record")</f>
        <v>HathiTrust Record</v>
      </c>
      <c r="AU869" s="5" t="str">
        <f>HYPERLINK("https://creighton-primo.hosted.exlibrisgroup.com/primo-explore/search?tab=default_tab&amp;search_scope=EVERYTHING&amp;vid=01CRU&amp;lang=en_US&amp;offset=0&amp;query=any,contains,991000817669702656","Catalog Record")</f>
        <v>Catalog Record</v>
      </c>
      <c r="AV869" s="5" t="str">
        <f>HYPERLINK("http://www.worldcat.org/oclc/20826522","WorldCat Record")</f>
        <v>WorldCat Record</v>
      </c>
      <c r="AW869" s="2" t="s">
        <v>2530</v>
      </c>
      <c r="AX869" s="2" t="s">
        <v>10618</v>
      </c>
      <c r="AY869" s="2" t="s">
        <v>10619</v>
      </c>
      <c r="AZ869" s="2" t="s">
        <v>10619</v>
      </c>
      <c r="BA869" s="2" t="s">
        <v>10620</v>
      </c>
      <c r="BB869" s="2" t="s">
        <v>21</v>
      </c>
      <c r="BD869" s="2" t="s">
        <v>10621</v>
      </c>
      <c r="BE869" s="2" t="s">
        <v>10622</v>
      </c>
      <c r="BF869" s="2" t="s">
        <v>10623</v>
      </c>
    </row>
    <row r="870" spans="1:58" ht="41.25" customHeight="1" x14ac:dyDescent="0.25">
      <c r="A870" s="8" t="s">
        <v>5</v>
      </c>
      <c r="B870" s="1" t="s">
        <v>0</v>
      </c>
      <c r="C870" s="1" t="s">
        <v>1</v>
      </c>
      <c r="D870" s="1" t="s">
        <v>10624</v>
      </c>
      <c r="E870" s="1" t="s">
        <v>10625</v>
      </c>
      <c r="F870" s="1" t="s">
        <v>10626</v>
      </c>
      <c r="H870" s="2" t="s">
        <v>5</v>
      </c>
      <c r="I870" s="2" t="s">
        <v>6</v>
      </c>
      <c r="J870" s="2" t="s">
        <v>5</v>
      </c>
      <c r="K870" s="2" t="s">
        <v>16</v>
      </c>
      <c r="L870" s="2" t="s">
        <v>7</v>
      </c>
      <c r="M870" s="1" t="s">
        <v>10627</v>
      </c>
      <c r="N870" s="1" t="s">
        <v>8320</v>
      </c>
      <c r="O870" s="2" t="s">
        <v>888</v>
      </c>
      <c r="P870" s="1" t="s">
        <v>10628</v>
      </c>
      <c r="Q870" s="2" t="s">
        <v>11</v>
      </c>
      <c r="R870" s="2" t="s">
        <v>12</v>
      </c>
      <c r="S870" s="1" t="s">
        <v>10629</v>
      </c>
      <c r="T870" s="2" t="s">
        <v>520</v>
      </c>
      <c r="U870" s="3">
        <v>4</v>
      </c>
      <c r="V870" s="3">
        <v>4</v>
      </c>
      <c r="W870" s="4" t="s">
        <v>521</v>
      </c>
      <c r="X870" s="4" t="s">
        <v>521</v>
      </c>
      <c r="Y870" s="4" t="s">
        <v>96</v>
      </c>
      <c r="Z870" s="4" t="s">
        <v>96</v>
      </c>
      <c r="AA870" s="3">
        <v>128</v>
      </c>
      <c r="AB870" s="3">
        <v>109</v>
      </c>
      <c r="AC870" s="3">
        <v>183</v>
      </c>
      <c r="AD870" s="3">
        <v>2</v>
      </c>
      <c r="AE870" s="3">
        <v>2</v>
      </c>
      <c r="AF870" s="3">
        <v>4</v>
      </c>
      <c r="AG870" s="3">
        <v>6</v>
      </c>
      <c r="AH870" s="3">
        <v>1</v>
      </c>
      <c r="AI870" s="3">
        <v>1</v>
      </c>
      <c r="AJ870" s="3">
        <v>2</v>
      </c>
      <c r="AK870" s="3">
        <v>3</v>
      </c>
      <c r="AL870" s="3">
        <v>2</v>
      </c>
      <c r="AM870" s="3">
        <v>3</v>
      </c>
      <c r="AN870" s="3">
        <v>0</v>
      </c>
      <c r="AO870" s="3">
        <v>0</v>
      </c>
      <c r="AP870" s="3">
        <v>0</v>
      </c>
      <c r="AQ870" s="3">
        <v>0</v>
      </c>
      <c r="AR870" s="2" t="s">
        <v>5</v>
      </c>
      <c r="AS870" s="2" t="s">
        <v>16</v>
      </c>
      <c r="AT870" s="5" t="str">
        <f>HYPERLINK("http://catalog.hathitrust.org/Record/002506652","HathiTrust Record")</f>
        <v>HathiTrust Record</v>
      </c>
      <c r="AU870" s="5" t="str">
        <f>HYPERLINK("https://creighton-primo.hosted.exlibrisgroup.com/primo-explore/search?tab=default_tab&amp;search_scope=EVERYTHING&amp;vid=01CRU&amp;lang=en_US&amp;offset=0&amp;query=any,contains,991001152919702656","Catalog Record")</f>
        <v>Catalog Record</v>
      </c>
      <c r="AV870" s="5" t="str">
        <f>HYPERLINK("http://www.worldcat.org/oclc/12941367","WorldCat Record")</f>
        <v>WorldCat Record</v>
      </c>
      <c r="AW870" s="2" t="s">
        <v>10630</v>
      </c>
      <c r="AX870" s="2" t="s">
        <v>10631</v>
      </c>
      <c r="AY870" s="2" t="s">
        <v>10632</v>
      </c>
      <c r="AZ870" s="2" t="s">
        <v>10632</v>
      </c>
      <c r="BA870" s="2" t="s">
        <v>10633</v>
      </c>
      <c r="BB870" s="2" t="s">
        <v>21</v>
      </c>
      <c r="BD870" s="2" t="s">
        <v>10634</v>
      </c>
      <c r="BE870" s="2" t="s">
        <v>10635</v>
      </c>
      <c r="BF870" s="2" t="s">
        <v>10636</v>
      </c>
    </row>
    <row r="871" spans="1:58" ht="41.25" customHeight="1" x14ac:dyDescent="0.25">
      <c r="A871" s="8" t="s">
        <v>5</v>
      </c>
      <c r="B871" s="1" t="s">
        <v>0</v>
      </c>
      <c r="C871" s="1" t="s">
        <v>1</v>
      </c>
      <c r="D871" s="1" t="s">
        <v>10637</v>
      </c>
      <c r="E871" s="1" t="s">
        <v>10638</v>
      </c>
      <c r="F871" s="1" t="s">
        <v>10639</v>
      </c>
      <c r="H871" s="2" t="s">
        <v>5</v>
      </c>
      <c r="I871" s="2" t="s">
        <v>6</v>
      </c>
      <c r="J871" s="2" t="s">
        <v>5</v>
      </c>
      <c r="K871" s="2" t="s">
        <v>16</v>
      </c>
      <c r="L871" s="2" t="s">
        <v>7</v>
      </c>
      <c r="M871" s="1" t="s">
        <v>8912</v>
      </c>
      <c r="N871" s="1" t="s">
        <v>10640</v>
      </c>
      <c r="O871" s="2" t="s">
        <v>546</v>
      </c>
      <c r="P871" s="1" t="s">
        <v>1208</v>
      </c>
      <c r="Q871" s="2" t="s">
        <v>11</v>
      </c>
      <c r="R871" s="2" t="s">
        <v>78</v>
      </c>
      <c r="T871" s="2" t="s">
        <v>520</v>
      </c>
      <c r="U871" s="3">
        <v>13</v>
      </c>
      <c r="V871" s="3">
        <v>13</v>
      </c>
      <c r="W871" s="4" t="s">
        <v>10641</v>
      </c>
      <c r="X871" s="4" t="s">
        <v>10641</v>
      </c>
      <c r="Y871" s="4" t="s">
        <v>10642</v>
      </c>
      <c r="Z871" s="4" t="s">
        <v>10642</v>
      </c>
      <c r="AA871" s="3">
        <v>411</v>
      </c>
      <c r="AB871" s="3">
        <v>311</v>
      </c>
      <c r="AC871" s="3">
        <v>839</v>
      </c>
      <c r="AD871" s="3">
        <v>3</v>
      </c>
      <c r="AE871" s="3">
        <v>8</v>
      </c>
      <c r="AF871" s="3">
        <v>13</v>
      </c>
      <c r="AG871" s="3">
        <v>34</v>
      </c>
      <c r="AH871" s="3">
        <v>5</v>
      </c>
      <c r="AI871" s="3">
        <v>14</v>
      </c>
      <c r="AJ871" s="3">
        <v>3</v>
      </c>
      <c r="AK871" s="3">
        <v>6</v>
      </c>
      <c r="AL871" s="3">
        <v>7</v>
      </c>
      <c r="AM871" s="3">
        <v>15</v>
      </c>
      <c r="AN871" s="3">
        <v>1</v>
      </c>
      <c r="AO871" s="3">
        <v>5</v>
      </c>
      <c r="AP871" s="3">
        <v>0</v>
      </c>
      <c r="AQ871" s="3">
        <v>0</v>
      </c>
      <c r="AR871" s="2" t="s">
        <v>5</v>
      </c>
      <c r="AS871" s="2" t="s">
        <v>16</v>
      </c>
      <c r="AT871" s="5" t="str">
        <f>HYPERLINK("http://catalog.hathitrust.org/Record/004535628","HathiTrust Record")</f>
        <v>HathiTrust Record</v>
      </c>
      <c r="AU871" s="5" t="str">
        <f>HYPERLINK("https://creighton-primo.hosted.exlibrisgroup.com/primo-explore/search?tab=default_tab&amp;search_scope=EVERYTHING&amp;vid=01CRU&amp;lang=en_US&amp;offset=0&amp;query=any,contains,991001487159702656","Catalog Record")</f>
        <v>Catalog Record</v>
      </c>
      <c r="AV871" s="5" t="str">
        <f>HYPERLINK("http://www.worldcat.org/oclc/27385658","WorldCat Record")</f>
        <v>WorldCat Record</v>
      </c>
      <c r="AW871" s="2" t="s">
        <v>8915</v>
      </c>
      <c r="AX871" s="2" t="s">
        <v>10643</v>
      </c>
      <c r="AY871" s="2" t="s">
        <v>10644</v>
      </c>
      <c r="AZ871" s="2" t="s">
        <v>10644</v>
      </c>
      <c r="BA871" s="2" t="s">
        <v>10645</v>
      </c>
      <c r="BB871" s="2" t="s">
        <v>21</v>
      </c>
      <c r="BD871" s="2" t="s">
        <v>10646</v>
      </c>
      <c r="BE871" s="2" t="s">
        <v>10647</v>
      </c>
      <c r="BF871" s="2" t="s">
        <v>10648</v>
      </c>
    </row>
    <row r="872" spans="1:58" ht="41.25" customHeight="1" x14ac:dyDescent="0.25">
      <c r="A872" s="8" t="s">
        <v>5</v>
      </c>
      <c r="B872" s="1" t="s">
        <v>0</v>
      </c>
      <c r="C872" s="1" t="s">
        <v>1</v>
      </c>
      <c r="D872" s="1" t="s">
        <v>10649</v>
      </c>
      <c r="E872" s="1" t="s">
        <v>10650</v>
      </c>
      <c r="F872" s="1" t="s">
        <v>10651</v>
      </c>
      <c r="H872" s="2" t="s">
        <v>5</v>
      </c>
      <c r="I872" s="2" t="s">
        <v>6</v>
      </c>
      <c r="J872" s="2" t="s">
        <v>5</v>
      </c>
      <c r="K872" s="2" t="s">
        <v>16</v>
      </c>
      <c r="L872" s="2" t="s">
        <v>7</v>
      </c>
      <c r="N872" s="1" t="s">
        <v>10652</v>
      </c>
      <c r="O872" s="2" t="s">
        <v>1046</v>
      </c>
      <c r="P872" s="1" t="s">
        <v>1284</v>
      </c>
      <c r="Q872" s="2" t="s">
        <v>11</v>
      </c>
      <c r="R872" s="2" t="s">
        <v>31</v>
      </c>
      <c r="T872" s="2" t="s">
        <v>520</v>
      </c>
      <c r="U872" s="3">
        <v>0</v>
      </c>
      <c r="V872" s="3">
        <v>0</v>
      </c>
      <c r="W872" s="4" t="s">
        <v>10653</v>
      </c>
      <c r="X872" s="4" t="s">
        <v>10653</v>
      </c>
      <c r="Y872" s="4" t="s">
        <v>10654</v>
      </c>
      <c r="Z872" s="4" t="s">
        <v>10654</v>
      </c>
      <c r="AA872" s="3">
        <v>255</v>
      </c>
      <c r="AB872" s="3">
        <v>205</v>
      </c>
      <c r="AC872" s="3">
        <v>539</v>
      </c>
      <c r="AD872" s="3">
        <v>1</v>
      </c>
      <c r="AE872" s="3">
        <v>4</v>
      </c>
      <c r="AF872" s="3">
        <v>4</v>
      </c>
      <c r="AG872" s="3">
        <v>15</v>
      </c>
      <c r="AH872" s="3">
        <v>1</v>
      </c>
      <c r="AI872" s="3">
        <v>4</v>
      </c>
      <c r="AJ872" s="3">
        <v>1</v>
      </c>
      <c r="AK872" s="3">
        <v>3</v>
      </c>
      <c r="AL872" s="3">
        <v>3</v>
      </c>
      <c r="AM872" s="3">
        <v>7</v>
      </c>
      <c r="AN872" s="3">
        <v>0</v>
      </c>
      <c r="AO872" s="3">
        <v>3</v>
      </c>
      <c r="AP872" s="3">
        <v>0</v>
      </c>
      <c r="AQ872" s="3">
        <v>0</v>
      </c>
      <c r="AR872" s="2" t="s">
        <v>5</v>
      </c>
      <c r="AS872" s="2" t="s">
        <v>16</v>
      </c>
      <c r="AT872" s="5" t="str">
        <f>HYPERLINK("http://catalog.hathitrust.org/Record/004268849","HathiTrust Record")</f>
        <v>HathiTrust Record</v>
      </c>
      <c r="AU872" s="5" t="str">
        <f>HYPERLINK("https://creighton-primo.hosted.exlibrisgroup.com/primo-explore/search?tab=default_tab&amp;search_scope=EVERYTHING&amp;vid=01CRU&amp;lang=en_US&amp;offset=0&amp;query=any,contains,991001719749702656","Catalog Record")</f>
        <v>Catalog Record</v>
      </c>
      <c r="AV872" s="5" t="str">
        <f>HYPERLINK("http://www.worldcat.org/oclc/49250137","WorldCat Record")</f>
        <v>WorldCat Record</v>
      </c>
      <c r="AW872" s="2" t="s">
        <v>10655</v>
      </c>
      <c r="AX872" s="2" t="s">
        <v>10656</v>
      </c>
      <c r="AY872" s="2" t="s">
        <v>10657</v>
      </c>
      <c r="AZ872" s="2" t="s">
        <v>10657</v>
      </c>
      <c r="BA872" s="2" t="s">
        <v>10658</v>
      </c>
      <c r="BB872" s="2" t="s">
        <v>21</v>
      </c>
      <c r="BD872" s="2" t="s">
        <v>10659</v>
      </c>
      <c r="BE872" s="2" t="s">
        <v>10660</v>
      </c>
      <c r="BF872" s="2" t="s">
        <v>10661</v>
      </c>
    </row>
    <row r="873" spans="1:58" ht="41.25" customHeight="1" x14ac:dyDescent="0.25">
      <c r="A873" s="8" t="s">
        <v>5</v>
      </c>
      <c r="B873" s="1" t="s">
        <v>0</v>
      </c>
      <c r="C873" s="1" t="s">
        <v>1</v>
      </c>
      <c r="D873" s="1" t="s">
        <v>10662</v>
      </c>
      <c r="E873" s="1" t="s">
        <v>10663</v>
      </c>
      <c r="F873" s="1" t="s">
        <v>10664</v>
      </c>
      <c r="H873" s="2" t="s">
        <v>5</v>
      </c>
      <c r="I873" s="2" t="s">
        <v>6</v>
      </c>
      <c r="J873" s="2" t="s">
        <v>5</v>
      </c>
      <c r="K873" s="2" t="s">
        <v>5</v>
      </c>
      <c r="L873" s="2" t="s">
        <v>7</v>
      </c>
      <c r="M873" s="1" t="s">
        <v>10665</v>
      </c>
      <c r="N873" s="1" t="s">
        <v>2887</v>
      </c>
      <c r="O873" s="2" t="s">
        <v>10</v>
      </c>
      <c r="Q873" s="2" t="s">
        <v>11</v>
      </c>
      <c r="R873" s="2" t="s">
        <v>12</v>
      </c>
      <c r="S873" s="1" t="s">
        <v>10666</v>
      </c>
      <c r="T873" s="2" t="s">
        <v>520</v>
      </c>
      <c r="U873" s="3">
        <v>3</v>
      </c>
      <c r="V873" s="3">
        <v>3</v>
      </c>
      <c r="W873" s="4" t="s">
        <v>1248</v>
      </c>
      <c r="X873" s="4" t="s">
        <v>1248</v>
      </c>
      <c r="Y873" s="4" t="s">
        <v>1249</v>
      </c>
      <c r="Z873" s="4" t="s">
        <v>1249</v>
      </c>
      <c r="AA873" s="3">
        <v>105</v>
      </c>
      <c r="AB873" s="3">
        <v>87</v>
      </c>
      <c r="AC873" s="3">
        <v>89</v>
      </c>
      <c r="AD873" s="3">
        <v>3</v>
      </c>
      <c r="AE873" s="3">
        <v>3</v>
      </c>
      <c r="AF873" s="3">
        <v>4</v>
      </c>
      <c r="AG873" s="3">
        <v>4</v>
      </c>
      <c r="AH873" s="3">
        <v>0</v>
      </c>
      <c r="AI873" s="3">
        <v>0</v>
      </c>
      <c r="AJ873" s="3">
        <v>0</v>
      </c>
      <c r="AK873" s="3">
        <v>0</v>
      </c>
      <c r="AL873" s="3">
        <v>3</v>
      </c>
      <c r="AM873" s="3">
        <v>3</v>
      </c>
      <c r="AN873" s="3">
        <v>1</v>
      </c>
      <c r="AO873" s="3">
        <v>1</v>
      </c>
      <c r="AP873" s="3">
        <v>0</v>
      </c>
      <c r="AQ873" s="3">
        <v>0</v>
      </c>
      <c r="AR873" s="2" t="s">
        <v>5</v>
      </c>
      <c r="AS873" s="2" t="s">
        <v>16</v>
      </c>
      <c r="AT873" s="5" t="str">
        <f>HYPERLINK("http://catalog.hathitrust.org/Record/001545975","HathiTrust Record")</f>
        <v>HathiTrust Record</v>
      </c>
      <c r="AU873" s="5" t="str">
        <f>HYPERLINK("https://creighton-primo.hosted.exlibrisgroup.com/primo-explore/search?tab=default_tab&amp;search_scope=EVERYTHING&amp;vid=01CRU&amp;lang=en_US&amp;offset=0&amp;query=any,contains,991001384829702656","Catalog Record")</f>
        <v>Catalog Record</v>
      </c>
      <c r="AV873" s="5" t="str">
        <f>HYPERLINK("http://www.worldcat.org/oclc/3238025","WorldCat Record")</f>
        <v>WorldCat Record</v>
      </c>
      <c r="AW873" s="2" t="s">
        <v>10667</v>
      </c>
      <c r="AX873" s="2" t="s">
        <v>10668</v>
      </c>
      <c r="AY873" s="2" t="s">
        <v>10669</v>
      </c>
      <c r="AZ873" s="2" t="s">
        <v>10669</v>
      </c>
      <c r="BA873" s="2" t="s">
        <v>10670</v>
      </c>
      <c r="BB873" s="2" t="s">
        <v>21</v>
      </c>
      <c r="BE873" s="2" t="s">
        <v>10671</v>
      </c>
      <c r="BF873" s="2" t="s">
        <v>10672</v>
      </c>
    </row>
    <row r="874" spans="1:58" ht="41.25" customHeight="1" x14ac:dyDescent="0.25">
      <c r="A874" s="8" t="s">
        <v>5</v>
      </c>
      <c r="B874" s="1" t="s">
        <v>0</v>
      </c>
      <c r="C874" s="1" t="s">
        <v>1</v>
      </c>
      <c r="D874" s="1" t="s">
        <v>10673</v>
      </c>
      <c r="E874" s="1" t="s">
        <v>10674</v>
      </c>
      <c r="F874" s="1" t="s">
        <v>10675</v>
      </c>
      <c r="H874" s="2" t="s">
        <v>5</v>
      </c>
      <c r="I874" s="2" t="s">
        <v>6</v>
      </c>
      <c r="J874" s="2" t="s">
        <v>5</v>
      </c>
      <c r="K874" s="2" t="s">
        <v>5</v>
      </c>
      <c r="L874" s="2" t="s">
        <v>7</v>
      </c>
      <c r="M874" s="1" t="s">
        <v>2616</v>
      </c>
      <c r="N874" s="1" t="s">
        <v>5622</v>
      </c>
      <c r="O874" s="2" t="s">
        <v>1339</v>
      </c>
      <c r="P874" s="1" t="s">
        <v>211</v>
      </c>
      <c r="Q874" s="2" t="s">
        <v>11</v>
      </c>
      <c r="R874" s="2" t="s">
        <v>426</v>
      </c>
      <c r="T874" s="2" t="s">
        <v>520</v>
      </c>
      <c r="U874" s="3">
        <v>11</v>
      </c>
      <c r="V874" s="3">
        <v>11</v>
      </c>
      <c r="W874" s="4" t="s">
        <v>10676</v>
      </c>
      <c r="X874" s="4" t="s">
        <v>10676</v>
      </c>
      <c r="Y874" s="4" t="s">
        <v>96</v>
      </c>
      <c r="Z874" s="4" t="s">
        <v>96</v>
      </c>
      <c r="AA874" s="3">
        <v>169</v>
      </c>
      <c r="AB874" s="3">
        <v>129</v>
      </c>
      <c r="AC874" s="3">
        <v>234</v>
      </c>
      <c r="AD874" s="3">
        <v>1</v>
      </c>
      <c r="AE874" s="3">
        <v>2</v>
      </c>
      <c r="AF874" s="3">
        <v>1</v>
      </c>
      <c r="AG874" s="3">
        <v>4</v>
      </c>
      <c r="AH874" s="3">
        <v>0</v>
      </c>
      <c r="AI874" s="3">
        <v>1</v>
      </c>
      <c r="AJ874" s="3">
        <v>0</v>
      </c>
      <c r="AK874" s="3">
        <v>0</v>
      </c>
      <c r="AL874" s="3">
        <v>1</v>
      </c>
      <c r="AM874" s="3">
        <v>2</v>
      </c>
      <c r="AN874" s="3">
        <v>0</v>
      </c>
      <c r="AO874" s="3">
        <v>1</v>
      </c>
      <c r="AP874" s="3">
        <v>0</v>
      </c>
      <c r="AQ874" s="3">
        <v>0</v>
      </c>
      <c r="AR874" s="2" t="s">
        <v>5</v>
      </c>
      <c r="AS874" s="2" t="s">
        <v>5</v>
      </c>
      <c r="AU874" s="5" t="str">
        <f>HYPERLINK("https://creighton-primo.hosted.exlibrisgroup.com/primo-explore/search?tab=default_tab&amp;search_scope=EVERYTHING&amp;vid=01CRU&amp;lang=en_US&amp;offset=0&amp;query=any,contains,991001153099702656","Catalog Record")</f>
        <v>Catalog Record</v>
      </c>
      <c r="AV874" s="5" t="str">
        <f>HYPERLINK("http://www.worldcat.org/oclc/14130739","WorldCat Record")</f>
        <v>WorldCat Record</v>
      </c>
      <c r="AW874" s="2" t="s">
        <v>10677</v>
      </c>
      <c r="AX874" s="2" t="s">
        <v>10678</v>
      </c>
      <c r="AY874" s="2" t="s">
        <v>10679</v>
      </c>
      <c r="AZ874" s="2" t="s">
        <v>10679</v>
      </c>
      <c r="BA874" s="2" t="s">
        <v>10680</v>
      </c>
      <c r="BB874" s="2" t="s">
        <v>21</v>
      </c>
      <c r="BD874" s="2" t="s">
        <v>10681</v>
      </c>
      <c r="BE874" s="2" t="s">
        <v>10682</v>
      </c>
      <c r="BF874" s="2" t="s">
        <v>10683</v>
      </c>
    </row>
    <row r="875" spans="1:58" ht="41.25" customHeight="1" x14ac:dyDescent="0.25">
      <c r="A875" s="8" t="s">
        <v>5</v>
      </c>
      <c r="B875" s="1" t="s">
        <v>0</v>
      </c>
      <c r="C875" s="1" t="s">
        <v>1</v>
      </c>
      <c r="D875" s="1" t="s">
        <v>10684</v>
      </c>
      <c r="E875" s="1" t="s">
        <v>10685</v>
      </c>
      <c r="F875" s="1" t="s">
        <v>10686</v>
      </c>
      <c r="H875" s="2" t="s">
        <v>5</v>
      </c>
      <c r="I875" s="2" t="s">
        <v>6</v>
      </c>
      <c r="J875" s="2" t="s">
        <v>5</v>
      </c>
      <c r="K875" s="2" t="s">
        <v>5</v>
      </c>
      <c r="L875" s="2" t="s">
        <v>7</v>
      </c>
      <c r="M875" s="1" t="s">
        <v>8516</v>
      </c>
      <c r="N875" s="1" t="s">
        <v>1259</v>
      </c>
      <c r="O875" s="2" t="s">
        <v>136</v>
      </c>
      <c r="Q875" s="2" t="s">
        <v>11</v>
      </c>
      <c r="R875" s="2" t="s">
        <v>12</v>
      </c>
      <c r="S875" s="1" t="s">
        <v>10687</v>
      </c>
      <c r="T875" s="2" t="s">
        <v>520</v>
      </c>
      <c r="U875" s="3">
        <v>0</v>
      </c>
      <c r="V875" s="3">
        <v>0</v>
      </c>
      <c r="W875" s="4" t="s">
        <v>1298</v>
      </c>
      <c r="X875" s="4" t="s">
        <v>1298</v>
      </c>
      <c r="Y875" s="4" t="s">
        <v>604</v>
      </c>
      <c r="Z875" s="4" t="s">
        <v>604</v>
      </c>
      <c r="AA875" s="3">
        <v>399</v>
      </c>
      <c r="AB875" s="3">
        <v>339</v>
      </c>
      <c r="AC875" s="3">
        <v>339</v>
      </c>
      <c r="AD875" s="3">
        <v>3</v>
      </c>
      <c r="AE875" s="3">
        <v>3</v>
      </c>
      <c r="AF875" s="3">
        <v>16</v>
      </c>
      <c r="AG875" s="3">
        <v>16</v>
      </c>
      <c r="AH875" s="3">
        <v>7</v>
      </c>
      <c r="AI875" s="3">
        <v>7</v>
      </c>
      <c r="AJ875" s="3">
        <v>3</v>
      </c>
      <c r="AK875" s="3">
        <v>3</v>
      </c>
      <c r="AL875" s="3">
        <v>7</v>
      </c>
      <c r="AM875" s="3">
        <v>7</v>
      </c>
      <c r="AN875" s="3">
        <v>2</v>
      </c>
      <c r="AO875" s="3">
        <v>2</v>
      </c>
      <c r="AP875" s="3">
        <v>0</v>
      </c>
      <c r="AQ875" s="3">
        <v>0</v>
      </c>
      <c r="AR875" s="2" t="s">
        <v>5</v>
      </c>
      <c r="AS875" s="2" t="s">
        <v>5</v>
      </c>
      <c r="AU875" s="5" t="str">
        <f>HYPERLINK("https://creighton-primo.hosted.exlibrisgroup.com/primo-explore/search?tab=default_tab&amp;search_scope=EVERYTHING&amp;vid=01CRU&amp;lang=en_US&amp;offset=0&amp;query=any,contains,991000230669702656","Catalog Record")</f>
        <v>Catalog Record</v>
      </c>
      <c r="AV875" s="5" t="str">
        <f>HYPERLINK("http://www.worldcat.org/oclc/2772672","WorldCat Record")</f>
        <v>WorldCat Record</v>
      </c>
      <c r="AW875" s="2" t="s">
        <v>10688</v>
      </c>
      <c r="AX875" s="2" t="s">
        <v>10689</v>
      </c>
      <c r="AY875" s="2" t="s">
        <v>10690</v>
      </c>
      <c r="AZ875" s="2" t="s">
        <v>10690</v>
      </c>
      <c r="BA875" s="2" t="s">
        <v>10691</v>
      </c>
      <c r="BB875" s="2" t="s">
        <v>21</v>
      </c>
      <c r="BD875" s="2" t="s">
        <v>10692</v>
      </c>
      <c r="BE875" s="2" t="s">
        <v>10693</v>
      </c>
      <c r="BF875" s="2" t="s">
        <v>10694</v>
      </c>
    </row>
    <row r="876" spans="1:58" ht="41.25" customHeight="1" x14ac:dyDescent="0.25">
      <c r="A876" s="8" t="s">
        <v>5</v>
      </c>
      <c r="B876" s="1" t="s">
        <v>0</v>
      </c>
      <c r="C876" s="1" t="s">
        <v>1</v>
      </c>
      <c r="D876" s="1" t="s">
        <v>10695</v>
      </c>
      <c r="E876" s="1" t="s">
        <v>10696</v>
      </c>
      <c r="F876" s="1" t="s">
        <v>10697</v>
      </c>
      <c r="H876" s="2" t="s">
        <v>5</v>
      </c>
      <c r="I876" s="2" t="s">
        <v>6</v>
      </c>
      <c r="J876" s="2" t="s">
        <v>5</v>
      </c>
      <c r="K876" s="2" t="s">
        <v>5</v>
      </c>
      <c r="L876" s="2" t="s">
        <v>7</v>
      </c>
      <c r="M876" s="1" t="s">
        <v>10698</v>
      </c>
      <c r="N876" s="1" t="s">
        <v>10699</v>
      </c>
      <c r="O876" s="2" t="s">
        <v>1102</v>
      </c>
      <c r="P876" s="1" t="s">
        <v>211</v>
      </c>
      <c r="Q876" s="2" t="s">
        <v>11</v>
      </c>
      <c r="R876" s="2" t="s">
        <v>426</v>
      </c>
      <c r="T876" s="2" t="s">
        <v>520</v>
      </c>
      <c r="U876" s="3">
        <v>3</v>
      </c>
      <c r="V876" s="3">
        <v>3</v>
      </c>
      <c r="W876" s="4" t="s">
        <v>10700</v>
      </c>
      <c r="X876" s="4" t="s">
        <v>10700</v>
      </c>
      <c r="Y876" s="4" t="s">
        <v>96</v>
      </c>
      <c r="Z876" s="4" t="s">
        <v>96</v>
      </c>
      <c r="AA876" s="3">
        <v>212</v>
      </c>
      <c r="AB876" s="3">
        <v>183</v>
      </c>
      <c r="AC876" s="3">
        <v>249</v>
      </c>
      <c r="AD876" s="3">
        <v>3</v>
      </c>
      <c r="AE876" s="3">
        <v>3</v>
      </c>
      <c r="AF876" s="3">
        <v>6</v>
      </c>
      <c r="AG876" s="3">
        <v>8</v>
      </c>
      <c r="AH876" s="3">
        <v>2</v>
      </c>
      <c r="AI876" s="3">
        <v>3</v>
      </c>
      <c r="AJ876" s="3">
        <v>1</v>
      </c>
      <c r="AK876" s="3">
        <v>1</v>
      </c>
      <c r="AL876" s="3">
        <v>5</v>
      </c>
      <c r="AM876" s="3">
        <v>6</v>
      </c>
      <c r="AN876" s="3">
        <v>0</v>
      </c>
      <c r="AO876" s="3">
        <v>0</v>
      </c>
      <c r="AP876" s="3">
        <v>0</v>
      </c>
      <c r="AQ876" s="3">
        <v>0</v>
      </c>
      <c r="AR876" s="2" t="s">
        <v>5</v>
      </c>
      <c r="AS876" s="2" t="s">
        <v>16</v>
      </c>
      <c r="AT876" s="5" t="str">
        <f>HYPERLINK("http://catalog.hathitrust.org/Record/000485156","HathiTrust Record")</f>
        <v>HathiTrust Record</v>
      </c>
      <c r="AU876" s="5" t="str">
        <f>HYPERLINK("https://creighton-primo.hosted.exlibrisgroup.com/primo-explore/search?tab=default_tab&amp;search_scope=EVERYTHING&amp;vid=01CRU&amp;lang=en_US&amp;offset=0&amp;query=any,contains,991000923179702656","Catalog Record")</f>
        <v>Catalog Record</v>
      </c>
      <c r="AV876" s="5" t="str">
        <f>HYPERLINK("http://www.worldcat.org/oclc/13126308","WorldCat Record")</f>
        <v>WorldCat Record</v>
      </c>
      <c r="AW876" s="2" t="s">
        <v>10701</v>
      </c>
      <c r="AX876" s="2" t="s">
        <v>10702</v>
      </c>
      <c r="AY876" s="2" t="s">
        <v>10703</v>
      </c>
      <c r="AZ876" s="2" t="s">
        <v>10703</v>
      </c>
      <c r="BA876" s="2" t="s">
        <v>10704</v>
      </c>
      <c r="BB876" s="2" t="s">
        <v>21</v>
      </c>
      <c r="BD876" s="2" t="s">
        <v>10705</v>
      </c>
      <c r="BE876" s="2" t="s">
        <v>10706</v>
      </c>
      <c r="BF876" s="2" t="s">
        <v>10707</v>
      </c>
    </row>
    <row r="877" spans="1:58" ht="41.25" customHeight="1" x14ac:dyDescent="0.25">
      <c r="A877" s="8" t="s">
        <v>5</v>
      </c>
      <c r="B877" s="1" t="s">
        <v>0</v>
      </c>
      <c r="C877" s="1" t="s">
        <v>1</v>
      </c>
      <c r="D877" s="1" t="s">
        <v>10708</v>
      </c>
      <c r="E877" s="1" t="s">
        <v>10709</v>
      </c>
      <c r="F877" s="1" t="s">
        <v>10710</v>
      </c>
      <c r="H877" s="2" t="s">
        <v>5</v>
      </c>
      <c r="I877" s="2" t="s">
        <v>6</v>
      </c>
      <c r="J877" s="2" t="s">
        <v>5</v>
      </c>
      <c r="K877" s="2" t="s">
        <v>5</v>
      </c>
      <c r="L877" s="2" t="s">
        <v>7</v>
      </c>
      <c r="M877" s="1" t="s">
        <v>10711</v>
      </c>
      <c r="N877" s="1" t="s">
        <v>10712</v>
      </c>
      <c r="O877" s="2" t="s">
        <v>151</v>
      </c>
      <c r="Q877" s="2" t="s">
        <v>11</v>
      </c>
      <c r="R877" s="2" t="s">
        <v>12</v>
      </c>
      <c r="S877" s="1" t="s">
        <v>10713</v>
      </c>
      <c r="T877" s="2" t="s">
        <v>520</v>
      </c>
      <c r="U877" s="3">
        <v>3</v>
      </c>
      <c r="V877" s="3">
        <v>3</v>
      </c>
      <c r="W877" s="4" t="s">
        <v>10714</v>
      </c>
      <c r="X877" s="4" t="s">
        <v>10714</v>
      </c>
      <c r="Y877" s="4" t="s">
        <v>96</v>
      </c>
      <c r="Z877" s="4" t="s">
        <v>96</v>
      </c>
      <c r="AA877" s="3">
        <v>101</v>
      </c>
      <c r="AB877" s="3">
        <v>85</v>
      </c>
      <c r="AC877" s="3">
        <v>87</v>
      </c>
      <c r="AD877" s="3">
        <v>2</v>
      </c>
      <c r="AE877" s="3">
        <v>2</v>
      </c>
      <c r="AF877" s="3">
        <v>2</v>
      </c>
      <c r="AG877" s="3">
        <v>2</v>
      </c>
      <c r="AH877" s="3">
        <v>0</v>
      </c>
      <c r="AI877" s="3">
        <v>0</v>
      </c>
      <c r="AJ877" s="3">
        <v>0</v>
      </c>
      <c r="AK877" s="3">
        <v>0</v>
      </c>
      <c r="AL877" s="3">
        <v>1</v>
      </c>
      <c r="AM877" s="3">
        <v>1</v>
      </c>
      <c r="AN877" s="3">
        <v>1</v>
      </c>
      <c r="AO877" s="3">
        <v>1</v>
      </c>
      <c r="AP877" s="3">
        <v>0</v>
      </c>
      <c r="AQ877" s="3">
        <v>0</v>
      </c>
      <c r="AR877" s="2" t="s">
        <v>5</v>
      </c>
      <c r="AS877" s="2" t="s">
        <v>16</v>
      </c>
      <c r="AT877" s="5" t="str">
        <f>HYPERLINK("http://catalog.hathitrust.org/Record/000034861","HathiTrust Record")</f>
        <v>HathiTrust Record</v>
      </c>
      <c r="AU877" s="5" t="str">
        <f>HYPERLINK("https://creighton-primo.hosted.exlibrisgroup.com/primo-explore/search?tab=default_tab&amp;search_scope=EVERYTHING&amp;vid=01CRU&amp;lang=en_US&amp;offset=0&amp;query=any,contains,991001153199702656","Catalog Record")</f>
        <v>Catalog Record</v>
      </c>
      <c r="AV877" s="5" t="str">
        <f>HYPERLINK("http://www.worldcat.org/oclc/1322160","WorldCat Record")</f>
        <v>WorldCat Record</v>
      </c>
      <c r="AW877" s="2" t="s">
        <v>10715</v>
      </c>
      <c r="AX877" s="2" t="s">
        <v>10716</v>
      </c>
      <c r="AY877" s="2" t="s">
        <v>10717</v>
      </c>
      <c r="AZ877" s="2" t="s">
        <v>10717</v>
      </c>
      <c r="BA877" s="2" t="s">
        <v>10718</v>
      </c>
      <c r="BB877" s="2" t="s">
        <v>21</v>
      </c>
      <c r="BD877" s="2" t="s">
        <v>10719</v>
      </c>
      <c r="BE877" s="2" t="s">
        <v>10720</v>
      </c>
      <c r="BF877" s="2" t="s">
        <v>10721</v>
      </c>
    </row>
    <row r="878" spans="1:58" ht="41.25" customHeight="1" x14ac:dyDescent="0.25">
      <c r="A878" s="8" t="s">
        <v>5</v>
      </c>
      <c r="B878" s="1" t="s">
        <v>0</v>
      </c>
      <c r="C878" s="1" t="s">
        <v>1</v>
      </c>
      <c r="D878" s="1" t="s">
        <v>10722</v>
      </c>
      <c r="E878" s="1" t="s">
        <v>10723</v>
      </c>
      <c r="F878" s="1" t="s">
        <v>10724</v>
      </c>
      <c r="H878" s="2" t="s">
        <v>5</v>
      </c>
      <c r="I878" s="2" t="s">
        <v>6</v>
      </c>
      <c r="J878" s="2" t="s">
        <v>5</v>
      </c>
      <c r="K878" s="2" t="s">
        <v>5</v>
      </c>
      <c r="L878" s="2" t="s">
        <v>7</v>
      </c>
      <c r="M878" s="1" t="s">
        <v>10725</v>
      </c>
      <c r="N878" s="1" t="s">
        <v>10726</v>
      </c>
      <c r="O878" s="2" t="s">
        <v>1339</v>
      </c>
      <c r="Q878" s="2" t="s">
        <v>11</v>
      </c>
      <c r="R878" s="2" t="s">
        <v>426</v>
      </c>
      <c r="T878" s="2" t="s">
        <v>520</v>
      </c>
      <c r="U878" s="3">
        <v>4</v>
      </c>
      <c r="V878" s="3">
        <v>4</v>
      </c>
      <c r="W878" s="4" t="s">
        <v>4722</v>
      </c>
      <c r="X878" s="4" t="s">
        <v>4722</v>
      </c>
      <c r="Y878" s="4" t="s">
        <v>2876</v>
      </c>
      <c r="Z878" s="4" t="s">
        <v>2876</v>
      </c>
      <c r="AA878" s="3">
        <v>148</v>
      </c>
      <c r="AB878" s="3">
        <v>130</v>
      </c>
      <c r="AC878" s="3">
        <v>133</v>
      </c>
      <c r="AD878" s="3">
        <v>2</v>
      </c>
      <c r="AE878" s="3">
        <v>2</v>
      </c>
      <c r="AF878" s="3">
        <v>2</v>
      </c>
      <c r="AG878" s="3">
        <v>2</v>
      </c>
      <c r="AH878" s="3">
        <v>1</v>
      </c>
      <c r="AI878" s="3">
        <v>1</v>
      </c>
      <c r="AJ878" s="3">
        <v>0</v>
      </c>
      <c r="AK878" s="3">
        <v>0</v>
      </c>
      <c r="AL878" s="3">
        <v>1</v>
      </c>
      <c r="AM878" s="3">
        <v>1</v>
      </c>
      <c r="AN878" s="3">
        <v>0</v>
      </c>
      <c r="AO878" s="3">
        <v>0</v>
      </c>
      <c r="AP878" s="3">
        <v>0</v>
      </c>
      <c r="AQ878" s="3">
        <v>0</v>
      </c>
      <c r="AR878" s="2" t="s">
        <v>5</v>
      </c>
      <c r="AS878" s="2" t="s">
        <v>16</v>
      </c>
      <c r="AT878" s="5" t="str">
        <f>HYPERLINK("http://catalog.hathitrust.org/Record/000839742","HathiTrust Record")</f>
        <v>HathiTrust Record</v>
      </c>
      <c r="AU878" s="5" t="str">
        <f>HYPERLINK("https://creighton-primo.hosted.exlibrisgroup.com/primo-explore/search?tab=default_tab&amp;search_scope=EVERYTHING&amp;vid=01CRU&amp;lang=en_US&amp;offset=0&amp;query=any,contains,991001535879702656","Catalog Record")</f>
        <v>Catalog Record</v>
      </c>
      <c r="AV878" s="5" t="str">
        <f>HYPERLINK("http://www.worldcat.org/oclc/15518025","WorldCat Record")</f>
        <v>WorldCat Record</v>
      </c>
      <c r="AW878" s="2" t="s">
        <v>10727</v>
      </c>
      <c r="AX878" s="2" t="s">
        <v>10728</v>
      </c>
      <c r="AY878" s="2" t="s">
        <v>10729</v>
      </c>
      <c r="AZ878" s="2" t="s">
        <v>10729</v>
      </c>
      <c r="BA878" s="2" t="s">
        <v>10730</v>
      </c>
      <c r="BB878" s="2" t="s">
        <v>21</v>
      </c>
      <c r="BD878" s="2" t="s">
        <v>10731</v>
      </c>
      <c r="BE878" s="2" t="s">
        <v>10732</v>
      </c>
      <c r="BF878" s="2" t="s">
        <v>10733</v>
      </c>
    </row>
    <row r="879" spans="1:58" ht="41.25" customHeight="1" x14ac:dyDescent="0.25">
      <c r="A879" s="8" t="s">
        <v>5</v>
      </c>
      <c r="B879" s="1" t="s">
        <v>0</v>
      </c>
      <c r="C879" s="1" t="s">
        <v>1</v>
      </c>
      <c r="D879" s="1" t="s">
        <v>10734</v>
      </c>
      <c r="E879" s="1" t="s">
        <v>10735</v>
      </c>
      <c r="F879" s="1" t="s">
        <v>10736</v>
      </c>
      <c r="H879" s="2" t="s">
        <v>5</v>
      </c>
      <c r="I879" s="2" t="s">
        <v>6</v>
      </c>
      <c r="J879" s="2" t="s">
        <v>5</v>
      </c>
      <c r="K879" s="2" t="s">
        <v>5</v>
      </c>
      <c r="L879" s="2" t="s">
        <v>7</v>
      </c>
      <c r="N879" s="1" t="s">
        <v>10737</v>
      </c>
      <c r="O879" s="2" t="s">
        <v>151</v>
      </c>
      <c r="Q879" s="2" t="s">
        <v>11</v>
      </c>
      <c r="R879" s="2" t="s">
        <v>31</v>
      </c>
      <c r="S879" s="1" t="s">
        <v>10738</v>
      </c>
      <c r="T879" s="2" t="s">
        <v>520</v>
      </c>
      <c r="U879" s="3">
        <v>1</v>
      </c>
      <c r="V879" s="3">
        <v>1</v>
      </c>
      <c r="W879" s="4" t="s">
        <v>10739</v>
      </c>
      <c r="X879" s="4" t="s">
        <v>10739</v>
      </c>
      <c r="Y879" s="4" t="s">
        <v>1105</v>
      </c>
      <c r="Z879" s="4" t="s">
        <v>1105</v>
      </c>
      <c r="AA879" s="3">
        <v>52</v>
      </c>
      <c r="AB879" s="3">
        <v>44</v>
      </c>
      <c r="AC879" s="3">
        <v>44</v>
      </c>
      <c r="AD879" s="3">
        <v>1</v>
      </c>
      <c r="AE879" s="3">
        <v>1</v>
      </c>
      <c r="AF879" s="3">
        <v>3</v>
      </c>
      <c r="AG879" s="3">
        <v>3</v>
      </c>
      <c r="AH879" s="3">
        <v>1</v>
      </c>
      <c r="AI879" s="3">
        <v>1</v>
      </c>
      <c r="AJ879" s="3">
        <v>0</v>
      </c>
      <c r="AK879" s="3">
        <v>0</v>
      </c>
      <c r="AL879" s="3">
        <v>2</v>
      </c>
      <c r="AM879" s="3">
        <v>2</v>
      </c>
      <c r="AN879" s="3">
        <v>0</v>
      </c>
      <c r="AO879" s="3">
        <v>0</v>
      </c>
      <c r="AP879" s="3">
        <v>0</v>
      </c>
      <c r="AQ879" s="3">
        <v>0</v>
      </c>
      <c r="AR879" s="2" t="s">
        <v>5</v>
      </c>
      <c r="AS879" s="2" t="s">
        <v>5</v>
      </c>
      <c r="AU879" s="5" t="str">
        <f>HYPERLINK("https://creighton-primo.hosted.exlibrisgroup.com/primo-explore/search?tab=default_tab&amp;search_scope=EVERYTHING&amp;vid=01CRU&amp;lang=en_US&amp;offset=0&amp;query=any,contains,991001521679702656","Catalog Record")</f>
        <v>Catalog Record</v>
      </c>
      <c r="AV879" s="5" t="str">
        <f>HYPERLINK("http://www.worldcat.org/oclc/1898814","WorldCat Record")</f>
        <v>WorldCat Record</v>
      </c>
      <c r="AW879" s="2" t="s">
        <v>10740</v>
      </c>
      <c r="AX879" s="2" t="s">
        <v>10741</v>
      </c>
      <c r="AY879" s="2" t="s">
        <v>10742</v>
      </c>
      <c r="AZ879" s="2" t="s">
        <v>10742</v>
      </c>
      <c r="BA879" s="2" t="s">
        <v>10743</v>
      </c>
      <c r="BB879" s="2" t="s">
        <v>21</v>
      </c>
      <c r="BE879" s="2" t="s">
        <v>10744</v>
      </c>
      <c r="BF879" s="2" t="s">
        <v>10745</v>
      </c>
    </row>
    <row r="880" spans="1:58" ht="41.25" customHeight="1" x14ac:dyDescent="0.25">
      <c r="A880" s="8" t="s">
        <v>5</v>
      </c>
      <c r="B880" s="1" t="s">
        <v>0</v>
      </c>
      <c r="C880" s="1" t="s">
        <v>1</v>
      </c>
      <c r="D880" s="1" t="s">
        <v>10746</v>
      </c>
      <c r="E880" s="1" t="s">
        <v>10747</v>
      </c>
      <c r="F880" s="1" t="s">
        <v>10748</v>
      </c>
      <c r="H880" s="2" t="s">
        <v>5</v>
      </c>
      <c r="I880" s="2" t="s">
        <v>6</v>
      </c>
      <c r="J880" s="2" t="s">
        <v>5</v>
      </c>
      <c r="K880" s="2" t="s">
        <v>5</v>
      </c>
      <c r="L880" s="2" t="s">
        <v>7</v>
      </c>
      <c r="M880" s="1" t="s">
        <v>10749</v>
      </c>
      <c r="N880" s="1" t="s">
        <v>10750</v>
      </c>
      <c r="O880" s="2" t="s">
        <v>354</v>
      </c>
      <c r="Q880" s="2" t="s">
        <v>11</v>
      </c>
      <c r="R880" s="2" t="s">
        <v>426</v>
      </c>
      <c r="T880" s="2" t="s">
        <v>520</v>
      </c>
      <c r="U880" s="3">
        <v>2</v>
      </c>
      <c r="V880" s="3">
        <v>2</v>
      </c>
      <c r="W880" s="4" t="s">
        <v>10751</v>
      </c>
      <c r="X880" s="4" t="s">
        <v>10751</v>
      </c>
      <c r="Y880" s="4" t="s">
        <v>96</v>
      </c>
      <c r="Z880" s="4" t="s">
        <v>96</v>
      </c>
      <c r="AA880" s="3">
        <v>245</v>
      </c>
      <c r="AB880" s="3">
        <v>199</v>
      </c>
      <c r="AC880" s="3">
        <v>221</v>
      </c>
      <c r="AD880" s="3">
        <v>3</v>
      </c>
      <c r="AE880" s="3">
        <v>4</v>
      </c>
      <c r="AF880" s="3">
        <v>6</v>
      </c>
      <c r="AG880" s="3">
        <v>8</v>
      </c>
      <c r="AH880" s="3">
        <v>2</v>
      </c>
      <c r="AI880" s="3">
        <v>2</v>
      </c>
      <c r="AJ880" s="3">
        <v>1</v>
      </c>
      <c r="AK880" s="3">
        <v>2</v>
      </c>
      <c r="AL880" s="3">
        <v>3</v>
      </c>
      <c r="AM880" s="3">
        <v>3</v>
      </c>
      <c r="AN880" s="3">
        <v>1</v>
      </c>
      <c r="AO880" s="3">
        <v>2</v>
      </c>
      <c r="AP880" s="3">
        <v>0</v>
      </c>
      <c r="AQ880" s="3">
        <v>0</v>
      </c>
      <c r="AR880" s="2" t="s">
        <v>5</v>
      </c>
      <c r="AS880" s="2" t="s">
        <v>16</v>
      </c>
      <c r="AT880" s="5" t="str">
        <f>HYPERLINK("http://catalog.hathitrust.org/Record/000018385","HathiTrust Record")</f>
        <v>HathiTrust Record</v>
      </c>
      <c r="AU880" s="5" t="str">
        <f>HYPERLINK("https://creighton-primo.hosted.exlibrisgroup.com/primo-explore/search?tab=default_tab&amp;search_scope=EVERYTHING&amp;vid=01CRU&amp;lang=en_US&amp;offset=0&amp;query=any,contains,991001145919702656","Catalog Record")</f>
        <v>Catalog Record</v>
      </c>
      <c r="AV880" s="5" t="str">
        <f>HYPERLINK("http://www.worldcat.org/oclc/6088403","WorldCat Record")</f>
        <v>WorldCat Record</v>
      </c>
      <c r="AW880" s="2" t="s">
        <v>10752</v>
      </c>
      <c r="AX880" s="2" t="s">
        <v>10753</v>
      </c>
      <c r="AY880" s="2" t="s">
        <v>10754</v>
      </c>
      <c r="AZ880" s="2" t="s">
        <v>10754</v>
      </c>
      <c r="BA880" s="2" t="s">
        <v>10755</v>
      </c>
      <c r="BB880" s="2" t="s">
        <v>21</v>
      </c>
      <c r="BD880" s="2" t="s">
        <v>10756</v>
      </c>
      <c r="BE880" s="2" t="s">
        <v>10757</v>
      </c>
      <c r="BF880" s="2" t="s">
        <v>10758</v>
      </c>
    </row>
    <row r="881" spans="1:58" ht="41.25" customHeight="1" x14ac:dyDescent="0.25">
      <c r="A881" s="8" t="s">
        <v>5</v>
      </c>
      <c r="B881" s="1" t="s">
        <v>0</v>
      </c>
      <c r="C881" s="1" t="s">
        <v>1</v>
      </c>
      <c r="D881" s="1" t="s">
        <v>10759</v>
      </c>
      <c r="E881" s="1" t="s">
        <v>10760</v>
      </c>
      <c r="F881" s="1" t="s">
        <v>10761</v>
      </c>
      <c r="H881" s="2" t="s">
        <v>5</v>
      </c>
      <c r="I881" s="2" t="s">
        <v>6</v>
      </c>
      <c r="J881" s="2" t="s">
        <v>5</v>
      </c>
      <c r="K881" s="2" t="s">
        <v>5</v>
      </c>
      <c r="L881" s="2" t="s">
        <v>7</v>
      </c>
      <c r="N881" s="1" t="s">
        <v>10762</v>
      </c>
      <c r="O881" s="2" t="s">
        <v>939</v>
      </c>
      <c r="Q881" s="2" t="s">
        <v>11</v>
      </c>
      <c r="R881" s="2" t="s">
        <v>31</v>
      </c>
      <c r="T881" s="2" t="s">
        <v>520</v>
      </c>
      <c r="U881" s="3">
        <v>5</v>
      </c>
      <c r="V881" s="3">
        <v>5</v>
      </c>
      <c r="W881" s="4" t="s">
        <v>10763</v>
      </c>
      <c r="X881" s="4" t="s">
        <v>10763</v>
      </c>
      <c r="Y881" s="4" t="s">
        <v>10764</v>
      </c>
      <c r="Z881" s="4" t="s">
        <v>10764</v>
      </c>
      <c r="AA881" s="3">
        <v>51</v>
      </c>
      <c r="AB881" s="3">
        <v>8</v>
      </c>
      <c r="AC881" s="3">
        <v>27</v>
      </c>
      <c r="AD881" s="3">
        <v>1</v>
      </c>
      <c r="AE881" s="3">
        <v>1</v>
      </c>
      <c r="AF881" s="3">
        <v>0</v>
      </c>
      <c r="AG881" s="3">
        <v>2</v>
      </c>
      <c r="AH881" s="3">
        <v>0</v>
      </c>
      <c r="AI881" s="3">
        <v>1</v>
      </c>
      <c r="AJ881" s="3">
        <v>0</v>
      </c>
      <c r="AK881" s="3">
        <v>0</v>
      </c>
      <c r="AL881" s="3">
        <v>0</v>
      </c>
      <c r="AM881" s="3">
        <v>2</v>
      </c>
      <c r="AN881" s="3">
        <v>0</v>
      </c>
      <c r="AO881" s="3">
        <v>0</v>
      </c>
      <c r="AP881" s="3">
        <v>0</v>
      </c>
      <c r="AQ881" s="3">
        <v>0</v>
      </c>
      <c r="AR881" s="2" t="s">
        <v>5</v>
      </c>
      <c r="AS881" s="2" t="s">
        <v>5</v>
      </c>
      <c r="AU881" s="5" t="str">
        <f>HYPERLINK("https://creighton-primo.hosted.exlibrisgroup.com/primo-explore/search?tab=default_tab&amp;search_scope=EVERYTHING&amp;vid=01CRU&amp;lang=en_US&amp;offset=0&amp;query=any,contains,991000825839702656","Catalog Record")</f>
        <v>Catalog Record</v>
      </c>
      <c r="AV881" s="5" t="str">
        <f>HYPERLINK("http://www.worldcat.org/oclc/17768464","WorldCat Record")</f>
        <v>WorldCat Record</v>
      </c>
      <c r="AW881" s="2" t="s">
        <v>10765</v>
      </c>
      <c r="AX881" s="2" t="s">
        <v>10766</v>
      </c>
      <c r="AY881" s="2" t="s">
        <v>10767</v>
      </c>
      <c r="AZ881" s="2" t="s">
        <v>10767</v>
      </c>
      <c r="BA881" s="2" t="s">
        <v>10768</v>
      </c>
      <c r="BB881" s="2" t="s">
        <v>21</v>
      </c>
      <c r="BD881" s="2" t="s">
        <v>10769</v>
      </c>
      <c r="BE881" s="2" t="s">
        <v>10770</v>
      </c>
      <c r="BF881" s="2" t="s">
        <v>10771</v>
      </c>
    </row>
    <row r="882" spans="1:58" ht="41.25" customHeight="1" x14ac:dyDescent="0.25">
      <c r="A882" s="8" t="s">
        <v>5</v>
      </c>
      <c r="B882" s="1" t="s">
        <v>0</v>
      </c>
      <c r="C882" s="1" t="s">
        <v>1</v>
      </c>
      <c r="D882" s="1" t="s">
        <v>10772</v>
      </c>
      <c r="E882" s="1" t="s">
        <v>10773</v>
      </c>
      <c r="F882" s="1" t="s">
        <v>10774</v>
      </c>
      <c r="H882" s="2" t="s">
        <v>5</v>
      </c>
      <c r="I882" s="2" t="s">
        <v>6</v>
      </c>
      <c r="J882" s="2" t="s">
        <v>5</v>
      </c>
      <c r="K882" s="2" t="s">
        <v>16</v>
      </c>
      <c r="L882" s="2" t="s">
        <v>6</v>
      </c>
      <c r="M882" s="1" t="s">
        <v>425</v>
      </c>
      <c r="N882" s="1" t="s">
        <v>6384</v>
      </c>
      <c r="O882" s="2" t="s">
        <v>1004</v>
      </c>
      <c r="P882" s="1" t="s">
        <v>901</v>
      </c>
      <c r="Q882" s="2" t="s">
        <v>11</v>
      </c>
      <c r="R882" s="2" t="s">
        <v>78</v>
      </c>
      <c r="T882" s="2" t="s">
        <v>520</v>
      </c>
      <c r="U882" s="3">
        <v>3</v>
      </c>
      <c r="V882" s="3">
        <v>3</v>
      </c>
      <c r="W882" s="4" t="s">
        <v>10775</v>
      </c>
      <c r="X882" s="4" t="s">
        <v>10775</v>
      </c>
      <c r="Y882" s="4" t="s">
        <v>2140</v>
      </c>
      <c r="Z882" s="4" t="s">
        <v>2140</v>
      </c>
      <c r="AA882" s="3">
        <v>285</v>
      </c>
      <c r="AB882" s="3">
        <v>210</v>
      </c>
      <c r="AC882" s="3">
        <v>945</v>
      </c>
      <c r="AD882" s="3">
        <v>1</v>
      </c>
      <c r="AE882" s="3">
        <v>3</v>
      </c>
      <c r="AF882" s="3">
        <v>5</v>
      </c>
      <c r="AG882" s="3">
        <v>22</v>
      </c>
      <c r="AH882" s="3">
        <v>2</v>
      </c>
      <c r="AI882" s="3">
        <v>6</v>
      </c>
      <c r="AJ882" s="3">
        <v>0</v>
      </c>
      <c r="AK882" s="3">
        <v>5</v>
      </c>
      <c r="AL882" s="3">
        <v>3</v>
      </c>
      <c r="AM882" s="3">
        <v>14</v>
      </c>
      <c r="AN882" s="3">
        <v>0</v>
      </c>
      <c r="AO882" s="3">
        <v>2</v>
      </c>
      <c r="AP882" s="3">
        <v>0</v>
      </c>
      <c r="AQ882" s="3">
        <v>0</v>
      </c>
      <c r="AR882" s="2" t="s">
        <v>5</v>
      </c>
      <c r="AS882" s="2" t="s">
        <v>16</v>
      </c>
      <c r="AT882" s="5" t="str">
        <f>HYPERLINK("http://catalog.hathitrust.org/Record/004020946","HathiTrust Record")</f>
        <v>HathiTrust Record</v>
      </c>
      <c r="AU882" s="5" t="str">
        <f>HYPERLINK("https://creighton-primo.hosted.exlibrisgroup.com/primo-explore/search?tab=default_tab&amp;search_scope=EVERYTHING&amp;vid=01CRU&amp;lang=en_US&amp;offset=0&amp;query=any,contains,991000319509702656","Catalog Record")</f>
        <v>Catalog Record</v>
      </c>
      <c r="AV882" s="5" t="str">
        <f>HYPERLINK("http://www.worldcat.org/oclc/39982677","WorldCat Record")</f>
        <v>WorldCat Record</v>
      </c>
      <c r="AW882" s="2" t="s">
        <v>10776</v>
      </c>
      <c r="AX882" s="2" t="s">
        <v>10777</v>
      </c>
      <c r="AY882" s="2" t="s">
        <v>10778</v>
      </c>
      <c r="AZ882" s="2" t="s">
        <v>10778</v>
      </c>
      <c r="BA882" s="2" t="s">
        <v>10779</v>
      </c>
      <c r="BB882" s="2" t="s">
        <v>21</v>
      </c>
      <c r="BD882" s="2" t="s">
        <v>10780</v>
      </c>
      <c r="BE882" s="2" t="s">
        <v>10781</v>
      </c>
      <c r="BF882" s="2" t="s">
        <v>10782</v>
      </c>
    </row>
    <row r="883" spans="1:58" ht="41.25" customHeight="1" x14ac:dyDescent="0.25">
      <c r="A883" s="8" t="s">
        <v>5</v>
      </c>
      <c r="B883" s="1" t="s">
        <v>0</v>
      </c>
      <c r="C883" s="1" t="s">
        <v>1</v>
      </c>
      <c r="D883" s="1" t="s">
        <v>10783</v>
      </c>
      <c r="E883" s="1" t="s">
        <v>10784</v>
      </c>
      <c r="F883" s="1" t="s">
        <v>10785</v>
      </c>
      <c r="H883" s="2" t="s">
        <v>5</v>
      </c>
      <c r="I883" s="2" t="s">
        <v>6</v>
      </c>
      <c r="J883" s="2" t="s">
        <v>5</v>
      </c>
      <c r="K883" s="2" t="s">
        <v>16</v>
      </c>
      <c r="L883" s="2" t="s">
        <v>6</v>
      </c>
      <c r="M883" s="1" t="s">
        <v>425</v>
      </c>
      <c r="N883" s="1" t="s">
        <v>1390</v>
      </c>
      <c r="O883" s="2" t="s">
        <v>1391</v>
      </c>
      <c r="P883" s="1" t="s">
        <v>1208</v>
      </c>
      <c r="Q883" s="2" t="s">
        <v>11</v>
      </c>
      <c r="R883" s="2" t="s">
        <v>78</v>
      </c>
      <c r="T883" s="2" t="s">
        <v>520</v>
      </c>
      <c r="U883" s="3">
        <v>2</v>
      </c>
      <c r="V883" s="3">
        <v>2</v>
      </c>
      <c r="W883" s="4" t="s">
        <v>10786</v>
      </c>
      <c r="X883" s="4" t="s">
        <v>10786</v>
      </c>
      <c r="Y883" s="4" t="s">
        <v>10787</v>
      </c>
      <c r="Z883" s="4" t="s">
        <v>10787</v>
      </c>
      <c r="AA883" s="3">
        <v>437</v>
      </c>
      <c r="AB883" s="3">
        <v>321</v>
      </c>
      <c r="AC883" s="3">
        <v>945</v>
      </c>
      <c r="AD883" s="3">
        <v>1</v>
      </c>
      <c r="AE883" s="3">
        <v>3</v>
      </c>
      <c r="AF883" s="3">
        <v>7</v>
      </c>
      <c r="AG883" s="3">
        <v>22</v>
      </c>
      <c r="AH883" s="3">
        <v>1</v>
      </c>
      <c r="AI883" s="3">
        <v>6</v>
      </c>
      <c r="AJ883" s="3">
        <v>2</v>
      </c>
      <c r="AK883" s="3">
        <v>5</v>
      </c>
      <c r="AL883" s="3">
        <v>6</v>
      </c>
      <c r="AM883" s="3">
        <v>14</v>
      </c>
      <c r="AN883" s="3">
        <v>0</v>
      </c>
      <c r="AO883" s="3">
        <v>2</v>
      </c>
      <c r="AP883" s="3">
        <v>0</v>
      </c>
      <c r="AQ883" s="3">
        <v>0</v>
      </c>
      <c r="AR883" s="2" t="s">
        <v>5</v>
      </c>
      <c r="AS883" s="2" t="s">
        <v>5</v>
      </c>
      <c r="AU883" s="5" t="str">
        <f>HYPERLINK("https://creighton-primo.hosted.exlibrisgroup.com/primo-explore/search?tab=default_tab&amp;search_scope=EVERYTHING&amp;vid=01CRU&amp;lang=en_US&amp;offset=0&amp;query=any,contains,991000384919702656","Catalog Record")</f>
        <v>Catalog Record</v>
      </c>
      <c r="AV883" s="5" t="str">
        <f>HYPERLINK("http://www.worldcat.org/oclc/52041446","WorldCat Record")</f>
        <v>WorldCat Record</v>
      </c>
      <c r="AW883" s="2" t="s">
        <v>10776</v>
      </c>
      <c r="AX883" s="2" t="s">
        <v>10788</v>
      </c>
      <c r="AY883" s="2" t="s">
        <v>10789</v>
      </c>
      <c r="AZ883" s="2" t="s">
        <v>10789</v>
      </c>
      <c r="BA883" s="2" t="s">
        <v>10790</v>
      </c>
      <c r="BB883" s="2" t="s">
        <v>21</v>
      </c>
      <c r="BD883" s="2" t="s">
        <v>10791</v>
      </c>
      <c r="BE883" s="2" t="s">
        <v>10792</v>
      </c>
      <c r="BF883" s="2" t="s">
        <v>10793</v>
      </c>
    </row>
    <row r="884" spans="1:58" ht="41.25" customHeight="1" x14ac:dyDescent="0.25">
      <c r="A884" s="8" t="s">
        <v>5</v>
      </c>
      <c r="B884" s="1" t="s">
        <v>0</v>
      </c>
      <c r="C884" s="1" t="s">
        <v>1</v>
      </c>
      <c r="D884" s="1" t="s">
        <v>10794</v>
      </c>
      <c r="E884" s="1" t="s">
        <v>10795</v>
      </c>
      <c r="F884" s="1" t="s">
        <v>10796</v>
      </c>
      <c r="H884" s="2" t="s">
        <v>5</v>
      </c>
      <c r="I884" s="2" t="s">
        <v>6</v>
      </c>
      <c r="J884" s="2" t="s">
        <v>5</v>
      </c>
      <c r="K884" s="2" t="s">
        <v>5</v>
      </c>
      <c r="L884" s="2" t="s">
        <v>7</v>
      </c>
      <c r="N884" s="1" t="s">
        <v>10797</v>
      </c>
      <c r="O884" s="2" t="s">
        <v>734</v>
      </c>
      <c r="Q884" s="2" t="s">
        <v>11</v>
      </c>
      <c r="R884" s="2" t="s">
        <v>78</v>
      </c>
      <c r="S884" s="1" t="s">
        <v>10593</v>
      </c>
      <c r="T884" s="2" t="s">
        <v>520</v>
      </c>
      <c r="U884" s="3">
        <v>2</v>
      </c>
      <c r="V884" s="3">
        <v>2</v>
      </c>
      <c r="W884" s="4" t="s">
        <v>1912</v>
      </c>
      <c r="X884" s="4" t="s">
        <v>1912</v>
      </c>
      <c r="Y884" s="4" t="s">
        <v>96</v>
      </c>
      <c r="Z884" s="4" t="s">
        <v>96</v>
      </c>
      <c r="AA884" s="3">
        <v>202</v>
      </c>
      <c r="AB884" s="3">
        <v>177</v>
      </c>
      <c r="AC884" s="3">
        <v>186</v>
      </c>
      <c r="AD884" s="3">
        <v>2</v>
      </c>
      <c r="AE884" s="3">
        <v>2</v>
      </c>
      <c r="AF884" s="3">
        <v>5</v>
      </c>
      <c r="AG884" s="3">
        <v>5</v>
      </c>
      <c r="AH884" s="3">
        <v>1</v>
      </c>
      <c r="AI884" s="3">
        <v>1</v>
      </c>
      <c r="AJ884" s="3">
        <v>1</v>
      </c>
      <c r="AK884" s="3">
        <v>1</v>
      </c>
      <c r="AL884" s="3">
        <v>3</v>
      </c>
      <c r="AM884" s="3">
        <v>3</v>
      </c>
      <c r="AN884" s="3">
        <v>1</v>
      </c>
      <c r="AO884" s="3">
        <v>1</v>
      </c>
      <c r="AP884" s="3">
        <v>0</v>
      </c>
      <c r="AQ884" s="3">
        <v>0</v>
      </c>
      <c r="AR884" s="2" t="s">
        <v>5</v>
      </c>
      <c r="AS884" s="2" t="s">
        <v>16</v>
      </c>
      <c r="AT884" s="5" t="str">
        <f>HYPERLINK("http://catalog.hathitrust.org/Record/000315763","HathiTrust Record")</f>
        <v>HathiTrust Record</v>
      </c>
      <c r="AU884" s="5" t="str">
        <f>HYPERLINK("https://creighton-primo.hosted.exlibrisgroup.com/primo-explore/search?tab=default_tab&amp;search_scope=EVERYTHING&amp;vid=01CRU&amp;lang=en_US&amp;offset=0&amp;query=any,contains,991001145999702656","Catalog Record")</f>
        <v>Catalog Record</v>
      </c>
      <c r="AV884" s="5" t="str">
        <f>HYPERLINK("http://www.worldcat.org/oclc/9155145","WorldCat Record")</f>
        <v>WorldCat Record</v>
      </c>
      <c r="AW884" s="2" t="s">
        <v>10798</v>
      </c>
      <c r="AX884" s="2" t="s">
        <v>10799</v>
      </c>
      <c r="AY884" s="2" t="s">
        <v>10800</v>
      </c>
      <c r="AZ884" s="2" t="s">
        <v>10800</v>
      </c>
      <c r="BA884" s="2" t="s">
        <v>10801</v>
      </c>
      <c r="BB884" s="2" t="s">
        <v>21</v>
      </c>
      <c r="BD884" s="2" t="s">
        <v>10802</v>
      </c>
      <c r="BE884" s="2" t="s">
        <v>10803</v>
      </c>
      <c r="BF884" s="2" t="s">
        <v>10804</v>
      </c>
    </row>
    <row r="885" spans="1:58" ht="41.25" customHeight="1" x14ac:dyDescent="0.25">
      <c r="A885" s="8" t="s">
        <v>5</v>
      </c>
      <c r="B885" s="1" t="s">
        <v>0</v>
      </c>
      <c r="C885" s="1" t="s">
        <v>1</v>
      </c>
      <c r="D885" s="1" t="s">
        <v>10805</v>
      </c>
      <c r="E885" s="1" t="s">
        <v>10806</v>
      </c>
      <c r="F885" s="1" t="s">
        <v>10807</v>
      </c>
      <c r="H885" s="2" t="s">
        <v>5</v>
      </c>
      <c r="I885" s="2" t="s">
        <v>6</v>
      </c>
      <c r="J885" s="2" t="s">
        <v>5</v>
      </c>
      <c r="K885" s="2" t="s">
        <v>5</v>
      </c>
      <c r="L885" s="2" t="s">
        <v>7</v>
      </c>
      <c r="N885" s="1" t="s">
        <v>10808</v>
      </c>
      <c r="O885" s="2" t="s">
        <v>794</v>
      </c>
      <c r="Q885" s="2" t="s">
        <v>11</v>
      </c>
      <c r="R885" s="2" t="s">
        <v>1140</v>
      </c>
      <c r="T885" s="2" t="s">
        <v>520</v>
      </c>
      <c r="U885" s="3">
        <v>13</v>
      </c>
      <c r="V885" s="3">
        <v>13</v>
      </c>
      <c r="W885" s="4" t="s">
        <v>10809</v>
      </c>
      <c r="X885" s="4" t="s">
        <v>10809</v>
      </c>
      <c r="Y885" s="4" t="s">
        <v>10810</v>
      </c>
      <c r="Z885" s="4" t="s">
        <v>10810</v>
      </c>
      <c r="AA885" s="3">
        <v>214</v>
      </c>
      <c r="AB885" s="3">
        <v>185</v>
      </c>
      <c r="AC885" s="3">
        <v>192</v>
      </c>
      <c r="AD885" s="3">
        <v>4</v>
      </c>
      <c r="AE885" s="3">
        <v>4</v>
      </c>
      <c r="AF885" s="3">
        <v>11</v>
      </c>
      <c r="AG885" s="3">
        <v>11</v>
      </c>
      <c r="AH885" s="3">
        <v>5</v>
      </c>
      <c r="AI885" s="3">
        <v>5</v>
      </c>
      <c r="AJ885" s="3">
        <v>2</v>
      </c>
      <c r="AK885" s="3">
        <v>2</v>
      </c>
      <c r="AL885" s="3">
        <v>6</v>
      </c>
      <c r="AM885" s="3">
        <v>6</v>
      </c>
      <c r="AN885" s="3">
        <v>2</v>
      </c>
      <c r="AO885" s="3">
        <v>2</v>
      </c>
      <c r="AP885" s="3">
        <v>0</v>
      </c>
      <c r="AQ885" s="3">
        <v>0</v>
      </c>
      <c r="AR885" s="2" t="s">
        <v>5</v>
      </c>
      <c r="AS885" s="2" t="s">
        <v>16</v>
      </c>
      <c r="AT885" s="5" t="str">
        <f>HYPERLINK("http://catalog.hathitrust.org/Record/003049728","HathiTrust Record")</f>
        <v>HathiTrust Record</v>
      </c>
      <c r="AU885" s="5" t="str">
        <f>HYPERLINK("https://creighton-primo.hosted.exlibrisgroup.com/primo-explore/search?tab=default_tab&amp;search_scope=EVERYTHING&amp;vid=01CRU&amp;lang=en_US&amp;offset=0&amp;query=any,contains,991001506909702656","Catalog Record")</f>
        <v>Catalog Record</v>
      </c>
      <c r="AV885" s="5" t="str">
        <f>HYPERLINK("http://www.worldcat.org/oclc/33949723","WorldCat Record")</f>
        <v>WorldCat Record</v>
      </c>
      <c r="AW885" s="2" t="s">
        <v>10811</v>
      </c>
      <c r="AX885" s="2" t="s">
        <v>10812</v>
      </c>
      <c r="AY885" s="2" t="s">
        <v>10813</v>
      </c>
      <c r="AZ885" s="2" t="s">
        <v>10813</v>
      </c>
      <c r="BA885" s="2" t="s">
        <v>10814</v>
      </c>
      <c r="BB885" s="2" t="s">
        <v>21</v>
      </c>
      <c r="BD885" s="2" t="s">
        <v>10815</v>
      </c>
      <c r="BE885" s="2" t="s">
        <v>10816</v>
      </c>
      <c r="BF885" s="2" t="s">
        <v>10817</v>
      </c>
    </row>
    <row r="886" spans="1:58" ht="41.25" customHeight="1" x14ac:dyDescent="0.25">
      <c r="A886" s="8" t="s">
        <v>5</v>
      </c>
      <c r="B886" s="1" t="s">
        <v>0</v>
      </c>
      <c r="C886" s="1" t="s">
        <v>1</v>
      </c>
      <c r="D886" s="1" t="s">
        <v>10818</v>
      </c>
      <c r="E886" s="1" t="s">
        <v>10819</v>
      </c>
      <c r="F886" s="1" t="s">
        <v>10820</v>
      </c>
      <c r="H886" s="2" t="s">
        <v>5</v>
      </c>
      <c r="I886" s="2" t="s">
        <v>6</v>
      </c>
      <c r="J886" s="2" t="s">
        <v>5</v>
      </c>
      <c r="K886" s="2" t="s">
        <v>5</v>
      </c>
      <c r="L886" s="2" t="s">
        <v>7</v>
      </c>
      <c r="N886" s="1" t="s">
        <v>10821</v>
      </c>
      <c r="O886" s="2" t="s">
        <v>414</v>
      </c>
      <c r="Q886" s="2" t="s">
        <v>11</v>
      </c>
      <c r="R886" s="2" t="s">
        <v>12</v>
      </c>
      <c r="S886" s="1" t="s">
        <v>10822</v>
      </c>
      <c r="T886" s="2" t="s">
        <v>520</v>
      </c>
      <c r="U886" s="3">
        <v>1</v>
      </c>
      <c r="V886" s="3">
        <v>1</v>
      </c>
      <c r="W886" s="4" t="s">
        <v>2225</v>
      </c>
      <c r="X886" s="4" t="s">
        <v>2225</v>
      </c>
      <c r="Y886" s="4" t="s">
        <v>2226</v>
      </c>
      <c r="Z886" s="4" t="s">
        <v>2226</v>
      </c>
      <c r="AA886" s="3">
        <v>54</v>
      </c>
      <c r="AB886" s="3">
        <v>46</v>
      </c>
      <c r="AC886" s="3">
        <v>48</v>
      </c>
      <c r="AD886" s="3">
        <v>2</v>
      </c>
      <c r="AE886" s="3">
        <v>2</v>
      </c>
      <c r="AF886" s="3">
        <v>3</v>
      </c>
      <c r="AG886" s="3">
        <v>3</v>
      </c>
      <c r="AH886" s="3">
        <v>0</v>
      </c>
      <c r="AI886" s="3">
        <v>0</v>
      </c>
      <c r="AJ886" s="3">
        <v>0</v>
      </c>
      <c r="AK886" s="3">
        <v>0</v>
      </c>
      <c r="AL886" s="3">
        <v>3</v>
      </c>
      <c r="AM886" s="3">
        <v>3</v>
      </c>
      <c r="AN886" s="3">
        <v>0</v>
      </c>
      <c r="AO886" s="3">
        <v>0</v>
      </c>
      <c r="AP886" s="3">
        <v>0</v>
      </c>
      <c r="AQ886" s="3">
        <v>0</v>
      </c>
      <c r="AR886" s="2" t="s">
        <v>5</v>
      </c>
      <c r="AS886" s="2" t="s">
        <v>5</v>
      </c>
      <c r="AU886" s="5" t="str">
        <f>HYPERLINK("https://creighton-primo.hosted.exlibrisgroup.com/primo-explore/search?tab=default_tab&amp;search_scope=EVERYTHING&amp;vid=01CRU&amp;lang=en_US&amp;offset=0&amp;query=any,contains,991001517709702656","Catalog Record")</f>
        <v>Catalog Record</v>
      </c>
      <c r="AV886" s="5" t="str">
        <f>HYPERLINK("http://www.worldcat.org/oclc/8434","WorldCat Record")</f>
        <v>WorldCat Record</v>
      </c>
      <c r="AW886" s="2" t="s">
        <v>10823</v>
      </c>
      <c r="AX886" s="2" t="s">
        <v>10824</v>
      </c>
      <c r="AY886" s="2" t="s">
        <v>10825</v>
      </c>
      <c r="AZ886" s="2" t="s">
        <v>10825</v>
      </c>
      <c r="BA886" s="2" t="s">
        <v>10826</v>
      </c>
      <c r="BB886" s="2" t="s">
        <v>21</v>
      </c>
      <c r="BE886" s="2" t="s">
        <v>10827</v>
      </c>
      <c r="BF886" s="2" t="s">
        <v>10828</v>
      </c>
    </row>
    <row r="887" spans="1:58" ht="41.25" customHeight="1" x14ac:dyDescent="0.25">
      <c r="A887" s="8" t="s">
        <v>5</v>
      </c>
      <c r="B887" s="1" t="s">
        <v>0</v>
      </c>
      <c r="C887" s="1" t="s">
        <v>1</v>
      </c>
      <c r="D887" s="1" t="s">
        <v>10829</v>
      </c>
      <c r="E887" s="1" t="s">
        <v>10830</v>
      </c>
      <c r="F887" s="1" t="s">
        <v>10831</v>
      </c>
      <c r="H887" s="2" t="s">
        <v>5</v>
      </c>
      <c r="I887" s="2" t="s">
        <v>6</v>
      </c>
      <c r="J887" s="2" t="s">
        <v>5</v>
      </c>
      <c r="K887" s="2" t="s">
        <v>5</v>
      </c>
      <c r="L887" s="2" t="s">
        <v>7</v>
      </c>
      <c r="N887" s="1" t="s">
        <v>10832</v>
      </c>
      <c r="O887" s="2" t="s">
        <v>1004</v>
      </c>
      <c r="Q887" s="2" t="s">
        <v>11</v>
      </c>
      <c r="R887" s="2" t="s">
        <v>1427</v>
      </c>
      <c r="T887" s="2" t="s">
        <v>520</v>
      </c>
      <c r="U887" s="3">
        <v>1</v>
      </c>
      <c r="V887" s="3">
        <v>1</v>
      </c>
      <c r="W887" s="4" t="s">
        <v>9354</v>
      </c>
      <c r="X887" s="4" t="s">
        <v>9354</v>
      </c>
      <c r="Y887" s="4" t="s">
        <v>1157</v>
      </c>
      <c r="Z887" s="4" t="s">
        <v>1157</v>
      </c>
      <c r="AA887" s="3">
        <v>161</v>
      </c>
      <c r="AB887" s="3">
        <v>82</v>
      </c>
      <c r="AC887" s="3">
        <v>756</v>
      </c>
      <c r="AD887" s="3">
        <v>1</v>
      </c>
      <c r="AE887" s="3">
        <v>2</v>
      </c>
      <c r="AF887" s="3">
        <v>1</v>
      </c>
      <c r="AG887" s="3">
        <v>10</v>
      </c>
      <c r="AH887" s="3">
        <v>0</v>
      </c>
      <c r="AI887" s="3">
        <v>5</v>
      </c>
      <c r="AJ887" s="3">
        <v>0</v>
      </c>
      <c r="AK887" s="3">
        <v>4</v>
      </c>
      <c r="AL887" s="3">
        <v>1</v>
      </c>
      <c r="AM887" s="3">
        <v>4</v>
      </c>
      <c r="AN887" s="3">
        <v>0</v>
      </c>
      <c r="AO887" s="3">
        <v>0</v>
      </c>
      <c r="AP887" s="3">
        <v>0</v>
      </c>
      <c r="AQ887" s="3">
        <v>0</v>
      </c>
      <c r="AR887" s="2" t="s">
        <v>5</v>
      </c>
      <c r="AS887" s="2" t="s">
        <v>5</v>
      </c>
      <c r="AU887" s="5" t="str">
        <f>HYPERLINK("https://creighton-primo.hosted.exlibrisgroup.com/primo-explore/search?tab=default_tab&amp;search_scope=EVERYTHING&amp;vid=01CRU&amp;lang=en_US&amp;offset=0&amp;query=any,contains,991000321019702656","Catalog Record")</f>
        <v>Catalog Record</v>
      </c>
      <c r="AV887" s="5" t="str">
        <f>HYPERLINK("http://www.worldcat.org/oclc/40862065","WorldCat Record")</f>
        <v>WorldCat Record</v>
      </c>
      <c r="AW887" s="2" t="s">
        <v>10833</v>
      </c>
      <c r="AX887" s="2" t="s">
        <v>10834</v>
      </c>
      <c r="AY887" s="2" t="s">
        <v>10835</v>
      </c>
      <c r="AZ887" s="2" t="s">
        <v>10835</v>
      </c>
      <c r="BA887" s="2" t="s">
        <v>10836</v>
      </c>
      <c r="BB887" s="2" t="s">
        <v>21</v>
      </c>
      <c r="BD887" s="2" t="s">
        <v>10837</v>
      </c>
      <c r="BE887" s="2" t="s">
        <v>10838</v>
      </c>
      <c r="BF887" s="2" t="s">
        <v>10839</v>
      </c>
    </row>
    <row r="888" spans="1:58" ht="41.25" customHeight="1" x14ac:dyDescent="0.25">
      <c r="A888" s="8" t="s">
        <v>5</v>
      </c>
      <c r="B888" s="1" t="s">
        <v>0</v>
      </c>
      <c r="C888" s="1" t="s">
        <v>1</v>
      </c>
      <c r="D888" s="1" t="s">
        <v>10840</v>
      </c>
      <c r="E888" s="1" t="s">
        <v>10841</v>
      </c>
      <c r="F888" s="1" t="s">
        <v>10842</v>
      </c>
      <c r="H888" s="2" t="s">
        <v>5</v>
      </c>
      <c r="I888" s="2" t="s">
        <v>6</v>
      </c>
      <c r="J888" s="2" t="s">
        <v>5</v>
      </c>
      <c r="K888" s="2" t="s">
        <v>16</v>
      </c>
      <c r="L888" s="2" t="s">
        <v>7</v>
      </c>
      <c r="N888" s="1" t="s">
        <v>10843</v>
      </c>
      <c r="O888" s="2" t="s">
        <v>228</v>
      </c>
      <c r="Q888" s="2" t="s">
        <v>11</v>
      </c>
      <c r="R888" s="2" t="s">
        <v>426</v>
      </c>
      <c r="T888" s="2" t="s">
        <v>520</v>
      </c>
      <c r="U888" s="3">
        <v>7</v>
      </c>
      <c r="V888" s="3">
        <v>7</v>
      </c>
      <c r="W888" s="4" t="s">
        <v>10844</v>
      </c>
      <c r="X888" s="4" t="s">
        <v>10844</v>
      </c>
      <c r="Y888" s="4" t="s">
        <v>10845</v>
      </c>
      <c r="Z888" s="4" t="s">
        <v>10845</v>
      </c>
      <c r="AA888" s="3">
        <v>241</v>
      </c>
      <c r="AB888" s="3">
        <v>206</v>
      </c>
      <c r="AC888" s="3">
        <v>345</v>
      </c>
      <c r="AD888" s="3">
        <v>1</v>
      </c>
      <c r="AE888" s="3">
        <v>1</v>
      </c>
      <c r="AF888" s="3">
        <v>10</v>
      </c>
      <c r="AG888" s="3">
        <v>13</v>
      </c>
      <c r="AH888" s="3">
        <v>4</v>
      </c>
      <c r="AI888" s="3">
        <v>5</v>
      </c>
      <c r="AJ888" s="3">
        <v>2</v>
      </c>
      <c r="AK888" s="3">
        <v>3</v>
      </c>
      <c r="AL888" s="3">
        <v>7</v>
      </c>
      <c r="AM888" s="3">
        <v>9</v>
      </c>
      <c r="AN888" s="3">
        <v>0</v>
      </c>
      <c r="AO888" s="3">
        <v>0</v>
      </c>
      <c r="AP888" s="3">
        <v>0</v>
      </c>
      <c r="AQ888" s="3">
        <v>0</v>
      </c>
      <c r="AR888" s="2" t="s">
        <v>5</v>
      </c>
      <c r="AS888" s="2" t="s">
        <v>16</v>
      </c>
      <c r="AT888" s="5" t="str">
        <f>HYPERLINK("http://catalog.hathitrust.org/Record/000224255","HathiTrust Record")</f>
        <v>HathiTrust Record</v>
      </c>
      <c r="AU888" s="5" t="str">
        <f>HYPERLINK("https://creighton-primo.hosted.exlibrisgroup.com/primo-explore/search?tab=default_tab&amp;search_scope=EVERYTHING&amp;vid=01CRU&amp;lang=en_US&amp;offset=0&amp;query=any,contains,991001242769702656","Catalog Record")</f>
        <v>Catalog Record</v>
      </c>
      <c r="AV888" s="5" t="str">
        <f>HYPERLINK("http://www.worldcat.org/oclc/7653697","WorldCat Record")</f>
        <v>WorldCat Record</v>
      </c>
      <c r="AW888" s="2" t="s">
        <v>10846</v>
      </c>
      <c r="AX888" s="2" t="s">
        <v>10847</v>
      </c>
      <c r="AY888" s="2" t="s">
        <v>10848</v>
      </c>
      <c r="AZ888" s="2" t="s">
        <v>10848</v>
      </c>
      <c r="BA888" s="2" t="s">
        <v>10849</v>
      </c>
      <c r="BB888" s="2" t="s">
        <v>21</v>
      </c>
      <c r="BD888" s="2" t="s">
        <v>10850</v>
      </c>
      <c r="BE888" s="2" t="s">
        <v>10851</v>
      </c>
      <c r="BF888" s="2" t="s">
        <v>10852</v>
      </c>
    </row>
    <row r="889" spans="1:58" ht="41.25" customHeight="1" x14ac:dyDescent="0.25">
      <c r="A889" s="8" t="s">
        <v>5</v>
      </c>
      <c r="B889" s="1" t="s">
        <v>0</v>
      </c>
      <c r="C889" s="1" t="s">
        <v>1</v>
      </c>
      <c r="D889" s="1" t="s">
        <v>10853</v>
      </c>
      <c r="E889" s="1" t="s">
        <v>10854</v>
      </c>
      <c r="F889" s="1" t="s">
        <v>10855</v>
      </c>
      <c r="H889" s="2" t="s">
        <v>5</v>
      </c>
      <c r="I889" s="2" t="s">
        <v>6</v>
      </c>
      <c r="J889" s="2" t="s">
        <v>5</v>
      </c>
      <c r="K889" s="2" t="s">
        <v>5</v>
      </c>
      <c r="L889" s="2" t="s">
        <v>7</v>
      </c>
      <c r="N889" s="1" t="s">
        <v>9221</v>
      </c>
      <c r="O889" s="2" t="s">
        <v>1102</v>
      </c>
      <c r="Q889" s="2" t="s">
        <v>11</v>
      </c>
      <c r="R889" s="2" t="s">
        <v>426</v>
      </c>
      <c r="T889" s="2" t="s">
        <v>520</v>
      </c>
      <c r="U889" s="3">
        <v>18</v>
      </c>
      <c r="V889" s="3">
        <v>18</v>
      </c>
      <c r="W889" s="4" t="s">
        <v>10856</v>
      </c>
      <c r="X889" s="4" t="s">
        <v>10856</v>
      </c>
      <c r="Y889" s="4" t="s">
        <v>10845</v>
      </c>
      <c r="Z889" s="4" t="s">
        <v>10845</v>
      </c>
      <c r="AA889" s="3">
        <v>194</v>
      </c>
      <c r="AB889" s="3">
        <v>153</v>
      </c>
      <c r="AC889" s="3">
        <v>160</v>
      </c>
      <c r="AD889" s="3">
        <v>1</v>
      </c>
      <c r="AE889" s="3">
        <v>1</v>
      </c>
      <c r="AF889" s="3">
        <v>4</v>
      </c>
      <c r="AG889" s="3">
        <v>4</v>
      </c>
      <c r="AH889" s="3">
        <v>2</v>
      </c>
      <c r="AI889" s="3">
        <v>2</v>
      </c>
      <c r="AJ889" s="3">
        <v>0</v>
      </c>
      <c r="AK889" s="3">
        <v>0</v>
      </c>
      <c r="AL889" s="3">
        <v>2</v>
      </c>
      <c r="AM889" s="3">
        <v>2</v>
      </c>
      <c r="AN889" s="3">
        <v>0</v>
      </c>
      <c r="AO889" s="3">
        <v>0</v>
      </c>
      <c r="AP889" s="3">
        <v>0</v>
      </c>
      <c r="AQ889" s="3">
        <v>0</v>
      </c>
      <c r="AR889" s="2" t="s">
        <v>5</v>
      </c>
      <c r="AS889" s="2" t="s">
        <v>16</v>
      </c>
      <c r="AT889" s="5" t="str">
        <f>HYPERLINK("http://catalog.hathitrust.org/Record/000403331","HathiTrust Record")</f>
        <v>HathiTrust Record</v>
      </c>
      <c r="AU889" s="5" t="str">
        <f>HYPERLINK("https://creighton-primo.hosted.exlibrisgroup.com/primo-explore/search?tab=default_tab&amp;search_scope=EVERYTHING&amp;vid=01CRU&amp;lang=en_US&amp;offset=0&amp;query=any,contains,991001242809702656","Catalog Record")</f>
        <v>Catalog Record</v>
      </c>
      <c r="AV889" s="5" t="str">
        <f>HYPERLINK("http://www.worldcat.org/oclc/13007046","WorldCat Record")</f>
        <v>WorldCat Record</v>
      </c>
      <c r="AW889" s="2" t="s">
        <v>10857</v>
      </c>
      <c r="AX889" s="2" t="s">
        <v>10858</v>
      </c>
      <c r="AY889" s="2" t="s">
        <v>10859</v>
      </c>
      <c r="AZ889" s="2" t="s">
        <v>10859</v>
      </c>
      <c r="BA889" s="2" t="s">
        <v>10860</v>
      </c>
      <c r="BB889" s="2" t="s">
        <v>21</v>
      </c>
      <c r="BD889" s="2" t="s">
        <v>10861</v>
      </c>
      <c r="BE889" s="2" t="s">
        <v>10862</v>
      </c>
      <c r="BF889" s="2" t="s">
        <v>10863</v>
      </c>
    </row>
    <row r="890" spans="1:58" ht="41.25" customHeight="1" x14ac:dyDescent="0.25">
      <c r="A890" s="8" t="s">
        <v>5</v>
      </c>
      <c r="B890" s="1" t="s">
        <v>0</v>
      </c>
      <c r="C890" s="1" t="s">
        <v>1</v>
      </c>
      <c r="D890" s="1" t="s">
        <v>10864</v>
      </c>
      <c r="E890" s="1" t="s">
        <v>10865</v>
      </c>
      <c r="F890" s="1" t="s">
        <v>10866</v>
      </c>
      <c r="H890" s="2" t="s">
        <v>5</v>
      </c>
      <c r="I890" s="2" t="s">
        <v>6</v>
      </c>
      <c r="J890" s="2" t="s">
        <v>5</v>
      </c>
      <c r="K890" s="2" t="s">
        <v>16</v>
      </c>
      <c r="L890" s="2" t="s">
        <v>7</v>
      </c>
      <c r="N890" s="1" t="s">
        <v>5622</v>
      </c>
      <c r="O890" s="2" t="s">
        <v>1339</v>
      </c>
      <c r="Q890" s="2" t="s">
        <v>11</v>
      </c>
      <c r="R890" s="2" t="s">
        <v>426</v>
      </c>
      <c r="T890" s="2" t="s">
        <v>520</v>
      </c>
      <c r="U890" s="3">
        <v>25</v>
      </c>
      <c r="V890" s="3">
        <v>25</v>
      </c>
      <c r="W890" s="4" t="s">
        <v>10421</v>
      </c>
      <c r="X890" s="4" t="s">
        <v>10421</v>
      </c>
      <c r="Y890" s="4" t="s">
        <v>1105</v>
      </c>
      <c r="Z890" s="4" t="s">
        <v>1105</v>
      </c>
      <c r="AA890" s="3">
        <v>217</v>
      </c>
      <c r="AB890" s="3">
        <v>178</v>
      </c>
      <c r="AC890" s="3">
        <v>345</v>
      </c>
      <c r="AD890" s="3">
        <v>1</v>
      </c>
      <c r="AE890" s="3">
        <v>1</v>
      </c>
      <c r="AF890" s="3">
        <v>8</v>
      </c>
      <c r="AG890" s="3">
        <v>13</v>
      </c>
      <c r="AH890" s="3">
        <v>4</v>
      </c>
      <c r="AI890" s="3">
        <v>5</v>
      </c>
      <c r="AJ890" s="3">
        <v>1</v>
      </c>
      <c r="AK890" s="3">
        <v>3</v>
      </c>
      <c r="AL890" s="3">
        <v>6</v>
      </c>
      <c r="AM890" s="3">
        <v>9</v>
      </c>
      <c r="AN890" s="3">
        <v>0</v>
      </c>
      <c r="AO890" s="3">
        <v>0</v>
      </c>
      <c r="AP890" s="3">
        <v>0</v>
      </c>
      <c r="AQ890" s="3">
        <v>0</v>
      </c>
      <c r="AR890" s="2" t="s">
        <v>5</v>
      </c>
      <c r="AS890" s="2" t="s">
        <v>16</v>
      </c>
      <c r="AT890" s="5" t="str">
        <f>HYPERLINK("http://catalog.hathitrust.org/Record/000830613","HathiTrust Record")</f>
        <v>HathiTrust Record</v>
      </c>
      <c r="AU890" s="5" t="str">
        <f>HYPERLINK("https://creighton-primo.hosted.exlibrisgroup.com/primo-explore/search?tab=default_tab&amp;search_scope=EVERYTHING&amp;vid=01CRU&amp;lang=en_US&amp;offset=0&amp;query=any,contains,991001532459702656","Catalog Record")</f>
        <v>Catalog Record</v>
      </c>
      <c r="AV890" s="5" t="str">
        <f>HYPERLINK("http://www.worldcat.org/oclc/15281880","WorldCat Record")</f>
        <v>WorldCat Record</v>
      </c>
      <c r="AW890" s="2" t="s">
        <v>10846</v>
      </c>
      <c r="AX890" s="2" t="s">
        <v>10867</v>
      </c>
      <c r="AY890" s="2" t="s">
        <v>10868</v>
      </c>
      <c r="AZ890" s="2" t="s">
        <v>10868</v>
      </c>
      <c r="BA890" s="2" t="s">
        <v>10869</v>
      </c>
      <c r="BB890" s="2" t="s">
        <v>21</v>
      </c>
      <c r="BD890" s="2" t="s">
        <v>10870</v>
      </c>
      <c r="BE890" s="2" t="s">
        <v>10871</v>
      </c>
      <c r="BF890" s="2" t="s">
        <v>10872</v>
      </c>
    </row>
    <row r="891" spans="1:58" ht="41.25" customHeight="1" x14ac:dyDescent="0.25">
      <c r="A891" s="8" t="s">
        <v>5</v>
      </c>
      <c r="B891" s="1" t="s">
        <v>0</v>
      </c>
      <c r="C891" s="1" t="s">
        <v>1</v>
      </c>
      <c r="D891" s="1" t="s">
        <v>10873</v>
      </c>
      <c r="E891" s="1" t="s">
        <v>10874</v>
      </c>
      <c r="F891" s="1" t="s">
        <v>10875</v>
      </c>
      <c r="H891" s="2" t="s">
        <v>5</v>
      </c>
      <c r="I891" s="2" t="s">
        <v>6</v>
      </c>
      <c r="J891" s="2" t="s">
        <v>5</v>
      </c>
      <c r="K891" s="2" t="s">
        <v>5</v>
      </c>
      <c r="L891" s="2" t="s">
        <v>7</v>
      </c>
      <c r="N891" s="1" t="s">
        <v>10876</v>
      </c>
      <c r="O891" s="2" t="s">
        <v>136</v>
      </c>
      <c r="Q891" s="2" t="s">
        <v>11</v>
      </c>
      <c r="R891" s="2" t="s">
        <v>78</v>
      </c>
      <c r="T891" s="2" t="s">
        <v>520</v>
      </c>
      <c r="U891" s="3">
        <v>9</v>
      </c>
      <c r="V891" s="3">
        <v>9</v>
      </c>
      <c r="W891" s="4" t="s">
        <v>10877</v>
      </c>
      <c r="X891" s="4" t="s">
        <v>10877</v>
      </c>
      <c r="Y891" s="4" t="s">
        <v>10878</v>
      </c>
      <c r="Z891" s="4" t="s">
        <v>10878</v>
      </c>
      <c r="AA891" s="3">
        <v>175</v>
      </c>
      <c r="AB891" s="3">
        <v>141</v>
      </c>
      <c r="AC891" s="3">
        <v>143</v>
      </c>
      <c r="AD891" s="3">
        <v>1</v>
      </c>
      <c r="AE891" s="3">
        <v>1</v>
      </c>
      <c r="AF891" s="3">
        <v>4</v>
      </c>
      <c r="AG891" s="3">
        <v>4</v>
      </c>
      <c r="AH891" s="3">
        <v>1</v>
      </c>
      <c r="AI891" s="3">
        <v>1</v>
      </c>
      <c r="AJ891" s="3">
        <v>1</v>
      </c>
      <c r="AK891" s="3">
        <v>1</v>
      </c>
      <c r="AL891" s="3">
        <v>3</v>
      </c>
      <c r="AM891" s="3">
        <v>3</v>
      </c>
      <c r="AN891" s="3">
        <v>0</v>
      </c>
      <c r="AO891" s="3">
        <v>0</v>
      </c>
      <c r="AP891" s="3">
        <v>0</v>
      </c>
      <c r="AQ891" s="3">
        <v>0</v>
      </c>
      <c r="AR891" s="2" t="s">
        <v>5</v>
      </c>
      <c r="AS891" s="2" t="s">
        <v>16</v>
      </c>
      <c r="AT891" s="5" t="str">
        <f>HYPERLINK("http://catalog.hathitrust.org/Record/002474033","HathiTrust Record")</f>
        <v>HathiTrust Record</v>
      </c>
      <c r="AU891" s="5" t="str">
        <f>HYPERLINK("https://creighton-primo.hosted.exlibrisgroup.com/primo-explore/search?tab=default_tab&amp;search_scope=EVERYTHING&amp;vid=01CRU&amp;lang=en_US&amp;offset=0&amp;query=any,contains,991001485429702656","Catalog Record")</f>
        <v>Catalog Record</v>
      </c>
      <c r="AV891" s="5" t="str">
        <f>HYPERLINK("http://www.worldcat.org/oclc/23651841","WorldCat Record")</f>
        <v>WorldCat Record</v>
      </c>
      <c r="AW891" s="2" t="s">
        <v>10879</v>
      </c>
      <c r="AX891" s="2" t="s">
        <v>10880</v>
      </c>
      <c r="AY891" s="2" t="s">
        <v>10881</v>
      </c>
      <c r="AZ891" s="2" t="s">
        <v>10881</v>
      </c>
      <c r="BA891" s="2" t="s">
        <v>10882</v>
      </c>
      <c r="BB891" s="2" t="s">
        <v>21</v>
      </c>
      <c r="BD891" s="2" t="s">
        <v>10883</v>
      </c>
      <c r="BE891" s="2" t="s">
        <v>10884</v>
      </c>
      <c r="BF891" s="2" t="s">
        <v>10885</v>
      </c>
    </row>
    <row r="892" spans="1:58" ht="41.25" customHeight="1" x14ac:dyDescent="0.25">
      <c r="A892" s="8" t="s">
        <v>5</v>
      </c>
      <c r="B892" s="1" t="s">
        <v>0</v>
      </c>
      <c r="C892" s="1" t="s">
        <v>1</v>
      </c>
      <c r="D892" s="1" t="s">
        <v>10886</v>
      </c>
      <c r="E892" s="1" t="s">
        <v>10887</v>
      </c>
      <c r="F892" s="1" t="s">
        <v>10888</v>
      </c>
      <c r="H892" s="2" t="s">
        <v>5</v>
      </c>
      <c r="I892" s="2" t="s">
        <v>6</v>
      </c>
      <c r="J892" s="2" t="s">
        <v>5</v>
      </c>
      <c r="K892" s="2" t="s">
        <v>5</v>
      </c>
      <c r="L892" s="2" t="s">
        <v>7</v>
      </c>
      <c r="N892" s="1" t="s">
        <v>10889</v>
      </c>
      <c r="O892" s="2" t="s">
        <v>546</v>
      </c>
      <c r="Q892" s="2" t="s">
        <v>11</v>
      </c>
      <c r="R892" s="2" t="s">
        <v>78</v>
      </c>
      <c r="T892" s="2" t="s">
        <v>520</v>
      </c>
      <c r="U892" s="3">
        <v>14</v>
      </c>
      <c r="V892" s="3">
        <v>14</v>
      </c>
      <c r="W892" s="4" t="s">
        <v>10890</v>
      </c>
      <c r="X892" s="4" t="s">
        <v>10890</v>
      </c>
      <c r="Y892" s="4" t="s">
        <v>10891</v>
      </c>
      <c r="Z892" s="4" t="s">
        <v>10891</v>
      </c>
      <c r="AA892" s="3">
        <v>162</v>
      </c>
      <c r="AB892" s="3">
        <v>120</v>
      </c>
      <c r="AC892" s="3">
        <v>122</v>
      </c>
      <c r="AD892" s="3">
        <v>1</v>
      </c>
      <c r="AE892" s="3">
        <v>1</v>
      </c>
      <c r="AF892" s="3">
        <v>6</v>
      </c>
      <c r="AG892" s="3">
        <v>6</v>
      </c>
      <c r="AH892" s="3">
        <v>2</v>
      </c>
      <c r="AI892" s="3">
        <v>2</v>
      </c>
      <c r="AJ892" s="3">
        <v>1</v>
      </c>
      <c r="AK892" s="3">
        <v>1</v>
      </c>
      <c r="AL892" s="3">
        <v>5</v>
      </c>
      <c r="AM892" s="3">
        <v>5</v>
      </c>
      <c r="AN892" s="3">
        <v>0</v>
      </c>
      <c r="AO892" s="3">
        <v>0</v>
      </c>
      <c r="AP892" s="3">
        <v>0</v>
      </c>
      <c r="AQ892" s="3">
        <v>0</v>
      </c>
      <c r="AR892" s="2" t="s">
        <v>5</v>
      </c>
      <c r="AS892" s="2" t="s">
        <v>16</v>
      </c>
      <c r="AT892" s="5" t="str">
        <f>HYPERLINK("http://catalog.hathitrust.org/Record/002790361","HathiTrust Record")</f>
        <v>HathiTrust Record</v>
      </c>
      <c r="AU892" s="5" t="str">
        <f>HYPERLINK("https://creighton-primo.hosted.exlibrisgroup.com/primo-explore/search?tab=default_tab&amp;search_scope=EVERYTHING&amp;vid=01CRU&amp;lang=en_US&amp;offset=0&amp;query=any,contains,991000670139702656","Catalog Record")</f>
        <v>Catalog Record</v>
      </c>
      <c r="AV892" s="5" t="str">
        <f>HYPERLINK("http://www.worldcat.org/oclc/29225707","WorldCat Record")</f>
        <v>WorldCat Record</v>
      </c>
      <c r="AW892" s="2" t="s">
        <v>10892</v>
      </c>
      <c r="AX892" s="2" t="s">
        <v>10893</v>
      </c>
      <c r="AY892" s="2" t="s">
        <v>10894</v>
      </c>
      <c r="AZ892" s="2" t="s">
        <v>10894</v>
      </c>
      <c r="BA892" s="2" t="s">
        <v>10895</v>
      </c>
      <c r="BB892" s="2" t="s">
        <v>21</v>
      </c>
      <c r="BD892" s="2" t="s">
        <v>10896</v>
      </c>
      <c r="BE892" s="2" t="s">
        <v>10897</v>
      </c>
      <c r="BF892" s="2" t="s">
        <v>10898</v>
      </c>
    </row>
    <row r="893" spans="1:58" ht="41.25" customHeight="1" x14ac:dyDescent="0.25">
      <c r="A893" s="8" t="s">
        <v>5</v>
      </c>
      <c r="B893" s="1" t="s">
        <v>0</v>
      </c>
      <c r="C893" s="1" t="s">
        <v>1</v>
      </c>
      <c r="D893" s="1" t="s">
        <v>10899</v>
      </c>
      <c r="E893" s="1" t="s">
        <v>10900</v>
      </c>
      <c r="F893" s="1" t="s">
        <v>10901</v>
      </c>
      <c r="H893" s="2" t="s">
        <v>5</v>
      </c>
      <c r="I893" s="2" t="s">
        <v>6</v>
      </c>
      <c r="J893" s="2" t="s">
        <v>5</v>
      </c>
      <c r="K893" s="2" t="s">
        <v>5</v>
      </c>
      <c r="L893" s="2" t="s">
        <v>7</v>
      </c>
      <c r="N893" s="1" t="s">
        <v>10902</v>
      </c>
      <c r="O893" s="2" t="s">
        <v>872</v>
      </c>
      <c r="Q893" s="2" t="s">
        <v>11</v>
      </c>
      <c r="R893" s="2" t="s">
        <v>31</v>
      </c>
      <c r="S893" s="1" t="s">
        <v>10903</v>
      </c>
      <c r="T893" s="2" t="s">
        <v>520</v>
      </c>
      <c r="U893" s="3">
        <v>1</v>
      </c>
      <c r="V893" s="3">
        <v>1</v>
      </c>
      <c r="W893" s="4" t="s">
        <v>903</v>
      </c>
      <c r="X893" s="4" t="s">
        <v>903</v>
      </c>
      <c r="Y893" s="4" t="s">
        <v>604</v>
      </c>
      <c r="Z893" s="4" t="s">
        <v>604</v>
      </c>
      <c r="AA893" s="3">
        <v>63</v>
      </c>
      <c r="AB893" s="3">
        <v>55</v>
      </c>
      <c r="AC893" s="3">
        <v>66</v>
      </c>
      <c r="AD893" s="3">
        <v>1</v>
      </c>
      <c r="AE893" s="3">
        <v>1</v>
      </c>
      <c r="AF893" s="3">
        <v>3</v>
      </c>
      <c r="AG893" s="3">
        <v>3</v>
      </c>
      <c r="AH893" s="3">
        <v>2</v>
      </c>
      <c r="AI893" s="3">
        <v>2</v>
      </c>
      <c r="AJ893" s="3">
        <v>0</v>
      </c>
      <c r="AK893" s="3">
        <v>0</v>
      </c>
      <c r="AL893" s="3">
        <v>3</v>
      </c>
      <c r="AM893" s="3">
        <v>3</v>
      </c>
      <c r="AN893" s="3">
        <v>0</v>
      </c>
      <c r="AO893" s="3">
        <v>0</v>
      </c>
      <c r="AP893" s="3">
        <v>0</v>
      </c>
      <c r="AQ893" s="3">
        <v>0</v>
      </c>
      <c r="AR893" s="2" t="s">
        <v>5</v>
      </c>
      <c r="AS893" s="2" t="s">
        <v>16</v>
      </c>
      <c r="AT893" s="5" t="str">
        <f>HYPERLINK("http://catalog.hathitrust.org/Record/002975510","HathiTrust Record")</f>
        <v>HathiTrust Record</v>
      </c>
      <c r="AU893" s="5" t="str">
        <f>HYPERLINK("https://creighton-primo.hosted.exlibrisgroup.com/primo-explore/search?tab=default_tab&amp;search_scope=EVERYTHING&amp;vid=01CRU&amp;lang=en_US&amp;offset=0&amp;query=any,contains,991000218169702656","Catalog Record")</f>
        <v>Catalog Record</v>
      </c>
      <c r="AV893" s="5" t="str">
        <f>HYPERLINK("http://www.worldcat.org/oclc/20031535","WorldCat Record")</f>
        <v>WorldCat Record</v>
      </c>
      <c r="AW893" s="2" t="s">
        <v>10904</v>
      </c>
      <c r="AX893" s="2" t="s">
        <v>10905</v>
      </c>
      <c r="AY893" s="2" t="s">
        <v>10906</v>
      </c>
      <c r="AZ893" s="2" t="s">
        <v>10906</v>
      </c>
      <c r="BA893" s="2" t="s">
        <v>10907</v>
      </c>
      <c r="BB893" s="2" t="s">
        <v>21</v>
      </c>
      <c r="BD893" s="2" t="s">
        <v>10908</v>
      </c>
      <c r="BE893" s="2" t="s">
        <v>10909</v>
      </c>
      <c r="BF893" s="2" t="s">
        <v>10910</v>
      </c>
    </row>
    <row r="894" spans="1:58" ht="41.25" customHeight="1" x14ac:dyDescent="0.25">
      <c r="A894" s="8" t="s">
        <v>5</v>
      </c>
      <c r="B894" s="1" t="s">
        <v>0</v>
      </c>
      <c r="C894" s="1" t="s">
        <v>1</v>
      </c>
      <c r="D894" s="1" t="s">
        <v>10911</v>
      </c>
      <c r="E894" s="1" t="s">
        <v>10912</v>
      </c>
      <c r="F894" s="1" t="s">
        <v>10913</v>
      </c>
      <c r="H894" s="2" t="s">
        <v>5</v>
      </c>
      <c r="I894" s="2" t="s">
        <v>6</v>
      </c>
      <c r="J894" s="2" t="s">
        <v>5</v>
      </c>
      <c r="K894" s="2" t="s">
        <v>5</v>
      </c>
      <c r="L894" s="2" t="s">
        <v>7</v>
      </c>
      <c r="N894" s="1" t="s">
        <v>10914</v>
      </c>
      <c r="O894" s="2" t="s">
        <v>872</v>
      </c>
      <c r="Q894" s="2" t="s">
        <v>11</v>
      </c>
      <c r="R894" s="2" t="s">
        <v>426</v>
      </c>
      <c r="T894" s="2" t="s">
        <v>520</v>
      </c>
      <c r="U894" s="3">
        <v>22</v>
      </c>
      <c r="V894" s="3">
        <v>22</v>
      </c>
      <c r="W894" s="4" t="s">
        <v>10915</v>
      </c>
      <c r="X894" s="4" t="s">
        <v>10915</v>
      </c>
      <c r="Y894" s="4" t="s">
        <v>10916</v>
      </c>
      <c r="Z894" s="4" t="s">
        <v>10916</v>
      </c>
      <c r="AA894" s="3">
        <v>249</v>
      </c>
      <c r="AB894" s="3">
        <v>199</v>
      </c>
      <c r="AC894" s="3">
        <v>206</v>
      </c>
      <c r="AD894" s="3">
        <v>2</v>
      </c>
      <c r="AE894" s="3">
        <v>2</v>
      </c>
      <c r="AF894" s="3">
        <v>9</v>
      </c>
      <c r="AG894" s="3">
        <v>9</v>
      </c>
      <c r="AH894" s="3">
        <v>4</v>
      </c>
      <c r="AI894" s="3">
        <v>4</v>
      </c>
      <c r="AJ894" s="3">
        <v>1</v>
      </c>
      <c r="AK894" s="3">
        <v>1</v>
      </c>
      <c r="AL894" s="3">
        <v>8</v>
      </c>
      <c r="AM894" s="3">
        <v>8</v>
      </c>
      <c r="AN894" s="3">
        <v>1</v>
      </c>
      <c r="AO894" s="3">
        <v>1</v>
      </c>
      <c r="AP894" s="3">
        <v>0</v>
      </c>
      <c r="AQ894" s="3">
        <v>0</v>
      </c>
      <c r="AR894" s="2" t="s">
        <v>5</v>
      </c>
      <c r="AS894" s="2" t="s">
        <v>16</v>
      </c>
      <c r="AT894" s="5" t="str">
        <f>HYPERLINK("http://catalog.hathitrust.org/Record/001098769","HathiTrust Record")</f>
        <v>HathiTrust Record</v>
      </c>
      <c r="AU894" s="5" t="str">
        <f>HYPERLINK("https://creighton-primo.hosted.exlibrisgroup.com/primo-explore/search?tab=default_tab&amp;search_scope=EVERYTHING&amp;vid=01CRU&amp;lang=en_US&amp;offset=0&amp;query=any,contains,991001322999702656","Catalog Record")</f>
        <v>Catalog Record</v>
      </c>
      <c r="AV894" s="5" t="str">
        <f>HYPERLINK("http://www.worldcat.org/oclc/18959666","WorldCat Record")</f>
        <v>WorldCat Record</v>
      </c>
      <c r="AW894" s="2" t="s">
        <v>10917</v>
      </c>
      <c r="AX894" s="2" t="s">
        <v>10918</v>
      </c>
      <c r="AY894" s="2" t="s">
        <v>10919</v>
      </c>
      <c r="AZ894" s="2" t="s">
        <v>10919</v>
      </c>
      <c r="BA894" s="2" t="s">
        <v>10920</v>
      </c>
      <c r="BB894" s="2" t="s">
        <v>21</v>
      </c>
      <c r="BD894" s="2" t="s">
        <v>10921</v>
      </c>
      <c r="BE894" s="2" t="s">
        <v>10922</v>
      </c>
      <c r="BF894" s="2" t="s">
        <v>10923</v>
      </c>
    </row>
    <row r="895" spans="1:58" ht="41.25" customHeight="1" x14ac:dyDescent="0.25">
      <c r="A895" s="8" t="s">
        <v>5</v>
      </c>
      <c r="B895" s="1" t="s">
        <v>0</v>
      </c>
      <c r="C895" s="1" t="s">
        <v>1</v>
      </c>
      <c r="D895" s="1" t="s">
        <v>10924</v>
      </c>
      <c r="E895" s="1" t="s">
        <v>10925</v>
      </c>
      <c r="F895" s="1" t="s">
        <v>10926</v>
      </c>
      <c r="H895" s="2" t="s">
        <v>5</v>
      </c>
      <c r="I895" s="2" t="s">
        <v>6</v>
      </c>
      <c r="J895" s="2" t="s">
        <v>5</v>
      </c>
      <c r="K895" s="2" t="s">
        <v>16</v>
      </c>
      <c r="L895" s="2" t="s">
        <v>7</v>
      </c>
      <c r="N895" s="1" t="s">
        <v>10927</v>
      </c>
      <c r="O895" s="2" t="s">
        <v>1887</v>
      </c>
      <c r="P895" s="1" t="s">
        <v>211</v>
      </c>
      <c r="Q895" s="2" t="s">
        <v>11</v>
      </c>
      <c r="R895" s="2" t="s">
        <v>78</v>
      </c>
      <c r="T895" s="2" t="s">
        <v>520</v>
      </c>
      <c r="U895" s="3">
        <v>15</v>
      </c>
      <c r="V895" s="3">
        <v>15</v>
      </c>
      <c r="W895" s="4" t="s">
        <v>10928</v>
      </c>
      <c r="X895" s="4" t="s">
        <v>10928</v>
      </c>
      <c r="Y895" s="4" t="s">
        <v>6362</v>
      </c>
      <c r="Z895" s="4" t="s">
        <v>6362</v>
      </c>
      <c r="AA895" s="3">
        <v>194</v>
      </c>
      <c r="AB895" s="3">
        <v>163</v>
      </c>
      <c r="AC895" s="3">
        <v>1254</v>
      </c>
      <c r="AD895" s="3">
        <v>3</v>
      </c>
      <c r="AE895" s="3">
        <v>28</v>
      </c>
      <c r="AF895" s="3">
        <v>5</v>
      </c>
      <c r="AG895" s="3">
        <v>37</v>
      </c>
      <c r="AH895" s="3">
        <v>1</v>
      </c>
      <c r="AI895" s="3">
        <v>14</v>
      </c>
      <c r="AJ895" s="3">
        <v>1</v>
      </c>
      <c r="AK895" s="3">
        <v>4</v>
      </c>
      <c r="AL895" s="3">
        <v>3</v>
      </c>
      <c r="AM895" s="3">
        <v>13</v>
      </c>
      <c r="AN895" s="3">
        <v>1</v>
      </c>
      <c r="AO895" s="3">
        <v>11</v>
      </c>
      <c r="AP895" s="3">
        <v>0</v>
      </c>
      <c r="AQ895" s="3">
        <v>0</v>
      </c>
      <c r="AR895" s="2" t="s">
        <v>5</v>
      </c>
      <c r="AS895" s="2" t="s">
        <v>16</v>
      </c>
      <c r="AT895" s="5" t="str">
        <f>HYPERLINK("http://catalog.hathitrust.org/Record/002652684","HathiTrust Record")</f>
        <v>HathiTrust Record</v>
      </c>
      <c r="AU895" s="5" t="str">
        <f>HYPERLINK("https://creighton-primo.hosted.exlibrisgroup.com/primo-explore/search?tab=default_tab&amp;search_scope=EVERYTHING&amp;vid=01CRU&amp;lang=en_US&amp;offset=0&amp;query=any,contains,991001335949702656","Catalog Record")</f>
        <v>Catalog Record</v>
      </c>
      <c r="AV895" s="5" t="str">
        <f>HYPERLINK("http://www.worldcat.org/oclc/28029769","WorldCat Record")</f>
        <v>WorldCat Record</v>
      </c>
      <c r="AW895" s="2" t="s">
        <v>10929</v>
      </c>
      <c r="AX895" s="2" t="s">
        <v>10930</v>
      </c>
      <c r="AY895" s="2" t="s">
        <v>10931</v>
      </c>
      <c r="AZ895" s="2" t="s">
        <v>10931</v>
      </c>
      <c r="BA895" s="2" t="s">
        <v>10932</v>
      </c>
      <c r="BB895" s="2" t="s">
        <v>21</v>
      </c>
      <c r="BE895" s="2" t="s">
        <v>10933</v>
      </c>
      <c r="BF895" s="2" t="s">
        <v>10934</v>
      </c>
    </row>
    <row r="896" spans="1:58" ht="41.25" customHeight="1" x14ac:dyDescent="0.25">
      <c r="A896" s="8" t="s">
        <v>5</v>
      </c>
      <c r="B896" s="1" t="s">
        <v>0</v>
      </c>
      <c r="C896" s="1" t="s">
        <v>1</v>
      </c>
      <c r="D896" s="1" t="s">
        <v>10935</v>
      </c>
      <c r="E896" s="1" t="s">
        <v>10936</v>
      </c>
      <c r="F896" s="1" t="s">
        <v>10937</v>
      </c>
      <c r="H896" s="2" t="s">
        <v>5</v>
      </c>
      <c r="I896" s="2" t="s">
        <v>6</v>
      </c>
      <c r="J896" s="2" t="s">
        <v>5</v>
      </c>
      <c r="K896" s="2" t="s">
        <v>5</v>
      </c>
      <c r="L896" s="2" t="s">
        <v>7</v>
      </c>
      <c r="M896" s="1" t="s">
        <v>10938</v>
      </c>
      <c r="N896" s="1" t="s">
        <v>10939</v>
      </c>
      <c r="O896" s="2" t="s">
        <v>1060</v>
      </c>
      <c r="P896" s="1" t="s">
        <v>63</v>
      </c>
      <c r="Q896" s="2" t="s">
        <v>11</v>
      </c>
      <c r="R896" s="2" t="s">
        <v>31</v>
      </c>
      <c r="T896" s="2" t="s">
        <v>520</v>
      </c>
      <c r="U896" s="3">
        <v>0</v>
      </c>
      <c r="V896" s="3">
        <v>0</v>
      </c>
      <c r="W896" s="4" t="s">
        <v>9276</v>
      </c>
      <c r="X896" s="4" t="s">
        <v>9276</v>
      </c>
      <c r="Y896" s="4" t="s">
        <v>5018</v>
      </c>
      <c r="Z896" s="4" t="s">
        <v>5018</v>
      </c>
      <c r="AA896" s="3">
        <v>68</v>
      </c>
      <c r="AB896" s="3">
        <v>52</v>
      </c>
      <c r="AC896" s="3">
        <v>53</v>
      </c>
      <c r="AD896" s="3">
        <v>1</v>
      </c>
      <c r="AE896" s="3">
        <v>1</v>
      </c>
      <c r="AF896" s="3">
        <v>1</v>
      </c>
      <c r="AG896" s="3">
        <v>1</v>
      </c>
      <c r="AH896" s="3">
        <v>0</v>
      </c>
      <c r="AI896" s="3">
        <v>0</v>
      </c>
      <c r="AJ896" s="3">
        <v>0</v>
      </c>
      <c r="AK896" s="3">
        <v>0</v>
      </c>
      <c r="AL896" s="3">
        <v>1</v>
      </c>
      <c r="AM896" s="3">
        <v>1</v>
      </c>
      <c r="AN896" s="3">
        <v>0</v>
      </c>
      <c r="AO896" s="3">
        <v>0</v>
      </c>
      <c r="AP896" s="3">
        <v>0</v>
      </c>
      <c r="AQ896" s="3">
        <v>0</v>
      </c>
      <c r="AR896" s="2" t="s">
        <v>5</v>
      </c>
      <c r="AS896" s="2" t="s">
        <v>5</v>
      </c>
      <c r="AU896" s="5" t="str">
        <f>HYPERLINK("https://creighton-primo.hosted.exlibrisgroup.com/primo-explore/search?tab=default_tab&amp;search_scope=EVERYTHING&amp;vid=01CRU&amp;lang=en_US&amp;offset=0&amp;query=any,contains,991000647809702656","Catalog Record")</f>
        <v>Catalog Record</v>
      </c>
      <c r="AV896" s="5" t="str">
        <f>HYPERLINK("http://www.worldcat.org/oclc/56034900","WorldCat Record")</f>
        <v>WorldCat Record</v>
      </c>
      <c r="AW896" s="2" t="s">
        <v>10940</v>
      </c>
      <c r="AX896" s="2" t="s">
        <v>10941</v>
      </c>
      <c r="AY896" s="2" t="s">
        <v>10942</v>
      </c>
      <c r="AZ896" s="2" t="s">
        <v>10942</v>
      </c>
      <c r="BA896" s="2" t="s">
        <v>10943</v>
      </c>
      <c r="BB896" s="2" t="s">
        <v>21</v>
      </c>
      <c r="BD896" s="2" t="s">
        <v>10944</v>
      </c>
      <c r="BE896" s="2" t="s">
        <v>10945</v>
      </c>
      <c r="BF896" s="2" t="s">
        <v>10946</v>
      </c>
    </row>
    <row r="897" spans="1:58" ht="41.25" customHeight="1" x14ac:dyDescent="0.25">
      <c r="A897" s="8" t="s">
        <v>5</v>
      </c>
      <c r="B897" s="1" t="s">
        <v>0</v>
      </c>
      <c r="C897" s="1" t="s">
        <v>1</v>
      </c>
      <c r="D897" s="1" t="s">
        <v>10947</v>
      </c>
      <c r="E897" s="1" t="s">
        <v>10948</v>
      </c>
      <c r="F897" s="1" t="s">
        <v>10949</v>
      </c>
      <c r="H897" s="2" t="s">
        <v>5</v>
      </c>
      <c r="I897" s="2" t="s">
        <v>6</v>
      </c>
      <c r="J897" s="2" t="s">
        <v>5</v>
      </c>
      <c r="K897" s="2" t="s">
        <v>16</v>
      </c>
      <c r="L897" s="2" t="s">
        <v>7</v>
      </c>
      <c r="N897" s="1" t="s">
        <v>7526</v>
      </c>
      <c r="O897" s="2" t="s">
        <v>1887</v>
      </c>
      <c r="P897" s="1" t="s">
        <v>1208</v>
      </c>
      <c r="Q897" s="2" t="s">
        <v>11</v>
      </c>
      <c r="R897" s="2" t="s">
        <v>78</v>
      </c>
      <c r="T897" s="2" t="s">
        <v>520</v>
      </c>
      <c r="U897" s="3">
        <v>3</v>
      </c>
      <c r="V897" s="3">
        <v>3</v>
      </c>
      <c r="W897" s="4" t="s">
        <v>10950</v>
      </c>
      <c r="X897" s="4" t="s">
        <v>10950</v>
      </c>
      <c r="Y897" s="4" t="s">
        <v>10951</v>
      </c>
      <c r="Z897" s="4" t="s">
        <v>10951</v>
      </c>
      <c r="AA897" s="3">
        <v>193</v>
      </c>
      <c r="AB897" s="3">
        <v>147</v>
      </c>
      <c r="AC897" s="3">
        <v>370</v>
      </c>
      <c r="AD897" s="3">
        <v>1</v>
      </c>
      <c r="AE897" s="3">
        <v>2</v>
      </c>
      <c r="AF897" s="3">
        <v>2</v>
      </c>
      <c r="AG897" s="3">
        <v>7</v>
      </c>
      <c r="AH897" s="3">
        <v>1</v>
      </c>
      <c r="AI897" s="3">
        <v>4</v>
      </c>
      <c r="AJ897" s="3">
        <v>0</v>
      </c>
      <c r="AK897" s="3">
        <v>1</v>
      </c>
      <c r="AL897" s="3">
        <v>2</v>
      </c>
      <c r="AM897" s="3">
        <v>4</v>
      </c>
      <c r="AN897" s="3">
        <v>0</v>
      </c>
      <c r="AO897" s="3">
        <v>0</v>
      </c>
      <c r="AP897" s="3">
        <v>0</v>
      </c>
      <c r="AQ897" s="3">
        <v>0</v>
      </c>
      <c r="AR897" s="2" t="s">
        <v>5</v>
      </c>
      <c r="AS897" s="2" t="s">
        <v>5</v>
      </c>
      <c r="AU897" s="5" t="str">
        <f>HYPERLINK("https://creighton-primo.hosted.exlibrisgroup.com/primo-explore/search?tab=default_tab&amp;search_scope=EVERYTHING&amp;vid=01CRU&amp;lang=en_US&amp;offset=0&amp;query=any,contains,991001513579702656","Catalog Record")</f>
        <v>Catalog Record</v>
      </c>
      <c r="AV897" s="5" t="str">
        <f>HYPERLINK("http://www.worldcat.org/oclc/26015149","WorldCat Record")</f>
        <v>WorldCat Record</v>
      </c>
      <c r="AW897" s="2" t="s">
        <v>10952</v>
      </c>
      <c r="AX897" s="2" t="s">
        <v>10953</v>
      </c>
      <c r="AY897" s="2" t="s">
        <v>10954</v>
      </c>
      <c r="AZ897" s="2" t="s">
        <v>10954</v>
      </c>
      <c r="BA897" s="2" t="s">
        <v>10955</v>
      </c>
      <c r="BB897" s="2" t="s">
        <v>21</v>
      </c>
      <c r="BD897" s="2" t="s">
        <v>10956</v>
      </c>
      <c r="BE897" s="2" t="s">
        <v>10957</v>
      </c>
      <c r="BF897" s="2" t="s">
        <v>10958</v>
      </c>
    </row>
    <row r="898" spans="1:58" ht="41.25" customHeight="1" x14ac:dyDescent="0.25">
      <c r="A898" s="8" t="s">
        <v>5</v>
      </c>
      <c r="B898" s="1" t="s">
        <v>0</v>
      </c>
      <c r="C898" s="1" t="s">
        <v>1</v>
      </c>
      <c r="D898" s="1" t="s">
        <v>10959</v>
      </c>
      <c r="E898" s="1" t="s">
        <v>10960</v>
      </c>
      <c r="F898" s="1" t="s">
        <v>10961</v>
      </c>
      <c r="H898" s="2" t="s">
        <v>5</v>
      </c>
      <c r="I898" s="2" t="s">
        <v>6</v>
      </c>
      <c r="J898" s="2" t="s">
        <v>5</v>
      </c>
      <c r="K898" s="2" t="s">
        <v>16</v>
      </c>
      <c r="L898" s="2" t="s">
        <v>7</v>
      </c>
      <c r="M898" s="1" t="s">
        <v>10962</v>
      </c>
      <c r="N898" s="1" t="s">
        <v>10963</v>
      </c>
      <c r="O898" s="2" t="s">
        <v>1887</v>
      </c>
      <c r="P898" s="1" t="s">
        <v>355</v>
      </c>
      <c r="Q898" s="2" t="s">
        <v>11</v>
      </c>
      <c r="R898" s="2" t="s">
        <v>31</v>
      </c>
      <c r="T898" s="2" t="s">
        <v>520</v>
      </c>
      <c r="U898" s="3">
        <v>8</v>
      </c>
      <c r="V898" s="3">
        <v>8</v>
      </c>
      <c r="W898" s="4" t="s">
        <v>10964</v>
      </c>
      <c r="X898" s="4" t="s">
        <v>10964</v>
      </c>
      <c r="Y898" s="4" t="s">
        <v>10951</v>
      </c>
      <c r="Z898" s="4" t="s">
        <v>10951</v>
      </c>
      <c r="AA898" s="3">
        <v>260</v>
      </c>
      <c r="AB898" s="3">
        <v>208</v>
      </c>
      <c r="AC898" s="3">
        <v>379</v>
      </c>
      <c r="AD898" s="3">
        <v>1</v>
      </c>
      <c r="AE898" s="3">
        <v>3</v>
      </c>
      <c r="AF898" s="3">
        <v>7</v>
      </c>
      <c r="AG898" s="3">
        <v>14</v>
      </c>
      <c r="AH898" s="3">
        <v>2</v>
      </c>
      <c r="AI898" s="3">
        <v>5</v>
      </c>
      <c r="AJ898" s="3">
        <v>1</v>
      </c>
      <c r="AK898" s="3">
        <v>3</v>
      </c>
      <c r="AL898" s="3">
        <v>5</v>
      </c>
      <c r="AM898" s="3">
        <v>8</v>
      </c>
      <c r="AN898" s="3">
        <v>0</v>
      </c>
      <c r="AO898" s="3">
        <v>1</v>
      </c>
      <c r="AP898" s="3">
        <v>0</v>
      </c>
      <c r="AQ898" s="3">
        <v>0</v>
      </c>
      <c r="AR898" s="2" t="s">
        <v>5</v>
      </c>
      <c r="AS898" s="2" t="s">
        <v>16</v>
      </c>
      <c r="AT898" s="5" t="str">
        <f>HYPERLINK("http://catalog.hathitrust.org/Record/002630919","HathiTrust Record")</f>
        <v>HathiTrust Record</v>
      </c>
      <c r="AU898" s="5" t="str">
        <f>HYPERLINK("https://creighton-primo.hosted.exlibrisgroup.com/primo-explore/search?tab=default_tab&amp;search_scope=EVERYTHING&amp;vid=01CRU&amp;lang=en_US&amp;offset=0&amp;query=any,contains,991001512969702656","Catalog Record")</f>
        <v>Catalog Record</v>
      </c>
      <c r="AV898" s="5" t="str">
        <f>HYPERLINK("http://www.worldcat.org/oclc/27385648","WorldCat Record")</f>
        <v>WorldCat Record</v>
      </c>
      <c r="AW898" s="2" t="s">
        <v>10965</v>
      </c>
      <c r="AX898" s="2" t="s">
        <v>10966</v>
      </c>
      <c r="AY898" s="2" t="s">
        <v>10967</v>
      </c>
      <c r="AZ898" s="2" t="s">
        <v>10967</v>
      </c>
      <c r="BA898" s="2" t="s">
        <v>10968</v>
      </c>
      <c r="BB898" s="2" t="s">
        <v>21</v>
      </c>
      <c r="BE898" s="2" t="s">
        <v>10969</v>
      </c>
      <c r="BF898" s="2" t="s">
        <v>10970</v>
      </c>
    </row>
    <row r="899" spans="1:58" ht="41.25" customHeight="1" x14ac:dyDescent="0.25">
      <c r="A899" s="8" t="s">
        <v>5</v>
      </c>
      <c r="B899" s="1" t="s">
        <v>0</v>
      </c>
      <c r="C899" s="1" t="s">
        <v>1</v>
      </c>
      <c r="D899" s="1" t="s">
        <v>10971</v>
      </c>
      <c r="E899" s="1" t="s">
        <v>10972</v>
      </c>
      <c r="F899" s="1" t="s">
        <v>10961</v>
      </c>
      <c r="H899" s="2" t="s">
        <v>5</v>
      </c>
      <c r="I899" s="2" t="s">
        <v>6</v>
      </c>
      <c r="J899" s="2" t="s">
        <v>5</v>
      </c>
      <c r="K899" s="2" t="s">
        <v>16</v>
      </c>
      <c r="L899" s="2" t="s">
        <v>7</v>
      </c>
      <c r="M899" s="1" t="s">
        <v>10962</v>
      </c>
      <c r="N899" s="1" t="s">
        <v>1282</v>
      </c>
      <c r="O899" s="2" t="s">
        <v>1283</v>
      </c>
      <c r="P899" s="1" t="s">
        <v>211</v>
      </c>
      <c r="Q899" s="2" t="s">
        <v>11</v>
      </c>
      <c r="R899" s="2" t="s">
        <v>31</v>
      </c>
      <c r="T899" s="2" t="s">
        <v>520</v>
      </c>
      <c r="U899" s="3">
        <v>18</v>
      </c>
      <c r="V899" s="3">
        <v>18</v>
      </c>
      <c r="W899" s="4" t="s">
        <v>10973</v>
      </c>
      <c r="X899" s="4" t="s">
        <v>10973</v>
      </c>
      <c r="Y899" s="4" t="s">
        <v>10974</v>
      </c>
      <c r="Z899" s="4" t="s">
        <v>10974</v>
      </c>
      <c r="AA899" s="3">
        <v>327</v>
      </c>
      <c r="AB899" s="3">
        <v>275</v>
      </c>
      <c r="AC899" s="3">
        <v>379</v>
      </c>
      <c r="AD899" s="3">
        <v>3</v>
      </c>
      <c r="AE899" s="3">
        <v>3</v>
      </c>
      <c r="AF899" s="3">
        <v>12</v>
      </c>
      <c r="AG899" s="3">
        <v>14</v>
      </c>
      <c r="AH899" s="3">
        <v>5</v>
      </c>
      <c r="AI899" s="3">
        <v>5</v>
      </c>
      <c r="AJ899" s="3">
        <v>2</v>
      </c>
      <c r="AK899" s="3">
        <v>3</v>
      </c>
      <c r="AL899" s="3">
        <v>7</v>
      </c>
      <c r="AM899" s="3">
        <v>8</v>
      </c>
      <c r="AN899" s="3">
        <v>1</v>
      </c>
      <c r="AO899" s="3">
        <v>1</v>
      </c>
      <c r="AP899" s="3">
        <v>0</v>
      </c>
      <c r="AQ899" s="3">
        <v>0</v>
      </c>
      <c r="AR899" s="2" t="s">
        <v>5</v>
      </c>
      <c r="AS899" s="2" t="s">
        <v>16</v>
      </c>
      <c r="AT899" s="5" t="str">
        <f>HYPERLINK("http://catalog.hathitrust.org/Record/003118479","HathiTrust Record")</f>
        <v>HathiTrust Record</v>
      </c>
      <c r="AU899" s="5" t="str">
        <f>HYPERLINK("https://creighton-primo.hosted.exlibrisgroup.com/primo-explore/search?tab=default_tab&amp;search_scope=EVERYTHING&amp;vid=01CRU&amp;lang=en_US&amp;offset=0&amp;query=any,contains,991001270479702656","Catalog Record")</f>
        <v>Catalog Record</v>
      </c>
      <c r="AV899" s="5" t="str">
        <f>HYPERLINK("http://www.worldcat.org/oclc/35450340","WorldCat Record")</f>
        <v>WorldCat Record</v>
      </c>
      <c r="AW899" s="2" t="s">
        <v>10965</v>
      </c>
      <c r="AX899" s="2" t="s">
        <v>10975</v>
      </c>
      <c r="AY899" s="2" t="s">
        <v>10976</v>
      </c>
      <c r="AZ899" s="2" t="s">
        <v>10976</v>
      </c>
      <c r="BA899" s="2" t="s">
        <v>10977</v>
      </c>
      <c r="BB899" s="2" t="s">
        <v>21</v>
      </c>
      <c r="BD899" s="2" t="s">
        <v>10978</v>
      </c>
      <c r="BE899" s="2" t="s">
        <v>10979</v>
      </c>
      <c r="BF899" s="2" t="s">
        <v>10980</v>
      </c>
    </row>
    <row r="900" spans="1:58" ht="41.25" customHeight="1" x14ac:dyDescent="0.25">
      <c r="A900" s="8" t="s">
        <v>5</v>
      </c>
      <c r="B900" s="1" t="s">
        <v>0</v>
      </c>
      <c r="C900" s="1" t="s">
        <v>1</v>
      </c>
      <c r="D900" s="1" t="s">
        <v>10981</v>
      </c>
      <c r="E900" s="1" t="s">
        <v>10982</v>
      </c>
      <c r="F900" s="1" t="s">
        <v>10983</v>
      </c>
      <c r="H900" s="2" t="s">
        <v>5</v>
      </c>
      <c r="I900" s="2" t="s">
        <v>6</v>
      </c>
      <c r="J900" s="2" t="s">
        <v>5</v>
      </c>
      <c r="K900" s="2" t="s">
        <v>5</v>
      </c>
      <c r="L900" s="2" t="s">
        <v>7</v>
      </c>
      <c r="M900" s="1" t="s">
        <v>10962</v>
      </c>
      <c r="N900" s="1" t="s">
        <v>10984</v>
      </c>
      <c r="O900" s="2" t="s">
        <v>1060</v>
      </c>
      <c r="P900" s="1" t="s">
        <v>1208</v>
      </c>
      <c r="Q900" s="2" t="s">
        <v>11</v>
      </c>
      <c r="R900" s="2" t="s">
        <v>31</v>
      </c>
      <c r="T900" s="2" t="s">
        <v>520</v>
      </c>
      <c r="U900" s="3">
        <v>2</v>
      </c>
      <c r="V900" s="3">
        <v>2</v>
      </c>
      <c r="W900" s="4" t="s">
        <v>10985</v>
      </c>
      <c r="X900" s="4" t="s">
        <v>10985</v>
      </c>
      <c r="Y900" s="4" t="s">
        <v>10986</v>
      </c>
      <c r="Z900" s="4" t="s">
        <v>10986</v>
      </c>
      <c r="AA900" s="3">
        <v>418</v>
      </c>
      <c r="AB900" s="3">
        <v>360</v>
      </c>
      <c r="AC900" s="3">
        <v>512</v>
      </c>
      <c r="AD900" s="3">
        <v>4</v>
      </c>
      <c r="AE900" s="3">
        <v>5</v>
      </c>
      <c r="AF900" s="3">
        <v>18</v>
      </c>
      <c r="AG900" s="3">
        <v>21</v>
      </c>
      <c r="AH900" s="3">
        <v>6</v>
      </c>
      <c r="AI900" s="3">
        <v>9</v>
      </c>
      <c r="AJ900" s="3">
        <v>3</v>
      </c>
      <c r="AK900" s="3">
        <v>3</v>
      </c>
      <c r="AL900" s="3">
        <v>9</v>
      </c>
      <c r="AM900" s="3">
        <v>9</v>
      </c>
      <c r="AN900" s="3">
        <v>3</v>
      </c>
      <c r="AO900" s="3">
        <v>3</v>
      </c>
      <c r="AP900" s="3">
        <v>0</v>
      </c>
      <c r="AQ900" s="3">
        <v>0</v>
      </c>
      <c r="AR900" s="2" t="s">
        <v>5</v>
      </c>
      <c r="AS900" s="2" t="s">
        <v>16</v>
      </c>
      <c r="AT900" s="5" t="str">
        <f>HYPERLINK("http://catalog.hathitrust.org/Record/004915591","HathiTrust Record")</f>
        <v>HathiTrust Record</v>
      </c>
      <c r="AU900" s="5" t="str">
        <f>HYPERLINK("https://creighton-primo.hosted.exlibrisgroup.com/primo-explore/search?tab=default_tab&amp;search_scope=EVERYTHING&amp;vid=01CRU&amp;lang=en_US&amp;offset=0&amp;query=any,contains,991001735769702656","Catalog Record")</f>
        <v>Catalog Record</v>
      </c>
      <c r="AV900" s="5" t="str">
        <f>HYPERLINK("http://www.worldcat.org/oclc/56562865","WorldCat Record")</f>
        <v>WorldCat Record</v>
      </c>
      <c r="AW900" s="2" t="s">
        <v>10987</v>
      </c>
      <c r="AX900" s="2" t="s">
        <v>10988</v>
      </c>
      <c r="AY900" s="2" t="s">
        <v>10989</v>
      </c>
      <c r="AZ900" s="2" t="s">
        <v>10989</v>
      </c>
      <c r="BA900" s="2" t="s">
        <v>10990</v>
      </c>
      <c r="BB900" s="2" t="s">
        <v>21</v>
      </c>
      <c r="BD900" s="2" t="s">
        <v>10991</v>
      </c>
      <c r="BE900" s="2" t="s">
        <v>10992</v>
      </c>
      <c r="BF900" s="2" t="s">
        <v>10993</v>
      </c>
    </row>
    <row r="901" spans="1:58" ht="41.25" customHeight="1" x14ac:dyDescent="0.25">
      <c r="A901" s="8" t="s">
        <v>5</v>
      </c>
      <c r="B901" s="1" t="s">
        <v>0</v>
      </c>
      <c r="C901" s="1" t="s">
        <v>1</v>
      </c>
      <c r="D901" s="1" t="s">
        <v>10994</v>
      </c>
      <c r="E901" s="1" t="s">
        <v>10995</v>
      </c>
      <c r="F901" s="1" t="s">
        <v>10996</v>
      </c>
      <c r="H901" s="2" t="s">
        <v>5</v>
      </c>
      <c r="I901" s="2" t="s">
        <v>6</v>
      </c>
      <c r="J901" s="2" t="s">
        <v>5</v>
      </c>
      <c r="K901" s="2" t="s">
        <v>5</v>
      </c>
      <c r="L901" s="2" t="s">
        <v>7</v>
      </c>
      <c r="N901" s="1" t="s">
        <v>9725</v>
      </c>
      <c r="O901" s="2" t="s">
        <v>228</v>
      </c>
      <c r="Q901" s="2" t="s">
        <v>11</v>
      </c>
      <c r="R901" s="2" t="s">
        <v>426</v>
      </c>
      <c r="T901" s="2" t="s">
        <v>520</v>
      </c>
      <c r="U901" s="3">
        <v>18</v>
      </c>
      <c r="V901" s="3">
        <v>18</v>
      </c>
      <c r="W901" s="4" t="s">
        <v>1197</v>
      </c>
      <c r="X901" s="4" t="s">
        <v>1197</v>
      </c>
      <c r="Y901" s="4" t="s">
        <v>96</v>
      </c>
      <c r="Z901" s="4" t="s">
        <v>96</v>
      </c>
      <c r="AA901" s="3">
        <v>235</v>
      </c>
      <c r="AB901" s="3">
        <v>207</v>
      </c>
      <c r="AC901" s="3">
        <v>209</v>
      </c>
      <c r="AD901" s="3">
        <v>3</v>
      </c>
      <c r="AE901" s="3">
        <v>3</v>
      </c>
      <c r="AF901" s="3">
        <v>10</v>
      </c>
      <c r="AG901" s="3">
        <v>10</v>
      </c>
      <c r="AH901" s="3">
        <v>6</v>
      </c>
      <c r="AI901" s="3">
        <v>6</v>
      </c>
      <c r="AJ901" s="3">
        <v>0</v>
      </c>
      <c r="AK901" s="3">
        <v>0</v>
      </c>
      <c r="AL901" s="3">
        <v>5</v>
      </c>
      <c r="AM901" s="3">
        <v>5</v>
      </c>
      <c r="AN901" s="3">
        <v>1</v>
      </c>
      <c r="AO901" s="3">
        <v>1</v>
      </c>
      <c r="AP901" s="3">
        <v>0</v>
      </c>
      <c r="AQ901" s="3">
        <v>0</v>
      </c>
      <c r="AR901" s="2" t="s">
        <v>5</v>
      </c>
      <c r="AS901" s="2" t="s">
        <v>16</v>
      </c>
      <c r="AT901" s="5" t="str">
        <f>HYPERLINK("http://catalog.hathitrust.org/Record/000191054","HathiTrust Record")</f>
        <v>HathiTrust Record</v>
      </c>
      <c r="AU901" s="5" t="str">
        <f>HYPERLINK("https://creighton-primo.hosted.exlibrisgroup.com/primo-explore/search?tab=default_tab&amp;search_scope=EVERYTHING&amp;vid=01CRU&amp;lang=en_US&amp;offset=0&amp;query=any,contains,991001146059702656","Catalog Record")</f>
        <v>Catalog Record</v>
      </c>
      <c r="AV901" s="5" t="str">
        <f>HYPERLINK("http://www.worldcat.org/oclc/8553505","WorldCat Record")</f>
        <v>WorldCat Record</v>
      </c>
      <c r="AW901" s="2" t="s">
        <v>10997</v>
      </c>
      <c r="AX901" s="2" t="s">
        <v>10998</v>
      </c>
      <c r="AY901" s="2" t="s">
        <v>10999</v>
      </c>
      <c r="AZ901" s="2" t="s">
        <v>10999</v>
      </c>
      <c r="BA901" s="2" t="s">
        <v>11000</v>
      </c>
      <c r="BB901" s="2" t="s">
        <v>21</v>
      </c>
      <c r="BD901" s="2" t="s">
        <v>11001</v>
      </c>
      <c r="BE901" s="2" t="s">
        <v>11002</v>
      </c>
      <c r="BF901" s="2" t="s">
        <v>11003</v>
      </c>
    </row>
    <row r="902" spans="1:58" ht="41.25" customHeight="1" x14ac:dyDescent="0.25">
      <c r="A902" s="8" t="s">
        <v>5</v>
      </c>
      <c r="B902" s="1" t="s">
        <v>0</v>
      </c>
      <c r="C902" s="1" t="s">
        <v>1</v>
      </c>
      <c r="D902" s="1" t="s">
        <v>11004</v>
      </c>
      <c r="E902" s="1" t="s">
        <v>11005</v>
      </c>
      <c r="F902" s="1" t="s">
        <v>11006</v>
      </c>
      <c r="H902" s="2" t="s">
        <v>5</v>
      </c>
      <c r="I902" s="2" t="s">
        <v>6</v>
      </c>
      <c r="J902" s="2" t="s">
        <v>5</v>
      </c>
      <c r="K902" s="2" t="s">
        <v>5</v>
      </c>
      <c r="L902" s="2" t="s">
        <v>7</v>
      </c>
      <c r="N902" s="1" t="s">
        <v>11007</v>
      </c>
      <c r="O902" s="2" t="s">
        <v>872</v>
      </c>
      <c r="P902" s="1" t="s">
        <v>211</v>
      </c>
      <c r="Q902" s="2" t="s">
        <v>11</v>
      </c>
      <c r="R902" s="2" t="s">
        <v>426</v>
      </c>
      <c r="T902" s="2" t="s">
        <v>520</v>
      </c>
      <c r="U902" s="3">
        <v>43</v>
      </c>
      <c r="V902" s="3">
        <v>43</v>
      </c>
      <c r="W902" s="4" t="s">
        <v>10964</v>
      </c>
      <c r="X902" s="4" t="s">
        <v>10964</v>
      </c>
      <c r="Y902" s="4" t="s">
        <v>1485</v>
      </c>
      <c r="Z902" s="4" t="s">
        <v>1485</v>
      </c>
      <c r="AA902" s="3">
        <v>299</v>
      </c>
      <c r="AB902" s="3">
        <v>207</v>
      </c>
      <c r="AC902" s="3">
        <v>651</v>
      </c>
      <c r="AD902" s="3">
        <v>3</v>
      </c>
      <c r="AE902" s="3">
        <v>6</v>
      </c>
      <c r="AF902" s="3">
        <v>10</v>
      </c>
      <c r="AG902" s="3">
        <v>32</v>
      </c>
      <c r="AH902" s="3">
        <v>3</v>
      </c>
      <c r="AI902" s="3">
        <v>13</v>
      </c>
      <c r="AJ902" s="3">
        <v>3</v>
      </c>
      <c r="AK902" s="3">
        <v>7</v>
      </c>
      <c r="AL902" s="3">
        <v>6</v>
      </c>
      <c r="AM902" s="3">
        <v>15</v>
      </c>
      <c r="AN902" s="3">
        <v>1</v>
      </c>
      <c r="AO902" s="3">
        <v>4</v>
      </c>
      <c r="AP902" s="3">
        <v>0</v>
      </c>
      <c r="AQ902" s="3">
        <v>0</v>
      </c>
      <c r="AR902" s="2" t="s">
        <v>5</v>
      </c>
      <c r="AS902" s="2" t="s">
        <v>16</v>
      </c>
      <c r="AT902" s="5" t="str">
        <f>HYPERLINK("http://catalog.hathitrust.org/Record/001099021","HathiTrust Record")</f>
        <v>HathiTrust Record</v>
      </c>
      <c r="AU902" s="5" t="str">
        <f>HYPERLINK("https://creighton-primo.hosted.exlibrisgroup.com/primo-explore/search?tab=default_tab&amp;search_scope=EVERYTHING&amp;vid=01CRU&amp;lang=en_US&amp;offset=0&amp;query=any,contains,991001312759702656","Catalog Record")</f>
        <v>Catalog Record</v>
      </c>
      <c r="AV902" s="5" t="str">
        <f>HYPERLINK("http://www.worldcat.org/oclc/18715770","WorldCat Record")</f>
        <v>WorldCat Record</v>
      </c>
      <c r="AW902" s="2" t="s">
        <v>11008</v>
      </c>
      <c r="AX902" s="2" t="s">
        <v>11009</v>
      </c>
      <c r="AY902" s="2" t="s">
        <v>11010</v>
      </c>
      <c r="AZ902" s="2" t="s">
        <v>11010</v>
      </c>
      <c r="BA902" s="2" t="s">
        <v>11011</v>
      </c>
      <c r="BB902" s="2" t="s">
        <v>21</v>
      </c>
      <c r="BD902" s="2" t="s">
        <v>11012</v>
      </c>
      <c r="BE902" s="2" t="s">
        <v>11013</v>
      </c>
      <c r="BF902" s="2" t="s">
        <v>11014</v>
      </c>
    </row>
    <row r="903" spans="1:58" ht="41.25" customHeight="1" x14ac:dyDescent="0.25">
      <c r="A903" s="8" t="s">
        <v>5</v>
      </c>
      <c r="B903" s="1" t="s">
        <v>0</v>
      </c>
      <c r="C903" s="1" t="s">
        <v>1</v>
      </c>
      <c r="D903" s="1" t="s">
        <v>11015</v>
      </c>
      <c r="E903" s="1" t="s">
        <v>11016</v>
      </c>
      <c r="F903" s="1" t="s">
        <v>11017</v>
      </c>
      <c r="H903" s="2" t="s">
        <v>5</v>
      </c>
      <c r="I903" s="2" t="s">
        <v>6</v>
      </c>
      <c r="J903" s="2" t="s">
        <v>5</v>
      </c>
      <c r="K903" s="2" t="s">
        <v>16</v>
      </c>
      <c r="L903" s="2" t="s">
        <v>7</v>
      </c>
      <c r="M903" s="1" t="s">
        <v>11018</v>
      </c>
      <c r="N903" s="1" t="s">
        <v>11019</v>
      </c>
      <c r="O903" s="2" t="s">
        <v>794</v>
      </c>
      <c r="P903" s="1" t="s">
        <v>211</v>
      </c>
      <c r="Q903" s="2" t="s">
        <v>11</v>
      </c>
      <c r="R903" s="2" t="s">
        <v>78</v>
      </c>
      <c r="T903" s="2" t="s">
        <v>520</v>
      </c>
      <c r="U903" s="3">
        <v>36</v>
      </c>
      <c r="V903" s="3">
        <v>36</v>
      </c>
      <c r="W903" s="4" t="s">
        <v>7618</v>
      </c>
      <c r="X903" s="4" t="s">
        <v>7618</v>
      </c>
      <c r="Y903" s="4" t="s">
        <v>11020</v>
      </c>
      <c r="Z903" s="4" t="s">
        <v>11020</v>
      </c>
      <c r="AA903" s="3">
        <v>162</v>
      </c>
      <c r="AB903" s="3">
        <v>115</v>
      </c>
      <c r="AC903" s="3">
        <v>880</v>
      </c>
      <c r="AD903" s="3">
        <v>1</v>
      </c>
      <c r="AE903" s="3">
        <v>3</v>
      </c>
      <c r="AF903" s="3">
        <v>2</v>
      </c>
      <c r="AG903" s="3">
        <v>16</v>
      </c>
      <c r="AH903" s="3">
        <v>0</v>
      </c>
      <c r="AI903" s="3">
        <v>6</v>
      </c>
      <c r="AJ903" s="3">
        <v>1</v>
      </c>
      <c r="AK903" s="3">
        <v>4</v>
      </c>
      <c r="AL903" s="3">
        <v>1</v>
      </c>
      <c r="AM903" s="3">
        <v>7</v>
      </c>
      <c r="AN903" s="3">
        <v>0</v>
      </c>
      <c r="AO903" s="3">
        <v>1</v>
      </c>
      <c r="AP903" s="3">
        <v>0</v>
      </c>
      <c r="AQ903" s="3">
        <v>0</v>
      </c>
      <c r="AR903" s="2" t="s">
        <v>5</v>
      </c>
      <c r="AS903" s="2" t="s">
        <v>5</v>
      </c>
      <c r="AU903" s="5" t="str">
        <f>HYPERLINK("https://creighton-primo.hosted.exlibrisgroup.com/primo-explore/search?tab=default_tab&amp;search_scope=EVERYTHING&amp;vid=01CRU&amp;lang=en_US&amp;offset=0&amp;query=any,contains,991001230639702656","Catalog Record")</f>
        <v>Catalog Record</v>
      </c>
      <c r="AV903" s="5" t="str">
        <f>HYPERLINK("http://www.worldcat.org/oclc/32820194","WorldCat Record")</f>
        <v>WorldCat Record</v>
      </c>
      <c r="AW903" s="2" t="s">
        <v>11021</v>
      </c>
      <c r="AX903" s="2" t="s">
        <v>11022</v>
      </c>
      <c r="AY903" s="2" t="s">
        <v>11023</v>
      </c>
      <c r="AZ903" s="2" t="s">
        <v>11023</v>
      </c>
      <c r="BA903" s="2" t="s">
        <v>11024</v>
      </c>
      <c r="BB903" s="2" t="s">
        <v>21</v>
      </c>
      <c r="BD903" s="2" t="s">
        <v>11025</v>
      </c>
      <c r="BE903" s="2" t="s">
        <v>11026</v>
      </c>
      <c r="BF903" s="2" t="s">
        <v>11027</v>
      </c>
    </row>
    <row r="904" spans="1:58" ht="41.25" customHeight="1" x14ac:dyDescent="0.25">
      <c r="A904" s="8" t="s">
        <v>5</v>
      </c>
      <c r="B904" s="1" t="s">
        <v>0</v>
      </c>
      <c r="C904" s="1" t="s">
        <v>1</v>
      </c>
      <c r="D904" s="1" t="s">
        <v>11028</v>
      </c>
      <c r="E904" s="1" t="s">
        <v>11029</v>
      </c>
      <c r="F904" s="1" t="s">
        <v>11030</v>
      </c>
      <c r="H904" s="2" t="s">
        <v>5</v>
      </c>
      <c r="I904" s="2" t="s">
        <v>6</v>
      </c>
      <c r="J904" s="2" t="s">
        <v>5</v>
      </c>
      <c r="K904" s="2" t="s">
        <v>5</v>
      </c>
      <c r="L904" s="2" t="s">
        <v>7</v>
      </c>
      <c r="N904" s="1" t="s">
        <v>1259</v>
      </c>
      <c r="O904" s="2" t="s">
        <v>136</v>
      </c>
      <c r="Q904" s="2" t="s">
        <v>11</v>
      </c>
      <c r="R904" s="2" t="s">
        <v>12</v>
      </c>
      <c r="S904" s="1" t="s">
        <v>11031</v>
      </c>
      <c r="T904" s="2" t="s">
        <v>520</v>
      </c>
      <c r="U904" s="3">
        <v>1</v>
      </c>
      <c r="V904" s="3">
        <v>1</v>
      </c>
      <c r="W904" s="4" t="s">
        <v>976</v>
      </c>
      <c r="X904" s="4" t="s">
        <v>976</v>
      </c>
      <c r="Y904" s="4" t="s">
        <v>604</v>
      </c>
      <c r="Z904" s="4" t="s">
        <v>604</v>
      </c>
      <c r="AA904" s="3">
        <v>284</v>
      </c>
      <c r="AB904" s="3">
        <v>244</v>
      </c>
      <c r="AC904" s="3">
        <v>251</v>
      </c>
      <c r="AD904" s="3">
        <v>2</v>
      </c>
      <c r="AE904" s="3">
        <v>2</v>
      </c>
      <c r="AF904" s="3">
        <v>16</v>
      </c>
      <c r="AG904" s="3">
        <v>16</v>
      </c>
      <c r="AH904" s="3">
        <v>5</v>
      </c>
      <c r="AI904" s="3">
        <v>5</v>
      </c>
      <c r="AJ904" s="3">
        <v>4</v>
      </c>
      <c r="AK904" s="3">
        <v>4</v>
      </c>
      <c r="AL904" s="3">
        <v>10</v>
      </c>
      <c r="AM904" s="3">
        <v>10</v>
      </c>
      <c r="AN904" s="3">
        <v>1</v>
      </c>
      <c r="AO904" s="3">
        <v>1</v>
      </c>
      <c r="AP904" s="3">
        <v>0</v>
      </c>
      <c r="AQ904" s="3">
        <v>0</v>
      </c>
      <c r="AR904" s="2" t="s">
        <v>5</v>
      </c>
      <c r="AS904" s="2" t="s">
        <v>16</v>
      </c>
      <c r="AT904" s="5" t="str">
        <f>HYPERLINK("http://catalog.hathitrust.org/Record/002508792","HathiTrust Record")</f>
        <v>HathiTrust Record</v>
      </c>
      <c r="AU904" s="5" t="str">
        <f>HYPERLINK("https://creighton-primo.hosted.exlibrisgroup.com/primo-explore/search?tab=default_tab&amp;search_scope=EVERYTHING&amp;vid=01CRU&amp;lang=en_US&amp;offset=0&amp;query=any,contains,991000229319702656","Catalog Record")</f>
        <v>Catalog Record</v>
      </c>
      <c r="AV904" s="5" t="str">
        <f>HYPERLINK("http://www.worldcat.org/oclc/25967134","WorldCat Record")</f>
        <v>WorldCat Record</v>
      </c>
      <c r="AW904" s="2" t="s">
        <v>11032</v>
      </c>
      <c r="AX904" s="2" t="s">
        <v>11033</v>
      </c>
      <c r="AY904" s="2" t="s">
        <v>11034</v>
      </c>
      <c r="AZ904" s="2" t="s">
        <v>11034</v>
      </c>
      <c r="BA904" s="2" t="s">
        <v>11035</v>
      </c>
      <c r="BB904" s="2" t="s">
        <v>21</v>
      </c>
      <c r="BD904" s="2" t="s">
        <v>11036</v>
      </c>
      <c r="BE904" s="2" t="s">
        <v>11037</v>
      </c>
      <c r="BF904" s="2" t="s">
        <v>11038</v>
      </c>
    </row>
    <row r="905" spans="1:58" ht="41.25" customHeight="1" x14ac:dyDescent="0.25">
      <c r="A905" s="8" t="s">
        <v>5</v>
      </c>
      <c r="B905" s="1" t="s">
        <v>0</v>
      </c>
      <c r="C905" s="1" t="s">
        <v>1</v>
      </c>
      <c r="D905" s="1" t="s">
        <v>11039</v>
      </c>
      <c r="E905" s="1" t="s">
        <v>11040</v>
      </c>
      <c r="F905" s="1" t="s">
        <v>11041</v>
      </c>
      <c r="H905" s="2" t="s">
        <v>5</v>
      </c>
      <c r="I905" s="2" t="s">
        <v>6</v>
      </c>
      <c r="J905" s="2" t="s">
        <v>5</v>
      </c>
      <c r="K905" s="2" t="s">
        <v>5</v>
      </c>
      <c r="L905" s="2" t="s">
        <v>7</v>
      </c>
      <c r="M905" s="1" t="s">
        <v>11042</v>
      </c>
      <c r="N905" s="1" t="s">
        <v>11043</v>
      </c>
      <c r="O905" s="2" t="s">
        <v>1060</v>
      </c>
      <c r="P905" s="1" t="s">
        <v>211</v>
      </c>
      <c r="Q905" s="2" t="s">
        <v>11</v>
      </c>
      <c r="R905" s="2" t="s">
        <v>78</v>
      </c>
      <c r="T905" s="2" t="s">
        <v>520</v>
      </c>
      <c r="U905" s="3">
        <v>7</v>
      </c>
      <c r="V905" s="3">
        <v>7</v>
      </c>
      <c r="W905" s="4" t="s">
        <v>11044</v>
      </c>
      <c r="X905" s="4" t="s">
        <v>11044</v>
      </c>
      <c r="Y905" s="4" t="s">
        <v>8196</v>
      </c>
      <c r="Z905" s="4" t="s">
        <v>8196</v>
      </c>
      <c r="AA905" s="3">
        <v>212</v>
      </c>
      <c r="AB905" s="3">
        <v>159</v>
      </c>
      <c r="AC905" s="3">
        <v>449</v>
      </c>
      <c r="AD905" s="3">
        <v>1</v>
      </c>
      <c r="AE905" s="3">
        <v>6</v>
      </c>
      <c r="AF905" s="3">
        <v>3</v>
      </c>
      <c r="AG905" s="3">
        <v>11</v>
      </c>
      <c r="AH905" s="3">
        <v>1</v>
      </c>
      <c r="AI905" s="3">
        <v>2</v>
      </c>
      <c r="AJ905" s="3">
        <v>1</v>
      </c>
      <c r="AK905" s="3">
        <v>2</v>
      </c>
      <c r="AL905" s="3">
        <v>2</v>
      </c>
      <c r="AM905" s="3">
        <v>5</v>
      </c>
      <c r="AN905" s="3">
        <v>0</v>
      </c>
      <c r="AO905" s="3">
        <v>3</v>
      </c>
      <c r="AP905" s="3">
        <v>0</v>
      </c>
      <c r="AQ905" s="3">
        <v>0</v>
      </c>
      <c r="AR905" s="2" t="s">
        <v>5</v>
      </c>
      <c r="AS905" s="2" t="s">
        <v>16</v>
      </c>
      <c r="AT905" s="5" t="str">
        <f>HYPERLINK("http://catalog.hathitrust.org/Record/004953841","HathiTrust Record")</f>
        <v>HathiTrust Record</v>
      </c>
      <c r="AU905" s="5" t="str">
        <f>HYPERLINK("https://creighton-primo.hosted.exlibrisgroup.com/primo-explore/search?tab=default_tab&amp;search_scope=EVERYTHING&amp;vid=01CRU&amp;lang=en_US&amp;offset=0&amp;query=any,contains,991001736649702656","Catalog Record")</f>
        <v>Catalog Record</v>
      </c>
      <c r="AV905" s="5" t="str">
        <f>HYPERLINK("http://www.worldcat.org/oclc/56968838","WorldCat Record")</f>
        <v>WorldCat Record</v>
      </c>
      <c r="AW905" s="2" t="s">
        <v>11045</v>
      </c>
      <c r="AX905" s="2" t="s">
        <v>11046</v>
      </c>
      <c r="AY905" s="2" t="s">
        <v>11047</v>
      </c>
      <c r="AZ905" s="2" t="s">
        <v>11047</v>
      </c>
      <c r="BA905" s="2" t="s">
        <v>11048</v>
      </c>
      <c r="BB905" s="2" t="s">
        <v>21</v>
      </c>
      <c r="BD905" s="2" t="s">
        <v>11049</v>
      </c>
      <c r="BE905" s="2" t="s">
        <v>11050</v>
      </c>
      <c r="BF905" s="2" t="s">
        <v>11051</v>
      </c>
    </row>
    <row r="906" spans="1:58" ht="41.25" customHeight="1" x14ac:dyDescent="0.25">
      <c r="A906" s="8" t="s">
        <v>5</v>
      </c>
      <c r="B906" s="1" t="s">
        <v>0</v>
      </c>
      <c r="C906" s="1" t="s">
        <v>1</v>
      </c>
      <c r="D906" s="1" t="s">
        <v>11052</v>
      </c>
      <c r="E906" s="1" t="s">
        <v>11053</v>
      </c>
      <c r="F906" s="1" t="s">
        <v>11054</v>
      </c>
      <c r="H906" s="2" t="s">
        <v>5</v>
      </c>
      <c r="I906" s="2" t="s">
        <v>6</v>
      </c>
      <c r="J906" s="2" t="s">
        <v>5</v>
      </c>
      <c r="K906" s="2" t="s">
        <v>5</v>
      </c>
      <c r="L906" s="2" t="s">
        <v>7</v>
      </c>
      <c r="N906" s="1" t="s">
        <v>7840</v>
      </c>
      <c r="O906" s="2" t="s">
        <v>1102</v>
      </c>
      <c r="P906" s="1" t="s">
        <v>211</v>
      </c>
      <c r="Q906" s="2" t="s">
        <v>11</v>
      </c>
      <c r="R906" s="2" t="s">
        <v>426</v>
      </c>
      <c r="S906" s="1" t="s">
        <v>10605</v>
      </c>
      <c r="T906" s="2" t="s">
        <v>520</v>
      </c>
      <c r="U906" s="3">
        <v>4</v>
      </c>
      <c r="V906" s="3">
        <v>4</v>
      </c>
      <c r="W906" s="4" t="s">
        <v>11055</v>
      </c>
      <c r="X906" s="4" t="s">
        <v>11055</v>
      </c>
      <c r="Y906" s="4" t="s">
        <v>329</v>
      </c>
      <c r="Z906" s="4" t="s">
        <v>329</v>
      </c>
      <c r="AA906" s="3">
        <v>288</v>
      </c>
      <c r="AB906" s="3">
        <v>245</v>
      </c>
      <c r="AC906" s="3">
        <v>268</v>
      </c>
      <c r="AD906" s="3">
        <v>3</v>
      </c>
      <c r="AE906" s="3">
        <v>3</v>
      </c>
      <c r="AF906" s="3">
        <v>3</v>
      </c>
      <c r="AG906" s="3">
        <v>3</v>
      </c>
      <c r="AH906" s="3">
        <v>1</v>
      </c>
      <c r="AI906" s="3">
        <v>1</v>
      </c>
      <c r="AJ906" s="3">
        <v>0</v>
      </c>
      <c r="AK906" s="3">
        <v>0</v>
      </c>
      <c r="AL906" s="3">
        <v>1</v>
      </c>
      <c r="AM906" s="3">
        <v>1</v>
      </c>
      <c r="AN906" s="3">
        <v>1</v>
      </c>
      <c r="AO906" s="3">
        <v>1</v>
      </c>
      <c r="AP906" s="3">
        <v>0</v>
      </c>
      <c r="AQ906" s="3">
        <v>0</v>
      </c>
      <c r="AR906" s="2" t="s">
        <v>5</v>
      </c>
      <c r="AS906" s="2" t="s">
        <v>16</v>
      </c>
      <c r="AT906" s="5" t="str">
        <f>HYPERLINK("http://catalog.hathitrust.org/Record/000434399","HathiTrust Record")</f>
        <v>HathiTrust Record</v>
      </c>
      <c r="AU906" s="5" t="str">
        <f>HYPERLINK("https://creighton-primo.hosted.exlibrisgroup.com/primo-explore/search?tab=default_tab&amp;search_scope=EVERYTHING&amp;vid=01CRU&amp;lang=en_US&amp;offset=0&amp;query=any,contains,991000738099702656","Catalog Record")</f>
        <v>Catalog Record</v>
      </c>
      <c r="AV906" s="5" t="str">
        <f>HYPERLINK("http://www.worldcat.org/oclc/12161068","WorldCat Record")</f>
        <v>WorldCat Record</v>
      </c>
      <c r="AW906" s="2" t="s">
        <v>11056</v>
      </c>
      <c r="AX906" s="2" t="s">
        <v>11057</v>
      </c>
      <c r="AY906" s="2" t="s">
        <v>11058</v>
      </c>
      <c r="AZ906" s="2" t="s">
        <v>11058</v>
      </c>
      <c r="BA906" s="2" t="s">
        <v>11059</v>
      </c>
      <c r="BB906" s="2" t="s">
        <v>21</v>
      </c>
      <c r="BD906" s="2" t="s">
        <v>11060</v>
      </c>
      <c r="BE906" s="2" t="s">
        <v>11061</v>
      </c>
      <c r="BF906" s="2" t="s">
        <v>11062</v>
      </c>
    </row>
    <row r="907" spans="1:58" ht="41.25" customHeight="1" x14ac:dyDescent="0.25">
      <c r="A907" s="8" t="s">
        <v>5</v>
      </c>
      <c r="B907" s="1" t="s">
        <v>0</v>
      </c>
      <c r="C907" s="1" t="s">
        <v>1</v>
      </c>
      <c r="D907" s="1" t="s">
        <v>11063</v>
      </c>
      <c r="E907" s="1" t="s">
        <v>11064</v>
      </c>
      <c r="F907" s="1" t="s">
        <v>11065</v>
      </c>
      <c r="H907" s="2" t="s">
        <v>5</v>
      </c>
      <c r="I907" s="2" t="s">
        <v>6</v>
      </c>
      <c r="J907" s="2" t="s">
        <v>5</v>
      </c>
      <c r="K907" s="2" t="s">
        <v>16</v>
      </c>
      <c r="L907" s="2" t="s">
        <v>7</v>
      </c>
      <c r="M907" s="1" t="s">
        <v>7563</v>
      </c>
      <c r="N907" s="1" t="s">
        <v>11066</v>
      </c>
      <c r="O907" s="2" t="s">
        <v>1046</v>
      </c>
      <c r="P907" s="1" t="s">
        <v>1208</v>
      </c>
      <c r="Q907" s="2" t="s">
        <v>11</v>
      </c>
      <c r="R907" s="2" t="s">
        <v>78</v>
      </c>
      <c r="T907" s="2" t="s">
        <v>520</v>
      </c>
      <c r="U907" s="3">
        <v>0</v>
      </c>
      <c r="V907" s="3">
        <v>0</v>
      </c>
      <c r="W907" s="4" t="s">
        <v>1653</v>
      </c>
      <c r="X907" s="4" t="s">
        <v>1653</v>
      </c>
      <c r="Y907" s="4" t="s">
        <v>1653</v>
      </c>
      <c r="Z907" s="4" t="s">
        <v>1653</v>
      </c>
      <c r="AA907" s="3">
        <v>237</v>
      </c>
      <c r="AB907" s="3">
        <v>188</v>
      </c>
      <c r="AC907" s="3">
        <v>715</v>
      </c>
      <c r="AD907" s="3">
        <v>1</v>
      </c>
      <c r="AE907" s="3">
        <v>4</v>
      </c>
      <c r="AF907" s="3">
        <v>6</v>
      </c>
      <c r="AG907" s="3">
        <v>21</v>
      </c>
      <c r="AH907" s="3">
        <v>1</v>
      </c>
      <c r="AI907" s="3">
        <v>7</v>
      </c>
      <c r="AJ907" s="3">
        <v>0</v>
      </c>
      <c r="AK907" s="3">
        <v>5</v>
      </c>
      <c r="AL907" s="3">
        <v>5</v>
      </c>
      <c r="AM907" s="3">
        <v>8</v>
      </c>
      <c r="AN907" s="3">
        <v>0</v>
      </c>
      <c r="AO907" s="3">
        <v>3</v>
      </c>
      <c r="AP907" s="3">
        <v>0</v>
      </c>
      <c r="AQ907" s="3">
        <v>1</v>
      </c>
      <c r="AR907" s="2" t="s">
        <v>5</v>
      </c>
      <c r="AS907" s="2" t="s">
        <v>5</v>
      </c>
      <c r="AU907" s="5" t="str">
        <f>HYPERLINK("https://creighton-primo.hosted.exlibrisgroup.com/primo-explore/search?tab=default_tab&amp;search_scope=EVERYTHING&amp;vid=01CRU&amp;lang=en_US&amp;offset=0&amp;query=any,contains,991000352429702656","Catalog Record")</f>
        <v>Catalog Record</v>
      </c>
      <c r="AV907" s="5" t="str">
        <f>HYPERLINK("http://www.worldcat.org/oclc/51607869","WorldCat Record")</f>
        <v>WorldCat Record</v>
      </c>
      <c r="AW907" s="2" t="s">
        <v>11067</v>
      </c>
      <c r="AX907" s="2" t="s">
        <v>11068</v>
      </c>
      <c r="AY907" s="2" t="s">
        <v>11069</v>
      </c>
      <c r="AZ907" s="2" t="s">
        <v>11069</v>
      </c>
      <c r="BA907" s="2" t="s">
        <v>11070</v>
      </c>
      <c r="BB907" s="2" t="s">
        <v>21</v>
      </c>
      <c r="BD907" s="2" t="s">
        <v>11071</v>
      </c>
      <c r="BE907" s="2" t="s">
        <v>11072</v>
      </c>
      <c r="BF907" s="2" t="s">
        <v>11073</v>
      </c>
    </row>
    <row r="908" spans="1:58" ht="41.25" customHeight="1" x14ac:dyDescent="0.25">
      <c r="A908" s="8" t="s">
        <v>5</v>
      </c>
      <c r="B908" s="1" t="s">
        <v>0</v>
      </c>
      <c r="C908" s="1" t="s">
        <v>1</v>
      </c>
      <c r="D908" s="1" t="s">
        <v>11074</v>
      </c>
      <c r="E908" s="1" t="s">
        <v>11075</v>
      </c>
      <c r="F908" s="1" t="s">
        <v>11076</v>
      </c>
      <c r="H908" s="2" t="s">
        <v>5</v>
      </c>
      <c r="I908" s="2" t="s">
        <v>6</v>
      </c>
      <c r="J908" s="2" t="s">
        <v>5</v>
      </c>
      <c r="K908" s="2" t="s">
        <v>5</v>
      </c>
      <c r="L908" s="2" t="s">
        <v>7</v>
      </c>
      <c r="M908" s="1" t="s">
        <v>7563</v>
      </c>
      <c r="N908" s="1" t="s">
        <v>6529</v>
      </c>
      <c r="O908" s="2" t="s">
        <v>888</v>
      </c>
      <c r="Q908" s="2" t="s">
        <v>11</v>
      </c>
      <c r="R908" s="2" t="s">
        <v>426</v>
      </c>
      <c r="T908" s="2" t="s">
        <v>520</v>
      </c>
      <c r="U908" s="3">
        <v>81</v>
      </c>
      <c r="V908" s="3">
        <v>81</v>
      </c>
      <c r="W908" s="4" t="s">
        <v>11077</v>
      </c>
      <c r="X908" s="4" t="s">
        <v>11077</v>
      </c>
      <c r="Y908" s="4" t="s">
        <v>11078</v>
      </c>
      <c r="Z908" s="4" t="s">
        <v>11078</v>
      </c>
      <c r="AA908" s="3">
        <v>299</v>
      </c>
      <c r="AB908" s="3">
        <v>252</v>
      </c>
      <c r="AC908" s="3">
        <v>259</v>
      </c>
      <c r="AD908" s="3">
        <v>2</v>
      </c>
      <c r="AE908" s="3">
        <v>2</v>
      </c>
      <c r="AF908" s="3">
        <v>7</v>
      </c>
      <c r="AG908" s="3">
        <v>7</v>
      </c>
      <c r="AH908" s="3">
        <v>4</v>
      </c>
      <c r="AI908" s="3">
        <v>4</v>
      </c>
      <c r="AJ908" s="3">
        <v>1</v>
      </c>
      <c r="AK908" s="3">
        <v>1</v>
      </c>
      <c r="AL908" s="3">
        <v>3</v>
      </c>
      <c r="AM908" s="3">
        <v>3</v>
      </c>
      <c r="AN908" s="3">
        <v>1</v>
      </c>
      <c r="AO908" s="3">
        <v>1</v>
      </c>
      <c r="AP908" s="3">
        <v>0</v>
      </c>
      <c r="AQ908" s="3">
        <v>0</v>
      </c>
      <c r="AR908" s="2" t="s">
        <v>5</v>
      </c>
      <c r="AS908" s="2" t="s">
        <v>16</v>
      </c>
      <c r="AT908" s="5" t="str">
        <f>HYPERLINK("http://catalog.hathitrust.org/Record/000781700","HathiTrust Record")</f>
        <v>HathiTrust Record</v>
      </c>
      <c r="AU908" s="5" t="str">
        <f>HYPERLINK("https://creighton-primo.hosted.exlibrisgroup.com/primo-explore/search?tab=default_tab&amp;search_scope=EVERYTHING&amp;vid=01CRU&amp;lang=en_US&amp;offset=0&amp;query=any,contains,991000738009702656","Catalog Record")</f>
        <v>Catalog Record</v>
      </c>
      <c r="AV908" s="5" t="str">
        <f>HYPERLINK("http://www.worldcat.org/oclc/10207898","WorldCat Record")</f>
        <v>WorldCat Record</v>
      </c>
      <c r="AW908" s="2" t="s">
        <v>11079</v>
      </c>
      <c r="AX908" s="2" t="s">
        <v>11080</v>
      </c>
      <c r="AY908" s="2" t="s">
        <v>11081</v>
      </c>
      <c r="AZ908" s="2" t="s">
        <v>11081</v>
      </c>
      <c r="BA908" s="2" t="s">
        <v>11082</v>
      </c>
      <c r="BB908" s="2" t="s">
        <v>21</v>
      </c>
      <c r="BD908" s="2" t="s">
        <v>11083</v>
      </c>
      <c r="BE908" s="2" t="s">
        <v>11084</v>
      </c>
      <c r="BF908" s="2" t="s">
        <v>11085</v>
      </c>
    </row>
    <row r="909" spans="1:58" ht="41.25" customHeight="1" x14ac:dyDescent="0.25">
      <c r="A909" s="8" t="s">
        <v>5</v>
      </c>
      <c r="B909" s="1" t="s">
        <v>0</v>
      </c>
      <c r="C909" s="1" t="s">
        <v>1</v>
      </c>
      <c r="D909" s="1" t="s">
        <v>11086</v>
      </c>
      <c r="E909" s="1" t="s">
        <v>11087</v>
      </c>
      <c r="F909" s="1" t="s">
        <v>11088</v>
      </c>
      <c r="H909" s="2" t="s">
        <v>5</v>
      </c>
      <c r="I909" s="2" t="s">
        <v>6</v>
      </c>
      <c r="J909" s="2" t="s">
        <v>5</v>
      </c>
      <c r="K909" s="2" t="s">
        <v>16</v>
      </c>
      <c r="L909" s="2" t="s">
        <v>7</v>
      </c>
      <c r="M909" s="1" t="s">
        <v>11089</v>
      </c>
      <c r="N909" s="1" t="s">
        <v>11090</v>
      </c>
      <c r="O909" s="2" t="s">
        <v>1004</v>
      </c>
      <c r="P909" s="1" t="s">
        <v>211</v>
      </c>
      <c r="Q909" s="2" t="s">
        <v>11</v>
      </c>
      <c r="R909" s="2" t="s">
        <v>31</v>
      </c>
      <c r="T909" s="2" t="s">
        <v>520</v>
      </c>
      <c r="U909" s="3">
        <v>12</v>
      </c>
      <c r="V909" s="3">
        <v>12</v>
      </c>
      <c r="W909" s="4" t="s">
        <v>2690</v>
      </c>
      <c r="X909" s="4" t="s">
        <v>2690</v>
      </c>
      <c r="Y909" s="4" t="s">
        <v>8809</v>
      </c>
      <c r="Z909" s="4" t="s">
        <v>8809</v>
      </c>
      <c r="AA909" s="3">
        <v>35</v>
      </c>
      <c r="AB909" s="3">
        <v>24</v>
      </c>
      <c r="AC909" s="3">
        <v>721</v>
      </c>
      <c r="AD909" s="3">
        <v>1</v>
      </c>
      <c r="AE909" s="3">
        <v>5</v>
      </c>
      <c r="AF909" s="3">
        <v>1</v>
      </c>
      <c r="AG909" s="3">
        <v>19</v>
      </c>
      <c r="AH909" s="3">
        <v>0</v>
      </c>
      <c r="AI909" s="3">
        <v>6</v>
      </c>
      <c r="AJ909" s="3">
        <v>0</v>
      </c>
      <c r="AK909" s="3">
        <v>3</v>
      </c>
      <c r="AL909" s="3">
        <v>1</v>
      </c>
      <c r="AM909" s="3">
        <v>10</v>
      </c>
      <c r="AN909" s="3">
        <v>0</v>
      </c>
      <c r="AO909" s="3">
        <v>3</v>
      </c>
      <c r="AP909" s="3">
        <v>0</v>
      </c>
      <c r="AQ909" s="3">
        <v>0</v>
      </c>
      <c r="AR909" s="2" t="s">
        <v>5</v>
      </c>
      <c r="AS909" s="2" t="s">
        <v>5</v>
      </c>
      <c r="AU909" s="5" t="str">
        <f>HYPERLINK("https://creighton-primo.hosted.exlibrisgroup.com/primo-explore/search?tab=default_tab&amp;search_scope=EVERYTHING&amp;vid=01CRU&amp;lang=en_US&amp;offset=0&amp;query=any,contains,991001565249702656","Catalog Record")</f>
        <v>Catalog Record</v>
      </c>
      <c r="AV909" s="5" t="str">
        <f>HYPERLINK("http://www.worldcat.org/oclc/222740507","WorldCat Record")</f>
        <v>WorldCat Record</v>
      </c>
      <c r="AW909" s="2" t="s">
        <v>11091</v>
      </c>
      <c r="AX909" s="2" t="s">
        <v>11092</v>
      </c>
      <c r="AY909" s="2" t="s">
        <v>11093</v>
      </c>
      <c r="AZ909" s="2" t="s">
        <v>11093</v>
      </c>
      <c r="BA909" s="2" t="s">
        <v>11094</v>
      </c>
      <c r="BB909" s="2" t="s">
        <v>21</v>
      </c>
      <c r="BD909" s="2" t="s">
        <v>11095</v>
      </c>
      <c r="BE909" s="2" t="s">
        <v>11096</v>
      </c>
      <c r="BF909" s="2" t="s">
        <v>11097</v>
      </c>
    </row>
    <row r="910" spans="1:58" ht="41.25" customHeight="1" x14ac:dyDescent="0.25">
      <c r="A910" s="8" t="s">
        <v>5</v>
      </c>
      <c r="B910" s="1" t="s">
        <v>0</v>
      </c>
      <c r="C910" s="1" t="s">
        <v>1</v>
      </c>
      <c r="D910" s="1" t="s">
        <v>11098</v>
      </c>
      <c r="E910" s="1" t="s">
        <v>11099</v>
      </c>
      <c r="F910" s="1" t="s">
        <v>11100</v>
      </c>
      <c r="H910" s="2" t="s">
        <v>5</v>
      </c>
      <c r="I910" s="2" t="s">
        <v>6</v>
      </c>
      <c r="J910" s="2" t="s">
        <v>5</v>
      </c>
      <c r="K910" s="2" t="s">
        <v>5</v>
      </c>
      <c r="L910" s="2" t="s">
        <v>7</v>
      </c>
      <c r="N910" s="1" t="s">
        <v>1808</v>
      </c>
      <c r="O910" s="2" t="s">
        <v>939</v>
      </c>
      <c r="Q910" s="2" t="s">
        <v>11</v>
      </c>
      <c r="R910" s="2" t="s">
        <v>12</v>
      </c>
      <c r="S910" s="1" t="s">
        <v>11101</v>
      </c>
      <c r="T910" s="2" t="s">
        <v>520</v>
      </c>
      <c r="U910" s="3">
        <v>7</v>
      </c>
      <c r="V910" s="3">
        <v>7</v>
      </c>
      <c r="W910" s="4" t="s">
        <v>11102</v>
      </c>
      <c r="X910" s="4" t="s">
        <v>11102</v>
      </c>
      <c r="Y910" s="4" t="s">
        <v>1639</v>
      </c>
      <c r="Z910" s="4" t="s">
        <v>1639</v>
      </c>
      <c r="AA910" s="3">
        <v>249</v>
      </c>
      <c r="AB910" s="3">
        <v>221</v>
      </c>
      <c r="AC910" s="3">
        <v>228</v>
      </c>
      <c r="AD910" s="3">
        <v>4</v>
      </c>
      <c r="AE910" s="3">
        <v>4</v>
      </c>
      <c r="AF910" s="3">
        <v>12</v>
      </c>
      <c r="AG910" s="3">
        <v>12</v>
      </c>
      <c r="AH910" s="3">
        <v>3</v>
      </c>
      <c r="AI910" s="3">
        <v>3</v>
      </c>
      <c r="AJ910" s="3">
        <v>3</v>
      </c>
      <c r="AK910" s="3">
        <v>3</v>
      </c>
      <c r="AL910" s="3">
        <v>5</v>
      </c>
      <c r="AM910" s="3">
        <v>5</v>
      </c>
      <c r="AN910" s="3">
        <v>2</v>
      </c>
      <c r="AO910" s="3">
        <v>2</v>
      </c>
      <c r="AP910" s="3">
        <v>0</v>
      </c>
      <c r="AQ910" s="3">
        <v>0</v>
      </c>
      <c r="AR910" s="2" t="s">
        <v>5</v>
      </c>
      <c r="AS910" s="2" t="s">
        <v>16</v>
      </c>
      <c r="AT910" s="5" t="str">
        <f>HYPERLINK("http://catalog.hathitrust.org/Record/002508310","HathiTrust Record")</f>
        <v>HathiTrust Record</v>
      </c>
      <c r="AU910" s="5" t="str">
        <f>HYPERLINK("https://creighton-primo.hosted.exlibrisgroup.com/primo-explore/search?tab=default_tab&amp;search_scope=EVERYTHING&amp;vid=01CRU&amp;lang=en_US&amp;offset=0&amp;query=any,contains,991001540309702656","Catalog Record")</f>
        <v>Catalog Record</v>
      </c>
      <c r="AV910" s="5" t="str">
        <f>HYPERLINK("http://www.worldcat.org/oclc/17285099","WorldCat Record")</f>
        <v>WorldCat Record</v>
      </c>
      <c r="AW910" s="2" t="s">
        <v>11103</v>
      </c>
      <c r="AX910" s="2" t="s">
        <v>11104</v>
      </c>
      <c r="AY910" s="2" t="s">
        <v>11105</v>
      </c>
      <c r="AZ910" s="2" t="s">
        <v>11105</v>
      </c>
      <c r="BA910" s="2" t="s">
        <v>11106</v>
      </c>
      <c r="BB910" s="2" t="s">
        <v>21</v>
      </c>
      <c r="BD910" s="2" t="s">
        <v>11107</v>
      </c>
      <c r="BE910" s="2" t="s">
        <v>11108</v>
      </c>
      <c r="BF910" s="2" t="s">
        <v>11109</v>
      </c>
    </row>
    <row r="911" spans="1:58" ht="41.25" customHeight="1" x14ac:dyDescent="0.25">
      <c r="A911" s="8" t="s">
        <v>5</v>
      </c>
      <c r="B911" s="1" t="s">
        <v>0</v>
      </c>
      <c r="C911" s="1" t="s">
        <v>1</v>
      </c>
      <c r="D911" s="1" t="s">
        <v>11110</v>
      </c>
      <c r="E911" s="1" t="s">
        <v>11111</v>
      </c>
      <c r="F911" s="1" t="s">
        <v>11112</v>
      </c>
      <c r="H911" s="2" t="s">
        <v>5</v>
      </c>
      <c r="I911" s="2" t="s">
        <v>6</v>
      </c>
      <c r="J911" s="2" t="s">
        <v>5</v>
      </c>
      <c r="K911" s="2" t="s">
        <v>5</v>
      </c>
      <c r="L911" s="2" t="s">
        <v>7</v>
      </c>
      <c r="N911" s="1" t="s">
        <v>11113</v>
      </c>
      <c r="O911" s="2" t="s">
        <v>1339</v>
      </c>
      <c r="Q911" s="2" t="s">
        <v>11</v>
      </c>
      <c r="R911" s="2" t="s">
        <v>426</v>
      </c>
      <c r="S911" s="1" t="s">
        <v>11114</v>
      </c>
      <c r="T911" s="2" t="s">
        <v>520</v>
      </c>
      <c r="U911" s="3">
        <v>10</v>
      </c>
      <c r="V911" s="3">
        <v>10</v>
      </c>
      <c r="W911" s="4" t="s">
        <v>11115</v>
      </c>
      <c r="X911" s="4" t="s">
        <v>11115</v>
      </c>
      <c r="Y911" s="4" t="s">
        <v>11116</v>
      </c>
      <c r="Z911" s="4" t="s">
        <v>11116</v>
      </c>
      <c r="AA911" s="3">
        <v>269</v>
      </c>
      <c r="AB911" s="3">
        <v>197</v>
      </c>
      <c r="AC911" s="3">
        <v>199</v>
      </c>
      <c r="AD911" s="3">
        <v>1</v>
      </c>
      <c r="AE911" s="3">
        <v>1</v>
      </c>
      <c r="AF911" s="3">
        <v>6</v>
      </c>
      <c r="AG911" s="3">
        <v>6</v>
      </c>
      <c r="AH911" s="3">
        <v>2</v>
      </c>
      <c r="AI911" s="3">
        <v>2</v>
      </c>
      <c r="AJ911" s="3">
        <v>0</v>
      </c>
      <c r="AK911" s="3">
        <v>0</v>
      </c>
      <c r="AL911" s="3">
        <v>4</v>
      </c>
      <c r="AM911" s="3">
        <v>4</v>
      </c>
      <c r="AN911" s="3">
        <v>0</v>
      </c>
      <c r="AO911" s="3">
        <v>0</v>
      </c>
      <c r="AP911" s="3">
        <v>0</v>
      </c>
      <c r="AQ911" s="3">
        <v>0</v>
      </c>
      <c r="AR911" s="2" t="s">
        <v>5</v>
      </c>
      <c r="AS911" s="2" t="s">
        <v>16</v>
      </c>
      <c r="AT911" s="5" t="str">
        <f>HYPERLINK("http://catalog.hathitrust.org/Record/004410370","HathiTrust Record")</f>
        <v>HathiTrust Record</v>
      </c>
      <c r="AU911" s="5" t="str">
        <f>HYPERLINK("https://creighton-primo.hosted.exlibrisgroup.com/primo-explore/search?tab=default_tab&amp;search_scope=EVERYTHING&amp;vid=01CRU&amp;lang=en_US&amp;offset=0&amp;query=any,contains,991001535449702656","Catalog Record")</f>
        <v>Catalog Record</v>
      </c>
      <c r="AV911" s="5" t="str">
        <f>HYPERLINK("http://www.worldcat.org/oclc/16005787","WorldCat Record")</f>
        <v>WorldCat Record</v>
      </c>
      <c r="AW911" s="2" t="s">
        <v>11117</v>
      </c>
      <c r="AX911" s="2" t="s">
        <v>11118</v>
      </c>
      <c r="AY911" s="2" t="s">
        <v>11119</v>
      </c>
      <c r="AZ911" s="2" t="s">
        <v>11119</v>
      </c>
      <c r="BA911" s="2" t="s">
        <v>11120</v>
      </c>
      <c r="BB911" s="2" t="s">
        <v>21</v>
      </c>
      <c r="BD911" s="2" t="s">
        <v>11121</v>
      </c>
      <c r="BE911" s="2" t="s">
        <v>11122</v>
      </c>
      <c r="BF911" s="2" t="s">
        <v>11123</v>
      </c>
    </row>
    <row r="912" spans="1:58" ht="41.25" customHeight="1" x14ac:dyDescent="0.25">
      <c r="A912" s="8" t="s">
        <v>5</v>
      </c>
      <c r="B912" s="1" t="s">
        <v>0</v>
      </c>
      <c r="C912" s="1" t="s">
        <v>1</v>
      </c>
      <c r="D912" s="1" t="s">
        <v>11124</v>
      </c>
      <c r="E912" s="1" t="s">
        <v>11125</v>
      </c>
      <c r="F912" s="1" t="s">
        <v>11126</v>
      </c>
      <c r="H912" s="2" t="s">
        <v>5</v>
      </c>
      <c r="I912" s="2" t="s">
        <v>6</v>
      </c>
      <c r="J912" s="2" t="s">
        <v>5</v>
      </c>
      <c r="K912" s="2" t="s">
        <v>5</v>
      </c>
      <c r="L912" s="2" t="s">
        <v>7</v>
      </c>
      <c r="N912" s="1" t="s">
        <v>7333</v>
      </c>
      <c r="O912" s="2" t="s">
        <v>734</v>
      </c>
      <c r="Q912" s="2" t="s">
        <v>11</v>
      </c>
      <c r="R912" s="2" t="s">
        <v>426</v>
      </c>
      <c r="S912" s="1" t="s">
        <v>3264</v>
      </c>
      <c r="T912" s="2" t="s">
        <v>520</v>
      </c>
      <c r="U912" s="3">
        <v>7</v>
      </c>
      <c r="V912" s="3">
        <v>7</v>
      </c>
      <c r="W912" s="4" t="s">
        <v>547</v>
      </c>
      <c r="X912" s="4" t="s">
        <v>547</v>
      </c>
      <c r="Y912" s="4" t="s">
        <v>329</v>
      </c>
      <c r="Z912" s="4" t="s">
        <v>329</v>
      </c>
      <c r="AA912" s="3">
        <v>214</v>
      </c>
      <c r="AB912" s="3">
        <v>170</v>
      </c>
      <c r="AC912" s="3">
        <v>172</v>
      </c>
      <c r="AD912" s="3">
        <v>4</v>
      </c>
      <c r="AE912" s="3">
        <v>4</v>
      </c>
      <c r="AF912" s="3">
        <v>6</v>
      </c>
      <c r="AG912" s="3">
        <v>6</v>
      </c>
      <c r="AH912" s="3">
        <v>1</v>
      </c>
      <c r="AI912" s="3">
        <v>1</v>
      </c>
      <c r="AJ912" s="3">
        <v>0</v>
      </c>
      <c r="AK912" s="3">
        <v>0</v>
      </c>
      <c r="AL912" s="3">
        <v>4</v>
      </c>
      <c r="AM912" s="3">
        <v>4</v>
      </c>
      <c r="AN912" s="3">
        <v>1</v>
      </c>
      <c r="AO912" s="3">
        <v>1</v>
      </c>
      <c r="AP912" s="3">
        <v>0</v>
      </c>
      <c r="AQ912" s="3">
        <v>0</v>
      </c>
      <c r="AR912" s="2" t="s">
        <v>5</v>
      </c>
      <c r="AS912" s="2" t="s">
        <v>16</v>
      </c>
      <c r="AT912" s="5" t="str">
        <f>HYPERLINK("http://catalog.hathitrust.org/Record/000202295","HathiTrust Record")</f>
        <v>HathiTrust Record</v>
      </c>
      <c r="AU912" s="5" t="str">
        <f>HYPERLINK("https://creighton-primo.hosted.exlibrisgroup.com/primo-explore/search?tab=default_tab&amp;search_scope=EVERYTHING&amp;vid=01CRU&amp;lang=en_US&amp;offset=0&amp;query=any,contains,991000737869702656","Catalog Record")</f>
        <v>Catalog Record</v>
      </c>
      <c r="AV912" s="5" t="str">
        <f>HYPERLINK("http://www.worldcat.org/oclc/8763246","WorldCat Record")</f>
        <v>WorldCat Record</v>
      </c>
      <c r="AW912" s="2" t="s">
        <v>11127</v>
      </c>
      <c r="AX912" s="2" t="s">
        <v>11128</v>
      </c>
      <c r="AY912" s="2" t="s">
        <v>11129</v>
      </c>
      <c r="AZ912" s="2" t="s">
        <v>11129</v>
      </c>
      <c r="BA912" s="2" t="s">
        <v>11130</v>
      </c>
      <c r="BB912" s="2" t="s">
        <v>21</v>
      </c>
      <c r="BD912" s="2" t="s">
        <v>11131</v>
      </c>
      <c r="BE912" s="2" t="s">
        <v>11132</v>
      </c>
      <c r="BF912" s="2" t="s">
        <v>11133</v>
      </c>
    </row>
    <row r="913" spans="1:58" ht="41.25" customHeight="1" x14ac:dyDescent="0.25">
      <c r="A913" s="8" t="s">
        <v>5</v>
      </c>
      <c r="B913" s="1" t="s">
        <v>0</v>
      </c>
      <c r="C913" s="1" t="s">
        <v>1</v>
      </c>
      <c r="D913" s="1" t="s">
        <v>11134</v>
      </c>
      <c r="E913" s="1" t="s">
        <v>11135</v>
      </c>
      <c r="F913" s="1" t="s">
        <v>11136</v>
      </c>
      <c r="H913" s="2" t="s">
        <v>5</v>
      </c>
      <c r="I913" s="2" t="s">
        <v>6</v>
      </c>
      <c r="J913" s="2" t="s">
        <v>5</v>
      </c>
      <c r="K913" s="2" t="s">
        <v>5</v>
      </c>
      <c r="L913" s="2" t="s">
        <v>7</v>
      </c>
      <c r="N913" s="1" t="s">
        <v>7564</v>
      </c>
      <c r="O913" s="2" t="s">
        <v>136</v>
      </c>
      <c r="Q913" s="2" t="s">
        <v>11</v>
      </c>
      <c r="R913" s="2" t="s">
        <v>78</v>
      </c>
      <c r="T913" s="2" t="s">
        <v>520</v>
      </c>
      <c r="U913" s="3">
        <v>2</v>
      </c>
      <c r="V913" s="3">
        <v>2</v>
      </c>
      <c r="W913" s="4" t="s">
        <v>2201</v>
      </c>
      <c r="X913" s="4" t="s">
        <v>2201</v>
      </c>
      <c r="Y913" s="4" t="s">
        <v>2201</v>
      </c>
      <c r="Z913" s="4" t="s">
        <v>2201</v>
      </c>
      <c r="AA913" s="3">
        <v>318</v>
      </c>
      <c r="AB913" s="3">
        <v>246</v>
      </c>
      <c r="AC913" s="3">
        <v>258</v>
      </c>
      <c r="AD913" s="3">
        <v>2</v>
      </c>
      <c r="AE913" s="3">
        <v>2</v>
      </c>
      <c r="AF913" s="3">
        <v>12</v>
      </c>
      <c r="AG913" s="3">
        <v>12</v>
      </c>
      <c r="AH913" s="3">
        <v>6</v>
      </c>
      <c r="AI913" s="3">
        <v>6</v>
      </c>
      <c r="AJ913" s="3">
        <v>1</v>
      </c>
      <c r="AK913" s="3">
        <v>1</v>
      </c>
      <c r="AL913" s="3">
        <v>9</v>
      </c>
      <c r="AM913" s="3">
        <v>9</v>
      </c>
      <c r="AN913" s="3">
        <v>0</v>
      </c>
      <c r="AO913" s="3">
        <v>0</v>
      </c>
      <c r="AP913" s="3">
        <v>0</v>
      </c>
      <c r="AQ913" s="3">
        <v>0</v>
      </c>
      <c r="AR913" s="2" t="s">
        <v>5</v>
      </c>
      <c r="AS913" s="2" t="s">
        <v>16</v>
      </c>
      <c r="AT913" s="5" t="str">
        <f>HYPERLINK("http://catalog.hathitrust.org/Record/002456940","HathiTrust Record")</f>
        <v>HathiTrust Record</v>
      </c>
      <c r="AU913" s="5" t="str">
        <f>HYPERLINK("https://creighton-primo.hosted.exlibrisgroup.com/primo-explore/search?tab=default_tab&amp;search_scope=EVERYTHING&amp;vid=01CRU&amp;lang=en_US&amp;offset=0&amp;query=any,contains,991000933899702656","Catalog Record")</f>
        <v>Catalog Record</v>
      </c>
      <c r="AV913" s="5" t="str">
        <f>HYPERLINK("http://www.worldcat.org/oclc/22813929","WorldCat Record")</f>
        <v>WorldCat Record</v>
      </c>
      <c r="AW913" s="2" t="s">
        <v>11137</v>
      </c>
      <c r="AX913" s="2" t="s">
        <v>11138</v>
      </c>
      <c r="AY913" s="2" t="s">
        <v>11139</v>
      </c>
      <c r="AZ913" s="2" t="s">
        <v>11139</v>
      </c>
      <c r="BA913" s="2" t="s">
        <v>11140</v>
      </c>
      <c r="BB913" s="2" t="s">
        <v>21</v>
      </c>
      <c r="BD913" s="2" t="s">
        <v>11141</v>
      </c>
      <c r="BE913" s="2" t="s">
        <v>11142</v>
      </c>
      <c r="BF913" s="2" t="s">
        <v>11143</v>
      </c>
    </row>
    <row r="914" spans="1:58" ht="41.25" customHeight="1" x14ac:dyDescent="0.25">
      <c r="A914" s="8" t="s">
        <v>5</v>
      </c>
      <c r="B914" s="1" t="s">
        <v>0</v>
      </c>
      <c r="C914" s="1" t="s">
        <v>1</v>
      </c>
      <c r="D914" s="1" t="s">
        <v>11144</v>
      </c>
      <c r="E914" s="1" t="s">
        <v>11145</v>
      </c>
      <c r="F914" s="1" t="s">
        <v>11146</v>
      </c>
      <c r="H914" s="2" t="s">
        <v>5</v>
      </c>
      <c r="I914" s="2" t="s">
        <v>6</v>
      </c>
      <c r="J914" s="2" t="s">
        <v>5</v>
      </c>
      <c r="K914" s="2" t="s">
        <v>16</v>
      </c>
      <c r="L914" s="2" t="s">
        <v>7</v>
      </c>
      <c r="M914" s="1" t="s">
        <v>11147</v>
      </c>
      <c r="N914" s="1" t="s">
        <v>11148</v>
      </c>
      <c r="O914" s="2" t="s">
        <v>888</v>
      </c>
      <c r="Q914" s="2" t="s">
        <v>11</v>
      </c>
      <c r="R914" s="2" t="s">
        <v>426</v>
      </c>
      <c r="T914" s="2" t="s">
        <v>520</v>
      </c>
      <c r="U914" s="3">
        <v>18</v>
      </c>
      <c r="V914" s="3">
        <v>18</v>
      </c>
      <c r="W914" s="4" t="s">
        <v>11149</v>
      </c>
      <c r="X914" s="4" t="s">
        <v>11149</v>
      </c>
      <c r="Y914" s="4" t="s">
        <v>329</v>
      </c>
      <c r="Z914" s="4" t="s">
        <v>329</v>
      </c>
      <c r="AA914" s="3">
        <v>300</v>
      </c>
      <c r="AB914" s="3">
        <v>235</v>
      </c>
      <c r="AC914" s="3">
        <v>566</v>
      </c>
      <c r="AD914" s="3">
        <v>2</v>
      </c>
      <c r="AE914" s="3">
        <v>4</v>
      </c>
      <c r="AF914" s="3">
        <v>8</v>
      </c>
      <c r="AG914" s="3">
        <v>26</v>
      </c>
      <c r="AH914" s="3">
        <v>3</v>
      </c>
      <c r="AI914" s="3">
        <v>10</v>
      </c>
      <c r="AJ914" s="3">
        <v>2</v>
      </c>
      <c r="AK914" s="3">
        <v>6</v>
      </c>
      <c r="AL914" s="3">
        <v>3</v>
      </c>
      <c r="AM914" s="3">
        <v>13</v>
      </c>
      <c r="AN914" s="3">
        <v>1</v>
      </c>
      <c r="AO914" s="3">
        <v>2</v>
      </c>
      <c r="AP914" s="3">
        <v>0</v>
      </c>
      <c r="AQ914" s="3">
        <v>0</v>
      </c>
      <c r="AR914" s="2" t="s">
        <v>5</v>
      </c>
      <c r="AS914" s="2" t="s">
        <v>16</v>
      </c>
      <c r="AT914" s="5" t="str">
        <f>HYPERLINK("http://catalog.hathitrust.org/Record/000245711","HathiTrust Record")</f>
        <v>HathiTrust Record</v>
      </c>
      <c r="AU914" s="5" t="str">
        <f>HYPERLINK("https://creighton-primo.hosted.exlibrisgroup.com/primo-explore/search?tab=default_tab&amp;search_scope=EVERYTHING&amp;vid=01CRU&amp;lang=en_US&amp;offset=0&amp;query=any,contains,991000737919702656","Catalog Record")</f>
        <v>Catalog Record</v>
      </c>
      <c r="AV914" s="5" t="str">
        <f>HYPERLINK("http://www.worldcat.org/oclc/9394631","WorldCat Record")</f>
        <v>WorldCat Record</v>
      </c>
      <c r="AW914" s="2" t="s">
        <v>11150</v>
      </c>
      <c r="AX914" s="2" t="s">
        <v>11151</v>
      </c>
      <c r="AY914" s="2" t="s">
        <v>11152</v>
      </c>
      <c r="AZ914" s="2" t="s">
        <v>11152</v>
      </c>
      <c r="BA914" s="2" t="s">
        <v>11153</v>
      </c>
      <c r="BB914" s="2" t="s">
        <v>21</v>
      </c>
      <c r="BD914" s="2" t="s">
        <v>11154</v>
      </c>
      <c r="BE914" s="2" t="s">
        <v>11155</v>
      </c>
      <c r="BF914" s="2" t="s">
        <v>11156</v>
      </c>
    </row>
    <row r="915" spans="1:58" ht="41.25" customHeight="1" x14ac:dyDescent="0.25">
      <c r="A915" s="8" t="s">
        <v>5</v>
      </c>
      <c r="B915" s="1" t="s">
        <v>0</v>
      </c>
      <c r="C915" s="1" t="s">
        <v>1</v>
      </c>
      <c r="D915" s="1" t="s">
        <v>11157</v>
      </c>
      <c r="E915" s="1" t="s">
        <v>11158</v>
      </c>
      <c r="F915" s="1" t="s">
        <v>11146</v>
      </c>
      <c r="H915" s="2" t="s">
        <v>5</v>
      </c>
      <c r="I915" s="2" t="s">
        <v>6</v>
      </c>
      <c r="J915" s="2" t="s">
        <v>5</v>
      </c>
      <c r="K915" s="2" t="s">
        <v>16</v>
      </c>
      <c r="L915" s="2" t="s">
        <v>7</v>
      </c>
      <c r="M915" s="1" t="s">
        <v>11147</v>
      </c>
      <c r="N915" s="1" t="s">
        <v>11159</v>
      </c>
      <c r="O915" s="2" t="s">
        <v>601</v>
      </c>
      <c r="P915" s="1" t="s">
        <v>901</v>
      </c>
      <c r="Q915" s="2" t="s">
        <v>11</v>
      </c>
      <c r="R915" s="2" t="s">
        <v>78</v>
      </c>
      <c r="T915" s="2" t="s">
        <v>520</v>
      </c>
      <c r="U915" s="3">
        <v>59</v>
      </c>
      <c r="V915" s="3">
        <v>59</v>
      </c>
      <c r="W915" s="4" t="s">
        <v>6005</v>
      </c>
      <c r="X915" s="4" t="s">
        <v>6005</v>
      </c>
      <c r="Y915" s="4" t="s">
        <v>11160</v>
      </c>
      <c r="Z915" s="4" t="s">
        <v>11160</v>
      </c>
      <c r="AA915" s="3">
        <v>448</v>
      </c>
      <c r="AB915" s="3">
        <v>315</v>
      </c>
      <c r="AC915" s="3">
        <v>566</v>
      </c>
      <c r="AD915" s="3">
        <v>3</v>
      </c>
      <c r="AE915" s="3">
        <v>4</v>
      </c>
      <c r="AF915" s="3">
        <v>16</v>
      </c>
      <c r="AG915" s="3">
        <v>26</v>
      </c>
      <c r="AH915" s="3">
        <v>6</v>
      </c>
      <c r="AI915" s="3">
        <v>10</v>
      </c>
      <c r="AJ915" s="3">
        <v>3</v>
      </c>
      <c r="AK915" s="3">
        <v>6</v>
      </c>
      <c r="AL915" s="3">
        <v>10</v>
      </c>
      <c r="AM915" s="3">
        <v>13</v>
      </c>
      <c r="AN915" s="3">
        <v>1</v>
      </c>
      <c r="AO915" s="3">
        <v>2</v>
      </c>
      <c r="AP915" s="3">
        <v>0</v>
      </c>
      <c r="AQ915" s="3">
        <v>0</v>
      </c>
      <c r="AR915" s="2" t="s">
        <v>5</v>
      </c>
      <c r="AS915" s="2" t="s">
        <v>16</v>
      </c>
      <c r="AT915" s="5" t="str">
        <f>HYPERLINK("http://catalog.hathitrust.org/Record/002873327","HathiTrust Record")</f>
        <v>HathiTrust Record</v>
      </c>
      <c r="AU915" s="5" t="str">
        <f>HYPERLINK("https://creighton-primo.hosted.exlibrisgroup.com/primo-explore/search?tab=default_tab&amp;search_scope=EVERYTHING&amp;vid=01CRU&amp;lang=en_US&amp;offset=0&amp;query=any,contains,991001491309702656","Catalog Record")</f>
        <v>Catalog Record</v>
      </c>
      <c r="AV915" s="5" t="str">
        <f>HYPERLINK("http://www.worldcat.org/oclc/30071382","WorldCat Record")</f>
        <v>WorldCat Record</v>
      </c>
      <c r="AW915" s="2" t="s">
        <v>11150</v>
      </c>
      <c r="AX915" s="2" t="s">
        <v>11161</v>
      </c>
      <c r="AY915" s="2" t="s">
        <v>11162</v>
      </c>
      <c r="AZ915" s="2" t="s">
        <v>11162</v>
      </c>
      <c r="BA915" s="2" t="s">
        <v>11163</v>
      </c>
      <c r="BB915" s="2" t="s">
        <v>21</v>
      </c>
      <c r="BD915" s="2" t="s">
        <v>11164</v>
      </c>
      <c r="BE915" s="2" t="s">
        <v>11165</v>
      </c>
      <c r="BF915" s="2" t="s">
        <v>11166</v>
      </c>
    </row>
    <row r="916" spans="1:58" ht="41.25" customHeight="1" x14ac:dyDescent="0.25">
      <c r="A916" s="8" t="s">
        <v>5</v>
      </c>
      <c r="B916" s="1" t="s">
        <v>0</v>
      </c>
      <c r="C916" s="1" t="s">
        <v>1</v>
      </c>
      <c r="D916" s="1" t="s">
        <v>11167</v>
      </c>
      <c r="E916" s="1" t="s">
        <v>11168</v>
      </c>
      <c r="F916" s="1" t="s">
        <v>11169</v>
      </c>
      <c r="H916" s="2" t="s">
        <v>5</v>
      </c>
      <c r="I916" s="2" t="s">
        <v>6</v>
      </c>
      <c r="J916" s="2" t="s">
        <v>5</v>
      </c>
      <c r="K916" s="2" t="s">
        <v>5</v>
      </c>
      <c r="L916" s="2" t="s">
        <v>7</v>
      </c>
      <c r="M916" s="1" t="s">
        <v>11147</v>
      </c>
      <c r="N916" s="1" t="s">
        <v>11170</v>
      </c>
      <c r="O916" s="2" t="s">
        <v>1887</v>
      </c>
      <c r="Q916" s="2" t="s">
        <v>11</v>
      </c>
      <c r="R916" s="2" t="s">
        <v>78</v>
      </c>
      <c r="T916" s="2" t="s">
        <v>520</v>
      </c>
      <c r="U916" s="3">
        <v>44</v>
      </c>
      <c r="V916" s="3">
        <v>44</v>
      </c>
      <c r="W916" s="4" t="s">
        <v>11171</v>
      </c>
      <c r="X916" s="4" t="s">
        <v>11171</v>
      </c>
      <c r="Y916" s="4" t="s">
        <v>11172</v>
      </c>
      <c r="Z916" s="4" t="s">
        <v>11172</v>
      </c>
      <c r="AA916" s="3">
        <v>443</v>
      </c>
      <c r="AB916" s="3">
        <v>337</v>
      </c>
      <c r="AC916" s="3">
        <v>339</v>
      </c>
      <c r="AD916" s="3">
        <v>4</v>
      </c>
      <c r="AE916" s="3">
        <v>4</v>
      </c>
      <c r="AF916" s="3">
        <v>16</v>
      </c>
      <c r="AG916" s="3">
        <v>16</v>
      </c>
      <c r="AH916" s="3">
        <v>6</v>
      </c>
      <c r="AI916" s="3">
        <v>6</v>
      </c>
      <c r="AJ916" s="3">
        <v>2</v>
      </c>
      <c r="AK916" s="3">
        <v>2</v>
      </c>
      <c r="AL916" s="3">
        <v>11</v>
      </c>
      <c r="AM916" s="3">
        <v>11</v>
      </c>
      <c r="AN916" s="3">
        <v>2</v>
      </c>
      <c r="AO916" s="3">
        <v>2</v>
      </c>
      <c r="AP916" s="3">
        <v>0</v>
      </c>
      <c r="AQ916" s="3">
        <v>0</v>
      </c>
      <c r="AR916" s="2" t="s">
        <v>5</v>
      </c>
      <c r="AS916" s="2" t="s">
        <v>16</v>
      </c>
      <c r="AT916" s="5" t="str">
        <f>HYPERLINK("http://catalog.hathitrust.org/Record/002704913","HathiTrust Record")</f>
        <v>HathiTrust Record</v>
      </c>
      <c r="AU916" s="5" t="str">
        <f>HYPERLINK("https://creighton-primo.hosted.exlibrisgroup.com/primo-explore/search?tab=default_tab&amp;search_scope=EVERYTHING&amp;vid=01CRU&amp;lang=en_US&amp;offset=0&amp;query=any,contains,991001491809702656","Catalog Record")</f>
        <v>Catalog Record</v>
      </c>
      <c r="AV916" s="5" t="str">
        <f>HYPERLINK("http://www.worldcat.org/oclc/27727854","WorldCat Record")</f>
        <v>WorldCat Record</v>
      </c>
      <c r="AW916" s="2" t="s">
        <v>11173</v>
      </c>
      <c r="AX916" s="2" t="s">
        <v>11174</v>
      </c>
      <c r="AY916" s="2" t="s">
        <v>11175</v>
      </c>
      <c r="AZ916" s="2" t="s">
        <v>11175</v>
      </c>
      <c r="BA916" s="2" t="s">
        <v>11176</v>
      </c>
      <c r="BB916" s="2" t="s">
        <v>21</v>
      </c>
      <c r="BD916" s="2" t="s">
        <v>11177</v>
      </c>
      <c r="BE916" s="2" t="s">
        <v>11178</v>
      </c>
      <c r="BF916" s="2" t="s">
        <v>11179</v>
      </c>
    </row>
    <row r="917" spans="1:58" ht="41.25" customHeight="1" x14ac:dyDescent="0.25">
      <c r="A917" s="8" t="s">
        <v>5</v>
      </c>
      <c r="B917" s="1" t="s">
        <v>0</v>
      </c>
      <c r="C917" s="1" t="s">
        <v>1</v>
      </c>
      <c r="D917" s="1" t="s">
        <v>11180</v>
      </c>
      <c r="E917" s="1" t="s">
        <v>11181</v>
      </c>
      <c r="F917" s="1" t="s">
        <v>11182</v>
      </c>
      <c r="H917" s="2" t="s">
        <v>5</v>
      </c>
      <c r="I917" s="2" t="s">
        <v>6</v>
      </c>
      <c r="J917" s="2" t="s">
        <v>5</v>
      </c>
      <c r="K917" s="2" t="s">
        <v>5</v>
      </c>
      <c r="L917" s="2" t="s">
        <v>7</v>
      </c>
      <c r="M917" s="1" t="s">
        <v>11183</v>
      </c>
      <c r="N917" s="1" t="s">
        <v>10016</v>
      </c>
      <c r="O917" s="2" t="s">
        <v>285</v>
      </c>
      <c r="Q917" s="2" t="s">
        <v>11</v>
      </c>
      <c r="R917" s="2" t="s">
        <v>31</v>
      </c>
      <c r="T917" s="2" t="s">
        <v>520</v>
      </c>
      <c r="U917" s="3">
        <v>4</v>
      </c>
      <c r="V917" s="3">
        <v>4</v>
      </c>
      <c r="W917" s="4" t="s">
        <v>11184</v>
      </c>
      <c r="X917" s="4" t="s">
        <v>11184</v>
      </c>
      <c r="Y917" s="4" t="s">
        <v>96</v>
      </c>
      <c r="Z917" s="4" t="s">
        <v>96</v>
      </c>
      <c r="AA917" s="3">
        <v>251</v>
      </c>
      <c r="AB917" s="3">
        <v>192</v>
      </c>
      <c r="AC917" s="3">
        <v>194</v>
      </c>
      <c r="AD917" s="3">
        <v>3</v>
      </c>
      <c r="AE917" s="3">
        <v>3</v>
      </c>
      <c r="AF917" s="3">
        <v>8</v>
      </c>
      <c r="AG917" s="3">
        <v>8</v>
      </c>
      <c r="AH917" s="3">
        <v>3</v>
      </c>
      <c r="AI917" s="3">
        <v>3</v>
      </c>
      <c r="AJ917" s="3">
        <v>1</v>
      </c>
      <c r="AK917" s="3">
        <v>1</v>
      </c>
      <c r="AL917" s="3">
        <v>3</v>
      </c>
      <c r="AM917" s="3">
        <v>3</v>
      </c>
      <c r="AN917" s="3">
        <v>2</v>
      </c>
      <c r="AO917" s="3">
        <v>2</v>
      </c>
      <c r="AP917" s="3">
        <v>0</v>
      </c>
      <c r="AQ917" s="3">
        <v>0</v>
      </c>
      <c r="AR917" s="2" t="s">
        <v>5</v>
      </c>
      <c r="AS917" s="2" t="s">
        <v>16</v>
      </c>
      <c r="AT917" s="5" t="str">
        <f>HYPERLINK("http://catalog.hathitrust.org/Record/000701951","HathiTrust Record")</f>
        <v>HathiTrust Record</v>
      </c>
      <c r="AU917" s="5" t="str">
        <f>HYPERLINK("https://creighton-primo.hosted.exlibrisgroup.com/primo-explore/search?tab=default_tab&amp;search_scope=EVERYTHING&amp;vid=01CRU&amp;lang=en_US&amp;offset=0&amp;query=any,contains,991000493059702656","Catalog Record")</f>
        <v>Catalog Record</v>
      </c>
      <c r="AV917" s="5" t="str">
        <f>HYPERLINK("http://www.worldcat.org/oclc/4135170","WorldCat Record")</f>
        <v>WorldCat Record</v>
      </c>
      <c r="AW917" s="2" t="s">
        <v>11185</v>
      </c>
      <c r="AX917" s="2" t="s">
        <v>11186</v>
      </c>
      <c r="AY917" s="2" t="s">
        <v>11187</v>
      </c>
      <c r="AZ917" s="2" t="s">
        <v>11187</v>
      </c>
      <c r="BA917" s="2" t="s">
        <v>11188</v>
      </c>
      <c r="BB917" s="2" t="s">
        <v>21</v>
      </c>
      <c r="BD917" s="2" t="s">
        <v>11189</v>
      </c>
      <c r="BE917" s="2" t="s">
        <v>11190</v>
      </c>
      <c r="BF917" s="2" t="s">
        <v>11191</v>
      </c>
    </row>
    <row r="918" spans="1:58" ht="41.25" customHeight="1" x14ac:dyDescent="0.25">
      <c r="A918" s="8" t="s">
        <v>5</v>
      </c>
      <c r="B918" s="1" t="s">
        <v>0</v>
      </c>
      <c r="C918" s="1" t="s">
        <v>1</v>
      </c>
      <c r="D918" s="1" t="s">
        <v>11192</v>
      </c>
      <c r="E918" s="1" t="s">
        <v>11193</v>
      </c>
      <c r="F918" s="1" t="s">
        <v>11194</v>
      </c>
      <c r="H918" s="2" t="s">
        <v>5</v>
      </c>
      <c r="I918" s="2" t="s">
        <v>6</v>
      </c>
      <c r="J918" s="2" t="s">
        <v>5</v>
      </c>
      <c r="K918" s="2" t="s">
        <v>5</v>
      </c>
      <c r="L918" s="2" t="s">
        <v>7</v>
      </c>
      <c r="M918" s="1" t="s">
        <v>11195</v>
      </c>
      <c r="N918" s="1" t="s">
        <v>11196</v>
      </c>
      <c r="O918" s="2" t="s">
        <v>1246</v>
      </c>
      <c r="Q918" s="2" t="s">
        <v>11</v>
      </c>
      <c r="R918" s="2" t="s">
        <v>31</v>
      </c>
      <c r="T918" s="2" t="s">
        <v>520</v>
      </c>
      <c r="U918" s="3">
        <v>2</v>
      </c>
      <c r="V918" s="3">
        <v>2</v>
      </c>
      <c r="W918" s="4" t="s">
        <v>11197</v>
      </c>
      <c r="X918" s="4" t="s">
        <v>11197</v>
      </c>
      <c r="Y918" s="4" t="s">
        <v>49</v>
      </c>
      <c r="Z918" s="4" t="s">
        <v>49</v>
      </c>
      <c r="AA918" s="3">
        <v>216</v>
      </c>
      <c r="AB918" s="3">
        <v>159</v>
      </c>
      <c r="AC918" s="3">
        <v>166</v>
      </c>
      <c r="AD918" s="3">
        <v>3</v>
      </c>
      <c r="AE918" s="3">
        <v>3</v>
      </c>
      <c r="AF918" s="3">
        <v>7</v>
      </c>
      <c r="AG918" s="3">
        <v>7</v>
      </c>
      <c r="AH918" s="3">
        <v>1</v>
      </c>
      <c r="AI918" s="3">
        <v>1</v>
      </c>
      <c r="AJ918" s="3">
        <v>1</v>
      </c>
      <c r="AK918" s="3">
        <v>1</v>
      </c>
      <c r="AL918" s="3">
        <v>4</v>
      </c>
      <c r="AM918" s="3">
        <v>4</v>
      </c>
      <c r="AN918" s="3">
        <v>2</v>
      </c>
      <c r="AO918" s="3">
        <v>2</v>
      </c>
      <c r="AP918" s="3">
        <v>0</v>
      </c>
      <c r="AQ918" s="3">
        <v>0</v>
      </c>
      <c r="AR918" s="2" t="s">
        <v>5</v>
      </c>
      <c r="AS918" s="2" t="s">
        <v>16</v>
      </c>
      <c r="AT918" s="5" t="str">
        <f>HYPERLINK("http://catalog.hathitrust.org/Record/001579422","HathiTrust Record")</f>
        <v>HathiTrust Record</v>
      </c>
      <c r="AU918" s="5" t="str">
        <f>HYPERLINK("https://creighton-primo.hosted.exlibrisgroup.com/primo-explore/search?tab=default_tab&amp;search_scope=EVERYTHING&amp;vid=01CRU&amp;lang=en_US&amp;offset=0&amp;query=any,contains,991001145059702656","Catalog Record")</f>
        <v>Catalog Record</v>
      </c>
      <c r="AV918" s="5" t="str">
        <f>HYPERLINK("http://www.worldcat.org/oclc/572884","WorldCat Record")</f>
        <v>WorldCat Record</v>
      </c>
      <c r="AW918" s="2" t="s">
        <v>11198</v>
      </c>
      <c r="AX918" s="2" t="s">
        <v>11199</v>
      </c>
      <c r="AY918" s="2" t="s">
        <v>11200</v>
      </c>
      <c r="AZ918" s="2" t="s">
        <v>11200</v>
      </c>
      <c r="BA918" s="2" t="s">
        <v>11201</v>
      </c>
      <c r="BB918" s="2" t="s">
        <v>21</v>
      </c>
      <c r="BD918" s="2" t="s">
        <v>11202</v>
      </c>
      <c r="BE918" s="2" t="s">
        <v>11203</v>
      </c>
      <c r="BF918" s="2" t="s">
        <v>11204</v>
      </c>
    </row>
    <row r="919" spans="1:58" ht="41.25" customHeight="1" x14ac:dyDescent="0.25">
      <c r="A919" s="8" t="s">
        <v>5</v>
      </c>
      <c r="B919" s="1" t="s">
        <v>0</v>
      </c>
      <c r="C919" s="1" t="s">
        <v>1</v>
      </c>
      <c r="D919" s="1" t="s">
        <v>11205</v>
      </c>
      <c r="E919" s="1" t="s">
        <v>11206</v>
      </c>
      <c r="F919" s="1" t="s">
        <v>11207</v>
      </c>
      <c r="G919" s="2" t="s">
        <v>820</v>
      </c>
      <c r="H919" s="2" t="s">
        <v>16</v>
      </c>
      <c r="I919" s="2" t="s">
        <v>6</v>
      </c>
      <c r="J919" s="2" t="s">
        <v>5</v>
      </c>
      <c r="K919" s="2" t="s">
        <v>5</v>
      </c>
      <c r="L919" s="2" t="s">
        <v>7</v>
      </c>
      <c r="N919" s="1" t="s">
        <v>11208</v>
      </c>
      <c r="O919" s="2" t="s">
        <v>1004</v>
      </c>
      <c r="P919" s="1" t="s">
        <v>211</v>
      </c>
      <c r="Q919" s="2" t="s">
        <v>11</v>
      </c>
      <c r="R919" s="2" t="s">
        <v>3356</v>
      </c>
      <c r="T919" s="2" t="s">
        <v>520</v>
      </c>
      <c r="U919" s="3">
        <v>1</v>
      </c>
      <c r="V919" s="3">
        <v>3</v>
      </c>
      <c r="W919" s="4" t="s">
        <v>11209</v>
      </c>
      <c r="X919" s="4" t="s">
        <v>11209</v>
      </c>
      <c r="Y919" s="4" t="s">
        <v>10457</v>
      </c>
      <c r="Z919" s="4" t="s">
        <v>10457</v>
      </c>
      <c r="AA919" s="3">
        <v>180</v>
      </c>
      <c r="AB919" s="3">
        <v>131</v>
      </c>
      <c r="AC919" s="3">
        <v>230</v>
      </c>
      <c r="AD919" s="3">
        <v>1</v>
      </c>
      <c r="AE919" s="3">
        <v>1</v>
      </c>
      <c r="AF919" s="3">
        <v>2</v>
      </c>
      <c r="AG919" s="3">
        <v>2</v>
      </c>
      <c r="AH919" s="3">
        <v>1</v>
      </c>
      <c r="AI919" s="3">
        <v>1</v>
      </c>
      <c r="AJ919" s="3">
        <v>0</v>
      </c>
      <c r="AK919" s="3">
        <v>0</v>
      </c>
      <c r="AL919" s="3">
        <v>1</v>
      </c>
      <c r="AM919" s="3">
        <v>1</v>
      </c>
      <c r="AN919" s="3">
        <v>0</v>
      </c>
      <c r="AO919" s="3">
        <v>0</v>
      </c>
      <c r="AP919" s="3">
        <v>0</v>
      </c>
      <c r="AQ919" s="3">
        <v>0</v>
      </c>
      <c r="AR919" s="2" t="s">
        <v>5</v>
      </c>
      <c r="AS919" s="2" t="s">
        <v>16</v>
      </c>
      <c r="AT919" s="5" t="str">
        <f>HYPERLINK("http://catalog.hathitrust.org/Record/004012989","HathiTrust Record")</f>
        <v>HathiTrust Record</v>
      </c>
      <c r="AU919" s="5" t="str">
        <f>HYPERLINK("https://creighton-primo.hosted.exlibrisgroup.com/primo-explore/search?tab=default_tab&amp;search_scope=EVERYTHING&amp;vid=01CRU&amp;lang=en_US&amp;offset=0&amp;query=any,contains,991000597839702656","Catalog Record")</f>
        <v>Catalog Record</v>
      </c>
      <c r="AV919" s="5" t="str">
        <f>HYPERLINK("http://www.worldcat.org/oclc/37580701","WorldCat Record")</f>
        <v>WorldCat Record</v>
      </c>
      <c r="AW919" s="2" t="s">
        <v>11210</v>
      </c>
      <c r="AX919" s="2" t="s">
        <v>11211</v>
      </c>
      <c r="AY919" s="2" t="s">
        <v>11212</v>
      </c>
      <c r="AZ919" s="2" t="s">
        <v>11212</v>
      </c>
      <c r="BA919" s="2" t="s">
        <v>11213</v>
      </c>
      <c r="BB919" s="2" t="s">
        <v>21</v>
      </c>
      <c r="BD919" s="2" t="s">
        <v>11214</v>
      </c>
      <c r="BE919" s="2" t="s">
        <v>11215</v>
      </c>
      <c r="BF919" s="2" t="s">
        <v>11216</v>
      </c>
    </row>
    <row r="920" spans="1:58" ht="41.25" customHeight="1" x14ac:dyDescent="0.25">
      <c r="A920" s="8" t="s">
        <v>5</v>
      </c>
      <c r="B920" s="1" t="s">
        <v>0</v>
      </c>
      <c r="C920" s="1" t="s">
        <v>1</v>
      </c>
      <c r="D920" s="1" t="s">
        <v>11205</v>
      </c>
      <c r="E920" s="1" t="s">
        <v>11206</v>
      </c>
      <c r="F920" s="1" t="s">
        <v>11207</v>
      </c>
      <c r="G920" s="2" t="s">
        <v>832</v>
      </c>
      <c r="H920" s="2" t="s">
        <v>16</v>
      </c>
      <c r="I920" s="2" t="s">
        <v>6</v>
      </c>
      <c r="J920" s="2" t="s">
        <v>5</v>
      </c>
      <c r="K920" s="2" t="s">
        <v>5</v>
      </c>
      <c r="L920" s="2" t="s">
        <v>7</v>
      </c>
      <c r="N920" s="1" t="s">
        <v>11208</v>
      </c>
      <c r="O920" s="2" t="s">
        <v>1004</v>
      </c>
      <c r="P920" s="1" t="s">
        <v>211</v>
      </c>
      <c r="Q920" s="2" t="s">
        <v>11</v>
      </c>
      <c r="R920" s="2" t="s">
        <v>3356</v>
      </c>
      <c r="T920" s="2" t="s">
        <v>520</v>
      </c>
      <c r="U920" s="3">
        <v>1</v>
      </c>
      <c r="V920" s="3">
        <v>3</v>
      </c>
      <c r="W920" s="4" t="s">
        <v>11209</v>
      </c>
      <c r="X920" s="4" t="s">
        <v>11209</v>
      </c>
      <c r="Y920" s="4" t="s">
        <v>10457</v>
      </c>
      <c r="Z920" s="4" t="s">
        <v>10457</v>
      </c>
      <c r="AA920" s="3">
        <v>180</v>
      </c>
      <c r="AB920" s="3">
        <v>131</v>
      </c>
      <c r="AC920" s="3">
        <v>230</v>
      </c>
      <c r="AD920" s="3">
        <v>1</v>
      </c>
      <c r="AE920" s="3">
        <v>1</v>
      </c>
      <c r="AF920" s="3">
        <v>2</v>
      </c>
      <c r="AG920" s="3">
        <v>2</v>
      </c>
      <c r="AH920" s="3">
        <v>1</v>
      </c>
      <c r="AI920" s="3">
        <v>1</v>
      </c>
      <c r="AJ920" s="3">
        <v>0</v>
      </c>
      <c r="AK920" s="3">
        <v>0</v>
      </c>
      <c r="AL920" s="3">
        <v>1</v>
      </c>
      <c r="AM920" s="3">
        <v>1</v>
      </c>
      <c r="AN920" s="3">
        <v>0</v>
      </c>
      <c r="AO920" s="3">
        <v>0</v>
      </c>
      <c r="AP920" s="3">
        <v>0</v>
      </c>
      <c r="AQ920" s="3">
        <v>0</v>
      </c>
      <c r="AR920" s="2" t="s">
        <v>5</v>
      </c>
      <c r="AS920" s="2" t="s">
        <v>16</v>
      </c>
      <c r="AT920" s="5" t="str">
        <f>HYPERLINK("http://catalog.hathitrust.org/Record/004012989","HathiTrust Record")</f>
        <v>HathiTrust Record</v>
      </c>
      <c r="AU920" s="5" t="str">
        <f>HYPERLINK("https://creighton-primo.hosted.exlibrisgroup.com/primo-explore/search?tab=default_tab&amp;search_scope=EVERYTHING&amp;vid=01CRU&amp;lang=en_US&amp;offset=0&amp;query=any,contains,991000597839702656","Catalog Record")</f>
        <v>Catalog Record</v>
      </c>
      <c r="AV920" s="5" t="str">
        <f>HYPERLINK("http://www.worldcat.org/oclc/37580701","WorldCat Record")</f>
        <v>WorldCat Record</v>
      </c>
      <c r="AW920" s="2" t="s">
        <v>11210</v>
      </c>
      <c r="AX920" s="2" t="s">
        <v>11211</v>
      </c>
      <c r="AY920" s="2" t="s">
        <v>11212</v>
      </c>
      <c r="AZ920" s="2" t="s">
        <v>11212</v>
      </c>
      <c r="BA920" s="2" t="s">
        <v>11213</v>
      </c>
      <c r="BB920" s="2" t="s">
        <v>21</v>
      </c>
      <c r="BD920" s="2" t="s">
        <v>11214</v>
      </c>
      <c r="BE920" s="2" t="s">
        <v>11217</v>
      </c>
      <c r="BF920" s="2" t="s">
        <v>11218</v>
      </c>
    </row>
    <row r="921" spans="1:58" ht="41.25" customHeight="1" x14ac:dyDescent="0.25">
      <c r="A921" s="8" t="s">
        <v>5</v>
      </c>
      <c r="B921" s="1" t="s">
        <v>0</v>
      </c>
      <c r="C921" s="1" t="s">
        <v>1</v>
      </c>
      <c r="D921" s="1" t="s">
        <v>11205</v>
      </c>
      <c r="E921" s="1" t="s">
        <v>11206</v>
      </c>
      <c r="F921" s="1" t="s">
        <v>11207</v>
      </c>
      <c r="G921" s="2" t="s">
        <v>839</v>
      </c>
      <c r="H921" s="2" t="s">
        <v>16</v>
      </c>
      <c r="I921" s="2" t="s">
        <v>6</v>
      </c>
      <c r="J921" s="2" t="s">
        <v>5</v>
      </c>
      <c r="K921" s="2" t="s">
        <v>5</v>
      </c>
      <c r="L921" s="2" t="s">
        <v>7</v>
      </c>
      <c r="N921" s="1" t="s">
        <v>11208</v>
      </c>
      <c r="O921" s="2" t="s">
        <v>1004</v>
      </c>
      <c r="P921" s="1" t="s">
        <v>211</v>
      </c>
      <c r="Q921" s="2" t="s">
        <v>11</v>
      </c>
      <c r="R921" s="2" t="s">
        <v>3356</v>
      </c>
      <c r="T921" s="2" t="s">
        <v>520</v>
      </c>
      <c r="U921" s="3">
        <v>1</v>
      </c>
      <c r="V921" s="3">
        <v>3</v>
      </c>
      <c r="W921" s="4" t="s">
        <v>11209</v>
      </c>
      <c r="X921" s="4" t="s">
        <v>11209</v>
      </c>
      <c r="Y921" s="4" t="s">
        <v>10457</v>
      </c>
      <c r="Z921" s="4" t="s">
        <v>10457</v>
      </c>
      <c r="AA921" s="3">
        <v>180</v>
      </c>
      <c r="AB921" s="3">
        <v>131</v>
      </c>
      <c r="AC921" s="3">
        <v>230</v>
      </c>
      <c r="AD921" s="3">
        <v>1</v>
      </c>
      <c r="AE921" s="3">
        <v>1</v>
      </c>
      <c r="AF921" s="3">
        <v>2</v>
      </c>
      <c r="AG921" s="3">
        <v>2</v>
      </c>
      <c r="AH921" s="3">
        <v>1</v>
      </c>
      <c r="AI921" s="3">
        <v>1</v>
      </c>
      <c r="AJ921" s="3">
        <v>0</v>
      </c>
      <c r="AK921" s="3">
        <v>0</v>
      </c>
      <c r="AL921" s="3">
        <v>1</v>
      </c>
      <c r="AM921" s="3">
        <v>1</v>
      </c>
      <c r="AN921" s="3">
        <v>0</v>
      </c>
      <c r="AO921" s="3">
        <v>0</v>
      </c>
      <c r="AP921" s="3">
        <v>0</v>
      </c>
      <c r="AQ921" s="3">
        <v>0</v>
      </c>
      <c r="AR921" s="2" t="s">
        <v>5</v>
      </c>
      <c r="AS921" s="2" t="s">
        <v>16</v>
      </c>
      <c r="AT921" s="5" t="str">
        <f>HYPERLINK("http://catalog.hathitrust.org/Record/004012989","HathiTrust Record")</f>
        <v>HathiTrust Record</v>
      </c>
      <c r="AU921" s="5" t="str">
        <f>HYPERLINK("https://creighton-primo.hosted.exlibrisgroup.com/primo-explore/search?tab=default_tab&amp;search_scope=EVERYTHING&amp;vid=01CRU&amp;lang=en_US&amp;offset=0&amp;query=any,contains,991000597839702656","Catalog Record")</f>
        <v>Catalog Record</v>
      </c>
      <c r="AV921" s="5" t="str">
        <f>HYPERLINK("http://www.worldcat.org/oclc/37580701","WorldCat Record")</f>
        <v>WorldCat Record</v>
      </c>
      <c r="AW921" s="2" t="s">
        <v>11210</v>
      </c>
      <c r="AX921" s="2" t="s">
        <v>11211</v>
      </c>
      <c r="AY921" s="2" t="s">
        <v>11212</v>
      </c>
      <c r="AZ921" s="2" t="s">
        <v>11212</v>
      </c>
      <c r="BA921" s="2" t="s">
        <v>11213</v>
      </c>
      <c r="BB921" s="2" t="s">
        <v>21</v>
      </c>
      <c r="BD921" s="2" t="s">
        <v>11214</v>
      </c>
      <c r="BE921" s="2" t="s">
        <v>11219</v>
      </c>
      <c r="BF921" s="2" t="s">
        <v>11220</v>
      </c>
    </row>
    <row r="922" spans="1:58" ht="41.25" customHeight="1" x14ac:dyDescent="0.25">
      <c r="A922" s="8" t="s">
        <v>5</v>
      </c>
      <c r="B922" s="1" t="s">
        <v>0</v>
      </c>
      <c r="C922" s="1" t="s">
        <v>1</v>
      </c>
      <c r="D922" s="1" t="s">
        <v>11221</v>
      </c>
      <c r="E922" s="1" t="s">
        <v>11222</v>
      </c>
      <c r="F922" s="1" t="s">
        <v>11223</v>
      </c>
      <c r="H922" s="2" t="s">
        <v>5</v>
      </c>
      <c r="I922" s="2" t="s">
        <v>6</v>
      </c>
      <c r="J922" s="2" t="s">
        <v>5</v>
      </c>
      <c r="K922" s="2" t="s">
        <v>16</v>
      </c>
      <c r="L922" s="2" t="s">
        <v>7</v>
      </c>
      <c r="N922" s="1" t="s">
        <v>11224</v>
      </c>
      <c r="O922" s="2" t="s">
        <v>601</v>
      </c>
      <c r="P922" s="1" t="s">
        <v>1284</v>
      </c>
      <c r="Q922" s="2" t="s">
        <v>11</v>
      </c>
      <c r="R922" s="2" t="s">
        <v>1019</v>
      </c>
      <c r="T922" s="2" t="s">
        <v>520</v>
      </c>
      <c r="U922" s="3">
        <v>93</v>
      </c>
      <c r="V922" s="3">
        <v>93</v>
      </c>
      <c r="W922" s="4" t="s">
        <v>11225</v>
      </c>
      <c r="X922" s="4" t="s">
        <v>11225</v>
      </c>
      <c r="Y922" s="4" t="s">
        <v>11226</v>
      </c>
      <c r="Z922" s="4" t="s">
        <v>11226</v>
      </c>
      <c r="AA922" s="3">
        <v>256</v>
      </c>
      <c r="AB922" s="3">
        <v>190</v>
      </c>
      <c r="AC922" s="3">
        <v>838</v>
      </c>
      <c r="AD922" s="3">
        <v>1</v>
      </c>
      <c r="AE922" s="3">
        <v>3</v>
      </c>
      <c r="AF922" s="3">
        <v>2</v>
      </c>
      <c r="AG922" s="3">
        <v>18</v>
      </c>
      <c r="AH922" s="3">
        <v>1</v>
      </c>
      <c r="AI922" s="3">
        <v>6</v>
      </c>
      <c r="AJ922" s="3">
        <v>0</v>
      </c>
      <c r="AK922" s="3">
        <v>3</v>
      </c>
      <c r="AL922" s="3">
        <v>2</v>
      </c>
      <c r="AM922" s="3">
        <v>10</v>
      </c>
      <c r="AN922" s="3">
        <v>0</v>
      </c>
      <c r="AO922" s="3">
        <v>2</v>
      </c>
      <c r="AP922" s="3">
        <v>0</v>
      </c>
      <c r="AQ922" s="3">
        <v>0</v>
      </c>
      <c r="AR922" s="2" t="s">
        <v>5</v>
      </c>
      <c r="AS922" s="2" t="s">
        <v>5</v>
      </c>
      <c r="AU922" s="5" t="str">
        <f>HYPERLINK("https://creighton-primo.hosted.exlibrisgroup.com/primo-explore/search?tab=default_tab&amp;search_scope=EVERYTHING&amp;vid=01CRU&amp;lang=en_US&amp;offset=0&amp;query=any,contains,991000688459702656","Catalog Record")</f>
        <v>Catalog Record</v>
      </c>
      <c r="AV922" s="5" t="str">
        <f>HYPERLINK("http://www.worldcat.org/oclc/31075321","WorldCat Record")</f>
        <v>WorldCat Record</v>
      </c>
      <c r="AW922" s="2" t="s">
        <v>11227</v>
      </c>
      <c r="AX922" s="2" t="s">
        <v>11228</v>
      </c>
      <c r="AY922" s="2" t="s">
        <v>11229</v>
      </c>
      <c r="AZ922" s="2" t="s">
        <v>11229</v>
      </c>
      <c r="BA922" s="2" t="s">
        <v>11230</v>
      </c>
      <c r="BB922" s="2" t="s">
        <v>21</v>
      </c>
      <c r="BD922" s="2" t="s">
        <v>11231</v>
      </c>
      <c r="BE922" s="2" t="s">
        <v>11232</v>
      </c>
      <c r="BF922" s="2" t="s">
        <v>11233</v>
      </c>
    </row>
    <row r="923" spans="1:58" ht="41.25" customHeight="1" x14ac:dyDescent="0.25">
      <c r="A923" s="8" t="s">
        <v>5</v>
      </c>
      <c r="B923" s="1" t="s">
        <v>0</v>
      </c>
      <c r="C923" s="1" t="s">
        <v>1</v>
      </c>
      <c r="D923" s="1" t="s">
        <v>11234</v>
      </c>
      <c r="E923" s="1" t="s">
        <v>11235</v>
      </c>
      <c r="F923" s="1" t="s">
        <v>11223</v>
      </c>
      <c r="H923" s="2" t="s">
        <v>5</v>
      </c>
      <c r="I923" s="2" t="s">
        <v>6</v>
      </c>
      <c r="J923" s="2" t="s">
        <v>5</v>
      </c>
      <c r="K923" s="2" t="s">
        <v>16</v>
      </c>
      <c r="L923" s="2" t="s">
        <v>7</v>
      </c>
      <c r="N923" s="1" t="s">
        <v>11236</v>
      </c>
      <c r="O923" s="2" t="s">
        <v>1378</v>
      </c>
      <c r="P923" s="1" t="s">
        <v>11237</v>
      </c>
      <c r="Q923" s="2" t="s">
        <v>11</v>
      </c>
      <c r="R923" s="2" t="s">
        <v>1019</v>
      </c>
      <c r="T923" s="2" t="s">
        <v>520</v>
      </c>
      <c r="U923" s="3">
        <v>2</v>
      </c>
      <c r="V923" s="3">
        <v>2</v>
      </c>
      <c r="W923" s="4" t="s">
        <v>7802</v>
      </c>
      <c r="X923" s="4" t="s">
        <v>7802</v>
      </c>
      <c r="Y923" s="4" t="s">
        <v>8030</v>
      </c>
      <c r="Z923" s="4" t="s">
        <v>8030</v>
      </c>
      <c r="AA923" s="3">
        <v>193</v>
      </c>
      <c r="AB923" s="3">
        <v>152</v>
      </c>
      <c r="AC923" s="3">
        <v>838</v>
      </c>
      <c r="AD923" s="3">
        <v>1</v>
      </c>
      <c r="AE923" s="3">
        <v>3</v>
      </c>
      <c r="AF923" s="3">
        <v>2</v>
      </c>
      <c r="AG923" s="3">
        <v>18</v>
      </c>
      <c r="AH923" s="3">
        <v>1</v>
      </c>
      <c r="AI923" s="3">
        <v>6</v>
      </c>
      <c r="AJ923" s="3">
        <v>0</v>
      </c>
      <c r="AK923" s="3">
        <v>3</v>
      </c>
      <c r="AL923" s="3">
        <v>1</v>
      </c>
      <c r="AM923" s="3">
        <v>10</v>
      </c>
      <c r="AN923" s="3">
        <v>0</v>
      </c>
      <c r="AO923" s="3">
        <v>2</v>
      </c>
      <c r="AP923" s="3">
        <v>0</v>
      </c>
      <c r="AQ923" s="3">
        <v>0</v>
      </c>
      <c r="AR923" s="2" t="s">
        <v>5</v>
      </c>
      <c r="AS923" s="2" t="s">
        <v>5</v>
      </c>
      <c r="AU923" s="5" t="str">
        <f>HYPERLINK("https://creighton-primo.hosted.exlibrisgroup.com/primo-explore/search?tab=default_tab&amp;search_scope=EVERYTHING&amp;vid=01CRU&amp;lang=en_US&amp;offset=0&amp;query=any,contains,991000692229702656","Catalog Record")</f>
        <v>Catalog Record</v>
      </c>
      <c r="AV923" s="5" t="str">
        <f>HYPERLINK("http://www.worldcat.org/oclc/37180387","WorldCat Record")</f>
        <v>WorldCat Record</v>
      </c>
      <c r="AW923" s="2" t="s">
        <v>11227</v>
      </c>
      <c r="AX923" s="2" t="s">
        <v>11238</v>
      </c>
      <c r="AY923" s="2" t="s">
        <v>11239</v>
      </c>
      <c r="AZ923" s="2" t="s">
        <v>11239</v>
      </c>
      <c r="BA923" s="2" t="s">
        <v>11240</v>
      </c>
      <c r="BB923" s="2" t="s">
        <v>21</v>
      </c>
      <c r="BD923" s="2" t="s">
        <v>11241</v>
      </c>
      <c r="BE923" s="2" t="s">
        <v>11242</v>
      </c>
      <c r="BF923" s="2" t="s">
        <v>11243</v>
      </c>
    </row>
    <row r="924" spans="1:58" ht="41.25" customHeight="1" x14ac:dyDescent="0.25">
      <c r="A924" s="8" t="s">
        <v>5</v>
      </c>
      <c r="B924" s="1" t="s">
        <v>0</v>
      </c>
      <c r="C924" s="1" t="s">
        <v>1</v>
      </c>
      <c r="D924" s="1" t="s">
        <v>11244</v>
      </c>
      <c r="E924" s="1" t="s">
        <v>11245</v>
      </c>
      <c r="F924" s="1" t="s">
        <v>11223</v>
      </c>
      <c r="H924" s="2" t="s">
        <v>5</v>
      </c>
      <c r="I924" s="2" t="s">
        <v>6</v>
      </c>
      <c r="J924" s="2" t="s">
        <v>5</v>
      </c>
      <c r="K924" s="2" t="s">
        <v>16</v>
      </c>
      <c r="L924" s="2" t="s">
        <v>7</v>
      </c>
      <c r="N924" s="1" t="s">
        <v>11246</v>
      </c>
      <c r="O924" s="2" t="s">
        <v>1391</v>
      </c>
      <c r="P924" s="1" t="s">
        <v>108</v>
      </c>
      <c r="Q924" s="2" t="s">
        <v>11</v>
      </c>
      <c r="R924" s="2" t="s">
        <v>229</v>
      </c>
      <c r="T924" s="2" t="s">
        <v>520</v>
      </c>
      <c r="U924" s="3">
        <v>7</v>
      </c>
      <c r="V924" s="3">
        <v>7</v>
      </c>
      <c r="W924" s="4" t="s">
        <v>11247</v>
      </c>
      <c r="X924" s="4" t="s">
        <v>11247</v>
      </c>
      <c r="Y924" s="4" t="s">
        <v>10787</v>
      </c>
      <c r="Z924" s="4" t="s">
        <v>10787</v>
      </c>
      <c r="AA924" s="3">
        <v>405</v>
      </c>
      <c r="AB924" s="3">
        <v>316</v>
      </c>
      <c r="AC924" s="3">
        <v>838</v>
      </c>
      <c r="AD924" s="3">
        <v>1</v>
      </c>
      <c r="AE924" s="3">
        <v>3</v>
      </c>
      <c r="AF924" s="3">
        <v>4</v>
      </c>
      <c r="AG924" s="3">
        <v>18</v>
      </c>
      <c r="AH924" s="3">
        <v>1</v>
      </c>
      <c r="AI924" s="3">
        <v>6</v>
      </c>
      <c r="AJ924" s="3">
        <v>0</v>
      </c>
      <c r="AK924" s="3">
        <v>3</v>
      </c>
      <c r="AL924" s="3">
        <v>3</v>
      </c>
      <c r="AM924" s="3">
        <v>10</v>
      </c>
      <c r="AN924" s="3">
        <v>0</v>
      </c>
      <c r="AO924" s="3">
        <v>2</v>
      </c>
      <c r="AP924" s="3">
        <v>0</v>
      </c>
      <c r="AQ924" s="3">
        <v>0</v>
      </c>
      <c r="AR924" s="2" t="s">
        <v>5</v>
      </c>
      <c r="AS924" s="2" t="s">
        <v>16</v>
      </c>
      <c r="AT924" s="5" t="str">
        <f>HYPERLINK("http://catalog.hathitrust.org/Record/004338986","HathiTrust Record")</f>
        <v>HathiTrust Record</v>
      </c>
      <c r="AU924" s="5" t="str">
        <f>HYPERLINK("https://creighton-primo.hosted.exlibrisgroup.com/primo-explore/search?tab=default_tab&amp;search_scope=EVERYTHING&amp;vid=01CRU&amp;lang=en_US&amp;offset=0&amp;query=any,contains,991000384949702656","Catalog Record")</f>
        <v>Catalog Record</v>
      </c>
      <c r="AV924" s="5" t="str">
        <f>HYPERLINK("http://www.worldcat.org/oclc/51764147","WorldCat Record")</f>
        <v>WorldCat Record</v>
      </c>
      <c r="AW924" s="2" t="s">
        <v>11227</v>
      </c>
      <c r="AX924" s="2" t="s">
        <v>11248</v>
      </c>
      <c r="AY924" s="2" t="s">
        <v>11249</v>
      </c>
      <c r="AZ924" s="2" t="s">
        <v>11249</v>
      </c>
      <c r="BA924" s="2" t="s">
        <v>11250</v>
      </c>
      <c r="BB924" s="2" t="s">
        <v>21</v>
      </c>
      <c r="BD924" s="2" t="s">
        <v>11251</v>
      </c>
      <c r="BE924" s="2" t="s">
        <v>11252</v>
      </c>
      <c r="BF924" s="2" t="s">
        <v>11253</v>
      </c>
    </row>
    <row r="925" spans="1:58" ht="41.25" customHeight="1" x14ac:dyDescent="0.25">
      <c r="A925" s="8" t="s">
        <v>5</v>
      </c>
      <c r="B925" s="1" t="s">
        <v>0</v>
      </c>
      <c r="C925" s="1" t="s">
        <v>1</v>
      </c>
      <c r="D925" s="1" t="s">
        <v>11254</v>
      </c>
      <c r="E925" s="1" t="s">
        <v>11255</v>
      </c>
      <c r="F925" s="1" t="s">
        <v>11256</v>
      </c>
      <c r="H925" s="2" t="s">
        <v>5</v>
      </c>
      <c r="I925" s="2" t="s">
        <v>6</v>
      </c>
      <c r="J925" s="2" t="s">
        <v>5</v>
      </c>
      <c r="K925" s="2" t="s">
        <v>5</v>
      </c>
      <c r="L925" s="2" t="s">
        <v>7</v>
      </c>
      <c r="N925" s="1" t="s">
        <v>11257</v>
      </c>
      <c r="O925" s="2" t="s">
        <v>1195</v>
      </c>
      <c r="Q925" s="2" t="s">
        <v>11</v>
      </c>
      <c r="R925" s="2" t="s">
        <v>78</v>
      </c>
      <c r="T925" s="2" t="s">
        <v>520</v>
      </c>
      <c r="U925" s="3">
        <v>3</v>
      </c>
      <c r="V925" s="3">
        <v>3</v>
      </c>
      <c r="W925" s="4" t="s">
        <v>10556</v>
      </c>
      <c r="X925" s="4" t="s">
        <v>10556</v>
      </c>
      <c r="Y925" s="4" t="s">
        <v>5057</v>
      </c>
      <c r="Z925" s="4" t="s">
        <v>5057</v>
      </c>
      <c r="AA925" s="3">
        <v>170</v>
      </c>
      <c r="AB925" s="3">
        <v>119</v>
      </c>
      <c r="AC925" s="3">
        <v>357</v>
      </c>
      <c r="AD925" s="3">
        <v>1</v>
      </c>
      <c r="AE925" s="3">
        <v>3</v>
      </c>
      <c r="AF925" s="3">
        <v>2</v>
      </c>
      <c r="AG925" s="3">
        <v>12</v>
      </c>
      <c r="AH925" s="3">
        <v>1</v>
      </c>
      <c r="AI925" s="3">
        <v>3</v>
      </c>
      <c r="AJ925" s="3">
        <v>0</v>
      </c>
      <c r="AK925" s="3">
        <v>2</v>
      </c>
      <c r="AL925" s="3">
        <v>1</v>
      </c>
      <c r="AM925" s="3">
        <v>5</v>
      </c>
      <c r="AN925" s="3">
        <v>0</v>
      </c>
      <c r="AO925" s="3">
        <v>2</v>
      </c>
      <c r="AP925" s="3">
        <v>0</v>
      </c>
      <c r="AQ925" s="3">
        <v>0</v>
      </c>
      <c r="AR925" s="2" t="s">
        <v>5</v>
      </c>
      <c r="AS925" s="2" t="s">
        <v>5</v>
      </c>
      <c r="AU925" s="5" t="str">
        <f>HYPERLINK("https://creighton-primo.hosted.exlibrisgroup.com/primo-explore/search?tab=default_tab&amp;search_scope=EVERYTHING&amp;vid=01CRU&amp;lang=en_US&amp;offset=0&amp;query=any,contains,991000277759702656","Catalog Record")</f>
        <v>Catalog Record</v>
      </c>
      <c r="AV925" s="5" t="str">
        <f>HYPERLINK("http://www.worldcat.org/oclc/40862057","WorldCat Record")</f>
        <v>WorldCat Record</v>
      </c>
      <c r="AW925" s="2" t="s">
        <v>11258</v>
      </c>
      <c r="AX925" s="2" t="s">
        <v>11259</v>
      </c>
      <c r="AY925" s="2" t="s">
        <v>11260</v>
      </c>
      <c r="AZ925" s="2" t="s">
        <v>11260</v>
      </c>
      <c r="BA925" s="2" t="s">
        <v>11261</v>
      </c>
      <c r="BB925" s="2" t="s">
        <v>21</v>
      </c>
      <c r="BD925" s="2" t="s">
        <v>11262</v>
      </c>
      <c r="BE925" s="2" t="s">
        <v>11263</v>
      </c>
      <c r="BF925" s="2" t="s">
        <v>11264</v>
      </c>
    </row>
    <row r="926" spans="1:58" ht="41.25" customHeight="1" x14ac:dyDescent="0.25">
      <c r="A926" s="8" t="s">
        <v>5</v>
      </c>
      <c r="B926" s="1" t="s">
        <v>0</v>
      </c>
      <c r="C926" s="1" t="s">
        <v>1</v>
      </c>
      <c r="D926" s="1" t="s">
        <v>11265</v>
      </c>
      <c r="E926" s="1" t="s">
        <v>11266</v>
      </c>
      <c r="F926" s="1" t="s">
        <v>11267</v>
      </c>
      <c r="H926" s="2" t="s">
        <v>5</v>
      </c>
      <c r="I926" s="2" t="s">
        <v>6</v>
      </c>
      <c r="J926" s="2" t="s">
        <v>5</v>
      </c>
      <c r="K926" s="2" t="s">
        <v>16</v>
      </c>
      <c r="L926" s="2" t="s">
        <v>7</v>
      </c>
      <c r="N926" s="1" t="s">
        <v>6893</v>
      </c>
      <c r="O926" s="2" t="s">
        <v>1046</v>
      </c>
      <c r="P926" s="1" t="s">
        <v>1208</v>
      </c>
      <c r="Q926" s="2" t="s">
        <v>11</v>
      </c>
      <c r="R926" s="2" t="s">
        <v>78</v>
      </c>
      <c r="T926" s="2" t="s">
        <v>520</v>
      </c>
      <c r="U926" s="3">
        <v>1</v>
      </c>
      <c r="V926" s="3">
        <v>1</v>
      </c>
      <c r="W926" s="4" t="s">
        <v>11268</v>
      </c>
      <c r="X926" s="4" t="s">
        <v>11268</v>
      </c>
      <c r="Y926" s="4" t="s">
        <v>11269</v>
      </c>
      <c r="Z926" s="4" t="s">
        <v>11269</v>
      </c>
      <c r="AA926" s="3">
        <v>329</v>
      </c>
      <c r="AB926" s="3">
        <v>243</v>
      </c>
      <c r="AC926" s="3">
        <v>880</v>
      </c>
      <c r="AD926" s="3">
        <v>1</v>
      </c>
      <c r="AE926" s="3">
        <v>3</v>
      </c>
      <c r="AF926" s="3">
        <v>4</v>
      </c>
      <c r="AG926" s="3">
        <v>16</v>
      </c>
      <c r="AH926" s="3">
        <v>3</v>
      </c>
      <c r="AI926" s="3">
        <v>6</v>
      </c>
      <c r="AJ926" s="3">
        <v>0</v>
      </c>
      <c r="AK926" s="3">
        <v>4</v>
      </c>
      <c r="AL926" s="3">
        <v>1</v>
      </c>
      <c r="AM926" s="3">
        <v>7</v>
      </c>
      <c r="AN926" s="3">
        <v>0</v>
      </c>
      <c r="AO926" s="3">
        <v>1</v>
      </c>
      <c r="AP926" s="3">
        <v>0</v>
      </c>
      <c r="AQ926" s="3">
        <v>0</v>
      </c>
      <c r="AR926" s="2" t="s">
        <v>5</v>
      </c>
      <c r="AS926" s="2" t="s">
        <v>16</v>
      </c>
      <c r="AT926" s="5" t="str">
        <f>HYPERLINK("http://catalog.hathitrust.org/Record/003785350","HathiTrust Record")</f>
        <v>HathiTrust Record</v>
      </c>
      <c r="AU926" s="5" t="str">
        <f>HYPERLINK("https://creighton-primo.hosted.exlibrisgroup.com/primo-explore/search?tab=default_tab&amp;search_scope=EVERYTHING&amp;vid=01CRU&amp;lang=en_US&amp;offset=0&amp;query=any,contains,991000331709702656","Catalog Record")</f>
        <v>Catalog Record</v>
      </c>
      <c r="AV926" s="5" t="str">
        <f>HYPERLINK("http://www.worldcat.org/oclc/49057645","WorldCat Record")</f>
        <v>WorldCat Record</v>
      </c>
      <c r="AW926" s="2" t="s">
        <v>11021</v>
      </c>
      <c r="AX926" s="2" t="s">
        <v>11270</v>
      </c>
      <c r="AY926" s="2" t="s">
        <v>11271</v>
      </c>
      <c r="AZ926" s="2" t="s">
        <v>11271</v>
      </c>
      <c r="BA926" s="2" t="s">
        <v>11272</v>
      </c>
      <c r="BB926" s="2" t="s">
        <v>21</v>
      </c>
      <c r="BD926" s="2" t="s">
        <v>11273</v>
      </c>
      <c r="BE926" s="2" t="s">
        <v>11274</v>
      </c>
      <c r="BF926" s="2" t="s">
        <v>11275</v>
      </c>
    </row>
    <row r="927" spans="1:58" ht="41.25" customHeight="1" x14ac:dyDescent="0.25">
      <c r="A927" s="8" t="s">
        <v>5</v>
      </c>
      <c r="B927" s="1" t="s">
        <v>0</v>
      </c>
      <c r="C927" s="1" t="s">
        <v>1</v>
      </c>
      <c r="D927" s="1" t="s">
        <v>11276</v>
      </c>
      <c r="E927" s="1" t="s">
        <v>11277</v>
      </c>
      <c r="F927" s="1" t="s">
        <v>11278</v>
      </c>
      <c r="H927" s="2" t="s">
        <v>5</v>
      </c>
      <c r="I927" s="2" t="s">
        <v>6</v>
      </c>
      <c r="J927" s="2" t="s">
        <v>5</v>
      </c>
      <c r="K927" s="2" t="s">
        <v>16</v>
      </c>
      <c r="L927" s="2" t="s">
        <v>7</v>
      </c>
      <c r="N927" s="1" t="s">
        <v>11279</v>
      </c>
      <c r="O927" s="2" t="s">
        <v>3465</v>
      </c>
      <c r="P927" s="1" t="s">
        <v>1284</v>
      </c>
      <c r="Q927" s="2" t="s">
        <v>11</v>
      </c>
      <c r="R927" s="2" t="s">
        <v>78</v>
      </c>
      <c r="T927" s="2" t="s">
        <v>520</v>
      </c>
      <c r="U927" s="3">
        <v>0</v>
      </c>
      <c r="V927" s="3">
        <v>0</v>
      </c>
      <c r="W927" s="4" t="s">
        <v>11280</v>
      </c>
      <c r="X927" s="4" t="s">
        <v>11280</v>
      </c>
      <c r="Y927" s="4" t="s">
        <v>9049</v>
      </c>
      <c r="Z927" s="4" t="s">
        <v>9049</v>
      </c>
      <c r="AA927" s="3">
        <v>280</v>
      </c>
      <c r="AB927" s="3">
        <v>212</v>
      </c>
      <c r="AC927" s="3">
        <v>880</v>
      </c>
      <c r="AD927" s="3">
        <v>1</v>
      </c>
      <c r="AE927" s="3">
        <v>3</v>
      </c>
      <c r="AF927" s="3">
        <v>4</v>
      </c>
      <c r="AG927" s="3">
        <v>16</v>
      </c>
      <c r="AH927" s="3">
        <v>2</v>
      </c>
      <c r="AI927" s="3">
        <v>6</v>
      </c>
      <c r="AJ927" s="3">
        <v>1</v>
      </c>
      <c r="AK927" s="3">
        <v>4</v>
      </c>
      <c r="AL927" s="3">
        <v>2</v>
      </c>
      <c r="AM927" s="3">
        <v>7</v>
      </c>
      <c r="AN927" s="3">
        <v>0</v>
      </c>
      <c r="AO927" s="3">
        <v>1</v>
      </c>
      <c r="AP927" s="3">
        <v>0</v>
      </c>
      <c r="AQ927" s="3">
        <v>0</v>
      </c>
      <c r="AR927" s="2" t="s">
        <v>5</v>
      </c>
      <c r="AS927" s="2" t="s">
        <v>5</v>
      </c>
      <c r="AU927" s="5" t="str">
        <f>HYPERLINK("https://creighton-primo.hosted.exlibrisgroup.com/primo-explore/search?tab=default_tab&amp;search_scope=EVERYTHING&amp;vid=01CRU&amp;lang=en_US&amp;offset=0&amp;query=any,contains,991001738179702656","Catalog Record")</f>
        <v>Catalog Record</v>
      </c>
      <c r="AV927" s="5" t="str">
        <f>HYPERLINK("http://www.worldcat.org/oclc/62090798","WorldCat Record")</f>
        <v>WorldCat Record</v>
      </c>
      <c r="AW927" s="2" t="s">
        <v>11021</v>
      </c>
      <c r="AX927" s="2" t="s">
        <v>11281</v>
      </c>
      <c r="AY927" s="2" t="s">
        <v>11282</v>
      </c>
      <c r="AZ927" s="2" t="s">
        <v>11282</v>
      </c>
      <c r="BA927" s="2" t="s">
        <v>11283</v>
      </c>
      <c r="BB927" s="2" t="s">
        <v>21</v>
      </c>
      <c r="BD927" s="2" t="s">
        <v>11284</v>
      </c>
      <c r="BE927" s="2" t="s">
        <v>11285</v>
      </c>
      <c r="BF927" s="2" t="s">
        <v>11286</v>
      </c>
    </row>
    <row r="928" spans="1:58" ht="41.25" customHeight="1" x14ac:dyDescent="0.25">
      <c r="A928" s="8" t="s">
        <v>5</v>
      </c>
      <c r="B928" s="1" t="s">
        <v>0</v>
      </c>
      <c r="C928" s="1" t="s">
        <v>1</v>
      </c>
      <c r="D928" s="1" t="s">
        <v>11287</v>
      </c>
      <c r="E928" s="1" t="s">
        <v>11288</v>
      </c>
      <c r="F928" s="1" t="s">
        <v>11289</v>
      </c>
      <c r="H928" s="2" t="s">
        <v>5</v>
      </c>
      <c r="I928" s="2" t="s">
        <v>6</v>
      </c>
      <c r="J928" s="2" t="s">
        <v>5</v>
      </c>
      <c r="K928" s="2" t="s">
        <v>16</v>
      </c>
      <c r="L928" s="2" t="s">
        <v>7</v>
      </c>
      <c r="N928" s="1" t="s">
        <v>11290</v>
      </c>
      <c r="O928" s="2" t="s">
        <v>4990</v>
      </c>
      <c r="P928" s="1" t="s">
        <v>211</v>
      </c>
      <c r="Q928" s="2" t="s">
        <v>11</v>
      </c>
      <c r="R928" s="2" t="s">
        <v>12</v>
      </c>
      <c r="T928" s="2" t="s">
        <v>520</v>
      </c>
      <c r="U928" s="3">
        <v>2</v>
      </c>
      <c r="V928" s="3">
        <v>2</v>
      </c>
      <c r="W928" s="4" t="s">
        <v>11291</v>
      </c>
      <c r="X928" s="4" t="s">
        <v>11291</v>
      </c>
      <c r="Y928" s="4" t="s">
        <v>11292</v>
      </c>
      <c r="Z928" s="4" t="s">
        <v>11292</v>
      </c>
      <c r="AA928" s="3">
        <v>226</v>
      </c>
      <c r="AB928" s="3">
        <v>183</v>
      </c>
      <c r="AC928" s="3">
        <v>1570</v>
      </c>
      <c r="AD928" s="3">
        <v>2</v>
      </c>
      <c r="AE928" s="3">
        <v>26</v>
      </c>
      <c r="AF928" s="3">
        <v>3</v>
      </c>
      <c r="AG928" s="3">
        <v>38</v>
      </c>
      <c r="AH928" s="3">
        <v>2</v>
      </c>
      <c r="AI928" s="3">
        <v>11</v>
      </c>
      <c r="AJ928" s="3">
        <v>0</v>
      </c>
      <c r="AK928" s="3">
        <v>9</v>
      </c>
      <c r="AL928" s="3">
        <v>1</v>
      </c>
      <c r="AM928" s="3">
        <v>14</v>
      </c>
      <c r="AN928" s="3">
        <v>0</v>
      </c>
      <c r="AO928" s="3">
        <v>10</v>
      </c>
      <c r="AP928" s="3">
        <v>0</v>
      </c>
      <c r="AQ928" s="3">
        <v>0</v>
      </c>
      <c r="AR928" s="2" t="s">
        <v>5</v>
      </c>
      <c r="AS928" s="2" t="s">
        <v>5</v>
      </c>
      <c r="AU928" s="5" t="str">
        <f>HYPERLINK("https://creighton-primo.hosted.exlibrisgroup.com/primo-explore/search?tab=default_tab&amp;search_scope=EVERYTHING&amp;vid=01CRU&amp;lang=en_US&amp;offset=0&amp;query=any,contains,991000330749702656","Catalog Record")</f>
        <v>Catalog Record</v>
      </c>
      <c r="AV928" s="5" t="str">
        <f>HYPERLINK("http://www.worldcat.org/oclc/61861006","WorldCat Record")</f>
        <v>WorldCat Record</v>
      </c>
      <c r="AW928" s="2" t="s">
        <v>11293</v>
      </c>
      <c r="AX928" s="2" t="s">
        <v>11294</v>
      </c>
      <c r="AY928" s="2" t="s">
        <v>11295</v>
      </c>
      <c r="AZ928" s="2" t="s">
        <v>11295</v>
      </c>
      <c r="BA928" s="2" t="s">
        <v>11296</v>
      </c>
      <c r="BB928" s="2" t="s">
        <v>21</v>
      </c>
      <c r="BD928" s="2" t="s">
        <v>11297</v>
      </c>
      <c r="BE928" s="2" t="s">
        <v>11298</v>
      </c>
      <c r="BF928" s="2" t="s">
        <v>11299</v>
      </c>
    </row>
    <row r="929" spans="1:58" ht="41.25" customHeight="1" x14ac:dyDescent="0.25">
      <c r="A929" s="8" t="s">
        <v>5</v>
      </c>
      <c r="B929" s="1" t="s">
        <v>0</v>
      </c>
      <c r="C929" s="1" t="s">
        <v>1</v>
      </c>
      <c r="D929" s="1" t="s">
        <v>11300</v>
      </c>
      <c r="E929" s="1" t="s">
        <v>11301</v>
      </c>
      <c r="F929" s="1" t="s">
        <v>11302</v>
      </c>
      <c r="H929" s="2" t="s">
        <v>5</v>
      </c>
      <c r="I929" s="2" t="s">
        <v>6</v>
      </c>
      <c r="J929" s="2" t="s">
        <v>5</v>
      </c>
      <c r="K929" s="2" t="s">
        <v>16</v>
      </c>
      <c r="L929" s="2" t="s">
        <v>7</v>
      </c>
      <c r="M929" s="1" t="s">
        <v>11303</v>
      </c>
      <c r="N929" s="1" t="s">
        <v>11304</v>
      </c>
      <c r="O929" s="2" t="s">
        <v>107</v>
      </c>
      <c r="P929" s="1" t="s">
        <v>901</v>
      </c>
      <c r="Q929" s="2" t="s">
        <v>11</v>
      </c>
      <c r="R929" s="2" t="s">
        <v>12</v>
      </c>
      <c r="T929" s="2" t="s">
        <v>520</v>
      </c>
      <c r="U929" s="3">
        <v>0</v>
      </c>
      <c r="V929" s="3">
        <v>0</v>
      </c>
      <c r="W929" s="4" t="s">
        <v>11305</v>
      </c>
      <c r="X929" s="4" t="s">
        <v>11305</v>
      </c>
      <c r="Y929" s="4" t="s">
        <v>11306</v>
      </c>
      <c r="Z929" s="4" t="s">
        <v>11306</v>
      </c>
      <c r="AA929" s="3">
        <v>286</v>
      </c>
      <c r="AB929" s="3">
        <v>219</v>
      </c>
      <c r="AC929" s="3">
        <v>1570</v>
      </c>
      <c r="AD929" s="3">
        <v>2</v>
      </c>
      <c r="AE929" s="3">
        <v>26</v>
      </c>
      <c r="AF929" s="3">
        <v>5</v>
      </c>
      <c r="AG929" s="3">
        <v>38</v>
      </c>
      <c r="AH929" s="3">
        <v>2</v>
      </c>
      <c r="AI929" s="3">
        <v>11</v>
      </c>
      <c r="AJ929" s="3">
        <v>1</v>
      </c>
      <c r="AK929" s="3">
        <v>9</v>
      </c>
      <c r="AL929" s="3">
        <v>1</v>
      </c>
      <c r="AM929" s="3">
        <v>14</v>
      </c>
      <c r="AN929" s="3">
        <v>1</v>
      </c>
      <c r="AO929" s="3">
        <v>10</v>
      </c>
      <c r="AP929" s="3">
        <v>0</v>
      </c>
      <c r="AQ929" s="3">
        <v>0</v>
      </c>
      <c r="AR929" s="2" t="s">
        <v>5</v>
      </c>
      <c r="AS929" s="2" t="s">
        <v>5</v>
      </c>
      <c r="AU929" s="5" t="str">
        <f>HYPERLINK("https://creighton-primo.hosted.exlibrisgroup.com/primo-explore/search?tab=default_tab&amp;search_scope=EVERYTHING&amp;vid=01CRU&amp;lang=en_US&amp;offset=0&amp;query=any,contains,991000472499702656","Catalog Record")</f>
        <v>Catalog Record</v>
      </c>
      <c r="AV929" s="5" t="str">
        <f>HYPERLINK("http://www.worldcat.org/oclc/61860821","WorldCat Record")</f>
        <v>WorldCat Record</v>
      </c>
      <c r="AW929" s="2" t="s">
        <v>11293</v>
      </c>
      <c r="AX929" s="2" t="s">
        <v>11307</v>
      </c>
      <c r="AY929" s="2" t="s">
        <v>11308</v>
      </c>
      <c r="AZ929" s="2" t="s">
        <v>11308</v>
      </c>
      <c r="BA929" s="2" t="s">
        <v>11309</v>
      </c>
      <c r="BB929" s="2" t="s">
        <v>21</v>
      </c>
      <c r="BD929" s="2" t="s">
        <v>11310</v>
      </c>
      <c r="BE929" s="2" t="s">
        <v>11311</v>
      </c>
      <c r="BF929" s="2" t="s">
        <v>11312</v>
      </c>
    </row>
    <row r="930" spans="1:58" ht="41.25" customHeight="1" x14ac:dyDescent="0.25">
      <c r="A930" s="8" t="s">
        <v>5</v>
      </c>
      <c r="B930" s="1" t="s">
        <v>0</v>
      </c>
      <c r="C930" s="1" t="s">
        <v>1</v>
      </c>
      <c r="D930" s="1" t="s">
        <v>11313</v>
      </c>
      <c r="E930" s="1" t="s">
        <v>11314</v>
      </c>
      <c r="F930" s="1" t="s">
        <v>11315</v>
      </c>
      <c r="H930" s="2" t="s">
        <v>5</v>
      </c>
      <c r="I930" s="2" t="s">
        <v>6</v>
      </c>
      <c r="J930" s="2" t="s">
        <v>5</v>
      </c>
      <c r="K930" s="2" t="s">
        <v>5</v>
      </c>
      <c r="L930" s="2" t="s">
        <v>7</v>
      </c>
      <c r="M930" s="1" t="s">
        <v>11316</v>
      </c>
      <c r="N930" s="1" t="s">
        <v>11317</v>
      </c>
      <c r="O930" s="2" t="s">
        <v>888</v>
      </c>
      <c r="Q930" s="2" t="s">
        <v>11</v>
      </c>
      <c r="R930" s="2" t="s">
        <v>426</v>
      </c>
      <c r="T930" s="2" t="s">
        <v>520</v>
      </c>
      <c r="U930" s="3">
        <v>4</v>
      </c>
      <c r="V930" s="3">
        <v>4</v>
      </c>
      <c r="W930" s="4" t="s">
        <v>11318</v>
      </c>
      <c r="X930" s="4" t="s">
        <v>11318</v>
      </c>
      <c r="Y930" s="4" t="s">
        <v>96</v>
      </c>
      <c r="Z930" s="4" t="s">
        <v>96</v>
      </c>
      <c r="AA930" s="3">
        <v>240</v>
      </c>
      <c r="AB930" s="3">
        <v>199</v>
      </c>
      <c r="AC930" s="3">
        <v>206</v>
      </c>
      <c r="AD930" s="3">
        <v>2</v>
      </c>
      <c r="AE930" s="3">
        <v>2</v>
      </c>
      <c r="AF930" s="3">
        <v>7</v>
      </c>
      <c r="AG930" s="3">
        <v>7</v>
      </c>
      <c r="AH930" s="3">
        <v>2</v>
      </c>
      <c r="AI930" s="3">
        <v>2</v>
      </c>
      <c r="AJ930" s="3">
        <v>3</v>
      </c>
      <c r="AK930" s="3">
        <v>3</v>
      </c>
      <c r="AL930" s="3">
        <v>4</v>
      </c>
      <c r="AM930" s="3">
        <v>4</v>
      </c>
      <c r="AN930" s="3">
        <v>0</v>
      </c>
      <c r="AO930" s="3">
        <v>0</v>
      </c>
      <c r="AP930" s="3">
        <v>0</v>
      </c>
      <c r="AQ930" s="3">
        <v>0</v>
      </c>
      <c r="AR930" s="2" t="s">
        <v>5</v>
      </c>
      <c r="AS930" s="2" t="s">
        <v>16</v>
      </c>
      <c r="AT930" s="5" t="str">
        <f>HYPERLINK("http://catalog.hathitrust.org/Record/000323924","HathiTrust Record")</f>
        <v>HathiTrust Record</v>
      </c>
      <c r="AU930" s="5" t="str">
        <f>HYPERLINK("https://creighton-primo.hosted.exlibrisgroup.com/primo-explore/search?tab=default_tab&amp;search_scope=EVERYTHING&amp;vid=01CRU&amp;lang=en_US&amp;offset=0&amp;query=any,contains,991001145299702656","Catalog Record")</f>
        <v>Catalog Record</v>
      </c>
      <c r="AV930" s="5" t="str">
        <f>HYPERLINK("http://www.worldcat.org/oclc/10098058","WorldCat Record")</f>
        <v>WorldCat Record</v>
      </c>
      <c r="AW930" s="2" t="s">
        <v>11319</v>
      </c>
      <c r="AX930" s="2" t="s">
        <v>11320</v>
      </c>
      <c r="AY930" s="2" t="s">
        <v>11321</v>
      </c>
      <c r="AZ930" s="2" t="s">
        <v>11321</v>
      </c>
      <c r="BA930" s="2" t="s">
        <v>11322</v>
      </c>
      <c r="BB930" s="2" t="s">
        <v>21</v>
      </c>
      <c r="BD930" s="2" t="s">
        <v>11323</v>
      </c>
      <c r="BE930" s="2" t="s">
        <v>11324</v>
      </c>
      <c r="BF930" s="2" t="s">
        <v>11325</v>
      </c>
    </row>
    <row r="931" spans="1:58" ht="41.25" customHeight="1" x14ac:dyDescent="0.25">
      <c r="A931" s="8" t="s">
        <v>5</v>
      </c>
      <c r="B931" s="1" t="s">
        <v>0</v>
      </c>
      <c r="C931" s="1" t="s">
        <v>1</v>
      </c>
      <c r="D931" s="1" t="s">
        <v>11326</v>
      </c>
      <c r="E931" s="1" t="s">
        <v>11327</v>
      </c>
      <c r="F931" s="1" t="s">
        <v>11328</v>
      </c>
      <c r="H931" s="2" t="s">
        <v>5</v>
      </c>
      <c r="I931" s="2" t="s">
        <v>6</v>
      </c>
      <c r="J931" s="2" t="s">
        <v>5</v>
      </c>
      <c r="K931" s="2" t="s">
        <v>5</v>
      </c>
      <c r="L931" s="2" t="s">
        <v>7</v>
      </c>
      <c r="M931" s="1" t="s">
        <v>1454</v>
      </c>
      <c r="N931" s="1" t="s">
        <v>11329</v>
      </c>
      <c r="O931" s="2" t="s">
        <v>285</v>
      </c>
      <c r="Q931" s="2" t="s">
        <v>11</v>
      </c>
      <c r="R931" s="2" t="s">
        <v>1140</v>
      </c>
      <c r="T931" s="2" t="s">
        <v>520</v>
      </c>
      <c r="U931" s="3">
        <v>2</v>
      </c>
      <c r="V931" s="3">
        <v>2</v>
      </c>
      <c r="W931" s="4" t="s">
        <v>216</v>
      </c>
      <c r="X931" s="4" t="s">
        <v>216</v>
      </c>
      <c r="Y931" s="4" t="s">
        <v>329</v>
      </c>
      <c r="Z931" s="4" t="s">
        <v>329</v>
      </c>
      <c r="AA931" s="3">
        <v>205</v>
      </c>
      <c r="AB931" s="3">
        <v>181</v>
      </c>
      <c r="AC931" s="3">
        <v>188</v>
      </c>
      <c r="AD931" s="3">
        <v>2</v>
      </c>
      <c r="AE931" s="3">
        <v>2</v>
      </c>
      <c r="AF931" s="3">
        <v>7</v>
      </c>
      <c r="AG931" s="3">
        <v>7</v>
      </c>
      <c r="AH931" s="3">
        <v>2</v>
      </c>
      <c r="AI931" s="3">
        <v>2</v>
      </c>
      <c r="AJ931" s="3">
        <v>1</v>
      </c>
      <c r="AK931" s="3">
        <v>1</v>
      </c>
      <c r="AL931" s="3">
        <v>2</v>
      </c>
      <c r="AM931" s="3">
        <v>2</v>
      </c>
      <c r="AN931" s="3">
        <v>1</v>
      </c>
      <c r="AO931" s="3">
        <v>1</v>
      </c>
      <c r="AP931" s="3">
        <v>1</v>
      </c>
      <c r="AQ931" s="3">
        <v>1</v>
      </c>
      <c r="AR931" s="2" t="s">
        <v>5</v>
      </c>
      <c r="AS931" s="2" t="s">
        <v>16</v>
      </c>
      <c r="AT931" s="5" t="str">
        <f>HYPERLINK("http://catalog.hathitrust.org/Record/000098722","HathiTrust Record")</f>
        <v>HathiTrust Record</v>
      </c>
      <c r="AU931" s="5" t="str">
        <f>HYPERLINK("https://creighton-primo.hosted.exlibrisgroup.com/primo-explore/search?tab=default_tab&amp;search_scope=EVERYTHING&amp;vid=01CRU&amp;lang=en_US&amp;offset=0&amp;query=any,contains,991000737669702656","Catalog Record")</f>
        <v>Catalog Record</v>
      </c>
      <c r="AV931" s="5" t="str">
        <f>HYPERLINK("http://www.worldcat.org/oclc/5171930","WorldCat Record")</f>
        <v>WorldCat Record</v>
      </c>
      <c r="AW931" s="2" t="s">
        <v>11330</v>
      </c>
      <c r="AX931" s="2" t="s">
        <v>11331</v>
      </c>
      <c r="AY931" s="2" t="s">
        <v>11332</v>
      </c>
      <c r="AZ931" s="2" t="s">
        <v>11332</v>
      </c>
      <c r="BA931" s="2" t="s">
        <v>11333</v>
      </c>
      <c r="BB931" s="2" t="s">
        <v>21</v>
      </c>
      <c r="BD931" s="2" t="s">
        <v>11334</v>
      </c>
      <c r="BE931" s="2" t="s">
        <v>11335</v>
      </c>
      <c r="BF931" s="2" t="s">
        <v>11336</v>
      </c>
    </row>
    <row r="932" spans="1:58" ht="41.25" customHeight="1" x14ac:dyDescent="0.25">
      <c r="A932" s="8" t="s">
        <v>5</v>
      </c>
      <c r="B932" s="1" t="s">
        <v>0</v>
      </c>
      <c r="C932" s="1" t="s">
        <v>1</v>
      </c>
      <c r="D932" s="1" t="s">
        <v>11337</v>
      </c>
      <c r="E932" s="1" t="s">
        <v>11338</v>
      </c>
      <c r="F932" s="1" t="s">
        <v>11339</v>
      </c>
      <c r="H932" s="2" t="s">
        <v>5</v>
      </c>
      <c r="I932" s="2" t="s">
        <v>6</v>
      </c>
      <c r="J932" s="2" t="s">
        <v>5</v>
      </c>
      <c r="K932" s="2" t="s">
        <v>5</v>
      </c>
      <c r="L932" s="2" t="s">
        <v>7</v>
      </c>
      <c r="N932" s="1" t="s">
        <v>11340</v>
      </c>
      <c r="O932" s="2" t="s">
        <v>354</v>
      </c>
      <c r="Q932" s="2" t="s">
        <v>11</v>
      </c>
      <c r="R932" s="2" t="s">
        <v>426</v>
      </c>
      <c r="S932" s="1" t="s">
        <v>10593</v>
      </c>
      <c r="T932" s="2" t="s">
        <v>520</v>
      </c>
      <c r="U932" s="3">
        <v>1</v>
      </c>
      <c r="V932" s="3">
        <v>1</v>
      </c>
      <c r="W932" s="4" t="s">
        <v>11341</v>
      </c>
      <c r="X932" s="4" t="s">
        <v>11341</v>
      </c>
      <c r="Y932" s="4" t="s">
        <v>3695</v>
      </c>
      <c r="Z932" s="4" t="s">
        <v>3695</v>
      </c>
      <c r="AA932" s="3">
        <v>68</v>
      </c>
      <c r="AB932" s="3">
        <v>58</v>
      </c>
      <c r="AC932" s="3">
        <v>60</v>
      </c>
      <c r="AD932" s="3">
        <v>2</v>
      </c>
      <c r="AE932" s="3">
        <v>2</v>
      </c>
      <c r="AF932" s="3">
        <v>0</v>
      </c>
      <c r="AG932" s="3">
        <v>0</v>
      </c>
      <c r="AH932" s="3">
        <v>0</v>
      </c>
      <c r="AI932" s="3">
        <v>0</v>
      </c>
      <c r="AJ932" s="3">
        <v>0</v>
      </c>
      <c r="AK932" s="3">
        <v>0</v>
      </c>
      <c r="AL932" s="3">
        <v>0</v>
      </c>
      <c r="AM932" s="3">
        <v>0</v>
      </c>
      <c r="AN932" s="3">
        <v>0</v>
      </c>
      <c r="AO932" s="3">
        <v>0</v>
      </c>
      <c r="AP932" s="3">
        <v>0</v>
      </c>
      <c r="AQ932" s="3">
        <v>0</v>
      </c>
      <c r="AR932" s="2" t="s">
        <v>5</v>
      </c>
      <c r="AS932" s="2" t="s">
        <v>16</v>
      </c>
      <c r="AT932" s="5" t="str">
        <f>HYPERLINK("http://catalog.hathitrust.org/Record/000718837","HathiTrust Record")</f>
        <v>HathiTrust Record</v>
      </c>
      <c r="AU932" s="5" t="str">
        <f>HYPERLINK("https://creighton-primo.hosted.exlibrisgroup.com/primo-explore/search?tab=default_tab&amp;search_scope=EVERYTHING&amp;vid=01CRU&amp;lang=en_US&amp;offset=0&amp;query=any,contains,991000843209702656","Catalog Record")</f>
        <v>Catalog Record</v>
      </c>
      <c r="AV932" s="5" t="str">
        <f>HYPERLINK("http://www.worldcat.org/oclc/6249551","WorldCat Record")</f>
        <v>WorldCat Record</v>
      </c>
      <c r="AW932" s="2" t="s">
        <v>11342</v>
      </c>
      <c r="AX932" s="2" t="s">
        <v>11343</v>
      </c>
      <c r="AY932" s="2" t="s">
        <v>11344</v>
      </c>
      <c r="AZ932" s="2" t="s">
        <v>11344</v>
      </c>
      <c r="BA932" s="2" t="s">
        <v>11345</v>
      </c>
      <c r="BB932" s="2" t="s">
        <v>21</v>
      </c>
      <c r="BD932" s="2" t="s">
        <v>11346</v>
      </c>
      <c r="BE932" s="2" t="s">
        <v>11347</v>
      </c>
      <c r="BF932" s="2" t="s">
        <v>11348</v>
      </c>
    </row>
    <row r="933" spans="1:58" ht="41.25" customHeight="1" x14ac:dyDescent="0.25">
      <c r="A933" s="8" t="s">
        <v>5</v>
      </c>
      <c r="B933" s="1" t="s">
        <v>0</v>
      </c>
      <c r="C933" s="1" t="s">
        <v>1</v>
      </c>
      <c r="D933" s="1" t="s">
        <v>11349</v>
      </c>
      <c r="E933" s="1" t="s">
        <v>11350</v>
      </c>
      <c r="F933" s="1" t="s">
        <v>11351</v>
      </c>
      <c r="H933" s="2" t="s">
        <v>5</v>
      </c>
      <c r="I933" s="2" t="s">
        <v>6</v>
      </c>
      <c r="J933" s="2" t="s">
        <v>5</v>
      </c>
      <c r="K933" s="2" t="s">
        <v>5</v>
      </c>
      <c r="L933" s="2" t="s">
        <v>7</v>
      </c>
      <c r="M933" s="1" t="s">
        <v>11352</v>
      </c>
      <c r="N933" s="1" t="s">
        <v>10843</v>
      </c>
      <c r="O933" s="2" t="s">
        <v>228</v>
      </c>
      <c r="Q933" s="2" t="s">
        <v>11</v>
      </c>
      <c r="R933" s="2" t="s">
        <v>426</v>
      </c>
      <c r="T933" s="2" t="s">
        <v>520</v>
      </c>
      <c r="U933" s="3">
        <v>11</v>
      </c>
      <c r="V933" s="3">
        <v>11</v>
      </c>
      <c r="W933" s="4" t="s">
        <v>11353</v>
      </c>
      <c r="X933" s="4" t="s">
        <v>11353</v>
      </c>
      <c r="Y933" s="4" t="s">
        <v>329</v>
      </c>
      <c r="Z933" s="4" t="s">
        <v>329</v>
      </c>
      <c r="AA933" s="3">
        <v>280</v>
      </c>
      <c r="AB933" s="3">
        <v>236</v>
      </c>
      <c r="AC933" s="3">
        <v>507</v>
      </c>
      <c r="AD933" s="3">
        <v>2</v>
      </c>
      <c r="AE933" s="3">
        <v>4</v>
      </c>
      <c r="AF933" s="3">
        <v>8</v>
      </c>
      <c r="AG933" s="3">
        <v>12</v>
      </c>
      <c r="AH933" s="3">
        <v>3</v>
      </c>
      <c r="AI933" s="3">
        <v>4</v>
      </c>
      <c r="AJ933" s="3">
        <v>0</v>
      </c>
      <c r="AK933" s="3">
        <v>1</v>
      </c>
      <c r="AL933" s="3">
        <v>5</v>
      </c>
      <c r="AM933" s="3">
        <v>9</v>
      </c>
      <c r="AN933" s="3">
        <v>1</v>
      </c>
      <c r="AO933" s="3">
        <v>1</v>
      </c>
      <c r="AP933" s="3">
        <v>0</v>
      </c>
      <c r="AQ933" s="3">
        <v>0</v>
      </c>
      <c r="AR933" s="2" t="s">
        <v>5</v>
      </c>
      <c r="AS933" s="2" t="s">
        <v>16</v>
      </c>
      <c r="AT933" s="5" t="str">
        <f>HYPERLINK("http://catalog.hathitrust.org/Record/000762850","HathiTrust Record")</f>
        <v>HathiTrust Record</v>
      </c>
      <c r="AU933" s="5" t="str">
        <f>HYPERLINK("https://creighton-primo.hosted.exlibrisgroup.com/primo-explore/search?tab=default_tab&amp;search_scope=EVERYTHING&amp;vid=01CRU&amp;lang=en_US&amp;offset=0&amp;query=any,contains,991000737629702656","Catalog Record")</f>
        <v>Catalog Record</v>
      </c>
      <c r="AV933" s="5" t="str">
        <f>HYPERLINK("http://www.worldcat.org/oclc/7924401","WorldCat Record")</f>
        <v>WorldCat Record</v>
      </c>
      <c r="AW933" s="2" t="s">
        <v>11354</v>
      </c>
      <c r="AX933" s="2" t="s">
        <v>11355</v>
      </c>
      <c r="AY933" s="2" t="s">
        <v>11356</v>
      </c>
      <c r="AZ933" s="2" t="s">
        <v>11356</v>
      </c>
      <c r="BA933" s="2" t="s">
        <v>11357</v>
      </c>
      <c r="BB933" s="2" t="s">
        <v>21</v>
      </c>
      <c r="BD933" s="2" t="s">
        <v>11358</v>
      </c>
      <c r="BE933" s="2" t="s">
        <v>11359</v>
      </c>
      <c r="BF933" s="2" t="s">
        <v>11360</v>
      </c>
    </row>
    <row r="934" spans="1:58" ht="41.25" customHeight="1" x14ac:dyDescent="0.25">
      <c r="A934" s="8" t="s">
        <v>5</v>
      </c>
      <c r="B934" s="1" t="s">
        <v>0</v>
      </c>
      <c r="C934" s="1" t="s">
        <v>1</v>
      </c>
      <c r="D934" s="1" t="s">
        <v>11361</v>
      </c>
      <c r="E934" s="1" t="s">
        <v>11362</v>
      </c>
      <c r="F934" s="1" t="s">
        <v>11363</v>
      </c>
      <c r="H934" s="2" t="s">
        <v>5</v>
      </c>
      <c r="I934" s="2" t="s">
        <v>6</v>
      </c>
      <c r="J934" s="2" t="s">
        <v>5</v>
      </c>
      <c r="K934" s="2" t="s">
        <v>5</v>
      </c>
      <c r="L934" s="2" t="s">
        <v>7</v>
      </c>
      <c r="N934" s="1" t="s">
        <v>10808</v>
      </c>
      <c r="O934" s="2" t="s">
        <v>794</v>
      </c>
      <c r="Q934" s="2" t="s">
        <v>11</v>
      </c>
      <c r="R934" s="2" t="s">
        <v>1140</v>
      </c>
      <c r="T934" s="2" t="s">
        <v>520</v>
      </c>
      <c r="U934" s="3">
        <v>12</v>
      </c>
      <c r="V934" s="3">
        <v>12</v>
      </c>
      <c r="W934" s="4" t="s">
        <v>11364</v>
      </c>
      <c r="X934" s="4" t="s">
        <v>11364</v>
      </c>
      <c r="Y934" s="4" t="s">
        <v>11365</v>
      </c>
      <c r="Z934" s="4" t="s">
        <v>11365</v>
      </c>
      <c r="AA934" s="3">
        <v>281</v>
      </c>
      <c r="AB934" s="3">
        <v>250</v>
      </c>
      <c r="AC934" s="3">
        <v>257</v>
      </c>
      <c r="AD934" s="3">
        <v>3</v>
      </c>
      <c r="AE934" s="3">
        <v>3</v>
      </c>
      <c r="AF934" s="3">
        <v>14</v>
      </c>
      <c r="AG934" s="3">
        <v>14</v>
      </c>
      <c r="AH934" s="3">
        <v>5</v>
      </c>
      <c r="AI934" s="3">
        <v>5</v>
      </c>
      <c r="AJ934" s="3">
        <v>3</v>
      </c>
      <c r="AK934" s="3">
        <v>3</v>
      </c>
      <c r="AL934" s="3">
        <v>7</v>
      </c>
      <c r="AM934" s="3">
        <v>7</v>
      </c>
      <c r="AN934" s="3">
        <v>2</v>
      </c>
      <c r="AO934" s="3">
        <v>2</v>
      </c>
      <c r="AP934" s="3">
        <v>0</v>
      </c>
      <c r="AQ934" s="3">
        <v>0</v>
      </c>
      <c r="AR934" s="2" t="s">
        <v>5</v>
      </c>
      <c r="AS934" s="2" t="s">
        <v>16</v>
      </c>
      <c r="AT934" s="5" t="str">
        <f>HYPERLINK("http://catalog.hathitrust.org/Record/003049644","HathiTrust Record")</f>
        <v>HathiTrust Record</v>
      </c>
      <c r="AU934" s="5" t="str">
        <f>HYPERLINK("https://creighton-primo.hosted.exlibrisgroup.com/primo-explore/search?tab=default_tab&amp;search_scope=EVERYTHING&amp;vid=01CRU&amp;lang=en_US&amp;offset=0&amp;query=any,contains,991001488499702656","Catalog Record")</f>
        <v>Catalog Record</v>
      </c>
      <c r="AV934" s="5" t="str">
        <f>HYPERLINK("http://www.worldcat.org/oclc/33838218","WorldCat Record")</f>
        <v>WorldCat Record</v>
      </c>
      <c r="AW934" s="2" t="s">
        <v>11366</v>
      </c>
      <c r="AX934" s="2" t="s">
        <v>11367</v>
      </c>
      <c r="AY934" s="2" t="s">
        <v>11368</v>
      </c>
      <c r="AZ934" s="2" t="s">
        <v>11368</v>
      </c>
      <c r="BA934" s="2" t="s">
        <v>11369</v>
      </c>
      <c r="BB934" s="2" t="s">
        <v>21</v>
      </c>
      <c r="BD934" s="2" t="s">
        <v>11370</v>
      </c>
      <c r="BE934" s="2" t="s">
        <v>11371</v>
      </c>
      <c r="BF934" s="2" t="s">
        <v>11372</v>
      </c>
    </row>
    <row r="935" spans="1:58" ht="41.25" customHeight="1" x14ac:dyDescent="0.25">
      <c r="A935" s="8" t="s">
        <v>5</v>
      </c>
      <c r="B935" s="1" t="s">
        <v>0</v>
      </c>
      <c r="C935" s="1" t="s">
        <v>1</v>
      </c>
      <c r="D935" s="1" t="s">
        <v>11373</v>
      </c>
      <c r="E935" s="1" t="s">
        <v>11374</v>
      </c>
      <c r="F935" s="1" t="s">
        <v>11375</v>
      </c>
      <c r="H935" s="2" t="s">
        <v>5</v>
      </c>
      <c r="I935" s="2" t="s">
        <v>6</v>
      </c>
      <c r="J935" s="2" t="s">
        <v>5</v>
      </c>
      <c r="K935" s="2" t="s">
        <v>5</v>
      </c>
      <c r="L935" s="2" t="s">
        <v>7</v>
      </c>
      <c r="N935" s="1" t="s">
        <v>11376</v>
      </c>
      <c r="O935" s="2" t="s">
        <v>888</v>
      </c>
      <c r="Q935" s="2" t="s">
        <v>11</v>
      </c>
      <c r="R935" s="2" t="s">
        <v>426</v>
      </c>
      <c r="T935" s="2" t="s">
        <v>520</v>
      </c>
      <c r="U935" s="3">
        <v>10</v>
      </c>
      <c r="V935" s="3">
        <v>10</v>
      </c>
      <c r="W935" s="4" t="s">
        <v>6182</v>
      </c>
      <c r="X935" s="4" t="s">
        <v>6182</v>
      </c>
      <c r="Y935" s="4" t="s">
        <v>96</v>
      </c>
      <c r="Z935" s="4" t="s">
        <v>96</v>
      </c>
      <c r="AA935" s="3">
        <v>230</v>
      </c>
      <c r="AB935" s="3">
        <v>183</v>
      </c>
      <c r="AC935" s="3">
        <v>190</v>
      </c>
      <c r="AD935" s="3">
        <v>2</v>
      </c>
      <c r="AE935" s="3">
        <v>2</v>
      </c>
      <c r="AF935" s="3">
        <v>4</v>
      </c>
      <c r="AG935" s="3">
        <v>4</v>
      </c>
      <c r="AH935" s="3">
        <v>2</v>
      </c>
      <c r="AI935" s="3">
        <v>2</v>
      </c>
      <c r="AJ935" s="3">
        <v>0</v>
      </c>
      <c r="AK935" s="3">
        <v>0</v>
      </c>
      <c r="AL935" s="3">
        <v>1</v>
      </c>
      <c r="AM935" s="3">
        <v>1</v>
      </c>
      <c r="AN935" s="3">
        <v>1</v>
      </c>
      <c r="AO935" s="3">
        <v>1</v>
      </c>
      <c r="AP935" s="3">
        <v>0</v>
      </c>
      <c r="AQ935" s="3">
        <v>0</v>
      </c>
      <c r="AR935" s="2" t="s">
        <v>5</v>
      </c>
      <c r="AS935" s="2" t="s">
        <v>16</v>
      </c>
      <c r="AT935" s="5" t="str">
        <f>HYPERLINK("http://catalog.hathitrust.org/Record/000163126","HathiTrust Record")</f>
        <v>HathiTrust Record</v>
      </c>
      <c r="AU935" s="5" t="str">
        <f>HYPERLINK("https://creighton-primo.hosted.exlibrisgroup.com/primo-explore/search?tab=default_tab&amp;search_scope=EVERYTHING&amp;vid=01CRU&amp;lang=en_US&amp;offset=0&amp;query=any,contains,991001144249702656","Catalog Record")</f>
        <v>Catalog Record</v>
      </c>
      <c r="AV935" s="5" t="str">
        <f>HYPERLINK("http://www.worldcat.org/oclc/9533423","WorldCat Record")</f>
        <v>WorldCat Record</v>
      </c>
      <c r="AW935" s="2" t="s">
        <v>11377</v>
      </c>
      <c r="AX935" s="2" t="s">
        <v>11378</v>
      </c>
      <c r="AY935" s="2" t="s">
        <v>11379</v>
      </c>
      <c r="AZ935" s="2" t="s">
        <v>11379</v>
      </c>
      <c r="BA935" s="2" t="s">
        <v>11380</v>
      </c>
      <c r="BB935" s="2" t="s">
        <v>21</v>
      </c>
      <c r="BD935" s="2" t="s">
        <v>11381</v>
      </c>
      <c r="BE935" s="2" t="s">
        <v>11382</v>
      </c>
      <c r="BF935" s="2" t="s">
        <v>11383</v>
      </c>
    </row>
    <row r="936" spans="1:58" ht="41.25" customHeight="1" x14ac:dyDescent="0.25">
      <c r="A936" s="8" t="s">
        <v>5</v>
      </c>
      <c r="B936" s="1" t="s">
        <v>0</v>
      </c>
      <c r="C936" s="1" t="s">
        <v>1</v>
      </c>
      <c r="D936" s="1" t="s">
        <v>11384</v>
      </c>
      <c r="E936" s="1" t="s">
        <v>11385</v>
      </c>
      <c r="F936" s="1" t="s">
        <v>11386</v>
      </c>
      <c r="H936" s="2" t="s">
        <v>5</v>
      </c>
      <c r="I936" s="2" t="s">
        <v>6</v>
      </c>
      <c r="J936" s="2" t="s">
        <v>5</v>
      </c>
      <c r="K936" s="2" t="s">
        <v>5</v>
      </c>
      <c r="L936" s="2" t="s">
        <v>7</v>
      </c>
      <c r="N936" s="1" t="s">
        <v>5990</v>
      </c>
      <c r="O936" s="2" t="s">
        <v>546</v>
      </c>
      <c r="Q936" s="2" t="s">
        <v>11</v>
      </c>
      <c r="R936" s="2" t="s">
        <v>271</v>
      </c>
      <c r="T936" s="2" t="s">
        <v>520</v>
      </c>
      <c r="U936" s="3">
        <v>4</v>
      </c>
      <c r="V936" s="3">
        <v>4</v>
      </c>
      <c r="W936" s="4" t="s">
        <v>11387</v>
      </c>
      <c r="X936" s="4" t="s">
        <v>11387</v>
      </c>
      <c r="Y936" s="4" t="s">
        <v>11388</v>
      </c>
      <c r="Z936" s="4" t="s">
        <v>11388</v>
      </c>
      <c r="AA936" s="3">
        <v>213</v>
      </c>
      <c r="AB936" s="3">
        <v>191</v>
      </c>
      <c r="AC936" s="3">
        <v>1082</v>
      </c>
      <c r="AD936" s="3">
        <v>3</v>
      </c>
      <c r="AE936" s="3">
        <v>4</v>
      </c>
      <c r="AF936" s="3">
        <v>12</v>
      </c>
      <c r="AG936" s="3">
        <v>25</v>
      </c>
      <c r="AH936" s="3">
        <v>6</v>
      </c>
      <c r="AI936" s="3">
        <v>15</v>
      </c>
      <c r="AJ936" s="3">
        <v>2</v>
      </c>
      <c r="AK936" s="3">
        <v>5</v>
      </c>
      <c r="AL936" s="3">
        <v>8</v>
      </c>
      <c r="AM936" s="3">
        <v>11</v>
      </c>
      <c r="AN936" s="3">
        <v>2</v>
      </c>
      <c r="AO936" s="3">
        <v>3</v>
      </c>
      <c r="AP936" s="3">
        <v>0</v>
      </c>
      <c r="AQ936" s="3">
        <v>0</v>
      </c>
      <c r="AR936" s="2" t="s">
        <v>5</v>
      </c>
      <c r="AS936" s="2" t="s">
        <v>16</v>
      </c>
      <c r="AT936" s="5" t="str">
        <f>HYPERLINK("http://catalog.hathitrust.org/Record/002795320","HathiTrust Record")</f>
        <v>HathiTrust Record</v>
      </c>
      <c r="AU936" s="5" t="str">
        <f>HYPERLINK("https://creighton-primo.hosted.exlibrisgroup.com/primo-explore/search?tab=default_tab&amp;search_scope=EVERYTHING&amp;vid=01CRU&amp;lang=en_US&amp;offset=0&amp;query=any,contains,991000649519702656","Catalog Record")</f>
        <v>Catalog Record</v>
      </c>
      <c r="AV936" s="5" t="str">
        <f>HYPERLINK("http://www.worldcat.org/oclc/28294995","WorldCat Record")</f>
        <v>WorldCat Record</v>
      </c>
      <c r="AW936" s="2" t="s">
        <v>11389</v>
      </c>
      <c r="AX936" s="2" t="s">
        <v>11390</v>
      </c>
      <c r="AY936" s="2" t="s">
        <v>11391</v>
      </c>
      <c r="AZ936" s="2" t="s">
        <v>11391</v>
      </c>
      <c r="BA936" s="2" t="s">
        <v>11392</v>
      </c>
      <c r="BB936" s="2" t="s">
        <v>21</v>
      </c>
      <c r="BD936" s="2" t="s">
        <v>11393</v>
      </c>
      <c r="BE936" s="2" t="s">
        <v>11394</v>
      </c>
      <c r="BF936" s="2" t="s">
        <v>11395</v>
      </c>
    </row>
    <row r="937" spans="1:58" ht="41.25" customHeight="1" x14ac:dyDescent="0.25">
      <c r="A937" s="8" t="s">
        <v>5</v>
      </c>
      <c r="B937" s="1" t="s">
        <v>0</v>
      </c>
      <c r="C937" s="1" t="s">
        <v>1</v>
      </c>
      <c r="D937" s="1" t="s">
        <v>11396</v>
      </c>
      <c r="E937" s="1" t="s">
        <v>11397</v>
      </c>
      <c r="F937" s="1" t="s">
        <v>11398</v>
      </c>
      <c r="H937" s="2" t="s">
        <v>5</v>
      </c>
      <c r="I937" s="2" t="s">
        <v>6</v>
      </c>
      <c r="J937" s="2" t="s">
        <v>5</v>
      </c>
      <c r="K937" s="2" t="s">
        <v>16</v>
      </c>
      <c r="L937" s="2" t="s">
        <v>7</v>
      </c>
      <c r="N937" s="1" t="s">
        <v>988</v>
      </c>
      <c r="O937" s="2" t="s">
        <v>989</v>
      </c>
      <c r="P937" s="1" t="s">
        <v>211</v>
      </c>
      <c r="Q937" s="2" t="s">
        <v>11</v>
      </c>
      <c r="R937" s="2" t="s">
        <v>426</v>
      </c>
      <c r="T937" s="2" t="s">
        <v>520</v>
      </c>
      <c r="U937" s="3">
        <v>17</v>
      </c>
      <c r="V937" s="3">
        <v>17</v>
      </c>
      <c r="W937" s="4" t="s">
        <v>10457</v>
      </c>
      <c r="X937" s="4" t="s">
        <v>10457</v>
      </c>
      <c r="Y937" s="4" t="s">
        <v>7656</v>
      </c>
      <c r="Z937" s="4" t="s">
        <v>7656</v>
      </c>
      <c r="AA937" s="3">
        <v>328</v>
      </c>
      <c r="AB937" s="3">
        <v>241</v>
      </c>
      <c r="AC937" s="3">
        <v>1136</v>
      </c>
      <c r="AD937" s="3">
        <v>3</v>
      </c>
      <c r="AE937" s="3">
        <v>9</v>
      </c>
      <c r="AF937" s="3">
        <v>7</v>
      </c>
      <c r="AG937" s="3">
        <v>40</v>
      </c>
      <c r="AH937" s="3">
        <v>2</v>
      </c>
      <c r="AI937" s="3">
        <v>17</v>
      </c>
      <c r="AJ937" s="3">
        <v>2</v>
      </c>
      <c r="AK937" s="3">
        <v>7</v>
      </c>
      <c r="AL937" s="3">
        <v>5</v>
      </c>
      <c r="AM937" s="3">
        <v>16</v>
      </c>
      <c r="AN937" s="3">
        <v>1</v>
      </c>
      <c r="AO937" s="3">
        <v>7</v>
      </c>
      <c r="AP937" s="3">
        <v>0</v>
      </c>
      <c r="AQ937" s="3">
        <v>0</v>
      </c>
      <c r="AR937" s="2" t="s">
        <v>5</v>
      </c>
      <c r="AS937" s="2" t="s">
        <v>16</v>
      </c>
      <c r="AT937" s="5" t="str">
        <f>HYPERLINK("http://catalog.hathitrust.org/Record/002064164","HathiTrust Record")</f>
        <v>HathiTrust Record</v>
      </c>
      <c r="AU937" s="5" t="str">
        <f>HYPERLINK("https://creighton-primo.hosted.exlibrisgroup.com/primo-explore/search?tab=default_tab&amp;search_scope=EVERYTHING&amp;vid=01CRU&amp;lang=en_US&amp;offset=0&amp;query=any,contains,991001450519702656","Catalog Record")</f>
        <v>Catalog Record</v>
      </c>
      <c r="AV937" s="5" t="str">
        <f>HYPERLINK("http://www.worldcat.org/oclc/20594599","WorldCat Record")</f>
        <v>WorldCat Record</v>
      </c>
      <c r="AW937" s="2" t="s">
        <v>11399</v>
      </c>
      <c r="AX937" s="2" t="s">
        <v>11400</v>
      </c>
      <c r="AY937" s="2" t="s">
        <v>11401</v>
      </c>
      <c r="AZ937" s="2" t="s">
        <v>11401</v>
      </c>
      <c r="BA937" s="2" t="s">
        <v>11402</v>
      </c>
      <c r="BB937" s="2" t="s">
        <v>21</v>
      </c>
      <c r="BD937" s="2" t="s">
        <v>11403</v>
      </c>
      <c r="BE937" s="2" t="s">
        <v>11404</v>
      </c>
      <c r="BF937" s="2" t="s">
        <v>11405</v>
      </c>
    </row>
    <row r="938" spans="1:58" ht="41.25" customHeight="1" x14ac:dyDescent="0.25">
      <c r="A938" s="8" t="s">
        <v>5</v>
      </c>
      <c r="B938" s="1" t="s">
        <v>0</v>
      </c>
      <c r="C938" s="1" t="s">
        <v>1</v>
      </c>
      <c r="D938" s="1" t="s">
        <v>11406</v>
      </c>
      <c r="E938" s="1" t="s">
        <v>11407</v>
      </c>
      <c r="F938" s="1" t="s">
        <v>11398</v>
      </c>
      <c r="H938" s="2" t="s">
        <v>5</v>
      </c>
      <c r="I938" s="2" t="s">
        <v>6</v>
      </c>
      <c r="J938" s="2" t="s">
        <v>5</v>
      </c>
      <c r="K938" s="2" t="s">
        <v>16</v>
      </c>
      <c r="L938" s="2" t="s">
        <v>7</v>
      </c>
      <c r="N938" s="1" t="s">
        <v>1602</v>
      </c>
      <c r="O938" s="2" t="s">
        <v>1378</v>
      </c>
      <c r="P938" s="1" t="s">
        <v>1208</v>
      </c>
      <c r="Q938" s="2" t="s">
        <v>11</v>
      </c>
      <c r="R938" s="2" t="s">
        <v>31</v>
      </c>
      <c r="T938" s="2" t="s">
        <v>520</v>
      </c>
      <c r="U938" s="3">
        <v>10</v>
      </c>
      <c r="V938" s="3">
        <v>10</v>
      </c>
      <c r="W938" s="4" t="s">
        <v>11408</v>
      </c>
      <c r="X938" s="4" t="s">
        <v>11408</v>
      </c>
      <c r="Y938" s="4" t="s">
        <v>6832</v>
      </c>
      <c r="Z938" s="4" t="s">
        <v>6832</v>
      </c>
      <c r="AA938" s="3">
        <v>365</v>
      </c>
      <c r="AB938" s="3">
        <v>264</v>
      </c>
      <c r="AC938" s="3">
        <v>1136</v>
      </c>
      <c r="AD938" s="3">
        <v>2</v>
      </c>
      <c r="AE938" s="3">
        <v>9</v>
      </c>
      <c r="AF938" s="3">
        <v>9</v>
      </c>
      <c r="AG938" s="3">
        <v>40</v>
      </c>
      <c r="AH938" s="3">
        <v>2</v>
      </c>
      <c r="AI938" s="3">
        <v>17</v>
      </c>
      <c r="AJ938" s="3">
        <v>4</v>
      </c>
      <c r="AK938" s="3">
        <v>7</v>
      </c>
      <c r="AL938" s="3">
        <v>4</v>
      </c>
      <c r="AM938" s="3">
        <v>16</v>
      </c>
      <c r="AN938" s="3">
        <v>1</v>
      </c>
      <c r="AO938" s="3">
        <v>7</v>
      </c>
      <c r="AP938" s="3">
        <v>0</v>
      </c>
      <c r="AQ938" s="3">
        <v>0</v>
      </c>
      <c r="AR938" s="2" t="s">
        <v>5</v>
      </c>
      <c r="AS938" s="2" t="s">
        <v>16</v>
      </c>
      <c r="AT938" s="5" t="str">
        <f>HYPERLINK("http://catalog.hathitrust.org/Record/003959837","HathiTrust Record")</f>
        <v>HathiTrust Record</v>
      </c>
      <c r="AU938" s="5" t="str">
        <f>HYPERLINK("https://creighton-primo.hosted.exlibrisgroup.com/primo-explore/search?tab=default_tab&amp;search_scope=EVERYTHING&amp;vid=01CRU&amp;lang=en_US&amp;offset=0&amp;query=any,contains,991001305909702656","Catalog Record")</f>
        <v>Catalog Record</v>
      </c>
      <c r="AV938" s="5" t="str">
        <f>HYPERLINK("http://www.worldcat.org/oclc/37615817","WorldCat Record")</f>
        <v>WorldCat Record</v>
      </c>
      <c r="AW938" s="2" t="s">
        <v>11399</v>
      </c>
      <c r="AX938" s="2" t="s">
        <v>11409</v>
      </c>
      <c r="AY938" s="2" t="s">
        <v>11410</v>
      </c>
      <c r="AZ938" s="2" t="s">
        <v>11410</v>
      </c>
      <c r="BA938" s="2" t="s">
        <v>11411</v>
      </c>
      <c r="BB938" s="2" t="s">
        <v>21</v>
      </c>
      <c r="BD938" s="2" t="s">
        <v>11412</v>
      </c>
      <c r="BE938" s="2" t="s">
        <v>11413</v>
      </c>
      <c r="BF938" s="2" t="s">
        <v>11414</v>
      </c>
    </row>
    <row r="939" spans="1:58" ht="41.25" customHeight="1" x14ac:dyDescent="0.25">
      <c r="A939" s="8" t="s">
        <v>5</v>
      </c>
      <c r="B939" s="1" t="s">
        <v>0</v>
      </c>
      <c r="C939" s="1" t="s">
        <v>1</v>
      </c>
      <c r="D939" s="1" t="s">
        <v>11415</v>
      </c>
      <c r="E939" s="1" t="s">
        <v>11416</v>
      </c>
      <c r="F939" s="1" t="s">
        <v>11398</v>
      </c>
      <c r="H939" s="2" t="s">
        <v>5</v>
      </c>
      <c r="I939" s="2" t="s">
        <v>6</v>
      </c>
      <c r="J939" s="2" t="s">
        <v>5</v>
      </c>
      <c r="K939" s="2" t="s">
        <v>16</v>
      </c>
      <c r="L939" s="2" t="s">
        <v>7</v>
      </c>
      <c r="N939" s="1" t="s">
        <v>7967</v>
      </c>
      <c r="O939" s="2" t="s">
        <v>107</v>
      </c>
      <c r="P939" s="1" t="s">
        <v>63</v>
      </c>
      <c r="Q939" s="2" t="s">
        <v>11</v>
      </c>
      <c r="R939" s="2" t="s">
        <v>31</v>
      </c>
      <c r="T939" s="2" t="s">
        <v>520</v>
      </c>
      <c r="U939" s="3">
        <v>1</v>
      </c>
      <c r="V939" s="3">
        <v>1</v>
      </c>
      <c r="W939" s="4" t="s">
        <v>11417</v>
      </c>
      <c r="X939" s="4" t="s">
        <v>11417</v>
      </c>
      <c r="Y939" s="4" t="s">
        <v>11306</v>
      </c>
      <c r="Z939" s="4" t="s">
        <v>11306</v>
      </c>
      <c r="AA939" s="3">
        <v>474</v>
      </c>
      <c r="AB939" s="3">
        <v>334</v>
      </c>
      <c r="AC939" s="3">
        <v>1136</v>
      </c>
      <c r="AD939" s="3">
        <v>4</v>
      </c>
      <c r="AE939" s="3">
        <v>9</v>
      </c>
      <c r="AF939" s="3">
        <v>14</v>
      </c>
      <c r="AG939" s="3">
        <v>40</v>
      </c>
      <c r="AH939" s="3">
        <v>5</v>
      </c>
      <c r="AI939" s="3">
        <v>17</v>
      </c>
      <c r="AJ939" s="3">
        <v>3</v>
      </c>
      <c r="AK939" s="3">
        <v>7</v>
      </c>
      <c r="AL939" s="3">
        <v>3</v>
      </c>
      <c r="AM939" s="3">
        <v>16</v>
      </c>
      <c r="AN939" s="3">
        <v>3</v>
      </c>
      <c r="AO939" s="3">
        <v>7</v>
      </c>
      <c r="AP939" s="3">
        <v>0</v>
      </c>
      <c r="AQ939" s="3">
        <v>0</v>
      </c>
      <c r="AR939" s="2" t="s">
        <v>5</v>
      </c>
      <c r="AS939" s="2" t="s">
        <v>5</v>
      </c>
      <c r="AU939" s="5" t="str">
        <f>HYPERLINK("https://creighton-primo.hosted.exlibrisgroup.com/primo-explore/search?tab=default_tab&amp;search_scope=EVERYTHING&amp;vid=01CRU&amp;lang=en_US&amp;offset=0&amp;query=any,contains,991001738439702656","Catalog Record")</f>
        <v>Catalog Record</v>
      </c>
      <c r="AV939" s="5" t="str">
        <f>HYPERLINK("http://www.worldcat.org/oclc/250173303","WorldCat Record")</f>
        <v>WorldCat Record</v>
      </c>
      <c r="AW939" s="2" t="s">
        <v>11399</v>
      </c>
      <c r="AX939" s="2" t="s">
        <v>11418</v>
      </c>
      <c r="AY939" s="2" t="s">
        <v>11419</v>
      </c>
      <c r="AZ939" s="2" t="s">
        <v>11419</v>
      </c>
      <c r="BA939" s="2" t="s">
        <v>11420</v>
      </c>
      <c r="BB939" s="2" t="s">
        <v>21</v>
      </c>
      <c r="BD939" s="2" t="s">
        <v>11421</v>
      </c>
      <c r="BE939" s="2" t="s">
        <v>11422</v>
      </c>
      <c r="BF939" s="2" t="s">
        <v>11423</v>
      </c>
    </row>
    <row r="940" spans="1:58" ht="41.25" customHeight="1" x14ac:dyDescent="0.25">
      <c r="A940" s="8" t="s">
        <v>5</v>
      </c>
      <c r="B940" s="1" t="s">
        <v>0</v>
      </c>
      <c r="C940" s="1" t="s">
        <v>1</v>
      </c>
      <c r="D940" s="1" t="s">
        <v>11424</v>
      </c>
      <c r="E940" s="1" t="s">
        <v>11425</v>
      </c>
      <c r="F940" s="1" t="s">
        <v>11426</v>
      </c>
      <c r="H940" s="2" t="s">
        <v>5</v>
      </c>
      <c r="I940" s="2" t="s">
        <v>6</v>
      </c>
      <c r="J940" s="2" t="s">
        <v>5</v>
      </c>
      <c r="K940" s="2" t="s">
        <v>5</v>
      </c>
      <c r="L940" s="2" t="s">
        <v>7</v>
      </c>
      <c r="M940" s="1" t="s">
        <v>11427</v>
      </c>
      <c r="N940" s="1" t="s">
        <v>11428</v>
      </c>
      <c r="O940" s="2" t="s">
        <v>1391</v>
      </c>
      <c r="Q940" s="2" t="s">
        <v>11</v>
      </c>
      <c r="R940" s="2" t="s">
        <v>1325</v>
      </c>
      <c r="T940" s="2" t="s">
        <v>520</v>
      </c>
      <c r="U940" s="3">
        <v>2</v>
      </c>
      <c r="V940" s="3">
        <v>2</v>
      </c>
      <c r="W940" s="4" t="s">
        <v>11429</v>
      </c>
      <c r="X940" s="4" t="s">
        <v>11429</v>
      </c>
      <c r="Y940" s="4" t="s">
        <v>11430</v>
      </c>
      <c r="Z940" s="4" t="s">
        <v>11430</v>
      </c>
      <c r="AA940" s="3">
        <v>216</v>
      </c>
      <c r="AB940" s="3">
        <v>203</v>
      </c>
      <c r="AC940" s="3">
        <v>205</v>
      </c>
      <c r="AD940" s="3">
        <v>3</v>
      </c>
      <c r="AE940" s="3">
        <v>3</v>
      </c>
      <c r="AF940" s="3">
        <v>10</v>
      </c>
      <c r="AG940" s="3">
        <v>10</v>
      </c>
      <c r="AH940" s="3">
        <v>2</v>
      </c>
      <c r="AI940" s="3">
        <v>2</v>
      </c>
      <c r="AJ940" s="3">
        <v>3</v>
      </c>
      <c r="AK940" s="3">
        <v>3</v>
      </c>
      <c r="AL940" s="3">
        <v>4</v>
      </c>
      <c r="AM940" s="3">
        <v>4</v>
      </c>
      <c r="AN940" s="3">
        <v>2</v>
      </c>
      <c r="AO940" s="3">
        <v>2</v>
      </c>
      <c r="AP940" s="3">
        <v>0</v>
      </c>
      <c r="AQ940" s="3">
        <v>0</v>
      </c>
      <c r="AR940" s="2" t="s">
        <v>5</v>
      </c>
      <c r="AS940" s="2" t="s">
        <v>16</v>
      </c>
      <c r="AT940" s="5" t="str">
        <f>HYPERLINK("http://catalog.hathitrust.org/Record/004925368","HathiTrust Record")</f>
        <v>HathiTrust Record</v>
      </c>
      <c r="AU940" s="5" t="str">
        <f>HYPERLINK("https://creighton-primo.hosted.exlibrisgroup.com/primo-explore/search?tab=default_tab&amp;search_scope=EVERYTHING&amp;vid=01CRU&amp;lang=en_US&amp;offset=0&amp;query=any,contains,991001728419702656","Catalog Record")</f>
        <v>Catalog Record</v>
      </c>
      <c r="AV940" s="5" t="str">
        <f>HYPERLINK("http://www.worldcat.org/oclc/54817184","WorldCat Record")</f>
        <v>WorldCat Record</v>
      </c>
      <c r="AW940" s="2" t="s">
        <v>11431</v>
      </c>
      <c r="AX940" s="2" t="s">
        <v>11432</v>
      </c>
      <c r="AY940" s="2" t="s">
        <v>11433</v>
      </c>
      <c r="AZ940" s="2" t="s">
        <v>11433</v>
      </c>
      <c r="BA940" s="2" t="s">
        <v>11434</v>
      </c>
      <c r="BB940" s="2" t="s">
        <v>21</v>
      </c>
      <c r="BD940" s="2" t="s">
        <v>11435</v>
      </c>
      <c r="BE940" s="2" t="s">
        <v>11436</v>
      </c>
      <c r="BF940" s="2" t="s">
        <v>11437</v>
      </c>
    </row>
    <row r="941" spans="1:58" ht="41.25" customHeight="1" x14ac:dyDescent="0.25">
      <c r="A941" s="8" t="s">
        <v>5</v>
      </c>
      <c r="B941" s="1" t="s">
        <v>0</v>
      </c>
      <c r="C941" s="1" t="s">
        <v>1</v>
      </c>
      <c r="D941" s="1" t="s">
        <v>11438</v>
      </c>
      <c r="E941" s="1" t="s">
        <v>11439</v>
      </c>
      <c r="F941" s="1" t="s">
        <v>11440</v>
      </c>
      <c r="H941" s="2" t="s">
        <v>5</v>
      </c>
      <c r="I941" s="2" t="s">
        <v>6</v>
      </c>
      <c r="J941" s="2" t="s">
        <v>5</v>
      </c>
      <c r="K941" s="2" t="s">
        <v>5</v>
      </c>
      <c r="L941" s="2" t="s">
        <v>7</v>
      </c>
      <c r="N941" s="1" t="s">
        <v>6408</v>
      </c>
      <c r="O941" s="2" t="s">
        <v>228</v>
      </c>
      <c r="Q941" s="2" t="s">
        <v>11</v>
      </c>
      <c r="R941" s="2" t="s">
        <v>426</v>
      </c>
      <c r="T941" s="2" t="s">
        <v>520</v>
      </c>
      <c r="U941" s="3">
        <v>3</v>
      </c>
      <c r="V941" s="3">
        <v>3</v>
      </c>
      <c r="W941" s="4" t="s">
        <v>10520</v>
      </c>
      <c r="X941" s="4" t="s">
        <v>10520</v>
      </c>
      <c r="Y941" s="4" t="s">
        <v>96</v>
      </c>
      <c r="Z941" s="4" t="s">
        <v>96</v>
      </c>
      <c r="AA941" s="3">
        <v>187</v>
      </c>
      <c r="AB941" s="3">
        <v>143</v>
      </c>
      <c r="AC941" s="3">
        <v>143</v>
      </c>
      <c r="AD941" s="3">
        <v>1</v>
      </c>
      <c r="AE941" s="3">
        <v>1</v>
      </c>
      <c r="AF941" s="3">
        <v>4</v>
      </c>
      <c r="AG941" s="3">
        <v>4</v>
      </c>
      <c r="AH941" s="3">
        <v>3</v>
      </c>
      <c r="AI941" s="3">
        <v>3</v>
      </c>
      <c r="AJ941" s="3">
        <v>0</v>
      </c>
      <c r="AK941" s="3">
        <v>0</v>
      </c>
      <c r="AL941" s="3">
        <v>2</v>
      </c>
      <c r="AM941" s="3">
        <v>2</v>
      </c>
      <c r="AN941" s="3">
        <v>0</v>
      </c>
      <c r="AO941" s="3">
        <v>0</v>
      </c>
      <c r="AP941" s="3">
        <v>0</v>
      </c>
      <c r="AQ941" s="3">
        <v>0</v>
      </c>
      <c r="AR941" s="2" t="s">
        <v>5</v>
      </c>
      <c r="AS941" s="2" t="s">
        <v>5</v>
      </c>
      <c r="AU941" s="5" t="str">
        <f>HYPERLINK("https://creighton-primo.hosted.exlibrisgroup.com/primo-explore/search?tab=default_tab&amp;search_scope=EVERYTHING&amp;vid=01CRU&amp;lang=en_US&amp;offset=0&amp;query=any,contains,991001144409702656","Catalog Record")</f>
        <v>Catalog Record</v>
      </c>
      <c r="AV941" s="5" t="str">
        <f>HYPERLINK("http://www.worldcat.org/oclc/8283177","WorldCat Record")</f>
        <v>WorldCat Record</v>
      </c>
      <c r="AW941" s="2" t="s">
        <v>11441</v>
      </c>
      <c r="AX941" s="2" t="s">
        <v>11442</v>
      </c>
      <c r="AY941" s="2" t="s">
        <v>11443</v>
      </c>
      <c r="AZ941" s="2" t="s">
        <v>11443</v>
      </c>
      <c r="BA941" s="2" t="s">
        <v>11444</v>
      </c>
      <c r="BB941" s="2" t="s">
        <v>21</v>
      </c>
      <c r="BD941" s="2" t="s">
        <v>11445</v>
      </c>
      <c r="BE941" s="2" t="s">
        <v>11446</v>
      </c>
      <c r="BF941" s="2" t="s">
        <v>11447</v>
      </c>
    </row>
    <row r="942" spans="1:58" ht="41.25" customHeight="1" x14ac:dyDescent="0.25">
      <c r="A942" s="8" t="s">
        <v>5</v>
      </c>
      <c r="B942" s="1" t="s">
        <v>0</v>
      </c>
      <c r="C942" s="1" t="s">
        <v>1</v>
      </c>
      <c r="D942" s="1" t="s">
        <v>11448</v>
      </c>
      <c r="E942" s="1" t="s">
        <v>11449</v>
      </c>
      <c r="F942" s="1" t="s">
        <v>11450</v>
      </c>
      <c r="H942" s="2" t="s">
        <v>5</v>
      </c>
      <c r="I942" s="2" t="s">
        <v>6</v>
      </c>
      <c r="J942" s="2" t="s">
        <v>5</v>
      </c>
      <c r="K942" s="2" t="s">
        <v>5</v>
      </c>
      <c r="L942" s="2" t="s">
        <v>7</v>
      </c>
      <c r="N942" s="1" t="s">
        <v>11451</v>
      </c>
      <c r="O942" s="2" t="s">
        <v>734</v>
      </c>
      <c r="Q942" s="2" t="s">
        <v>11</v>
      </c>
      <c r="R942" s="2" t="s">
        <v>426</v>
      </c>
      <c r="T942" s="2" t="s">
        <v>520</v>
      </c>
      <c r="U942" s="3">
        <v>4</v>
      </c>
      <c r="V942" s="3">
        <v>4</v>
      </c>
      <c r="W942" s="4" t="s">
        <v>11452</v>
      </c>
      <c r="X942" s="4" t="s">
        <v>11452</v>
      </c>
      <c r="Y942" s="4" t="s">
        <v>96</v>
      </c>
      <c r="Z942" s="4" t="s">
        <v>96</v>
      </c>
      <c r="AA942" s="3">
        <v>197</v>
      </c>
      <c r="AB942" s="3">
        <v>149</v>
      </c>
      <c r="AC942" s="3">
        <v>151</v>
      </c>
      <c r="AD942" s="3">
        <v>1</v>
      </c>
      <c r="AE942" s="3">
        <v>1</v>
      </c>
      <c r="AF942" s="3">
        <v>5</v>
      </c>
      <c r="AG942" s="3">
        <v>5</v>
      </c>
      <c r="AH942" s="3">
        <v>3</v>
      </c>
      <c r="AI942" s="3">
        <v>3</v>
      </c>
      <c r="AJ942" s="3">
        <v>0</v>
      </c>
      <c r="AK942" s="3">
        <v>0</v>
      </c>
      <c r="AL942" s="3">
        <v>3</v>
      </c>
      <c r="AM942" s="3">
        <v>3</v>
      </c>
      <c r="AN942" s="3">
        <v>0</v>
      </c>
      <c r="AO942" s="3">
        <v>0</v>
      </c>
      <c r="AP942" s="3">
        <v>0</v>
      </c>
      <c r="AQ942" s="3">
        <v>0</v>
      </c>
      <c r="AR942" s="2" t="s">
        <v>5</v>
      </c>
      <c r="AS942" s="2" t="s">
        <v>16</v>
      </c>
      <c r="AT942" s="5" t="str">
        <f>HYPERLINK("http://catalog.hathitrust.org/Record/000317879","HathiTrust Record")</f>
        <v>HathiTrust Record</v>
      </c>
      <c r="AU942" s="5" t="str">
        <f>HYPERLINK("https://creighton-primo.hosted.exlibrisgroup.com/primo-explore/search?tab=default_tab&amp;search_scope=EVERYTHING&amp;vid=01CRU&amp;lang=en_US&amp;offset=0&amp;query=any,contains,991001144449702656","Catalog Record")</f>
        <v>Catalog Record</v>
      </c>
      <c r="AV942" s="5" t="str">
        <f>HYPERLINK("http://www.worldcat.org/oclc/8907657","WorldCat Record")</f>
        <v>WorldCat Record</v>
      </c>
      <c r="AW942" s="2" t="s">
        <v>11453</v>
      </c>
      <c r="AX942" s="2" t="s">
        <v>11454</v>
      </c>
      <c r="AY942" s="2" t="s">
        <v>11455</v>
      </c>
      <c r="AZ942" s="2" t="s">
        <v>11455</v>
      </c>
      <c r="BA942" s="2" t="s">
        <v>11456</v>
      </c>
      <c r="BB942" s="2" t="s">
        <v>21</v>
      </c>
      <c r="BD942" s="2" t="s">
        <v>11457</v>
      </c>
      <c r="BE942" s="2" t="s">
        <v>11458</v>
      </c>
      <c r="BF942" s="2" t="s">
        <v>11459</v>
      </c>
    </row>
    <row r="943" spans="1:58" ht="41.25" customHeight="1" x14ac:dyDescent="0.25">
      <c r="A943" s="8" t="s">
        <v>5</v>
      </c>
      <c r="B943" s="1" t="s">
        <v>0</v>
      </c>
      <c r="C943" s="1" t="s">
        <v>1</v>
      </c>
      <c r="D943" s="1" t="s">
        <v>11460</v>
      </c>
      <c r="E943" s="1" t="s">
        <v>11461</v>
      </c>
      <c r="F943" s="1" t="s">
        <v>11462</v>
      </c>
      <c r="H943" s="2" t="s">
        <v>5</v>
      </c>
      <c r="I943" s="2" t="s">
        <v>6</v>
      </c>
      <c r="J943" s="2" t="s">
        <v>5</v>
      </c>
      <c r="K943" s="2" t="s">
        <v>5</v>
      </c>
      <c r="L943" s="2" t="s">
        <v>7</v>
      </c>
      <c r="N943" s="1" t="s">
        <v>11463</v>
      </c>
      <c r="O943" s="2" t="s">
        <v>4990</v>
      </c>
      <c r="P943" s="1" t="s">
        <v>901</v>
      </c>
      <c r="Q943" s="2" t="s">
        <v>11</v>
      </c>
      <c r="R943" s="2" t="s">
        <v>78</v>
      </c>
      <c r="T943" s="2" t="s">
        <v>520</v>
      </c>
      <c r="U943" s="3">
        <v>2</v>
      </c>
      <c r="V943" s="3">
        <v>2</v>
      </c>
      <c r="W943" s="4" t="s">
        <v>9354</v>
      </c>
      <c r="X943" s="4" t="s">
        <v>9354</v>
      </c>
      <c r="Y943" s="4" t="s">
        <v>11464</v>
      </c>
      <c r="Z943" s="4" t="s">
        <v>11464</v>
      </c>
      <c r="AA943" s="3">
        <v>306</v>
      </c>
      <c r="AB943" s="3">
        <v>241</v>
      </c>
      <c r="AC943" s="3">
        <v>242</v>
      </c>
      <c r="AD943" s="3">
        <v>2</v>
      </c>
      <c r="AE943" s="3">
        <v>2</v>
      </c>
      <c r="AF943" s="3">
        <v>5</v>
      </c>
      <c r="AG943" s="3">
        <v>5</v>
      </c>
      <c r="AH943" s="3">
        <v>2</v>
      </c>
      <c r="AI943" s="3">
        <v>2</v>
      </c>
      <c r="AJ943" s="3">
        <v>0</v>
      </c>
      <c r="AK943" s="3">
        <v>0</v>
      </c>
      <c r="AL943" s="3">
        <v>3</v>
      </c>
      <c r="AM943" s="3">
        <v>3</v>
      </c>
      <c r="AN943" s="3">
        <v>1</v>
      </c>
      <c r="AO943" s="3">
        <v>1</v>
      </c>
      <c r="AP943" s="3">
        <v>0</v>
      </c>
      <c r="AQ943" s="3">
        <v>0</v>
      </c>
      <c r="AR943" s="2" t="s">
        <v>5</v>
      </c>
      <c r="AS943" s="2" t="s">
        <v>5</v>
      </c>
      <c r="AU943" s="5" t="str">
        <f>HYPERLINK("https://creighton-primo.hosted.exlibrisgroup.com/primo-explore/search?tab=default_tab&amp;search_scope=EVERYTHING&amp;vid=01CRU&amp;lang=en_US&amp;offset=0&amp;query=any,contains,991000332079702656","Catalog Record")</f>
        <v>Catalog Record</v>
      </c>
      <c r="AV943" s="5" t="str">
        <f>HYPERLINK("http://www.worldcat.org/oclc/48093202","WorldCat Record")</f>
        <v>WorldCat Record</v>
      </c>
      <c r="AW943" s="2" t="s">
        <v>11465</v>
      </c>
      <c r="AX943" s="2" t="s">
        <v>11466</v>
      </c>
      <c r="AY943" s="2" t="s">
        <v>11467</v>
      </c>
      <c r="AZ943" s="2" t="s">
        <v>11467</v>
      </c>
      <c r="BA943" s="2" t="s">
        <v>11468</v>
      </c>
      <c r="BB943" s="2" t="s">
        <v>21</v>
      </c>
      <c r="BD943" s="2" t="s">
        <v>11469</v>
      </c>
      <c r="BE943" s="2" t="s">
        <v>11470</v>
      </c>
      <c r="BF943" s="2" t="s">
        <v>11471</v>
      </c>
    </row>
    <row r="944" spans="1:58" ht="41.25" customHeight="1" x14ac:dyDescent="0.25">
      <c r="A944" s="8" t="s">
        <v>5</v>
      </c>
      <c r="B944" s="1" t="s">
        <v>0</v>
      </c>
      <c r="C944" s="1" t="s">
        <v>1</v>
      </c>
      <c r="D944" s="1" t="s">
        <v>11472</v>
      </c>
      <c r="E944" s="1" t="s">
        <v>11473</v>
      </c>
      <c r="F944" s="1" t="s">
        <v>11474</v>
      </c>
      <c r="H944" s="2" t="s">
        <v>5</v>
      </c>
      <c r="I944" s="2" t="s">
        <v>6</v>
      </c>
      <c r="J944" s="2" t="s">
        <v>5</v>
      </c>
      <c r="K944" s="2" t="s">
        <v>5</v>
      </c>
      <c r="L944" s="2" t="s">
        <v>7</v>
      </c>
      <c r="N944" s="1" t="s">
        <v>1139</v>
      </c>
      <c r="O944" s="2" t="s">
        <v>136</v>
      </c>
      <c r="Q944" s="2" t="s">
        <v>11</v>
      </c>
      <c r="R944" s="2" t="s">
        <v>426</v>
      </c>
      <c r="T944" s="2" t="s">
        <v>520</v>
      </c>
      <c r="U944" s="3">
        <v>2</v>
      </c>
      <c r="V944" s="3">
        <v>2</v>
      </c>
      <c r="W944" s="4" t="s">
        <v>11475</v>
      </c>
      <c r="X944" s="4" t="s">
        <v>11475</v>
      </c>
      <c r="Y944" s="4" t="s">
        <v>11476</v>
      </c>
      <c r="Z944" s="4" t="s">
        <v>11476</v>
      </c>
      <c r="AA944" s="3">
        <v>149</v>
      </c>
      <c r="AB944" s="3">
        <v>115</v>
      </c>
      <c r="AC944" s="3">
        <v>123</v>
      </c>
      <c r="AD944" s="3">
        <v>1</v>
      </c>
      <c r="AE944" s="3">
        <v>1</v>
      </c>
      <c r="AF944" s="3">
        <v>7</v>
      </c>
      <c r="AG944" s="3">
        <v>7</v>
      </c>
      <c r="AH944" s="3">
        <v>3</v>
      </c>
      <c r="AI944" s="3">
        <v>3</v>
      </c>
      <c r="AJ944" s="3">
        <v>1</v>
      </c>
      <c r="AK944" s="3">
        <v>1</v>
      </c>
      <c r="AL944" s="3">
        <v>5</v>
      </c>
      <c r="AM944" s="3">
        <v>5</v>
      </c>
      <c r="AN944" s="3">
        <v>0</v>
      </c>
      <c r="AO944" s="3">
        <v>0</v>
      </c>
      <c r="AP944" s="3">
        <v>0</v>
      </c>
      <c r="AQ944" s="3">
        <v>0</v>
      </c>
      <c r="AR944" s="2" t="s">
        <v>5</v>
      </c>
      <c r="AS944" s="2" t="s">
        <v>16</v>
      </c>
      <c r="AT944" s="5" t="str">
        <f>HYPERLINK("http://catalog.hathitrust.org/Record/002446717","HathiTrust Record")</f>
        <v>HathiTrust Record</v>
      </c>
      <c r="AU944" s="5" t="str">
        <f>HYPERLINK("https://creighton-primo.hosted.exlibrisgroup.com/primo-explore/search?tab=default_tab&amp;search_scope=EVERYTHING&amp;vid=01CRU&amp;lang=en_US&amp;offset=0&amp;query=any,contains,991001013499702656","Catalog Record")</f>
        <v>Catalog Record</v>
      </c>
      <c r="AV944" s="5" t="str">
        <f>HYPERLINK("http://www.worldcat.org/oclc/22813752","WorldCat Record")</f>
        <v>WorldCat Record</v>
      </c>
      <c r="AW944" s="2" t="s">
        <v>11477</v>
      </c>
      <c r="AX944" s="2" t="s">
        <v>11478</v>
      </c>
      <c r="AY944" s="2" t="s">
        <v>11479</v>
      </c>
      <c r="AZ944" s="2" t="s">
        <v>11479</v>
      </c>
      <c r="BA944" s="2" t="s">
        <v>11480</v>
      </c>
      <c r="BB944" s="2" t="s">
        <v>21</v>
      </c>
      <c r="BD944" s="2" t="s">
        <v>11481</v>
      </c>
      <c r="BE944" s="2" t="s">
        <v>11482</v>
      </c>
      <c r="BF944" s="2" t="s">
        <v>11483</v>
      </c>
    </row>
    <row r="945" spans="1:58" ht="41.25" customHeight="1" x14ac:dyDescent="0.25">
      <c r="A945" s="8" t="s">
        <v>5</v>
      </c>
      <c r="B945" s="1" t="s">
        <v>0</v>
      </c>
      <c r="C945" s="1" t="s">
        <v>1</v>
      </c>
      <c r="D945" s="1" t="s">
        <v>11484</v>
      </c>
      <c r="E945" s="1" t="s">
        <v>11485</v>
      </c>
      <c r="F945" s="1" t="s">
        <v>11486</v>
      </c>
      <c r="H945" s="2" t="s">
        <v>5</v>
      </c>
      <c r="I945" s="2" t="s">
        <v>6</v>
      </c>
      <c r="J945" s="2" t="s">
        <v>5</v>
      </c>
      <c r="K945" s="2" t="s">
        <v>5</v>
      </c>
      <c r="L945" s="2" t="s">
        <v>7</v>
      </c>
      <c r="N945" s="1" t="s">
        <v>7753</v>
      </c>
      <c r="O945" s="2" t="s">
        <v>382</v>
      </c>
      <c r="Q945" s="2" t="s">
        <v>11</v>
      </c>
      <c r="R945" s="2" t="s">
        <v>426</v>
      </c>
      <c r="S945" s="1" t="s">
        <v>3264</v>
      </c>
      <c r="T945" s="2" t="s">
        <v>520</v>
      </c>
      <c r="U945" s="3">
        <v>8</v>
      </c>
      <c r="V945" s="3">
        <v>8</v>
      </c>
      <c r="W945" s="4" t="s">
        <v>11487</v>
      </c>
      <c r="X945" s="4" t="s">
        <v>11487</v>
      </c>
      <c r="Y945" s="4" t="s">
        <v>96</v>
      </c>
      <c r="Z945" s="4" t="s">
        <v>96</v>
      </c>
      <c r="AA945" s="3">
        <v>200</v>
      </c>
      <c r="AB945" s="3">
        <v>165</v>
      </c>
      <c r="AC945" s="3">
        <v>229</v>
      </c>
      <c r="AD945" s="3">
        <v>2</v>
      </c>
      <c r="AE945" s="3">
        <v>2</v>
      </c>
      <c r="AF945" s="3">
        <v>6</v>
      </c>
      <c r="AG945" s="3">
        <v>7</v>
      </c>
      <c r="AH945" s="3">
        <v>2</v>
      </c>
      <c r="AI945" s="3">
        <v>2</v>
      </c>
      <c r="AJ945" s="3">
        <v>2</v>
      </c>
      <c r="AK945" s="3">
        <v>2</v>
      </c>
      <c r="AL945" s="3">
        <v>3</v>
      </c>
      <c r="AM945" s="3">
        <v>4</v>
      </c>
      <c r="AN945" s="3">
        <v>0</v>
      </c>
      <c r="AO945" s="3">
        <v>0</v>
      </c>
      <c r="AP945" s="3">
        <v>0</v>
      </c>
      <c r="AQ945" s="3">
        <v>0</v>
      </c>
      <c r="AR945" s="2" t="s">
        <v>5</v>
      </c>
      <c r="AS945" s="2" t="s">
        <v>16</v>
      </c>
      <c r="AT945" s="5" t="str">
        <f>HYPERLINK("http://catalog.hathitrust.org/Record/000350722","HathiTrust Record")</f>
        <v>HathiTrust Record</v>
      </c>
      <c r="AU945" s="5" t="str">
        <f>HYPERLINK("https://creighton-primo.hosted.exlibrisgroup.com/primo-explore/search?tab=default_tab&amp;search_scope=EVERYTHING&amp;vid=01CRU&amp;lang=en_US&amp;offset=0&amp;query=any,contains,991001144489702656","Catalog Record")</f>
        <v>Catalog Record</v>
      </c>
      <c r="AV945" s="5" t="str">
        <f>HYPERLINK("http://www.worldcat.org/oclc/12162688","WorldCat Record")</f>
        <v>WorldCat Record</v>
      </c>
      <c r="AW945" s="2" t="s">
        <v>11488</v>
      </c>
      <c r="AX945" s="2" t="s">
        <v>11489</v>
      </c>
      <c r="AY945" s="2" t="s">
        <v>11490</v>
      </c>
      <c r="AZ945" s="2" t="s">
        <v>11490</v>
      </c>
      <c r="BA945" s="2" t="s">
        <v>11491</v>
      </c>
      <c r="BB945" s="2" t="s">
        <v>21</v>
      </c>
      <c r="BD945" s="2" t="s">
        <v>11492</v>
      </c>
      <c r="BE945" s="2" t="s">
        <v>11493</v>
      </c>
      <c r="BF945" s="2" t="s">
        <v>11494</v>
      </c>
    </row>
    <row r="946" spans="1:58" ht="41.25" customHeight="1" x14ac:dyDescent="0.25">
      <c r="A946" s="8" t="s">
        <v>5</v>
      </c>
      <c r="B946" s="1" t="s">
        <v>0</v>
      </c>
      <c r="C946" s="1" t="s">
        <v>1</v>
      </c>
      <c r="D946" s="1" t="s">
        <v>11495</v>
      </c>
      <c r="E946" s="1" t="s">
        <v>11496</v>
      </c>
      <c r="F946" s="1" t="s">
        <v>11497</v>
      </c>
      <c r="H946" s="2" t="s">
        <v>5</v>
      </c>
      <c r="I946" s="2" t="s">
        <v>6</v>
      </c>
      <c r="J946" s="2" t="s">
        <v>5</v>
      </c>
      <c r="K946" s="2" t="s">
        <v>5</v>
      </c>
      <c r="L946" s="2" t="s">
        <v>7</v>
      </c>
      <c r="N946" s="1" t="s">
        <v>11498</v>
      </c>
      <c r="O946" s="2" t="s">
        <v>939</v>
      </c>
      <c r="Q946" s="2" t="s">
        <v>11</v>
      </c>
      <c r="R946" s="2" t="s">
        <v>12</v>
      </c>
      <c r="S946" s="1" t="s">
        <v>11499</v>
      </c>
      <c r="T946" s="2" t="s">
        <v>520</v>
      </c>
      <c r="U946" s="3">
        <v>8</v>
      </c>
      <c r="V946" s="3">
        <v>8</v>
      </c>
      <c r="W946" s="4" t="s">
        <v>2801</v>
      </c>
      <c r="X946" s="4" t="s">
        <v>2801</v>
      </c>
      <c r="Y946" s="4" t="s">
        <v>11500</v>
      </c>
      <c r="Z946" s="4" t="s">
        <v>11500</v>
      </c>
      <c r="AA946" s="3">
        <v>175</v>
      </c>
      <c r="AB946" s="3">
        <v>146</v>
      </c>
      <c r="AC946" s="3">
        <v>148</v>
      </c>
      <c r="AD946" s="3">
        <v>2</v>
      </c>
      <c r="AE946" s="3">
        <v>2</v>
      </c>
      <c r="AF946" s="3">
        <v>6</v>
      </c>
      <c r="AG946" s="3">
        <v>6</v>
      </c>
      <c r="AH946" s="3">
        <v>2</v>
      </c>
      <c r="AI946" s="3">
        <v>2</v>
      </c>
      <c r="AJ946" s="3">
        <v>2</v>
      </c>
      <c r="AK946" s="3">
        <v>2</v>
      </c>
      <c r="AL946" s="3">
        <v>3</v>
      </c>
      <c r="AM946" s="3">
        <v>3</v>
      </c>
      <c r="AN946" s="3">
        <v>0</v>
      </c>
      <c r="AO946" s="3">
        <v>0</v>
      </c>
      <c r="AP946" s="3">
        <v>0</v>
      </c>
      <c r="AQ946" s="3">
        <v>0</v>
      </c>
      <c r="AR946" s="2" t="s">
        <v>5</v>
      </c>
      <c r="AS946" s="2" t="s">
        <v>16</v>
      </c>
      <c r="AT946" s="5" t="str">
        <f>HYPERLINK("http://catalog.hathitrust.org/Record/002506697","HathiTrust Record")</f>
        <v>HathiTrust Record</v>
      </c>
      <c r="AU946" s="5" t="str">
        <f>HYPERLINK("https://creighton-primo.hosted.exlibrisgroup.com/primo-explore/search?tab=default_tab&amp;search_scope=EVERYTHING&amp;vid=01CRU&amp;lang=en_US&amp;offset=0&amp;query=any,contains,991001174109702656","Catalog Record")</f>
        <v>Catalog Record</v>
      </c>
      <c r="AV946" s="5" t="str">
        <f>HYPERLINK("http://www.worldcat.org/oclc/15788359","WorldCat Record")</f>
        <v>WorldCat Record</v>
      </c>
      <c r="AW946" s="2" t="s">
        <v>11501</v>
      </c>
      <c r="AX946" s="2" t="s">
        <v>11502</v>
      </c>
      <c r="AY946" s="2" t="s">
        <v>11503</v>
      </c>
      <c r="AZ946" s="2" t="s">
        <v>11503</v>
      </c>
      <c r="BA946" s="2" t="s">
        <v>11504</v>
      </c>
      <c r="BB946" s="2" t="s">
        <v>21</v>
      </c>
      <c r="BD946" s="2" t="s">
        <v>11505</v>
      </c>
      <c r="BE946" s="2" t="s">
        <v>11506</v>
      </c>
      <c r="BF946" s="2" t="s">
        <v>11507</v>
      </c>
    </row>
    <row r="947" spans="1:58" ht="41.25" customHeight="1" x14ac:dyDescent="0.25">
      <c r="A947" s="8" t="s">
        <v>5</v>
      </c>
      <c r="B947" s="1" t="s">
        <v>0</v>
      </c>
      <c r="C947" s="1" t="s">
        <v>1</v>
      </c>
      <c r="D947" s="1" t="s">
        <v>11508</v>
      </c>
      <c r="E947" s="1" t="s">
        <v>11509</v>
      </c>
      <c r="F947" s="1" t="s">
        <v>11510</v>
      </c>
      <c r="H947" s="2" t="s">
        <v>5</v>
      </c>
      <c r="I947" s="2" t="s">
        <v>6</v>
      </c>
      <c r="J947" s="2" t="s">
        <v>5</v>
      </c>
      <c r="K947" s="2" t="s">
        <v>5</v>
      </c>
      <c r="L947" s="2" t="s">
        <v>7</v>
      </c>
      <c r="N947" s="1" t="s">
        <v>1588</v>
      </c>
      <c r="O947" s="2" t="s">
        <v>1102</v>
      </c>
      <c r="Q947" s="2" t="s">
        <v>11</v>
      </c>
      <c r="R947" s="2" t="s">
        <v>426</v>
      </c>
      <c r="S947" s="1" t="s">
        <v>11511</v>
      </c>
      <c r="T947" s="2" t="s">
        <v>520</v>
      </c>
      <c r="U947" s="3">
        <v>2</v>
      </c>
      <c r="V947" s="3">
        <v>2</v>
      </c>
      <c r="W947" s="4" t="s">
        <v>2072</v>
      </c>
      <c r="X947" s="4" t="s">
        <v>2072</v>
      </c>
      <c r="Y947" s="4" t="s">
        <v>1249</v>
      </c>
      <c r="Z947" s="4" t="s">
        <v>1249</v>
      </c>
      <c r="AA947" s="3">
        <v>137</v>
      </c>
      <c r="AB947" s="3">
        <v>120</v>
      </c>
      <c r="AC947" s="3">
        <v>122</v>
      </c>
      <c r="AD947" s="3">
        <v>2</v>
      </c>
      <c r="AE947" s="3">
        <v>2</v>
      </c>
      <c r="AF947" s="3">
        <v>5</v>
      </c>
      <c r="AG947" s="3">
        <v>5</v>
      </c>
      <c r="AH947" s="3">
        <v>2</v>
      </c>
      <c r="AI947" s="3">
        <v>2</v>
      </c>
      <c r="AJ947" s="3">
        <v>1</v>
      </c>
      <c r="AK947" s="3">
        <v>1</v>
      </c>
      <c r="AL947" s="3">
        <v>2</v>
      </c>
      <c r="AM947" s="3">
        <v>2</v>
      </c>
      <c r="AN947" s="3">
        <v>0</v>
      </c>
      <c r="AO947" s="3">
        <v>0</v>
      </c>
      <c r="AP947" s="3">
        <v>0</v>
      </c>
      <c r="AQ947" s="3">
        <v>0</v>
      </c>
      <c r="AR947" s="2" t="s">
        <v>5</v>
      </c>
      <c r="AS947" s="2" t="s">
        <v>16</v>
      </c>
      <c r="AT947" s="5" t="str">
        <f>HYPERLINK("http://catalog.hathitrust.org/Record/004407496","HathiTrust Record")</f>
        <v>HathiTrust Record</v>
      </c>
      <c r="AU947" s="5" t="str">
        <f>HYPERLINK("https://creighton-primo.hosted.exlibrisgroup.com/primo-explore/search?tab=default_tab&amp;search_scope=EVERYTHING&amp;vid=01CRU&amp;lang=en_US&amp;offset=0&amp;query=any,contains,991001386019702656","Catalog Record")</f>
        <v>Catalog Record</v>
      </c>
      <c r="AV947" s="5" t="str">
        <f>HYPERLINK("http://www.worldcat.org/oclc/14918823","WorldCat Record")</f>
        <v>WorldCat Record</v>
      </c>
      <c r="AW947" s="2" t="s">
        <v>11512</v>
      </c>
      <c r="AX947" s="2" t="s">
        <v>11513</v>
      </c>
      <c r="AY947" s="2" t="s">
        <v>11514</v>
      </c>
      <c r="AZ947" s="2" t="s">
        <v>11514</v>
      </c>
      <c r="BA947" s="2" t="s">
        <v>11515</v>
      </c>
      <c r="BB947" s="2" t="s">
        <v>21</v>
      </c>
      <c r="BD947" s="2" t="s">
        <v>11516</v>
      </c>
      <c r="BE947" s="2" t="s">
        <v>11517</v>
      </c>
      <c r="BF947" s="2" t="s">
        <v>11518</v>
      </c>
    </row>
    <row r="948" spans="1:58" ht="41.25" customHeight="1" x14ac:dyDescent="0.25">
      <c r="A948" s="8" t="s">
        <v>5</v>
      </c>
      <c r="B948" s="1" t="s">
        <v>0</v>
      </c>
      <c r="C948" s="1" t="s">
        <v>1</v>
      </c>
      <c r="D948" s="1" t="s">
        <v>11519</v>
      </c>
      <c r="E948" s="1" t="s">
        <v>11520</v>
      </c>
      <c r="F948" s="1" t="s">
        <v>11521</v>
      </c>
      <c r="H948" s="2" t="s">
        <v>5</v>
      </c>
      <c r="I948" s="2" t="s">
        <v>6</v>
      </c>
      <c r="J948" s="2" t="s">
        <v>5</v>
      </c>
      <c r="K948" s="2" t="s">
        <v>5</v>
      </c>
      <c r="L948" s="2" t="s">
        <v>7</v>
      </c>
      <c r="N948" s="1" t="s">
        <v>9530</v>
      </c>
      <c r="O948" s="2" t="s">
        <v>92</v>
      </c>
      <c r="Q948" s="2" t="s">
        <v>11</v>
      </c>
      <c r="R948" s="2" t="s">
        <v>229</v>
      </c>
      <c r="T948" s="2" t="s">
        <v>520</v>
      </c>
      <c r="U948" s="3">
        <v>10</v>
      </c>
      <c r="V948" s="3">
        <v>10</v>
      </c>
      <c r="W948" s="4" t="s">
        <v>9379</v>
      </c>
      <c r="X948" s="4" t="s">
        <v>9379</v>
      </c>
      <c r="Y948" s="4" t="s">
        <v>722</v>
      </c>
      <c r="Z948" s="4" t="s">
        <v>722</v>
      </c>
      <c r="AA948" s="3">
        <v>377</v>
      </c>
      <c r="AB948" s="3">
        <v>310</v>
      </c>
      <c r="AC948" s="3">
        <v>504</v>
      </c>
      <c r="AD948" s="3">
        <v>6</v>
      </c>
      <c r="AE948" s="3">
        <v>8</v>
      </c>
      <c r="AF948" s="3">
        <v>19</v>
      </c>
      <c r="AG948" s="3">
        <v>25</v>
      </c>
      <c r="AH948" s="3">
        <v>7</v>
      </c>
      <c r="AI948" s="3">
        <v>10</v>
      </c>
      <c r="AJ948" s="3">
        <v>5</v>
      </c>
      <c r="AK948" s="3">
        <v>5</v>
      </c>
      <c r="AL948" s="3">
        <v>6</v>
      </c>
      <c r="AM948" s="3">
        <v>9</v>
      </c>
      <c r="AN948" s="3">
        <v>4</v>
      </c>
      <c r="AO948" s="3">
        <v>6</v>
      </c>
      <c r="AP948" s="3">
        <v>0</v>
      </c>
      <c r="AQ948" s="3">
        <v>0</v>
      </c>
      <c r="AR948" s="2" t="s">
        <v>5</v>
      </c>
      <c r="AS948" s="2" t="s">
        <v>16</v>
      </c>
      <c r="AT948" s="5" t="str">
        <f>HYPERLINK("http://catalog.hathitrust.org/Record/000716319","HathiTrust Record")</f>
        <v>HathiTrust Record</v>
      </c>
      <c r="AU948" s="5" t="str">
        <f>HYPERLINK("https://creighton-primo.hosted.exlibrisgroup.com/primo-explore/search?tab=default_tab&amp;search_scope=EVERYTHING&amp;vid=01CRU&amp;lang=en_US&amp;offset=0&amp;query=any,contains,991001144569702656","Catalog Record")</f>
        <v>Catalog Record</v>
      </c>
      <c r="AV948" s="5" t="str">
        <f>HYPERLINK("http://www.worldcat.org/oclc/1974219","WorldCat Record")</f>
        <v>WorldCat Record</v>
      </c>
      <c r="AW948" s="2" t="s">
        <v>11522</v>
      </c>
      <c r="AX948" s="2" t="s">
        <v>11523</v>
      </c>
      <c r="AY948" s="2" t="s">
        <v>11524</v>
      </c>
      <c r="AZ948" s="2" t="s">
        <v>11524</v>
      </c>
      <c r="BA948" s="2" t="s">
        <v>11525</v>
      </c>
      <c r="BB948" s="2" t="s">
        <v>21</v>
      </c>
      <c r="BD948" s="2" t="s">
        <v>11526</v>
      </c>
      <c r="BE948" s="2" t="s">
        <v>11527</v>
      </c>
      <c r="BF948" s="2" t="s">
        <v>11528</v>
      </c>
    </row>
    <row r="949" spans="1:58" ht="41.25" customHeight="1" x14ac:dyDescent="0.25">
      <c r="A949" s="8" t="s">
        <v>5</v>
      </c>
      <c r="B949" s="1" t="s">
        <v>0</v>
      </c>
      <c r="C949" s="1" t="s">
        <v>1</v>
      </c>
      <c r="D949" s="1" t="s">
        <v>11529</v>
      </c>
      <c r="E949" s="1" t="s">
        <v>11530</v>
      </c>
      <c r="F949" s="1" t="s">
        <v>11531</v>
      </c>
      <c r="H949" s="2" t="s">
        <v>5</v>
      </c>
      <c r="I949" s="2" t="s">
        <v>6</v>
      </c>
      <c r="J949" s="2" t="s">
        <v>5</v>
      </c>
      <c r="K949" s="2" t="s">
        <v>5</v>
      </c>
      <c r="L949" s="2" t="s">
        <v>7</v>
      </c>
      <c r="M949" s="1" t="s">
        <v>11532</v>
      </c>
      <c r="N949" s="1" t="s">
        <v>11533</v>
      </c>
      <c r="O949" s="2" t="s">
        <v>1339</v>
      </c>
      <c r="Q949" s="2" t="s">
        <v>11</v>
      </c>
      <c r="R949" s="2" t="s">
        <v>426</v>
      </c>
      <c r="S949" s="1" t="s">
        <v>7334</v>
      </c>
      <c r="T949" s="2" t="s">
        <v>520</v>
      </c>
      <c r="U949" s="3">
        <v>14</v>
      </c>
      <c r="V949" s="3">
        <v>14</v>
      </c>
      <c r="W949" s="4" t="s">
        <v>11534</v>
      </c>
      <c r="X949" s="4" t="s">
        <v>11534</v>
      </c>
      <c r="Y949" s="4" t="s">
        <v>11535</v>
      </c>
      <c r="Z949" s="4" t="s">
        <v>11535</v>
      </c>
      <c r="AA949" s="3">
        <v>177</v>
      </c>
      <c r="AB949" s="3">
        <v>133</v>
      </c>
      <c r="AC949" s="3">
        <v>142</v>
      </c>
      <c r="AD949" s="3">
        <v>2</v>
      </c>
      <c r="AE949" s="3">
        <v>2</v>
      </c>
      <c r="AF949" s="3">
        <v>7</v>
      </c>
      <c r="AG949" s="3">
        <v>7</v>
      </c>
      <c r="AH949" s="3">
        <v>4</v>
      </c>
      <c r="AI949" s="3">
        <v>4</v>
      </c>
      <c r="AJ949" s="3">
        <v>1</v>
      </c>
      <c r="AK949" s="3">
        <v>1</v>
      </c>
      <c r="AL949" s="3">
        <v>3</v>
      </c>
      <c r="AM949" s="3">
        <v>3</v>
      </c>
      <c r="AN949" s="3">
        <v>0</v>
      </c>
      <c r="AO949" s="3">
        <v>0</v>
      </c>
      <c r="AP949" s="3">
        <v>0</v>
      </c>
      <c r="AQ949" s="3">
        <v>0</v>
      </c>
      <c r="AR949" s="2" t="s">
        <v>5</v>
      </c>
      <c r="AS949" s="2" t="s">
        <v>16</v>
      </c>
      <c r="AT949" s="5" t="str">
        <f>HYPERLINK("http://catalog.hathitrust.org/Record/000876151","HathiTrust Record")</f>
        <v>HathiTrust Record</v>
      </c>
      <c r="AU949" s="5" t="str">
        <f>HYPERLINK("https://creighton-primo.hosted.exlibrisgroup.com/primo-explore/search?tab=default_tab&amp;search_scope=EVERYTHING&amp;vid=01CRU&amp;lang=en_US&amp;offset=0&amp;query=any,contains,991001186949702656","Catalog Record")</f>
        <v>Catalog Record</v>
      </c>
      <c r="AV949" s="5" t="str">
        <f>HYPERLINK("http://www.worldcat.org/oclc/16683881","WorldCat Record")</f>
        <v>WorldCat Record</v>
      </c>
      <c r="AW949" s="2" t="s">
        <v>11536</v>
      </c>
      <c r="AX949" s="2" t="s">
        <v>11537</v>
      </c>
      <c r="AY949" s="2" t="s">
        <v>11538</v>
      </c>
      <c r="AZ949" s="2" t="s">
        <v>11538</v>
      </c>
      <c r="BA949" s="2" t="s">
        <v>11539</v>
      </c>
      <c r="BB949" s="2" t="s">
        <v>21</v>
      </c>
      <c r="BD949" s="2" t="s">
        <v>11540</v>
      </c>
      <c r="BE949" s="2" t="s">
        <v>11541</v>
      </c>
      <c r="BF949" s="2" t="s">
        <v>11542</v>
      </c>
    </row>
    <row r="950" spans="1:58" ht="41.25" customHeight="1" x14ac:dyDescent="0.25">
      <c r="A950" s="8" t="s">
        <v>5</v>
      </c>
      <c r="B950" s="1" t="s">
        <v>0</v>
      </c>
      <c r="C950" s="1" t="s">
        <v>1</v>
      </c>
      <c r="D950" s="1" t="s">
        <v>11543</v>
      </c>
      <c r="E950" s="1" t="s">
        <v>11544</v>
      </c>
      <c r="F950" s="1" t="s">
        <v>11545</v>
      </c>
      <c r="G950" s="2" t="s">
        <v>839</v>
      </c>
      <c r="H950" s="2" t="s">
        <v>5</v>
      </c>
      <c r="I950" s="2" t="s">
        <v>6</v>
      </c>
      <c r="J950" s="2" t="s">
        <v>5</v>
      </c>
      <c r="K950" s="2" t="s">
        <v>5</v>
      </c>
      <c r="L950" s="2" t="s">
        <v>7</v>
      </c>
      <c r="N950" s="1" t="s">
        <v>1139</v>
      </c>
      <c r="O950" s="2" t="s">
        <v>136</v>
      </c>
      <c r="Q950" s="2" t="s">
        <v>11</v>
      </c>
      <c r="R950" s="2" t="s">
        <v>1140</v>
      </c>
      <c r="S950" s="1" t="s">
        <v>11546</v>
      </c>
      <c r="T950" s="2" t="s">
        <v>520</v>
      </c>
      <c r="U950" s="3">
        <v>2</v>
      </c>
      <c r="V950" s="3">
        <v>2</v>
      </c>
      <c r="W950" s="4" t="s">
        <v>11547</v>
      </c>
      <c r="X950" s="4" t="s">
        <v>11547</v>
      </c>
      <c r="Y950" s="4" t="s">
        <v>1143</v>
      </c>
      <c r="Z950" s="4" t="s">
        <v>1143</v>
      </c>
      <c r="AA950" s="3">
        <v>252</v>
      </c>
      <c r="AB950" s="3">
        <v>193</v>
      </c>
      <c r="AC950" s="3">
        <v>195</v>
      </c>
      <c r="AD950" s="3">
        <v>1</v>
      </c>
      <c r="AE950" s="3">
        <v>1</v>
      </c>
      <c r="AF950" s="3">
        <v>10</v>
      </c>
      <c r="AG950" s="3">
        <v>10</v>
      </c>
      <c r="AH950" s="3">
        <v>5</v>
      </c>
      <c r="AI950" s="3">
        <v>5</v>
      </c>
      <c r="AJ950" s="3">
        <v>2</v>
      </c>
      <c r="AK950" s="3">
        <v>2</v>
      </c>
      <c r="AL950" s="3">
        <v>8</v>
      </c>
      <c r="AM950" s="3">
        <v>8</v>
      </c>
      <c r="AN950" s="3">
        <v>0</v>
      </c>
      <c r="AO950" s="3">
        <v>0</v>
      </c>
      <c r="AP950" s="3">
        <v>0</v>
      </c>
      <c r="AQ950" s="3">
        <v>0</v>
      </c>
      <c r="AR950" s="2" t="s">
        <v>5</v>
      </c>
      <c r="AS950" s="2" t="s">
        <v>16</v>
      </c>
      <c r="AT950" s="5" t="str">
        <f>HYPERLINK("http://catalog.hathitrust.org/Record/002465176","HathiTrust Record")</f>
        <v>HathiTrust Record</v>
      </c>
      <c r="AU950" s="5" t="str">
        <f>HYPERLINK("https://creighton-primo.hosted.exlibrisgroup.com/primo-explore/search?tab=default_tab&amp;search_scope=EVERYTHING&amp;vid=01CRU&amp;lang=en_US&amp;offset=0&amp;query=any,contains,991001471929702656","Catalog Record")</f>
        <v>Catalog Record</v>
      </c>
      <c r="AV950" s="5" t="str">
        <f>HYPERLINK("http://www.worldcat.org/oclc/22956381","WorldCat Record")</f>
        <v>WorldCat Record</v>
      </c>
      <c r="AW950" s="2" t="s">
        <v>11548</v>
      </c>
      <c r="AX950" s="2" t="s">
        <v>11549</v>
      </c>
      <c r="AY950" s="2" t="s">
        <v>11550</v>
      </c>
      <c r="AZ950" s="2" t="s">
        <v>11550</v>
      </c>
      <c r="BA950" s="2" t="s">
        <v>11551</v>
      </c>
      <c r="BB950" s="2" t="s">
        <v>21</v>
      </c>
      <c r="BD950" s="2" t="s">
        <v>11552</v>
      </c>
      <c r="BE950" s="2" t="s">
        <v>11553</v>
      </c>
      <c r="BF950" s="2" t="s">
        <v>11554</v>
      </c>
    </row>
    <row r="951" spans="1:58" ht="41.25" customHeight="1" x14ac:dyDescent="0.25">
      <c r="A951" s="8" t="s">
        <v>5</v>
      </c>
      <c r="B951" s="1" t="s">
        <v>0</v>
      </c>
      <c r="C951" s="1" t="s">
        <v>1</v>
      </c>
      <c r="D951" s="1" t="s">
        <v>11555</v>
      </c>
      <c r="E951" s="1" t="s">
        <v>11556</v>
      </c>
      <c r="F951" s="1" t="s">
        <v>11557</v>
      </c>
      <c r="H951" s="2" t="s">
        <v>5</v>
      </c>
      <c r="I951" s="2" t="s">
        <v>6</v>
      </c>
      <c r="J951" s="2" t="s">
        <v>5</v>
      </c>
      <c r="K951" s="2" t="s">
        <v>5</v>
      </c>
      <c r="L951" s="2" t="s">
        <v>7</v>
      </c>
      <c r="M951" s="1" t="s">
        <v>11558</v>
      </c>
      <c r="N951" s="1" t="s">
        <v>1282</v>
      </c>
      <c r="O951" s="2" t="s">
        <v>1283</v>
      </c>
      <c r="P951" s="1" t="s">
        <v>211</v>
      </c>
      <c r="Q951" s="2" t="s">
        <v>11</v>
      </c>
      <c r="R951" s="2" t="s">
        <v>31</v>
      </c>
      <c r="T951" s="2" t="s">
        <v>520</v>
      </c>
      <c r="U951" s="3">
        <v>6</v>
      </c>
      <c r="V951" s="3">
        <v>6</v>
      </c>
      <c r="W951" s="4" t="s">
        <v>11559</v>
      </c>
      <c r="X951" s="4" t="s">
        <v>11559</v>
      </c>
      <c r="Y951" s="4" t="s">
        <v>1949</v>
      </c>
      <c r="Z951" s="4" t="s">
        <v>1949</v>
      </c>
      <c r="AA951" s="3">
        <v>328</v>
      </c>
      <c r="AB951" s="3">
        <v>246</v>
      </c>
      <c r="AC951" s="3">
        <v>254</v>
      </c>
      <c r="AD951" s="3">
        <v>1</v>
      </c>
      <c r="AE951" s="3">
        <v>1</v>
      </c>
      <c r="AF951" s="3">
        <v>9</v>
      </c>
      <c r="AG951" s="3">
        <v>9</v>
      </c>
      <c r="AH951" s="3">
        <v>3</v>
      </c>
      <c r="AI951" s="3">
        <v>3</v>
      </c>
      <c r="AJ951" s="3">
        <v>3</v>
      </c>
      <c r="AK951" s="3">
        <v>3</v>
      </c>
      <c r="AL951" s="3">
        <v>7</v>
      </c>
      <c r="AM951" s="3">
        <v>7</v>
      </c>
      <c r="AN951" s="3">
        <v>0</v>
      </c>
      <c r="AO951" s="3">
        <v>0</v>
      </c>
      <c r="AP951" s="3">
        <v>0</v>
      </c>
      <c r="AQ951" s="3">
        <v>0</v>
      </c>
      <c r="AR951" s="2" t="s">
        <v>5</v>
      </c>
      <c r="AS951" s="2" t="s">
        <v>16</v>
      </c>
      <c r="AT951" s="5" t="str">
        <f>HYPERLINK("http://catalog.hathitrust.org/Record/003077967","HathiTrust Record")</f>
        <v>HathiTrust Record</v>
      </c>
      <c r="AU951" s="5" t="str">
        <f>HYPERLINK("https://creighton-primo.hosted.exlibrisgroup.com/primo-explore/search?tab=default_tab&amp;search_scope=EVERYTHING&amp;vid=01CRU&amp;lang=en_US&amp;offset=0&amp;query=any,contains,991000836289702656","Catalog Record")</f>
        <v>Catalog Record</v>
      </c>
      <c r="AV951" s="5" t="str">
        <f>HYPERLINK("http://www.worldcat.org/oclc/34514502","WorldCat Record")</f>
        <v>WorldCat Record</v>
      </c>
      <c r="AW951" s="2" t="s">
        <v>11560</v>
      </c>
      <c r="AX951" s="2" t="s">
        <v>11561</v>
      </c>
      <c r="AY951" s="2" t="s">
        <v>11562</v>
      </c>
      <c r="AZ951" s="2" t="s">
        <v>11562</v>
      </c>
      <c r="BA951" s="2" t="s">
        <v>11563</v>
      </c>
      <c r="BB951" s="2" t="s">
        <v>21</v>
      </c>
      <c r="BD951" s="2" t="s">
        <v>11564</v>
      </c>
      <c r="BE951" s="2" t="s">
        <v>11565</v>
      </c>
      <c r="BF951" s="2" t="s">
        <v>11566</v>
      </c>
    </row>
    <row r="952" spans="1:58" ht="41.25" customHeight="1" x14ac:dyDescent="0.25">
      <c r="A952" s="8" t="s">
        <v>5</v>
      </c>
      <c r="B952" s="1" t="s">
        <v>0</v>
      </c>
      <c r="C952" s="1" t="s">
        <v>1</v>
      </c>
      <c r="D952" s="1" t="s">
        <v>11567</v>
      </c>
      <c r="E952" s="1" t="s">
        <v>11568</v>
      </c>
      <c r="F952" s="1" t="s">
        <v>11569</v>
      </c>
      <c r="H952" s="2" t="s">
        <v>5</v>
      </c>
      <c r="I952" s="2" t="s">
        <v>6</v>
      </c>
      <c r="J952" s="2" t="s">
        <v>5</v>
      </c>
      <c r="K952" s="2" t="s">
        <v>5</v>
      </c>
      <c r="L952" s="2" t="s">
        <v>7</v>
      </c>
      <c r="M952" s="1" t="s">
        <v>11570</v>
      </c>
      <c r="N952" s="1" t="s">
        <v>3355</v>
      </c>
      <c r="O952" s="2" t="s">
        <v>382</v>
      </c>
      <c r="Q952" s="2" t="s">
        <v>11</v>
      </c>
      <c r="R952" s="2" t="s">
        <v>426</v>
      </c>
      <c r="T952" s="2" t="s">
        <v>520</v>
      </c>
      <c r="U952" s="3">
        <v>36</v>
      </c>
      <c r="V952" s="3">
        <v>36</v>
      </c>
      <c r="W952" s="4" t="s">
        <v>11571</v>
      </c>
      <c r="X952" s="4" t="s">
        <v>11571</v>
      </c>
      <c r="Y952" s="4" t="s">
        <v>11572</v>
      </c>
      <c r="Z952" s="4" t="s">
        <v>11572</v>
      </c>
      <c r="AA952" s="3">
        <v>180</v>
      </c>
      <c r="AB952" s="3">
        <v>147</v>
      </c>
      <c r="AC952" s="3">
        <v>149</v>
      </c>
      <c r="AD952" s="3">
        <v>1</v>
      </c>
      <c r="AE952" s="3">
        <v>1</v>
      </c>
      <c r="AF952" s="3">
        <v>3</v>
      </c>
      <c r="AG952" s="3">
        <v>3</v>
      </c>
      <c r="AH952" s="3">
        <v>1</v>
      </c>
      <c r="AI952" s="3">
        <v>1</v>
      </c>
      <c r="AJ952" s="3">
        <v>1</v>
      </c>
      <c r="AK952" s="3">
        <v>1</v>
      </c>
      <c r="AL952" s="3">
        <v>1</v>
      </c>
      <c r="AM952" s="3">
        <v>1</v>
      </c>
      <c r="AN952" s="3">
        <v>0</v>
      </c>
      <c r="AO952" s="3">
        <v>0</v>
      </c>
      <c r="AP952" s="3">
        <v>0</v>
      </c>
      <c r="AQ952" s="3">
        <v>0</v>
      </c>
      <c r="AR952" s="2" t="s">
        <v>5</v>
      </c>
      <c r="AS952" s="2" t="s">
        <v>16</v>
      </c>
      <c r="AT952" s="5" t="str">
        <f>HYPERLINK("http://catalog.hathitrust.org/Record/000462863","HathiTrust Record")</f>
        <v>HathiTrust Record</v>
      </c>
      <c r="AU952" s="5" t="str">
        <f>HYPERLINK("https://creighton-primo.hosted.exlibrisgroup.com/primo-explore/search?tab=default_tab&amp;search_scope=EVERYTHING&amp;vid=01CRU&amp;lang=en_US&amp;offset=0&amp;query=any,contains,991000737549702656","Catalog Record")</f>
        <v>Catalog Record</v>
      </c>
      <c r="AV952" s="5" t="str">
        <f>HYPERLINK("http://www.worldcat.org/oclc/11399335","WorldCat Record")</f>
        <v>WorldCat Record</v>
      </c>
      <c r="AW952" s="2" t="s">
        <v>11573</v>
      </c>
      <c r="AX952" s="2" t="s">
        <v>11574</v>
      </c>
      <c r="AY952" s="2" t="s">
        <v>11575</v>
      </c>
      <c r="AZ952" s="2" t="s">
        <v>11575</v>
      </c>
      <c r="BA952" s="2" t="s">
        <v>11576</v>
      </c>
      <c r="BB952" s="2" t="s">
        <v>21</v>
      </c>
      <c r="BD952" s="2" t="s">
        <v>11577</v>
      </c>
      <c r="BE952" s="2" t="s">
        <v>11578</v>
      </c>
      <c r="BF952" s="2" t="s">
        <v>11579</v>
      </c>
    </row>
    <row r="953" spans="1:58" ht="41.25" customHeight="1" x14ac:dyDescent="0.25">
      <c r="A953" s="8" t="s">
        <v>5</v>
      </c>
      <c r="B953" s="1" t="s">
        <v>0</v>
      </c>
      <c r="C953" s="1" t="s">
        <v>1</v>
      </c>
      <c r="D953" s="1" t="s">
        <v>11580</v>
      </c>
      <c r="E953" s="1" t="s">
        <v>11581</v>
      </c>
      <c r="F953" s="1" t="s">
        <v>11582</v>
      </c>
      <c r="H953" s="2" t="s">
        <v>5</v>
      </c>
      <c r="I953" s="2" t="s">
        <v>6</v>
      </c>
      <c r="J953" s="2" t="s">
        <v>5</v>
      </c>
      <c r="K953" s="2" t="s">
        <v>5</v>
      </c>
      <c r="L953" s="2" t="s">
        <v>7</v>
      </c>
      <c r="N953" s="1" t="s">
        <v>11583</v>
      </c>
      <c r="O953" s="2" t="s">
        <v>872</v>
      </c>
      <c r="Q953" s="2" t="s">
        <v>11</v>
      </c>
      <c r="R953" s="2" t="s">
        <v>12</v>
      </c>
      <c r="S953" s="1" t="s">
        <v>11584</v>
      </c>
      <c r="T953" s="2" t="s">
        <v>520</v>
      </c>
      <c r="U953" s="3">
        <v>6</v>
      </c>
      <c r="V953" s="3">
        <v>6</v>
      </c>
      <c r="W953" s="4" t="s">
        <v>11585</v>
      </c>
      <c r="X953" s="4" t="s">
        <v>11585</v>
      </c>
      <c r="Y953" s="4" t="s">
        <v>11586</v>
      </c>
      <c r="Z953" s="4" t="s">
        <v>11586</v>
      </c>
      <c r="AA953" s="3">
        <v>269</v>
      </c>
      <c r="AB953" s="3">
        <v>229</v>
      </c>
      <c r="AC953" s="3">
        <v>231</v>
      </c>
      <c r="AD953" s="3">
        <v>2</v>
      </c>
      <c r="AE953" s="3">
        <v>2</v>
      </c>
      <c r="AF953" s="3">
        <v>10</v>
      </c>
      <c r="AG953" s="3">
        <v>10</v>
      </c>
      <c r="AH953" s="3">
        <v>3</v>
      </c>
      <c r="AI953" s="3">
        <v>3</v>
      </c>
      <c r="AJ953" s="3">
        <v>2</v>
      </c>
      <c r="AK953" s="3">
        <v>2</v>
      </c>
      <c r="AL953" s="3">
        <v>5</v>
      </c>
      <c r="AM953" s="3">
        <v>5</v>
      </c>
      <c r="AN953" s="3">
        <v>1</v>
      </c>
      <c r="AO953" s="3">
        <v>1</v>
      </c>
      <c r="AP953" s="3">
        <v>0</v>
      </c>
      <c r="AQ953" s="3">
        <v>0</v>
      </c>
      <c r="AR953" s="2" t="s">
        <v>5</v>
      </c>
      <c r="AS953" s="2" t="s">
        <v>16</v>
      </c>
      <c r="AT953" s="5" t="str">
        <f>HYPERLINK("http://catalog.hathitrust.org/Record/001818315","HathiTrust Record")</f>
        <v>HathiTrust Record</v>
      </c>
      <c r="AU953" s="5" t="str">
        <f>HYPERLINK("https://creighton-primo.hosted.exlibrisgroup.com/primo-explore/search?tab=default_tab&amp;search_scope=EVERYTHING&amp;vid=01CRU&amp;lang=en_US&amp;offset=0&amp;query=any,contains,991000826999702656","Catalog Record")</f>
        <v>Catalog Record</v>
      </c>
      <c r="AV953" s="5" t="str">
        <f>HYPERLINK("http://www.worldcat.org/oclc/19222166","WorldCat Record")</f>
        <v>WorldCat Record</v>
      </c>
      <c r="AW953" s="2" t="s">
        <v>11587</v>
      </c>
      <c r="AX953" s="2" t="s">
        <v>11588</v>
      </c>
      <c r="AY953" s="2" t="s">
        <v>11589</v>
      </c>
      <c r="AZ953" s="2" t="s">
        <v>11589</v>
      </c>
      <c r="BA953" s="2" t="s">
        <v>11590</v>
      </c>
      <c r="BB953" s="2" t="s">
        <v>21</v>
      </c>
      <c r="BD953" s="2" t="s">
        <v>11591</v>
      </c>
      <c r="BE953" s="2" t="s">
        <v>11592</v>
      </c>
      <c r="BF953" s="2" t="s">
        <v>11593</v>
      </c>
    </row>
    <row r="954" spans="1:58" ht="41.25" customHeight="1" x14ac:dyDescent="0.25">
      <c r="A954" s="8" t="s">
        <v>5</v>
      </c>
      <c r="B954" s="1" t="s">
        <v>0</v>
      </c>
      <c r="C954" s="1" t="s">
        <v>1</v>
      </c>
      <c r="D954" s="1" t="s">
        <v>11594</v>
      </c>
      <c r="E954" s="1" t="s">
        <v>11595</v>
      </c>
      <c r="F954" s="1" t="s">
        <v>11596</v>
      </c>
      <c r="H954" s="2" t="s">
        <v>5</v>
      </c>
      <c r="I954" s="2" t="s">
        <v>6</v>
      </c>
      <c r="J954" s="2" t="s">
        <v>5</v>
      </c>
      <c r="K954" s="2" t="s">
        <v>16</v>
      </c>
      <c r="L954" s="2" t="s">
        <v>7</v>
      </c>
      <c r="M954" s="1" t="s">
        <v>11597</v>
      </c>
      <c r="N954" s="1" t="s">
        <v>11598</v>
      </c>
      <c r="O954" s="2" t="s">
        <v>136</v>
      </c>
      <c r="P954" s="1" t="s">
        <v>1208</v>
      </c>
      <c r="Q954" s="2" t="s">
        <v>11</v>
      </c>
      <c r="R954" s="2" t="s">
        <v>1019</v>
      </c>
      <c r="T954" s="2" t="s">
        <v>520</v>
      </c>
      <c r="U954" s="3">
        <v>48</v>
      </c>
      <c r="V954" s="3">
        <v>48</v>
      </c>
      <c r="W954" s="4" t="s">
        <v>11599</v>
      </c>
      <c r="X954" s="4" t="s">
        <v>11599</v>
      </c>
      <c r="Y954" s="4" t="s">
        <v>11600</v>
      </c>
      <c r="Z954" s="4" t="s">
        <v>11600</v>
      </c>
      <c r="AA954" s="3">
        <v>340</v>
      </c>
      <c r="AB954" s="3">
        <v>260</v>
      </c>
      <c r="AC954" s="3">
        <v>838</v>
      </c>
      <c r="AD954" s="3">
        <v>2</v>
      </c>
      <c r="AE954" s="3">
        <v>3</v>
      </c>
      <c r="AF954" s="3">
        <v>7</v>
      </c>
      <c r="AG954" s="3">
        <v>18</v>
      </c>
      <c r="AH954" s="3">
        <v>2</v>
      </c>
      <c r="AI954" s="3">
        <v>6</v>
      </c>
      <c r="AJ954" s="3">
        <v>2</v>
      </c>
      <c r="AK954" s="3">
        <v>3</v>
      </c>
      <c r="AL954" s="3">
        <v>4</v>
      </c>
      <c r="AM954" s="3">
        <v>10</v>
      </c>
      <c r="AN954" s="3">
        <v>1</v>
      </c>
      <c r="AO954" s="3">
        <v>2</v>
      </c>
      <c r="AP954" s="3">
        <v>0</v>
      </c>
      <c r="AQ954" s="3">
        <v>0</v>
      </c>
      <c r="AR954" s="2" t="s">
        <v>5</v>
      </c>
      <c r="AS954" s="2" t="s">
        <v>5</v>
      </c>
      <c r="AU954" s="5" t="str">
        <f>HYPERLINK("https://creighton-primo.hosted.exlibrisgroup.com/primo-explore/search?tab=default_tab&amp;search_scope=EVERYTHING&amp;vid=01CRU&amp;lang=en_US&amp;offset=0&amp;query=any,contains,991000936939702656","Catalog Record")</f>
        <v>Catalog Record</v>
      </c>
      <c r="AV954" s="5" t="str">
        <f>HYPERLINK("http://www.worldcat.org/oclc/22665340","WorldCat Record")</f>
        <v>WorldCat Record</v>
      </c>
      <c r="AW954" s="2" t="s">
        <v>11227</v>
      </c>
      <c r="AX954" s="2" t="s">
        <v>11601</v>
      </c>
      <c r="AY954" s="2" t="s">
        <v>11602</v>
      </c>
      <c r="AZ954" s="2" t="s">
        <v>11602</v>
      </c>
      <c r="BA954" s="2" t="s">
        <v>11603</v>
      </c>
      <c r="BB954" s="2" t="s">
        <v>21</v>
      </c>
      <c r="BD954" s="2" t="s">
        <v>11604</v>
      </c>
      <c r="BE954" s="2" t="s">
        <v>11605</v>
      </c>
      <c r="BF954" s="2" t="s">
        <v>11606</v>
      </c>
    </row>
    <row r="955" spans="1:58" ht="41.25" customHeight="1" x14ac:dyDescent="0.25">
      <c r="A955" s="8" t="s">
        <v>5</v>
      </c>
      <c r="B955" s="1" t="s">
        <v>0</v>
      </c>
      <c r="C955" s="1" t="s">
        <v>1</v>
      </c>
      <c r="D955" s="1" t="s">
        <v>11607</v>
      </c>
      <c r="E955" s="1" t="s">
        <v>11608</v>
      </c>
      <c r="F955" s="1" t="s">
        <v>11609</v>
      </c>
      <c r="H955" s="2" t="s">
        <v>5</v>
      </c>
      <c r="I955" s="2" t="s">
        <v>6</v>
      </c>
      <c r="J955" s="2" t="s">
        <v>5</v>
      </c>
      <c r="K955" s="2" t="s">
        <v>5</v>
      </c>
      <c r="L955" s="2" t="s">
        <v>7</v>
      </c>
      <c r="M955" s="1" t="s">
        <v>11597</v>
      </c>
      <c r="N955" s="1" t="s">
        <v>11610</v>
      </c>
      <c r="O955" s="2" t="s">
        <v>872</v>
      </c>
      <c r="Q955" s="2" t="s">
        <v>11</v>
      </c>
      <c r="R955" s="2" t="s">
        <v>426</v>
      </c>
      <c r="T955" s="2" t="s">
        <v>520</v>
      </c>
      <c r="U955" s="3">
        <v>53</v>
      </c>
      <c r="V955" s="3">
        <v>53</v>
      </c>
      <c r="W955" s="4" t="s">
        <v>11611</v>
      </c>
      <c r="X955" s="4" t="s">
        <v>11611</v>
      </c>
      <c r="Y955" s="4" t="s">
        <v>2470</v>
      </c>
      <c r="Z955" s="4" t="s">
        <v>2470</v>
      </c>
      <c r="AA955" s="3">
        <v>205</v>
      </c>
      <c r="AB955" s="3">
        <v>153</v>
      </c>
      <c r="AC955" s="3">
        <v>155</v>
      </c>
      <c r="AD955" s="3">
        <v>2</v>
      </c>
      <c r="AE955" s="3">
        <v>2</v>
      </c>
      <c r="AF955" s="3">
        <v>4</v>
      </c>
      <c r="AG955" s="3">
        <v>4</v>
      </c>
      <c r="AH955" s="3">
        <v>1</v>
      </c>
      <c r="AI955" s="3">
        <v>1</v>
      </c>
      <c r="AJ955" s="3">
        <v>1</v>
      </c>
      <c r="AK955" s="3">
        <v>1</v>
      </c>
      <c r="AL955" s="3">
        <v>3</v>
      </c>
      <c r="AM955" s="3">
        <v>3</v>
      </c>
      <c r="AN955" s="3">
        <v>0</v>
      </c>
      <c r="AO955" s="3">
        <v>0</v>
      </c>
      <c r="AP955" s="3">
        <v>0</v>
      </c>
      <c r="AQ955" s="3">
        <v>0</v>
      </c>
      <c r="AR955" s="2" t="s">
        <v>5</v>
      </c>
      <c r="AS955" s="2" t="s">
        <v>16</v>
      </c>
      <c r="AT955" s="5" t="str">
        <f>HYPERLINK("http://catalog.hathitrust.org/Record/001094203","HathiTrust Record")</f>
        <v>HathiTrust Record</v>
      </c>
      <c r="AU955" s="5" t="str">
        <f>HYPERLINK("https://creighton-primo.hosted.exlibrisgroup.com/primo-explore/search?tab=default_tab&amp;search_scope=EVERYTHING&amp;vid=01CRU&amp;lang=en_US&amp;offset=0&amp;query=any,contains,991001251789702656","Catalog Record")</f>
        <v>Catalog Record</v>
      </c>
      <c r="AV955" s="5" t="str">
        <f>HYPERLINK("http://www.worldcat.org/oclc/18464260","WorldCat Record")</f>
        <v>WorldCat Record</v>
      </c>
      <c r="AW955" s="2" t="s">
        <v>11612</v>
      </c>
      <c r="AX955" s="2" t="s">
        <v>11613</v>
      </c>
      <c r="AY955" s="2" t="s">
        <v>11614</v>
      </c>
      <c r="AZ955" s="2" t="s">
        <v>11614</v>
      </c>
      <c r="BA955" s="2" t="s">
        <v>11615</v>
      </c>
      <c r="BB955" s="2" t="s">
        <v>21</v>
      </c>
      <c r="BD955" s="2" t="s">
        <v>11616</v>
      </c>
      <c r="BE955" s="2" t="s">
        <v>11617</v>
      </c>
      <c r="BF955" s="2" t="s">
        <v>11618</v>
      </c>
    </row>
    <row r="956" spans="1:58" ht="41.25" customHeight="1" x14ac:dyDescent="0.25">
      <c r="A956" s="8" t="s">
        <v>5</v>
      </c>
      <c r="B956" s="1" t="s">
        <v>0</v>
      </c>
      <c r="C956" s="1" t="s">
        <v>1</v>
      </c>
      <c r="D956" s="1" t="s">
        <v>11619</v>
      </c>
      <c r="E956" s="1" t="s">
        <v>11620</v>
      </c>
      <c r="F956" s="1" t="s">
        <v>11621</v>
      </c>
      <c r="H956" s="2" t="s">
        <v>5</v>
      </c>
      <c r="I956" s="2" t="s">
        <v>6</v>
      </c>
      <c r="J956" s="2" t="s">
        <v>5</v>
      </c>
      <c r="K956" s="2" t="s">
        <v>5</v>
      </c>
      <c r="L956" s="2" t="s">
        <v>7</v>
      </c>
      <c r="N956" s="1" t="s">
        <v>11622</v>
      </c>
      <c r="O956" s="2" t="s">
        <v>1391</v>
      </c>
      <c r="P956" s="1" t="s">
        <v>1284</v>
      </c>
      <c r="Q956" s="2" t="s">
        <v>11</v>
      </c>
      <c r="R956" s="2" t="s">
        <v>229</v>
      </c>
      <c r="T956" s="2" t="s">
        <v>520</v>
      </c>
      <c r="U956" s="3">
        <v>0</v>
      </c>
      <c r="V956" s="3">
        <v>0</v>
      </c>
      <c r="W956" s="4" t="s">
        <v>11623</v>
      </c>
      <c r="X956" s="4" t="s">
        <v>11623</v>
      </c>
      <c r="Y956" s="4" t="s">
        <v>11624</v>
      </c>
      <c r="Z956" s="4" t="s">
        <v>11624</v>
      </c>
      <c r="AA956" s="3">
        <v>138</v>
      </c>
      <c r="AB956" s="3">
        <v>99</v>
      </c>
      <c r="AC956" s="3">
        <v>238</v>
      </c>
      <c r="AD956" s="3">
        <v>1</v>
      </c>
      <c r="AE956" s="3">
        <v>1</v>
      </c>
      <c r="AF956" s="3">
        <v>1</v>
      </c>
      <c r="AG956" s="3">
        <v>5</v>
      </c>
      <c r="AH956" s="3">
        <v>1</v>
      </c>
      <c r="AI956" s="3">
        <v>4</v>
      </c>
      <c r="AJ956" s="3">
        <v>0</v>
      </c>
      <c r="AK956" s="3">
        <v>0</v>
      </c>
      <c r="AL956" s="3">
        <v>0</v>
      </c>
      <c r="AM956" s="3">
        <v>1</v>
      </c>
      <c r="AN956" s="3">
        <v>0</v>
      </c>
      <c r="AO956" s="3">
        <v>0</v>
      </c>
      <c r="AP956" s="3">
        <v>0</v>
      </c>
      <c r="AQ956" s="3">
        <v>0</v>
      </c>
      <c r="AR956" s="2" t="s">
        <v>5</v>
      </c>
      <c r="AS956" s="2" t="s">
        <v>16</v>
      </c>
      <c r="AT956" s="5" t="str">
        <f>HYPERLINK("http://catalog.hathitrust.org/Record/004339012","HathiTrust Record")</f>
        <v>HathiTrust Record</v>
      </c>
      <c r="AU956" s="5" t="str">
        <f>HYPERLINK("https://creighton-primo.hosted.exlibrisgroup.com/primo-explore/search?tab=default_tab&amp;search_scope=EVERYTHING&amp;vid=01CRU&amp;lang=en_US&amp;offset=0&amp;query=any,contains,991001743959702656","Catalog Record")</f>
        <v>Catalog Record</v>
      </c>
      <c r="AV956" s="5" t="str">
        <f>HYPERLINK("http://www.worldcat.org/oclc/53055829","WorldCat Record")</f>
        <v>WorldCat Record</v>
      </c>
      <c r="AW956" s="2" t="s">
        <v>11625</v>
      </c>
      <c r="AX956" s="2" t="s">
        <v>11626</v>
      </c>
      <c r="AY956" s="2" t="s">
        <v>11627</v>
      </c>
      <c r="AZ956" s="2" t="s">
        <v>11627</v>
      </c>
      <c r="BA956" s="2" t="s">
        <v>11628</v>
      </c>
      <c r="BB956" s="2" t="s">
        <v>21</v>
      </c>
      <c r="BD956" s="2" t="s">
        <v>11629</v>
      </c>
      <c r="BE956" s="2" t="s">
        <v>11630</v>
      </c>
      <c r="BF956" s="2" t="s">
        <v>11631</v>
      </c>
    </row>
    <row r="957" spans="1:58" ht="41.25" customHeight="1" x14ac:dyDescent="0.25">
      <c r="A957" s="8" t="s">
        <v>5</v>
      </c>
      <c r="B957" s="1" t="s">
        <v>0</v>
      </c>
      <c r="C957" s="1" t="s">
        <v>1</v>
      </c>
      <c r="D957" s="1" t="s">
        <v>11632</v>
      </c>
      <c r="E957" s="1" t="s">
        <v>11633</v>
      </c>
      <c r="F957" s="1" t="s">
        <v>11634</v>
      </c>
      <c r="H957" s="2" t="s">
        <v>5</v>
      </c>
      <c r="I957" s="2" t="s">
        <v>6</v>
      </c>
      <c r="J957" s="2" t="s">
        <v>5</v>
      </c>
      <c r="K957" s="2" t="s">
        <v>5</v>
      </c>
      <c r="L957" s="2" t="s">
        <v>7</v>
      </c>
      <c r="M957" s="1" t="s">
        <v>283</v>
      </c>
      <c r="N957" s="1" t="s">
        <v>9264</v>
      </c>
      <c r="O957" s="2" t="s">
        <v>382</v>
      </c>
      <c r="Q957" s="2" t="s">
        <v>11</v>
      </c>
      <c r="R957" s="2" t="s">
        <v>426</v>
      </c>
      <c r="T957" s="2" t="s">
        <v>520</v>
      </c>
      <c r="U957" s="3">
        <v>3</v>
      </c>
      <c r="V957" s="3">
        <v>3</v>
      </c>
      <c r="W957" s="4" t="s">
        <v>10915</v>
      </c>
      <c r="X957" s="4" t="s">
        <v>10915</v>
      </c>
      <c r="Y957" s="4" t="s">
        <v>96</v>
      </c>
      <c r="Z957" s="4" t="s">
        <v>96</v>
      </c>
      <c r="AA957" s="3">
        <v>273</v>
      </c>
      <c r="AB957" s="3">
        <v>220</v>
      </c>
      <c r="AC957" s="3">
        <v>223</v>
      </c>
      <c r="AD957" s="3">
        <v>2</v>
      </c>
      <c r="AE957" s="3">
        <v>2</v>
      </c>
      <c r="AF957" s="3">
        <v>7</v>
      </c>
      <c r="AG957" s="3">
        <v>8</v>
      </c>
      <c r="AH957" s="3">
        <v>1</v>
      </c>
      <c r="AI957" s="3">
        <v>2</v>
      </c>
      <c r="AJ957" s="3">
        <v>1</v>
      </c>
      <c r="AK957" s="3">
        <v>1</v>
      </c>
      <c r="AL957" s="3">
        <v>5</v>
      </c>
      <c r="AM957" s="3">
        <v>6</v>
      </c>
      <c r="AN957" s="3">
        <v>1</v>
      </c>
      <c r="AO957" s="3">
        <v>1</v>
      </c>
      <c r="AP957" s="3">
        <v>0</v>
      </c>
      <c r="AQ957" s="3">
        <v>0</v>
      </c>
      <c r="AR957" s="2" t="s">
        <v>5</v>
      </c>
      <c r="AS957" s="2" t="s">
        <v>16</v>
      </c>
      <c r="AT957" s="5" t="str">
        <f>HYPERLINK("http://catalog.hathitrust.org/Record/000347081","HathiTrust Record")</f>
        <v>HathiTrust Record</v>
      </c>
      <c r="AU957" s="5" t="str">
        <f>HYPERLINK("https://creighton-primo.hosted.exlibrisgroup.com/primo-explore/search?tab=default_tab&amp;search_scope=EVERYTHING&amp;vid=01CRU&amp;lang=en_US&amp;offset=0&amp;query=any,contains,991001144709702656","Catalog Record")</f>
        <v>Catalog Record</v>
      </c>
      <c r="AV957" s="5" t="str">
        <f>HYPERLINK("http://www.worldcat.org/oclc/11029977","WorldCat Record")</f>
        <v>WorldCat Record</v>
      </c>
      <c r="AW957" s="2" t="s">
        <v>11635</v>
      </c>
      <c r="AX957" s="2" t="s">
        <v>11636</v>
      </c>
      <c r="AY957" s="2" t="s">
        <v>11637</v>
      </c>
      <c r="AZ957" s="2" t="s">
        <v>11637</v>
      </c>
      <c r="BA957" s="2" t="s">
        <v>11638</v>
      </c>
      <c r="BB957" s="2" t="s">
        <v>21</v>
      </c>
      <c r="BD957" s="2" t="s">
        <v>11639</v>
      </c>
      <c r="BE957" s="2" t="s">
        <v>11640</v>
      </c>
      <c r="BF957" s="2" t="s">
        <v>11641</v>
      </c>
    </row>
    <row r="958" spans="1:58" ht="41.25" customHeight="1" x14ac:dyDescent="0.25">
      <c r="A958" s="8" t="s">
        <v>5</v>
      </c>
      <c r="B958" s="1" t="s">
        <v>0</v>
      </c>
      <c r="C958" s="1" t="s">
        <v>1</v>
      </c>
      <c r="D958" s="1" t="s">
        <v>11642</v>
      </c>
      <c r="E958" s="1" t="s">
        <v>11643</v>
      </c>
      <c r="F958" s="1" t="s">
        <v>11644</v>
      </c>
      <c r="H958" s="2" t="s">
        <v>5</v>
      </c>
      <c r="I958" s="2" t="s">
        <v>6</v>
      </c>
      <c r="J958" s="2" t="s">
        <v>5</v>
      </c>
      <c r="K958" s="2" t="s">
        <v>5</v>
      </c>
      <c r="L958" s="2" t="s">
        <v>7</v>
      </c>
      <c r="M958" s="1" t="s">
        <v>11645</v>
      </c>
      <c r="N958" s="1" t="s">
        <v>11646</v>
      </c>
      <c r="O958" s="2" t="s">
        <v>1246</v>
      </c>
      <c r="Q958" s="2" t="s">
        <v>11</v>
      </c>
      <c r="R958" s="2" t="s">
        <v>229</v>
      </c>
      <c r="S958" s="1" t="s">
        <v>11647</v>
      </c>
      <c r="T958" s="2" t="s">
        <v>520</v>
      </c>
      <c r="U958" s="3">
        <v>3</v>
      </c>
      <c r="V958" s="3">
        <v>3</v>
      </c>
      <c r="W958" s="4" t="s">
        <v>11648</v>
      </c>
      <c r="X958" s="4" t="s">
        <v>11648</v>
      </c>
      <c r="Y958" s="4" t="s">
        <v>80</v>
      </c>
      <c r="Z958" s="4" t="s">
        <v>80</v>
      </c>
      <c r="AA958" s="3">
        <v>244</v>
      </c>
      <c r="AB958" s="3">
        <v>196</v>
      </c>
      <c r="AC958" s="3">
        <v>198</v>
      </c>
      <c r="AD958" s="3">
        <v>3</v>
      </c>
      <c r="AE958" s="3">
        <v>3</v>
      </c>
      <c r="AF958" s="3">
        <v>9</v>
      </c>
      <c r="AG958" s="3">
        <v>9</v>
      </c>
      <c r="AH958" s="3">
        <v>2</v>
      </c>
      <c r="AI958" s="3">
        <v>2</v>
      </c>
      <c r="AJ958" s="3">
        <v>2</v>
      </c>
      <c r="AK958" s="3">
        <v>2</v>
      </c>
      <c r="AL958" s="3">
        <v>5</v>
      </c>
      <c r="AM958" s="3">
        <v>5</v>
      </c>
      <c r="AN958" s="3">
        <v>1</v>
      </c>
      <c r="AO958" s="3">
        <v>1</v>
      </c>
      <c r="AP958" s="3">
        <v>0</v>
      </c>
      <c r="AQ958" s="3">
        <v>0</v>
      </c>
      <c r="AR958" s="2" t="s">
        <v>5</v>
      </c>
      <c r="AS958" s="2" t="s">
        <v>16</v>
      </c>
      <c r="AT958" s="5" t="str">
        <f>HYPERLINK("http://catalog.hathitrust.org/Record/001579433","HathiTrust Record")</f>
        <v>HathiTrust Record</v>
      </c>
      <c r="AU958" s="5" t="str">
        <f>HYPERLINK("https://creighton-primo.hosted.exlibrisgroup.com/primo-explore/search?tab=default_tab&amp;search_scope=EVERYTHING&amp;vid=01CRU&amp;lang=en_US&amp;offset=0&amp;query=any,contains,991001144839702656","Catalog Record")</f>
        <v>Catalog Record</v>
      </c>
      <c r="AV958" s="5" t="str">
        <f>HYPERLINK("http://www.worldcat.org/oclc/482466","WorldCat Record")</f>
        <v>WorldCat Record</v>
      </c>
      <c r="AW958" s="2" t="s">
        <v>11649</v>
      </c>
      <c r="AX958" s="2" t="s">
        <v>11650</v>
      </c>
      <c r="AY958" s="2" t="s">
        <v>11651</v>
      </c>
      <c r="AZ958" s="2" t="s">
        <v>11651</v>
      </c>
      <c r="BA958" s="2" t="s">
        <v>11652</v>
      </c>
      <c r="BB958" s="2" t="s">
        <v>21</v>
      </c>
      <c r="BD958" s="2" t="s">
        <v>11653</v>
      </c>
      <c r="BE958" s="2" t="s">
        <v>11654</v>
      </c>
      <c r="BF958" s="2" t="s">
        <v>11655</v>
      </c>
    </row>
    <row r="959" spans="1:58" ht="41.25" customHeight="1" x14ac:dyDescent="0.25">
      <c r="A959" s="8" t="s">
        <v>5</v>
      </c>
      <c r="B959" s="1" t="s">
        <v>0</v>
      </c>
      <c r="C959" s="1" t="s">
        <v>1</v>
      </c>
      <c r="D959" s="1" t="s">
        <v>11656</v>
      </c>
      <c r="E959" s="1" t="s">
        <v>11657</v>
      </c>
      <c r="F959" s="1" t="s">
        <v>11658</v>
      </c>
      <c r="H959" s="2" t="s">
        <v>5</v>
      </c>
      <c r="I959" s="2" t="s">
        <v>6</v>
      </c>
      <c r="J959" s="2" t="s">
        <v>5</v>
      </c>
      <c r="K959" s="2" t="s">
        <v>5</v>
      </c>
      <c r="L959" s="2" t="s">
        <v>7</v>
      </c>
      <c r="N959" s="1" t="s">
        <v>11659</v>
      </c>
      <c r="O959" s="2" t="s">
        <v>136</v>
      </c>
      <c r="Q959" s="2" t="s">
        <v>11</v>
      </c>
      <c r="R959" s="2" t="s">
        <v>78</v>
      </c>
      <c r="T959" s="2" t="s">
        <v>520</v>
      </c>
      <c r="U959" s="3">
        <v>20</v>
      </c>
      <c r="V959" s="3">
        <v>20</v>
      </c>
      <c r="W959" s="4" t="s">
        <v>11660</v>
      </c>
      <c r="X959" s="4" t="s">
        <v>11660</v>
      </c>
      <c r="Y959" s="4" t="s">
        <v>11661</v>
      </c>
      <c r="Z959" s="4" t="s">
        <v>11661</v>
      </c>
      <c r="AA959" s="3">
        <v>284</v>
      </c>
      <c r="AB959" s="3">
        <v>227</v>
      </c>
      <c r="AC959" s="3">
        <v>229</v>
      </c>
      <c r="AD959" s="3">
        <v>2</v>
      </c>
      <c r="AE959" s="3">
        <v>2</v>
      </c>
      <c r="AF959" s="3">
        <v>20</v>
      </c>
      <c r="AG959" s="3">
        <v>20</v>
      </c>
      <c r="AH959" s="3">
        <v>7</v>
      </c>
      <c r="AI959" s="3">
        <v>7</v>
      </c>
      <c r="AJ959" s="3">
        <v>5</v>
      </c>
      <c r="AK959" s="3">
        <v>5</v>
      </c>
      <c r="AL959" s="3">
        <v>12</v>
      </c>
      <c r="AM959" s="3">
        <v>12</v>
      </c>
      <c r="AN959" s="3">
        <v>1</v>
      </c>
      <c r="AO959" s="3">
        <v>1</v>
      </c>
      <c r="AP959" s="3">
        <v>0</v>
      </c>
      <c r="AQ959" s="3">
        <v>0</v>
      </c>
      <c r="AR959" s="2" t="s">
        <v>5</v>
      </c>
      <c r="AS959" s="2" t="s">
        <v>16</v>
      </c>
      <c r="AT959" s="5" t="str">
        <f>HYPERLINK("http://catalog.hathitrust.org/Record/002450476","HathiTrust Record")</f>
        <v>HathiTrust Record</v>
      </c>
      <c r="AU959" s="5" t="str">
        <f>HYPERLINK("https://creighton-primo.hosted.exlibrisgroup.com/primo-explore/search?tab=default_tab&amp;search_scope=EVERYTHING&amp;vid=01CRU&amp;lang=en_US&amp;offset=0&amp;query=any,contains,991001336149702656","Catalog Record")</f>
        <v>Catalog Record</v>
      </c>
      <c r="AV959" s="5" t="str">
        <f>HYPERLINK("http://www.worldcat.org/oclc/23213410","WorldCat Record")</f>
        <v>WorldCat Record</v>
      </c>
      <c r="AW959" s="2" t="s">
        <v>11662</v>
      </c>
      <c r="AX959" s="2" t="s">
        <v>11663</v>
      </c>
      <c r="AY959" s="2" t="s">
        <v>11664</v>
      </c>
      <c r="AZ959" s="2" t="s">
        <v>11664</v>
      </c>
      <c r="BA959" s="2" t="s">
        <v>11665</v>
      </c>
      <c r="BB959" s="2" t="s">
        <v>21</v>
      </c>
      <c r="BD959" s="2" t="s">
        <v>11666</v>
      </c>
      <c r="BE959" s="2" t="s">
        <v>11667</v>
      </c>
      <c r="BF959" s="2" t="s">
        <v>11668</v>
      </c>
    </row>
    <row r="960" spans="1:58" ht="41.25" customHeight="1" x14ac:dyDescent="0.25">
      <c r="A960" s="8" t="s">
        <v>5</v>
      </c>
      <c r="B960" s="1" t="s">
        <v>0</v>
      </c>
      <c r="C960" s="1" t="s">
        <v>1</v>
      </c>
      <c r="D960" s="1" t="s">
        <v>11669</v>
      </c>
      <c r="E960" s="1" t="s">
        <v>11670</v>
      </c>
      <c r="F960" s="1" t="s">
        <v>11671</v>
      </c>
      <c r="H960" s="2" t="s">
        <v>5</v>
      </c>
      <c r="I960" s="2" t="s">
        <v>6</v>
      </c>
      <c r="J960" s="2" t="s">
        <v>5</v>
      </c>
      <c r="K960" s="2" t="s">
        <v>5</v>
      </c>
      <c r="L960" s="2" t="s">
        <v>7</v>
      </c>
      <c r="M960" s="1" t="s">
        <v>11672</v>
      </c>
      <c r="N960" s="1" t="s">
        <v>11673</v>
      </c>
      <c r="O960" s="2" t="s">
        <v>734</v>
      </c>
      <c r="Q960" s="2" t="s">
        <v>11</v>
      </c>
      <c r="R960" s="2" t="s">
        <v>426</v>
      </c>
      <c r="T960" s="2" t="s">
        <v>520</v>
      </c>
      <c r="U960" s="3">
        <v>4</v>
      </c>
      <c r="V960" s="3">
        <v>4</v>
      </c>
      <c r="W960" s="4" t="s">
        <v>11674</v>
      </c>
      <c r="X960" s="4" t="s">
        <v>11674</v>
      </c>
      <c r="Y960" s="4" t="s">
        <v>96</v>
      </c>
      <c r="Z960" s="4" t="s">
        <v>96</v>
      </c>
      <c r="AA960" s="3">
        <v>153</v>
      </c>
      <c r="AB960" s="3">
        <v>122</v>
      </c>
      <c r="AC960" s="3">
        <v>263</v>
      </c>
      <c r="AD960" s="3">
        <v>2</v>
      </c>
      <c r="AE960" s="3">
        <v>3</v>
      </c>
      <c r="AF960" s="3">
        <v>3</v>
      </c>
      <c r="AG960" s="3">
        <v>6</v>
      </c>
      <c r="AH960" s="3">
        <v>1</v>
      </c>
      <c r="AI960" s="3">
        <v>2</v>
      </c>
      <c r="AJ960" s="3">
        <v>0</v>
      </c>
      <c r="AK960" s="3">
        <v>0</v>
      </c>
      <c r="AL960" s="3">
        <v>2</v>
      </c>
      <c r="AM960" s="3">
        <v>4</v>
      </c>
      <c r="AN960" s="3">
        <v>0</v>
      </c>
      <c r="AO960" s="3">
        <v>1</v>
      </c>
      <c r="AP960" s="3">
        <v>0</v>
      </c>
      <c r="AQ960" s="3">
        <v>0</v>
      </c>
      <c r="AR960" s="2" t="s">
        <v>5</v>
      </c>
      <c r="AS960" s="2" t="s">
        <v>5</v>
      </c>
      <c r="AU960" s="5" t="str">
        <f>HYPERLINK("https://creighton-primo.hosted.exlibrisgroup.com/primo-explore/search?tab=default_tab&amp;search_scope=EVERYTHING&amp;vid=01CRU&amp;lang=en_US&amp;offset=0&amp;query=any,contains,991001086449702656","Catalog Record")</f>
        <v>Catalog Record</v>
      </c>
      <c r="AV960" s="5" t="str">
        <f>HYPERLINK("http://www.worldcat.org/oclc/8866361","WorldCat Record")</f>
        <v>WorldCat Record</v>
      </c>
      <c r="AW960" s="2" t="s">
        <v>11675</v>
      </c>
      <c r="AX960" s="2" t="s">
        <v>11676</v>
      </c>
      <c r="AY960" s="2" t="s">
        <v>11677</v>
      </c>
      <c r="AZ960" s="2" t="s">
        <v>11677</v>
      </c>
      <c r="BA960" s="2" t="s">
        <v>11678</v>
      </c>
      <c r="BB960" s="2" t="s">
        <v>21</v>
      </c>
      <c r="BD960" s="2" t="s">
        <v>11679</v>
      </c>
      <c r="BE960" s="2" t="s">
        <v>11680</v>
      </c>
      <c r="BF960" s="2" t="s">
        <v>11681</v>
      </c>
    </row>
    <row r="961" spans="1:58" ht="41.25" customHeight="1" x14ac:dyDescent="0.25">
      <c r="A961" s="8" t="s">
        <v>5</v>
      </c>
      <c r="B961" s="1" t="s">
        <v>0</v>
      </c>
      <c r="C961" s="1" t="s">
        <v>1</v>
      </c>
      <c r="D961" s="1" t="s">
        <v>11682</v>
      </c>
      <c r="E961" s="1" t="s">
        <v>11683</v>
      </c>
      <c r="F961" s="1" t="s">
        <v>11684</v>
      </c>
      <c r="H961" s="2" t="s">
        <v>5</v>
      </c>
      <c r="I961" s="2" t="s">
        <v>6</v>
      </c>
      <c r="J961" s="2" t="s">
        <v>5</v>
      </c>
      <c r="K961" s="2" t="s">
        <v>5</v>
      </c>
      <c r="L961" s="2" t="s">
        <v>7</v>
      </c>
      <c r="M961" s="1" t="s">
        <v>11685</v>
      </c>
      <c r="N961" s="1" t="s">
        <v>11686</v>
      </c>
      <c r="O961" s="2" t="s">
        <v>1283</v>
      </c>
      <c r="Q961" s="2" t="s">
        <v>11</v>
      </c>
      <c r="R961" s="2" t="s">
        <v>78</v>
      </c>
      <c r="T961" s="2" t="s">
        <v>520</v>
      </c>
      <c r="U961" s="3">
        <v>18</v>
      </c>
      <c r="V961" s="3">
        <v>18</v>
      </c>
      <c r="W961" s="4" t="s">
        <v>11687</v>
      </c>
      <c r="X961" s="4" t="s">
        <v>11687</v>
      </c>
      <c r="Y961" s="4" t="s">
        <v>1286</v>
      </c>
      <c r="Z961" s="4" t="s">
        <v>1286</v>
      </c>
      <c r="AA961" s="3">
        <v>351</v>
      </c>
      <c r="AB961" s="3">
        <v>292</v>
      </c>
      <c r="AC961" s="3">
        <v>293</v>
      </c>
      <c r="AD961" s="3">
        <v>2</v>
      </c>
      <c r="AE961" s="3">
        <v>2</v>
      </c>
      <c r="AF961" s="3">
        <v>7</v>
      </c>
      <c r="AG961" s="3">
        <v>7</v>
      </c>
      <c r="AH961" s="3">
        <v>3</v>
      </c>
      <c r="AI961" s="3">
        <v>3</v>
      </c>
      <c r="AJ961" s="3">
        <v>0</v>
      </c>
      <c r="AK961" s="3">
        <v>0</v>
      </c>
      <c r="AL961" s="3">
        <v>5</v>
      </c>
      <c r="AM961" s="3">
        <v>5</v>
      </c>
      <c r="AN961" s="3">
        <v>0</v>
      </c>
      <c r="AO961" s="3">
        <v>0</v>
      </c>
      <c r="AP961" s="3">
        <v>0</v>
      </c>
      <c r="AQ961" s="3">
        <v>0</v>
      </c>
      <c r="AR961" s="2" t="s">
        <v>5</v>
      </c>
      <c r="AS961" s="2" t="s">
        <v>5</v>
      </c>
      <c r="AU961" s="5" t="str">
        <f>HYPERLINK("https://creighton-primo.hosted.exlibrisgroup.com/primo-explore/search?tab=default_tab&amp;search_scope=EVERYTHING&amp;vid=01CRU&amp;lang=en_US&amp;offset=0&amp;query=any,contains,991001551599702656","Catalog Record")</f>
        <v>Catalog Record</v>
      </c>
      <c r="AV961" s="5" t="str">
        <f>HYPERLINK("http://www.worldcat.org/oclc/33817905","WorldCat Record")</f>
        <v>WorldCat Record</v>
      </c>
      <c r="AW961" s="2" t="s">
        <v>11688</v>
      </c>
      <c r="AX961" s="2" t="s">
        <v>11689</v>
      </c>
      <c r="AY961" s="2" t="s">
        <v>11690</v>
      </c>
      <c r="AZ961" s="2" t="s">
        <v>11690</v>
      </c>
      <c r="BA961" s="2" t="s">
        <v>11691</v>
      </c>
      <c r="BB961" s="2" t="s">
        <v>21</v>
      </c>
      <c r="BD961" s="2" t="s">
        <v>11692</v>
      </c>
      <c r="BE961" s="2" t="s">
        <v>11693</v>
      </c>
      <c r="BF961" s="2" t="s">
        <v>11694</v>
      </c>
    </row>
    <row r="962" spans="1:58" ht="41.25" customHeight="1" x14ac:dyDescent="0.25">
      <c r="A962" s="8" t="s">
        <v>5</v>
      </c>
      <c r="B962" s="1" t="s">
        <v>0</v>
      </c>
      <c r="C962" s="1" t="s">
        <v>1</v>
      </c>
      <c r="D962" s="1" t="s">
        <v>11695</v>
      </c>
      <c r="E962" s="1" t="s">
        <v>11696</v>
      </c>
      <c r="F962" s="1" t="s">
        <v>11697</v>
      </c>
      <c r="H962" s="2" t="s">
        <v>5</v>
      </c>
      <c r="I962" s="2" t="s">
        <v>6</v>
      </c>
      <c r="J962" s="2" t="s">
        <v>5</v>
      </c>
      <c r="K962" s="2" t="s">
        <v>5</v>
      </c>
      <c r="L962" s="2" t="s">
        <v>7</v>
      </c>
      <c r="N962" s="1" t="s">
        <v>7854</v>
      </c>
      <c r="O962" s="2" t="s">
        <v>1887</v>
      </c>
      <c r="Q962" s="2" t="s">
        <v>11</v>
      </c>
      <c r="R962" s="2" t="s">
        <v>31</v>
      </c>
      <c r="S962" s="1" t="s">
        <v>11698</v>
      </c>
      <c r="T962" s="2" t="s">
        <v>520</v>
      </c>
      <c r="U962" s="3">
        <v>5</v>
      </c>
      <c r="V962" s="3">
        <v>5</v>
      </c>
      <c r="W962" s="4" t="s">
        <v>11699</v>
      </c>
      <c r="X962" s="4" t="s">
        <v>11699</v>
      </c>
      <c r="Y962" s="4" t="s">
        <v>11700</v>
      </c>
      <c r="Z962" s="4" t="s">
        <v>11700</v>
      </c>
      <c r="AA962" s="3">
        <v>153</v>
      </c>
      <c r="AB962" s="3">
        <v>121</v>
      </c>
      <c r="AC962" s="3">
        <v>121</v>
      </c>
      <c r="AD962" s="3">
        <v>2</v>
      </c>
      <c r="AE962" s="3">
        <v>2</v>
      </c>
      <c r="AF962" s="3">
        <v>9</v>
      </c>
      <c r="AG962" s="3">
        <v>9</v>
      </c>
      <c r="AH962" s="3">
        <v>3</v>
      </c>
      <c r="AI962" s="3">
        <v>3</v>
      </c>
      <c r="AJ962" s="3">
        <v>2</v>
      </c>
      <c r="AK962" s="3">
        <v>2</v>
      </c>
      <c r="AL962" s="3">
        <v>6</v>
      </c>
      <c r="AM962" s="3">
        <v>6</v>
      </c>
      <c r="AN962" s="3">
        <v>0</v>
      </c>
      <c r="AO962" s="3">
        <v>0</v>
      </c>
      <c r="AP962" s="3">
        <v>0</v>
      </c>
      <c r="AQ962" s="3">
        <v>0</v>
      </c>
      <c r="AR962" s="2" t="s">
        <v>5</v>
      </c>
      <c r="AS962" s="2" t="s">
        <v>5</v>
      </c>
      <c r="AU962" s="5" t="str">
        <f>HYPERLINK("https://creighton-primo.hosted.exlibrisgroup.com/primo-explore/search?tab=default_tab&amp;search_scope=EVERYTHING&amp;vid=01CRU&amp;lang=en_US&amp;offset=0&amp;query=any,contains,991001502679702656","Catalog Record")</f>
        <v>Catalog Record</v>
      </c>
      <c r="AV962" s="5" t="str">
        <f>HYPERLINK("http://www.worldcat.org/oclc/27072226","WorldCat Record")</f>
        <v>WorldCat Record</v>
      </c>
      <c r="AW962" s="2" t="s">
        <v>11701</v>
      </c>
      <c r="AX962" s="2" t="s">
        <v>11702</v>
      </c>
      <c r="AY962" s="2" t="s">
        <v>11703</v>
      </c>
      <c r="AZ962" s="2" t="s">
        <v>11703</v>
      </c>
      <c r="BA962" s="2" t="s">
        <v>11704</v>
      </c>
      <c r="BB962" s="2" t="s">
        <v>21</v>
      </c>
      <c r="BD962" s="2" t="s">
        <v>11705</v>
      </c>
      <c r="BE962" s="2" t="s">
        <v>11706</v>
      </c>
      <c r="BF962" s="2" t="s">
        <v>11707</v>
      </c>
    </row>
    <row r="963" spans="1:58" ht="41.25" customHeight="1" x14ac:dyDescent="0.25">
      <c r="A963" s="8" t="s">
        <v>5</v>
      </c>
      <c r="B963" s="1" t="s">
        <v>0</v>
      </c>
      <c r="C963" s="1" t="s">
        <v>1</v>
      </c>
      <c r="D963" s="1" t="s">
        <v>11708</v>
      </c>
      <c r="E963" s="1" t="s">
        <v>11709</v>
      </c>
      <c r="F963" s="1" t="s">
        <v>11710</v>
      </c>
      <c r="H963" s="2" t="s">
        <v>5</v>
      </c>
      <c r="I963" s="2" t="s">
        <v>6</v>
      </c>
      <c r="J963" s="2" t="s">
        <v>5</v>
      </c>
      <c r="K963" s="2" t="s">
        <v>5</v>
      </c>
      <c r="L963" s="2" t="s">
        <v>7</v>
      </c>
      <c r="N963" s="1" t="s">
        <v>11711</v>
      </c>
      <c r="O963" s="2" t="s">
        <v>989</v>
      </c>
      <c r="Q963" s="2" t="s">
        <v>11</v>
      </c>
      <c r="R963" s="2" t="s">
        <v>426</v>
      </c>
      <c r="T963" s="2" t="s">
        <v>520</v>
      </c>
      <c r="U963" s="3">
        <v>9</v>
      </c>
      <c r="V963" s="3">
        <v>9</v>
      </c>
      <c r="W963" s="4" t="s">
        <v>8914</v>
      </c>
      <c r="X963" s="4" t="s">
        <v>8914</v>
      </c>
      <c r="Y963" s="4" t="s">
        <v>11712</v>
      </c>
      <c r="Z963" s="4" t="s">
        <v>11712</v>
      </c>
      <c r="AA963" s="3">
        <v>192</v>
      </c>
      <c r="AB963" s="3">
        <v>141</v>
      </c>
      <c r="AC963" s="3">
        <v>148</v>
      </c>
      <c r="AD963" s="3">
        <v>2</v>
      </c>
      <c r="AE963" s="3">
        <v>2</v>
      </c>
      <c r="AF963" s="3">
        <v>4</v>
      </c>
      <c r="AG963" s="3">
        <v>4</v>
      </c>
      <c r="AH963" s="3">
        <v>1</v>
      </c>
      <c r="AI963" s="3">
        <v>1</v>
      </c>
      <c r="AJ963" s="3">
        <v>0</v>
      </c>
      <c r="AK963" s="3">
        <v>0</v>
      </c>
      <c r="AL963" s="3">
        <v>4</v>
      </c>
      <c r="AM963" s="3">
        <v>4</v>
      </c>
      <c r="AN963" s="3">
        <v>0</v>
      </c>
      <c r="AO963" s="3">
        <v>0</v>
      </c>
      <c r="AP963" s="3">
        <v>0</v>
      </c>
      <c r="AQ963" s="3">
        <v>0</v>
      </c>
      <c r="AR963" s="2" t="s">
        <v>5</v>
      </c>
      <c r="AS963" s="2" t="s">
        <v>16</v>
      </c>
      <c r="AT963" s="5" t="str">
        <f>HYPERLINK("http://catalog.hathitrust.org/Record/001952897","HathiTrust Record")</f>
        <v>HathiTrust Record</v>
      </c>
      <c r="AU963" s="5" t="str">
        <f>HYPERLINK("https://creighton-primo.hosted.exlibrisgroup.com/primo-explore/search?tab=default_tab&amp;search_scope=EVERYTHING&amp;vid=01CRU&amp;lang=en_US&amp;offset=0&amp;query=any,contains,991001451609702656","Catalog Record")</f>
        <v>Catalog Record</v>
      </c>
      <c r="AV963" s="5" t="str">
        <f>HYPERLINK("http://www.worldcat.org/oclc/20932909","WorldCat Record")</f>
        <v>WorldCat Record</v>
      </c>
      <c r="AW963" s="2" t="s">
        <v>11713</v>
      </c>
      <c r="AX963" s="2" t="s">
        <v>11714</v>
      </c>
      <c r="AY963" s="2" t="s">
        <v>11715</v>
      </c>
      <c r="AZ963" s="2" t="s">
        <v>11715</v>
      </c>
      <c r="BA963" s="2" t="s">
        <v>11716</v>
      </c>
      <c r="BB963" s="2" t="s">
        <v>21</v>
      </c>
      <c r="BD963" s="2" t="s">
        <v>11717</v>
      </c>
      <c r="BE963" s="2" t="s">
        <v>11718</v>
      </c>
      <c r="BF963" s="2" t="s">
        <v>11719</v>
      </c>
    </row>
    <row r="964" spans="1:58" ht="41.25" customHeight="1" x14ac:dyDescent="0.25">
      <c r="A964" s="8" t="s">
        <v>5</v>
      </c>
      <c r="B964" s="1" t="s">
        <v>0</v>
      </c>
      <c r="C964" s="1" t="s">
        <v>1</v>
      </c>
      <c r="D964" s="1" t="s">
        <v>11720</v>
      </c>
      <c r="E964" s="1" t="s">
        <v>11721</v>
      </c>
      <c r="F964" s="1" t="s">
        <v>11722</v>
      </c>
      <c r="H964" s="2" t="s">
        <v>5</v>
      </c>
      <c r="I964" s="2" t="s">
        <v>6</v>
      </c>
      <c r="J964" s="2" t="s">
        <v>5</v>
      </c>
      <c r="K964" s="2" t="s">
        <v>5</v>
      </c>
      <c r="L964" s="2" t="s">
        <v>7</v>
      </c>
      <c r="M964" s="1" t="s">
        <v>11723</v>
      </c>
      <c r="N964" s="1" t="s">
        <v>11451</v>
      </c>
      <c r="O964" s="2" t="s">
        <v>734</v>
      </c>
      <c r="P964" s="1" t="s">
        <v>901</v>
      </c>
      <c r="Q964" s="2" t="s">
        <v>11</v>
      </c>
      <c r="R964" s="2" t="s">
        <v>426</v>
      </c>
      <c r="T964" s="2" t="s">
        <v>520</v>
      </c>
      <c r="U964" s="3">
        <v>9</v>
      </c>
      <c r="V964" s="3">
        <v>9</v>
      </c>
      <c r="W964" s="4" t="s">
        <v>10581</v>
      </c>
      <c r="X964" s="4" t="s">
        <v>10581</v>
      </c>
      <c r="Y964" s="4" t="s">
        <v>96</v>
      </c>
      <c r="Z964" s="4" t="s">
        <v>96</v>
      </c>
      <c r="AA964" s="3">
        <v>232</v>
      </c>
      <c r="AB964" s="3">
        <v>183</v>
      </c>
      <c r="AC964" s="3">
        <v>346</v>
      </c>
      <c r="AD964" s="3">
        <v>1</v>
      </c>
      <c r="AE964" s="3">
        <v>3</v>
      </c>
      <c r="AF964" s="3">
        <v>4</v>
      </c>
      <c r="AG964" s="3">
        <v>13</v>
      </c>
      <c r="AH964" s="3">
        <v>3</v>
      </c>
      <c r="AI964" s="3">
        <v>4</v>
      </c>
      <c r="AJ964" s="3">
        <v>0</v>
      </c>
      <c r="AK964" s="3">
        <v>3</v>
      </c>
      <c r="AL964" s="3">
        <v>2</v>
      </c>
      <c r="AM964" s="3">
        <v>6</v>
      </c>
      <c r="AN964" s="3">
        <v>0</v>
      </c>
      <c r="AO964" s="3">
        <v>2</v>
      </c>
      <c r="AP964" s="3">
        <v>0</v>
      </c>
      <c r="AQ964" s="3">
        <v>0</v>
      </c>
      <c r="AR964" s="2" t="s">
        <v>5</v>
      </c>
      <c r="AS964" s="2" t="s">
        <v>16</v>
      </c>
      <c r="AT964" s="5" t="str">
        <f>HYPERLINK("http://catalog.hathitrust.org/Record/000155704","HathiTrust Record")</f>
        <v>HathiTrust Record</v>
      </c>
      <c r="AU964" s="5" t="str">
        <f>HYPERLINK("https://creighton-primo.hosted.exlibrisgroup.com/primo-explore/search?tab=default_tab&amp;search_scope=EVERYTHING&amp;vid=01CRU&amp;lang=en_US&amp;offset=0&amp;query=any,contains,991001086529702656","Catalog Record")</f>
        <v>Catalog Record</v>
      </c>
      <c r="AV964" s="5" t="str">
        <f>HYPERLINK("http://www.worldcat.org/oclc/9133072","WorldCat Record")</f>
        <v>WorldCat Record</v>
      </c>
      <c r="AW964" s="2" t="s">
        <v>11724</v>
      </c>
      <c r="AX964" s="2" t="s">
        <v>11725</v>
      </c>
      <c r="AY964" s="2" t="s">
        <v>11726</v>
      </c>
      <c r="AZ964" s="2" t="s">
        <v>11726</v>
      </c>
      <c r="BA964" s="2" t="s">
        <v>11727</v>
      </c>
      <c r="BB964" s="2" t="s">
        <v>21</v>
      </c>
      <c r="BD964" s="2" t="s">
        <v>11728</v>
      </c>
      <c r="BE964" s="2" t="s">
        <v>11729</v>
      </c>
      <c r="BF964" s="2" t="s">
        <v>11730</v>
      </c>
    </row>
    <row r="965" spans="1:58" ht="41.25" customHeight="1" x14ac:dyDescent="0.25">
      <c r="A965" s="8" t="s">
        <v>5</v>
      </c>
      <c r="B965" s="1" t="s">
        <v>0</v>
      </c>
      <c r="C965" s="1" t="s">
        <v>1</v>
      </c>
      <c r="D965" s="1" t="s">
        <v>11731</v>
      </c>
      <c r="E965" s="1" t="s">
        <v>11732</v>
      </c>
      <c r="F965" s="1" t="s">
        <v>11733</v>
      </c>
      <c r="H965" s="2" t="s">
        <v>5</v>
      </c>
      <c r="I965" s="2" t="s">
        <v>6</v>
      </c>
      <c r="J965" s="2" t="s">
        <v>5</v>
      </c>
      <c r="K965" s="2" t="s">
        <v>5</v>
      </c>
      <c r="L965" s="2" t="s">
        <v>7</v>
      </c>
      <c r="N965" s="1" t="s">
        <v>11734</v>
      </c>
      <c r="O965" s="2" t="s">
        <v>939</v>
      </c>
      <c r="Q965" s="2" t="s">
        <v>11</v>
      </c>
      <c r="R965" s="2" t="s">
        <v>426</v>
      </c>
      <c r="T965" s="2" t="s">
        <v>520</v>
      </c>
      <c r="U965" s="3">
        <v>27</v>
      </c>
      <c r="V965" s="3">
        <v>27</v>
      </c>
      <c r="W965" s="4" t="s">
        <v>11735</v>
      </c>
      <c r="X965" s="4" t="s">
        <v>11735</v>
      </c>
      <c r="Y965" s="4" t="s">
        <v>11736</v>
      </c>
      <c r="Z965" s="4" t="s">
        <v>11736</v>
      </c>
      <c r="AA965" s="3">
        <v>151</v>
      </c>
      <c r="AB965" s="3">
        <v>129</v>
      </c>
      <c r="AC965" s="3">
        <v>137</v>
      </c>
      <c r="AD965" s="3">
        <v>1</v>
      </c>
      <c r="AE965" s="3">
        <v>1</v>
      </c>
      <c r="AF965" s="3">
        <v>4</v>
      </c>
      <c r="AG965" s="3">
        <v>4</v>
      </c>
      <c r="AH965" s="3">
        <v>2</v>
      </c>
      <c r="AI965" s="3">
        <v>2</v>
      </c>
      <c r="AJ965" s="3">
        <v>1</v>
      </c>
      <c r="AK965" s="3">
        <v>1</v>
      </c>
      <c r="AL965" s="3">
        <v>3</v>
      </c>
      <c r="AM965" s="3">
        <v>3</v>
      </c>
      <c r="AN965" s="3">
        <v>0</v>
      </c>
      <c r="AO965" s="3">
        <v>0</v>
      </c>
      <c r="AP965" s="3">
        <v>0</v>
      </c>
      <c r="AQ965" s="3">
        <v>0</v>
      </c>
      <c r="AR965" s="2" t="s">
        <v>5</v>
      </c>
      <c r="AS965" s="2" t="s">
        <v>5</v>
      </c>
      <c r="AU965" s="5" t="str">
        <f>HYPERLINK("https://creighton-primo.hosted.exlibrisgroup.com/primo-explore/search?tab=default_tab&amp;search_scope=EVERYTHING&amp;vid=01CRU&amp;lang=en_US&amp;offset=0&amp;query=any,contains,991001308959702656","Catalog Record")</f>
        <v>Catalog Record</v>
      </c>
      <c r="AV965" s="5" t="str">
        <f>HYPERLINK("http://www.worldcat.org/oclc/17384929","WorldCat Record")</f>
        <v>WorldCat Record</v>
      </c>
      <c r="AW965" s="2" t="s">
        <v>11737</v>
      </c>
      <c r="AX965" s="2" t="s">
        <v>11738</v>
      </c>
      <c r="AY965" s="2" t="s">
        <v>11739</v>
      </c>
      <c r="AZ965" s="2" t="s">
        <v>11739</v>
      </c>
      <c r="BA965" s="2" t="s">
        <v>11740</v>
      </c>
      <c r="BB965" s="2" t="s">
        <v>21</v>
      </c>
      <c r="BD965" s="2" t="s">
        <v>11741</v>
      </c>
      <c r="BE965" s="2" t="s">
        <v>11742</v>
      </c>
      <c r="BF965" s="2" t="s">
        <v>11743</v>
      </c>
    </row>
    <row r="966" spans="1:58" ht="41.25" customHeight="1" x14ac:dyDescent="0.25">
      <c r="A966" s="8" t="s">
        <v>5</v>
      </c>
      <c r="B966" s="1" t="s">
        <v>0</v>
      </c>
      <c r="C966" s="1" t="s">
        <v>1</v>
      </c>
      <c r="D966" s="1" t="s">
        <v>11744</v>
      </c>
      <c r="E966" s="1" t="s">
        <v>11745</v>
      </c>
      <c r="F966" s="1" t="s">
        <v>11746</v>
      </c>
      <c r="H966" s="2" t="s">
        <v>5</v>
      </c>
      <c r="I966" s="2" t="s">
        <v>6</v>
      </c>
      <c r="J966" s="2" t="s">
        <v>5</v>
      </c>
      <c r="K966" s="2" t="s">
        <v>16</v>
      </c>
      <c r="L966" s="2" t="s">
        <v>7</v>
      </c>
      <c r="N966" s="1" t="s">
        <v>11747</v>
      </c>
      <c r="O966" s="2" t="s">
        <v>210</v>
      </c>
      <c r="P966" s="1" t="s">
        <v>901</v>
      </c>
      <c r="Q966" s="2" t="s">
        <v>11</v>
      </c>
      <c r="R966" s="2" t="s">
        <v>31</v>
      </c>
      <c r="T966" s="2" t="s">
        <v>520</v>
      </c>
      <c r="U966" s="3">
        <v>38</v>
      </c>
      <c r="V966" s="3">
        <v>38</v>
      </c>
      <c r="W966" s="4" t="s">
        <v>10928</v>
      </c>
      <c r="X966" s="4" t="s">
        <v>10928</v>
      </c>
      <c r="Y966" s="4" t="s">
        <v>11748</v>
      </c>
      <c r="Z966" s="4" t="s">
        <v>11748</v>
      </c>
      <c r="AA966" s="3">
        <v>356</v>
      </c>
      <c r="AB966" s="3">
        <v>293</v>
      </c>
      <c r="AC966" s="3">
        <v>1310</v>
      </c>
      <c r="AD966" s="3">
        <v>2</v>
      </c>
      <c r="AE966" s="3">
        <v>11</v>
      </c>
      <c r="AF966" s="3">
        <v>4</v>
      </c>
      <c r="AG966" s="3">
        <v>35</v>
      </c>
      <c r="AH966" s="3">
        <v>1</v>
      </c>
      <c r="AI966" s="3">
        <v>12</v>
      </c>
      <c r="AJ966" s="3">
        <v>0</v>
      </c>
      <c r="AK966" s="3">
        <v>7</v>
      </c>
      <c r="AL966" s="3">
        <v>3</v>
      </c>
      <c r="AM966" s="3">
        <v>14</v>
      </c>
      <c r="AN966" s="3">
        <v>0</v>
      </c>
      <c r="AO966" s="3">
        <v>7</v>
      </c>
      <c r="AP966" s="3">
        <v>0</v>
      </c>
      <c r="AQ966" s="3">
        <v>0</v>
      </c>
      <c r="AR966" s="2" t="s">
        <v>5</v>
      </c>
      <c r="AS966" s="2" t="s">
        <v>5</v>
      </c>
      <c r="AU966" s="5" t="str">
        <f>HYPERLINK("https://creighton-primo.hosted.exlibrisgroup.com/primo-explore/search?tab=default_tab&amp;search_scope=EVERYTHING&amp;vid=01CRU&amp;lang=en_US&amp;offset=0&amp;query=any,contains,991001297369702656","Catalog Record")</f>
        <v>Catalog Record</v>
      </c>
      <c r="AV966" s="5" t="str">
        <f>HYPERLINK("http://www.worldcat.org/oclc/24247514","WorldCat Record")</f>
        <v>WorldCat Record</v>
      </c>
      <c r="AW966" s="2" t="s">
        <v>11749</v>
      </c>
      <c r="AX966" s="2" t="s">
        <v>11750</v>
      </c>
      <c r="AY966" s="2" t="s">
        <v>11751</v>
      </c>
      <c r="AZ966" s="2" t="s">
        <v>11751</v>
      </c>
      <c r="BA966" s="2" t="s">
        <v>11752</v>
      </c>
      <c r="BB966" s="2" t="s">
        <v>21</v>
      </c>
      <c r="BD966" s="2" t="s">
        <v>11753</v>
      </c>
      <c r="BE966" s="2" t="s">
        <v>11754</v>
      </c>
      <c r="BF966" s="2" t="s">
        <v>11755</v>
      </c>
    </row>
    <row r="967" spans="1:58" ht="41.25" customHeight="1" x14ac:dyDescent="0.25">
      <c r="A967" s="8" t="s">
        <v>5</v>
      </c>
      <c r="B967" s="1" t="s">
        <v>0</v>
      </c>
      <c r="C967" s="1" t="s">
        <v>1</v>
      </c>
      <c r="D967" s="1" t="s">
        <v>11756</v>
      </c>
      <c r="E967" s="1" t="s">
        <v>11757</v>
      </c>
      <c r="F967" s="1" t="s">
        <v>11758</v>
      </c>
      <c r="H967" s="2" t="s">
        <v>5</v>
      </c>
      <c r="I967" s="2" t="s">
        <v>6</v>
      </c>
      <c r="J967" s="2" t="s">
        <v>5</v>
      </c>
      <c r="K967" s="2" t="s">
        <v>5</v>
      </c>
      <c r="L967" s="2" t="s">
        <v>7</v>
      </c>
      <c r="N967" s="1" t="s">
        <v>11759</v>
      </c>
      <c r="O967" s="2" t="s">
        <v>601</v>
      </c>
      <c r="Q967" s="2" t="s">
        <v>11</v>
      </c>
      <c r="R967" s="2" t="s">
        <v>12</v>
      </c>
      <c r="S967" s="1" t="s">
        <v>11760</v>
      </c>
      <c r="T967" s="2" t="s">
        <v>520</v>
      </c>
      <c r="U967" s="3">
        <v>10</v>
      </c>
      <c r="V967" s="3">
        <v>10</v>
      </c>
      <c r="W967" s="4" t="s">
        <v>5992</v>
      </c>
      <c r="X967" s="4" t="s">
        <v>5992</v>
      </c>
      <c r="Y967" s="4" t="s">
        <v>11226</v>
      </c>
      <c r="Z967" s="4" t="s">
        <v>11226</v>
      </c>
      <c r="AA967" s="3">
        <v>168</v>
      </c>
      <c r="AB967" s="3">
        <v>133</v>
      </c>
      <c r="AC967" s="3">
        <v>148</v>
      </c>
      <c r="AD967" s="3">
        <v>2</v>
      </c>
      <c r="AE967" s="3">
        <v>2</v>
      </c>
      <c r="AF967" s="3">
        <v>5</v>
      </c>
      <c r="AG967" s="3">
        <v>5</v>
      </c>
      <c r="AH967" s="3">
        <v>1</v>
      </c>
      <c r="AI967" s="3">
        <v>1</v>
      </c>
      <c r="AJ967" s="3">
        <v>1</v>
      </c>
      <c r="AK967" s="3">
        <v>1</v>
      </c>
      <c r="AL967" s="3">
        <v>2</v>
      </c>
      <c r="AM967" s="3">
        <v>2</v>
      </c>
      <c r="AN967" s="3">
        <v>1</v>
      </c>
      <c r="AO967" s="3">
        <v>1</v>
      </c>
      <c r="AP967" s="3">
        <v>0</v>
      </c>
      <c r="AQ967" s="3">
        <v>0</v>
      </c>
      <c r="AR967" s="2" t="s">
        <v>5</v>
      </c>
      <c r="AS967" s="2" t="s">
        <v>16</v>
      </c>
      <c r="AT967" s="5" t="str">
        <f>HYPERLINK("http://catalog.hathitrust.org/Record/002938622","HathiTrust Record")</f>
        <v>HathiTrust Record</v>
      </c>
      <c r="AU967" s="5" t="str">
        <f>HYPERLINK("https://creighton-primo.hosted.exlibrisgroup.com/primo-explore/search?tab=default_tab&amp;search_scope=EVERYTHING&amp;vid=01CRU&amp;lang=en_US&amp;offset=0&amp;query=any,contains,991000688499702656","Catalog Record")</f>
        <v>Catalog Record</v>
      </c>
      <c r="AV967" s="5" t="str">
        <f>HYPERLINK("http://www.worldcat.org/oclc/31321215","WorldCat Record")</f>
        <v>WorldCat Record</v>
      </c>
      <c r="AW967" s="2" t="s">
        <v>11761</v>
      </c>
      <c r="AX967" s="2" t="s">
        <v>11762</v>
      </c>
      <c r="AY967" s="2" t="s">
        <v>11763</v>
      </c>
      <c r="AZ967" s="2" t="s">
        <v>11763</v>
      </c>
      <c r="BA967" s="2" t="s">
        <v>11764</v>
      </c>
      <c r="BB967" s="2" t="s">
        <v>21</v>
      </c>
      <c r="BD967" s="2" t="s">
        <v>11765</v>
      </c>
      <c r="BE967" s="2" t="s">
        <v>11766</v>
      </c>
      <c r="BF967" s="2" t="s">
        <v>11767</v>
      </c>
    </row>
    <row r="968" spans="1:58" ht="41.25" customHeight="1" x14ac:dyDescent="0.25">
      <c r="A968" s="8" t="s">
        <v>5</v>
      </c>
      <c r="B968" s="1" t="s">
        <v>0</v>
      </c>
      <c r="C968" s="1" t="s">
        <v>1</v>
      </c>
      <c r="D968" s="1" t="s">
        <v>11768</v>
      </c>
      <c r="E968" s="1" t="s">
        <v>11769</v>
      </c>
      <c r="F968" s="1" t="s">
        <v>11770</v>
      </c>
      <c r="H968" s="2" t="s">
        <v>5</v>
      </c>
      <c r="I968" s="2" t="s">
        <v>6</v>
      </c>
      <c r="J968" s="2" t="s">
        <v>5</v>
      </c>
      <c r="K968" s="2" t="s">
        <v>16</v>
      </c>
      <c r="L968" s="2" t="s">
        <v>7</v>
      </c>
      <c r="N968" s="1" t="s">
        <v>11771</v>
      </c>
      <c r="O968" s="2" t="s">
        <v>794</v>
      </c>
      <c r="P968" s="1" t="s">
        <v>1208</v>
      </c>
      <c r="Q968" s="2" t="s">
        <v>11</v>
      </c>
      <c r="R968" s="2" t="s">
        <v>31</v>
      </c>
      <c r="T968" s="2" t="s">
        <v>520</v>
      </c>
      <c r="U968" s="3">
        <v>83</v>
      </c>
      <c r="V968" s="3">
        <v>83</v>
      </c>
      <c r="W968" s="4" t="s">
        <v>11772</v>
      </c>
      <c r="X968" s="4" t="s">
        <v>11772</v>
      </c>
      <c r="Y968" s="4" t="s">
        <v>11773</v>
      </c>
      <c r="Z968" s="4" t="s">
        <v>11773</v>
      </c>
      <c r="AA968" s="3">
        <v>268</v>
      </c>
      <c r="AB968" s="3">
        <v>205</v>
      </c>
      <c r="AC968" s="3">
        <v>1310</v>
      </c>
      <c r="AD968" s="3">
        <v>3</v>
      </c>
      <c r="AE968" s="3">
        <v>11</v>
      </c>
      <c r="AF968" s="3">
        <v>6</v>
      </c>
      <c r="AG968" s="3">
        <v>35</v>
      </c>
      <c r="AH968" s="3">
        <v>4</v>
      </c>
      <c r="AI968" s="3">
        <v>12</v>
      </c>
      <c r="AJ968" s="3">
        <v>0</v>
      </c>
      <c r="AK968" s="3">
        <v>7</v>
      </c>
      <c r="AL968" s="3">
        <v>3</v>
      </c>
      <c r="AM968" s="3">
        <v>14</v>
      </c>
      <c r="AN968" s="3">
        <v>1</v>
      </c>
      <c r="AO968" s="3">
        <v>7</v>
      </c>
      <c r="AP968" s="3">
        <v>0</v>
      </c>
      <c r="AQ968" s="3">
        <v>0</v>
      </c>
      <c r="AR968" s="2" t="s">
        <v>5</v>
      </c>
      <c r="AS968" s="2" t="s">
        <v>16</v>
      </c>
      <c r="AT968" s="5" t="str">
        <f>HYPERLINK("http://catalog.hathitrust.org/Record/004558571","HathiTrust Record")</f>
        <v>HathiTrust Record</v>
      </c>
      <c r="AU968" s="5" t="str">
        <f>HYPERLINK("https://creighton-primo.hosted.exlibrisgroup.com/primo-explore/search?tab=default_tab&amp;search_scope=EVERYTHING&amp;vid=01CRU&amp;lang=en_US&amp;offset=0&amp;query=any,contains,991001808479702656","Catalog Record")</f>
        <v>Catalog Record</v>
      </c>
      <c r="AV968" s="5" t="str">
        <f>HYPERLINK("http://www.worldcat.org/oclc/32822703","WorldCat Record")</f>
        <v>WorldCat Record</v>
      </c>
      <c r="AW968" s="2" t="s">
        <v>11749</v>
      </c>
      <c r="AX968" s="2" t="s">
        <v>11774</v>
      </c>
      <c r="AY968" s="2" t="s">
        <v>11775</v>
      </c>
      <c r="AZ968" s="2" t="s">
        <v>11775</v>
      </c>
      <c r="BA968" s="2" t="s">
        <v>11776</v>
      </c>
      <c r="BB968" s="2" t="s">
        <v>21</v>
      </c>
      <c r="BD968" s="2" t="s">
        <v>11777</v>
      </c>
      <c r="BE968" s="2" t="s">
        <v>11778</v>
      </c>
      <c r="BF968" s="2" t="s">
        <v>11779</v>
      </c>
    </row>
    <row r="969" spans="1:58" ht="41.25" customHeight="1" x14ac:dyDescent="0.25">
      <c r="A969" s="8" t="s">
        <v>5</v>
      </c>
      <c r="B969" s="1" t="s">
        <v>0</v>
      </c>
      <c r="C969" s="1" t="s">
        <v>1</v>
      </c>
      <c r="D969" s="1" t="s">
        <v>11780</v>
      </c>
      <c r="E969" s="1" t="s">
        <v>11781</v>
      </c>
      <c r="F969" s="1" t="s">
        <v>11782</v>
      </c>
      <c r="H969" s="2" t="s">
        <v>5</v>
      </c>
      <c r="I969" s="2" t="s">
        <v>6</v>
      </c>
      <c r="J969" s="2" t="s">
        <v>5</v>
      </c>
      <c r="K969" s="2" t="s">
        <v>16</v>
      </c>
      <c r="L969" s="2" t="s">
        <v>7</v>
      </c>
      <c r="N969" s="1" t="s">
        <v>11783</v>
      </c>
      <c r="O969" s="2" t="s">
        <v>1195</v>
      </c>
      <c r="P969" s="1" t="s">
        <v>1284</v>
      </c>
      <c r="Q969" s="2" t="s">
        <v>11</v>
      </c>
      <c r="R969" s="2" t="s">
        <v>31</v>
      </c>
      <c r="T969" s="2" t="s">
        <v>520</v>
      </c>
      <c r="U969" s="3">
        <v>58</v>
      </c>
      <c r="V969" s="3">
        <v>58</v>
      </c>
      <c r="W969" s="4" t="s">
        <v>11784</v>
      </c>
      <c r="X969" s="4" t="s">
        <v>11784</v>
      </c>
      <c r="Y969" s="4" t="s">
        <v>11785</v>
      </c>
      <c r="Z969" s="4" t="s">
        <v>11785</v>
      </c>
      <c r="AA969" s="3">
        <v>274</v>
      </c>
      <c r="AB969" s="3">
        <v>241</v>
      </c>
      <c r="AC969" s="3">
        <v>1310</v>
      </c>
      <c r="AD969" s="3">
        <v>2</v>
      </c>
      <c r="AE969" s="3">
        <v>11</v>
      </c>
      <c r="AF969" s="3">
        <v>3</v>
      </c>
      <c r="AG969" s="3">
        <v>35</v>
      </c>
      <c r="AH969" s="3">
        <v>1</v>
      </c>
      <c r="AI969" s="3">
        <v>12</v>
      </c>
      <c r="AJ969" s="3">
        <v>0</v>
      </c>
      <c r="AK969" s="3">
        <v>7</v>
      </c>
      <c r="AL969" s="3">
        <v>2</v>
      </c>
      <c r="AM969" s="3">
        <v>14</v>
      </c>
      <c r="AN969" s="3">
        <v>0</v>
      </c>
      <c r="AO969" s="3">
        <v>7</v>
      </c>
      <c r="AP969" s="3">
        <v>0</v>
      </c>
      <c r="AQ969" s="3">
        <v>0</v>
      </c>
      <c r="AR969" s="2" t="s">
        <v>5</v>
      </c>
      <c r="AS969" s="2" t="s">
        <v>16</v>
      </c>
      <c r="AT969" s="5" t="str">
        <f>HYPERLINK("http://catalog.hathitrust.org/Record/004059524","HathiTrust Record")</f>
        <v>HathiTrust Record</v>
      </c>
      <c r="AU969" s="5" t="str">
        <f>HYPERLINK("https://creighton-primo.hosted.exlibrisgroup.com/primo-explore/search?tab=default_tab&amp;search_scope=EVERYTHING&amp;vid=01CRU&amp;lang=en_US&amp;offset=0&amp;query=any,contains,991001799089702656","Catalog Record")</f>
        <v>Catalog Record</v>
      </c>
      <c r="AV969" s="5" t="str">
        <f>HYPERLINK("http://www.worldcat.org/oclc/41327717","WorldCat Record")</f>
        <v>WorldCat Record</v>
      </c>
      <c r="AW969" s="2" t="s">
        <v>11749</v>
      </c>
      <c r="AX969" s="2" t="s">
        <v>11786</v>
      </c>
      <c r="AY969" s="2" t="s">
        <v>11787</v>
      </c>
      <c r="AZ969" s="2" t="s">
        <v>11787</v>
      </c>
      <c r="BA969" s="2" t="s">
        <v>11788</v>
      </c>
      <c r="BB969" s="2" t="s">
        <v>21</v>
      </c>
      <c r="BD969" s="2" t="s">
        <v>11789</v>
      </c>
      <c r="BE969" s="2" t="s">
        <v>11790</v>
      </c>
      <c r="BF969" s="2" t="s">
        <v>11791</v>
      </c>
    </row>
    <row r="970" spans="1:58" ht="41.25" customHeight="1" x14ac:dyDescent="0.25">
      <c r="A970" s="8" t="s">
        <v>5</v>
      </c>
      <c r="B970" s="1" t="s">
        <v>0</v>
      </c>
      <c r="C970" s="1" t="s">
        <v>1</v>
      </c>
      <c r="D970" s="1" t="s">
        <v>11792</v>
      </c>
      <c r="E970" s="1" t="s">
        <v>11793</v>
      </c>
      <c r="F970" s="1" t="s">
        <v>11794</v>
      </c>
      <c r="G970" s="2" t="s">
        <v>2942</v>
      </c>
      <c r="H970" s="2" t="s">
        <v>5</v>
      </c>
      <c r="I970" s="2" t="s">
        <v>6</v>
      </c>
      <c r="J970" s="2" t="s">
        <v>5</v>
      </c>
      <c r="K970" s="2" t="s">
        <v>5</v>
      </c>
      <c r="L970" s="2" t="s">
        <v>7</v>
      </c>
      <c r="N970" s="1" t="s">
        <v>11795</v>
      </c>
      <c r="O970" s="2" t="s">
        <v>1195</v>
      </c>
      <c r="P970" s="1" t="s">
        <v>1284</v>
      </c>
      <c r="Q970" s="2" t="s">
        <v>11</v>
      </c>
      <c r="R970" s="2" t="s">
        <v>31</v>
      </c>
      <c r="T970" s="2" t="s">
        <v>520</v>
      </c>
      <c r="U970" s="3">
        <v>73</v>
      </c>
      <c r="V970" s="3">
        <v>73</v>
      </c>
      <c r="W970" s="4" t="s">
        <v>10345</v>
      </c>
      <c r="X970" s="4" t="s">
        <v>10345</v>
      </c>
      <c r="Y970" s="4" t="s">
        <v>11796</v>
      </c>
      <c r="Z970" s="4" t="s">
        <v>11796</v>
      </c>
      <c r="AA970" s="3">
        <v>51</v>
      </c>
      <c r="AB970" s="3">
        <v>38</v>
      </c>
      <c r="AC970" s="3">
        <v>53</v>
      </c>
      <c r="AD970" s="3">
        <v>1</v>
      </c>
      <c r="AE970" s="3">
        <v>1</v>
      </c>
      <c r="AF970" s="3">
        <v>0</v>
      </c>
      <c r="AG970" s="3">
        <v>0</v>
      </c>
      <c r="AH970" s="3">
        <v>0</v>
      </c>
      <c r="AI970" s="3">
        <v>0</v>
      </c>
      <c r="AJ970" s="3">
        <v>0</v>
      </c>
      <c r="AK970" s="3">
        <v>0</v>
      </c>
      <c r="AL970" s="3">
        <v>0</v>
      </c>
      <c r="AM970" s="3">
        <v>0</v>
      </c>
      <c r="AN970" s="3">
        <v>0</v>
      </c>
      <c r="AO970" s="3">
        <v>0</v>
      </c>
      <c r="AP970" s="3">
        <v>0</v>
      </c>
      <c r="AQ970" s="3">
        <v>0</v>
      </c>
      <c r="AR970" s="2" t="s">
        <v>5</v>
      </c>
      <c r="AS970" s="2" t="s">
        <v>5</v>
      </c>
      <c r="AU970" s="5" t="str">
        <f>HYPERLINK("https://creighton-primo.hosted.exlibrisgroup.com/primo-explore/search?tab=default_tab&amp;search_scope=EVERYTHING&amp;vid=01CRU&amp;lang=en_US&amp;offset=0&amp;query=any,contains,991000634209702656","Catalog Record")</f>
        <v>Catalog Record</v>
      </c>
      <c r="AV970" s="5" t="str">
        <f>HYPERLINK("http://www.worldcat.org/oclc/42793583","WorldCat Record")</f>
        <v>WorldCat Record</v>
      </c>
      <c r="AW970" s="2" t="s">
        <v>11797</v>
      </c>
      <c r="AX970" s="2" t="s">
        <v>11798</v>
      </c>
      <c r="AY970" s="2" t="s">
        <v>11799</v>
      </c>
      <c r="AZ970" s="2" t="s">
        <v>11799</v>
      </c>
      <c r="BA970" s="2" t="s">
        <v>11800</v>
      </c>
      <c r="BB970" s="2" t="s">
        <v>21</v>
      </c>
      <c r="BD970" s="2" t="s">
        <v>11801</v>
      </c>
      <c r="BE970" s="2" t="s">
        <v>11802</v>
      </c>
      <c r="BF970" s="2" t="s">
        <v>11803</v>
      </c>
    </row>
    <row r="971" spans="1:58" ht="41.25" customHeight="1" x14ac:dyDescent="0.25">
      <c r="A971" s="8" t="s">
        <v>5</v>
      </c>
      <c r="B971" s="1" t="s">
        <v>0</v>
      </c>
      <c r="C971" s="1" t="s">
        <v>1</v>
      </c>
      <c r="D971" s="1" t="s">
        <v>11804</v>
      </c>
      <c r="E971" s="1" t="s">
        <v>11805</v>
      </c>
      <c r="F971" s="1" t="s">
        <v>11806</v>
      </c>
      <c r="H971" s="2" t="s">
        <v>5</v>
      </c>
      <c r="I971" s="2" t="s">
        <v>6</v>
      </c>
      <c r="J971" s="2" t="s">
        <v>5</v>
      </c>
      <c r="K971" s="2" t="s">
        <v>16</v>
      </c>
      <c r="L971" s="2" t="s">
        <v>7</v>
      </c>
      <c r="N971" s="1" t="s">
        <v>8962</v>
      </c>
      <c r="O971" s="2" t="s">
        <v>1391</v>
      </c>
      <c r="P971" s="1" t="s">
        <v>63</v>
      </c>
      <c r="Q971" s="2" t="s">
        <v>11</v>
      </c>
      <c r="R971" s="2" t="s">
        <v>31</v>
      </c>
      <c r="T971" s="2" t="s">
        <v>520</v>
      </c>
      <c r="U971" s="3">
        <v>194</v>
      </c>
      <c r="V971" s="3">
        <v>194</v>
      </c>
      <c r="W971" s="4" t="s">
        <v>11807</v>
      </c>
      <c r="X971" s="4" t="s">
        <v>11807</v>
      </c>
      <c r="Y971" s="4" t="s">
        <v>11808</v>
      </c>
      <c r="Z971" s="4" t="s">
        <v>11808</v>
      </c>
      <c r="AA971" s="3">
        <v>355</v>
      </c>
      <c r="AB971" s="3">
        <v>281</v>
      </c>
      <c r="AC971" s="3">
        <v>1310</v>
      </c>
      <c r="AD971" s="3">
        <v>2</v>
      </c>
      <c r="AE971" s="3">
        <v>11</v>
      </c>
      <c r="AF971" s="3">
        <v>6</v>
      </c>
      <c r="AG971" s="3">
        <v>35</v>
      </c>
      <c r="AH971" s="3">
        <v>3</v>
      </c>
      <c r="AI971" s="3">
        <v>12</v>
      </c>
      <c r="AJ971" s="3">
        <v>2</v>
      </c>
      <c r="AK971" s="3">
        <v>7</v>
      </c>
      <c r="AL971" s="3">
        <v>4</v>
      </c>
      <c r="AM971" s="3">
        <v>14</v>
      </c>
      <c r="AN971" s="3">
        <v>0</v>
      </c>
      <c r="AO971" s="3">
        <v>7</v>
      </c>
      <c r="AP971" s="3">
        <v>0</v>
      </c>
      <c r="AQ971" s="3">
        <v>0</v>
      </c>
      <c r="AR971" s="2" t="s">
        <v>5</v>
      </c>
      <c r="AS971" s="2" t="s">
        <v>16</v>
      </c>
      <c r="AT971" s="5" t="str">
        <f>HYPERLINK("http://catalog.hathitrust.org/Record/004333765","HathiTrust Record")</f>
        <v>HathiTrust Record</v>
      </c>
      <c r="AU971" s="5" t="str">
        <f>HYPERLINK("https://creighton-primo.hosted.exlibrisgroup.com/primo-explore/search?tab=default_tab&amp;search_scope=EVERYTHING&amp;vid=01CRU&amp;lang=en_US&amp;offset=0&amp;query=any,contains,991001724089702656","Catalog Record")</f>
        <v>Catalog Record</v>
      </c>
      <c r="AV971" s="5" t="str">
        <f>HYPERLINK("http://www.worldcat.org/oclc/52086153","WorldCat Record")</f>
        <v>WorldCat Record</v>
      </c>
      <c r="AW971" s="2" t="s">
        <v>11749</v>
      </c>
      <c r="AX971" s="2" t="s">
        <v>11809</v>
      </c>
      <c r="AY971" s="2" t="s">
        <v>11810</v>
      </c>
      <c r="AZ971" s="2" t="s">
        <v>11810</v>
      </c>
      <c r="BA971" s="2" t="s">
        <v>11811</v>
      </c>
      <c r="BB971" s="2" t="s">
        <v>21</v>
      </c>
      <c r="BD971" s="2" t="s">
        <v>11812</v>
      </c>
      <c r="BE971" s="2" t="s">
        <v>11813</v>
      </c>
      <c r="BF971" s="2" t="s">
        <v>11814</v>
      </c>
    </row>
    <row r="972" spans="1:58" ht="41.25" customHeight="1" x14ac:dyDescent="0.25">
      <c r="A972" s="8" t="s">
        <v>5</v>
      </c>
      <c r="B972" s="1" t="s">
        <v>0</v>
      </c>
      <c r="C972" s="1" t="s">
        <v>1</v>
      </c>
      <c r="D972" s="1" t="s">
        <v>11815</v>
      </c>
      <c r="E972" s="1" t="s">
        <v>11816</v>
      </c>
      <c r="F972" s="1" t="s">
        <v>11817</v>
      </c>
      <c r="H972" s="2" t="s">
        <v>5</v>
      </c>
      <c r="I972" s="2" t="s">
        <v>6</v>
      </c>
      <c r="J972" s="2" t="s">
        <v>5</v>
      </c>
      <c r="K972" s="2" t="s">
        <v>5</v>
      </c>
      <c r="L972" s="2" t="s">
        <v>7</v>
      </c>
      <c r="N972" s="1" t="s">
        <v>640</v>
      </c>
      <c r="O972" s="2" t="s">
        <v>136</v>
      </c>
      <c r="P972" s="1" t="s">
        <v>211</v>
      </c>
      <c r="Q972" s="2" t="s">
        <v>11</v>
      </c>
      <c r="R972" s="2" t="s">
        <v>426</v>
      </c>
      <c r="T972" s="2" t="s">
        <v>520</v>
      </c>
      <c r="U972" s="3">
        <v>16</v>
      </c>
      <c r="V972" s="3">
        <v>16</v>
      </c>
      <c r="W972" s="4" t="s">
        <v>11818</v>
      </c>
      <c r="X972" s="4" t="s">
        <v>11818</v>
      </c>
      <c r="Y972" s="4" t="s">
        <v>11819</v>
      </c>
      <c r="Z972" s="4" t="s">
        <v>11819</v>
      </c>
      <c r="AA972" s="3">
        <v>185</v>
      </c>
      <c r="AB972" s="3">
        <v>138</v>
      </c>
      <c r="AC972" s="3">
        <v>250</v>
      </c>
      <c r="AD972" s="3">
        <v>1</v>
      </c>
      <c r="AE972" s="3">
        <v>1</v>
      </c>
      <c r="AF972" s="3">
        <v>1</v>
      </c>
      <c r="AG972" s="3">
        <v>3</v>
      </c>
      <c r="AH972" s="3">
        <v>0</v>
      </c>
      <c r="AI972" s="3">
        <v>1</v>
      </c>
      <c r="AJ972" s="3">
        <v>0</v>
      </c>
      <c r="AK972" s="3">
        <v>0</v>
      </c>
      <c r="AL972" s="3">
        <v>1</v>
      </c>
      <c r="AM972" s="3">
        <v>2</v>
      </c>
      <c r="AN972" s="3">
        <v>0</v>
      </c>
      <c r="AO972" s="3">
        <v>0</v>
      </c>
      <c r="AP972" s="3">
        <v>0</v>
      </c>
      <c r="AQ972" s="3">
        <v>0</v>
      </c>
      <c r="AR972" s="2" t="s">
        <v>5</v>
      </c>
      <c r="AS972" s="2" t="s">
        <v>5</v>
      </c>
      <c r="AU972" s="5" t="str">
        <f>HYPERLINK("https://creighton-primo.hosted.exlibrisgroup.com/primo-explore/search?tab=default_tab&amp;search_scope=EVERYTHING&amp;vid=01CRU&amp;lang=en_US&amp;offset=0&amp;query=any,contains,991000944689702656","Catalog Record")</f>
        <v>Catalog Record</v>
      </c>
      <c r="AV972" s="5" t="str">
        <f>HYPERLINK("http://www.worldcat.org/oclc/21910877","WorldCat Record")</f>
        <v>WorldCat Record</v>
      </c>
      <c r="AW972" s="2" t="s">
        <v>11820</v>
      </c>
      <c r="AX972" s="2" t="s">
        <v>11821</v>
      </c>
      <c r="AY972" s="2" t="s">
        <v>11822</v>
      </c>
      <c r="AZ972" s="2" t="s">
        <v>11822</v>
      </c>
      <c r="BA972" s="2" t="s">
        <v>11823</v>
      </c>
      <c r="BB972" s="2" t="s">
        <v>21</v>
      </c>
      <c r="BD972" s="2" t="s">
        <v>11824</v>
      </c>
      <c r="BE972" s="2" t="s">
        <v>11825</v>
      </c>
      <c r="BF972" s="2" t="s">
        <v>11826</v>
      </c>
    </row>
    <row r="973" spans="1:58" ht="41.25" customHeight="1" x14ac:dyDescent="0.25">
      <c r="A973" s="8" t="s">
        <v>5</v>
      </c>
      <c r="B973" s="1" t="s">
        <v>0</v>
      </c>
      <c r="C973" s="1" t="s">
        <v>1</v>
      </c>
      <c r="D973" s="1" t="s">
        <v>11827</v>
      </c>
      <c r="E973" s="1" t="s">
        <v>11828</v>
      </c>
      <c r="F973" s="1" t="s">
        <v>11829</v>
      </c>
      <c r="H973" s="2" t="s">
        <v>5</v>
      </c>
      <c r="I973" s="2" t="s">
        <v>6</v>
      </c>
      <c r="J973" s="2" t="s">
        <v>5</v>
      </c>
      <c r="K973" s="2" t="s">
        <v>5</v>
      </c>
      <c r="L973" s="2" t="s">
        <v>7</v>
      </c>
      <c r="N973" s="1" t="s">
        <v>11830</v>
      </c>
      <c r="O973" s="2" t="s">
        <v>1004</v>
      </c>
      <c r="P973" s="1" t="s">
        <v>11831</v>
      </c>
      <c r="Q973" s="2" t="s">
        <v>11</v>
      </c>
      <c r="R973" s="2" t="s">
        <v>31</v>
      </c>
      <c r="T973" s="2" t="s">
        <v>520</v>
      </c>
      <c r="U973" s="3">
        <v>6</v>
      </c>
      <c r="V973" s="3">
        <v>6</v>
      </c>
      <c r="W973" s="4" t="s">
        <v>11832</v>
      </c>
      <c r="X973" s="4" t="s">
        <v>11832</v>
      </c>
      <c r="Y973" s="4" t="s">
        <v>9509</v>
      </c>
      <c r="Z973" s="4" t="s">
        <v>9509</v>
      </c>
      <c r="AA973" s="3">
        <v>198</v>
      </c>
      <c r="AB973" s="3">
        <v>177</v>
      </c>
      <c r="AC973" s="3">
        <v>263</v>
      </c>
      <c r="AD973" s="3">
        <v>1</v>
      </c>
      <c r="AE973" s="3">
        <v>1</v>
      </c>
      <c r="AF973" s="3">
        <v>3</v>
      </c>
      <c r="AG973" s="3">
        <v>5</v>
      </c>
      <c r="AH973" s="3">
        <v>0</v>
      </c>
      <c r="AI973" s="3">
        <v>2</v>
      </c>
      <c r="AJ973" s="3">
        <v>0</v>
      </c>
      <c r="AK973" s="3">
        <v>0</v>
      </c>
      <c r="AL973" s="3">
        <v>3</v>
      </c>
      <c r="AM973" s="3">
        <v>5</v>
      </c>
      <c r="AN973" s="3">
        <v>0</v>
      </c>
      <c r="AO973" s="3">
        <v>0</v>
      </c>
      <c r="AP973" s="3">
        <v>0</v>
      </c>
      <c r="AQ973" s="3">
        <v>0</v>
      </c>
      <c r="AR973" s="2" t="s">
        <v>5</v>
      </c>
      <c r="AS973" s="2" t="s">
        <v>5</v>
      </c>
      <c r="AU973" s="5" t="str">
        <f>HYPERLINK("https://creighton-primo.hosted.exlibrisgroup.com/primo-explore/search?tab=default_tab&amp;search_scope=EVERYTHING&amp;vid=01CRU&amp;lang=en_US&amp;offset=0&amp;query=any,contains,991000782649702656","Catalog Record")</f>
        <v>Catalog Record</v>
      </c>
      <c r="AV973" s="5" t="str">
        <f>HYPERLINK("http://www.worldcat.org/oclc/39981690","WorldCat Record")</f>
        <v>WorldCat Record</v>
      </c>
      <c r="AW973" s="2" t="s">
        <v>11833</v>
      </c>
      <c r="AX973" s="2" t="s">
        <v>11834</v>
      </c>
      <c r="AY973" s="2" t="s">
        <v>11835</v>
      </c>
      <c r="AZ973" s="2" t="s">
        <v>11835</v>
      </c>
      <c r="BA973" s="2" t="s">
        <v>11836</v>
      </c>
      <c r="BB973" s="2" t="s">
        <v>21</v>
      </c>
      <c r="BD973" s="2" t="s">
        <v>11837</v>
      </c>
      <c r="BE973" s="2" t="s">
        <v>11838</v>
      </c>
      <c r="BF973" s="2" t="s">
        <v>11839</v>
      </c>
    </row>
    <row r="974" spans="1:58" ht="41.25" customHeight="1" x14ac:dyDescent="0.25">
      <c r="A974" s="8" t="s">
        <v>5</v>
      </c>
      <c r="B974" s="1" t="s">
        <v>0</v>
      </c>
      <c r="C974" s="1" t="s">
        <v>1</v>
      </c>
      <c r="D974" s="1" t="s">
        <v>11840</v>
      </c>
      <c r="E974" s="1" t="s">
        <v>11841</v>
      </c>
      <c r="F974" s="1" t="s">
        <v>11842</v>
      </c>
      <c r="H974" s="2" t="s">
        <v>5</v>
      </c>
      <c r="I974" s="2" t="s">
        <v>6</v>
      </c>
      <c r="J974" s="2" t="s">
        <v>5</v>
      </c>
      <c r="K974" s="2" t="s">
        <v>5</v>
      </c>
      <c r="L974" s="2" t="s">
        <v>7</v>
      </c>
      <c r="M974" s="1" t="s">
        <v>11843</v>
      </c>
      <c r="N974" s="1" t="s">
        <v>9906</v>
      </c>
      <c r="O974" s="2" t="s">
        <v>228</v>
      </c>
      <c r="Q974" s="2" t="s">
        <v>11</v>
      </c>
      <c r="R974" s="2" t="s">
        <v>426</v>
      </c>
      <c r="T974" s="2" t="s">
        <v>520</v>
      </c>
      <c r="U974" s="3">
        <v>5</v>
      </c>
      <c r="V974" s="3">
        <v>5</v>
      </c>
      <c r="W974" s="4" t="s">
        <v>11844</v>
      </c>
      <c r="X974" s="4" t="s">
        <v>11844</v>
      </c>
      <c r="Y974" s="4" t="s">
        <v>96</v>
      </c>
      <c r="Z974" s="4" t="s">
        <v>96</v>
      </c>
      <c r="AA974" s="3">
        <v>244</v>
      </c>
      <c r="AB974" s="3">
        <v>202</v>
      </c>
      <c r="AC974" s="3">
        <v>209</v>
      </c>
      <c r="AD974" s="3">
        <v>1</v>
      </c>
      <c r="AE974" s="3">
        <v>1</v>
      </c>
      <c r="AF974" s="3">
        <v>16</v>
      </c>
      <c r="AG974" s="3">
        <v>16</v>
      </c>
      <c r="AH974" s="3">
        <v>8</v>
      </c>
      <c r="AI974" s="3">
        <v>8</v>
      </c>
      <c r="AJ974" s="3">
        <v>3</v>
      </c>
      <c r="AK974" s="3">
        <v>3</v>
      </c>
      <c r="AL974" s="3">
        <v>9</v>
      </c>
      <c r="AM974" s="3">
        <v>9</v>
      </c>
      <c r="AN974" s="3">
        <v>0</v>
      </c>
      <c r="AO974" s="3">
        <v>0</v>
      </c>
      <c r="AP974" s="3">
        <v>1</v>
      </c>
      <c r="AQ974" s="3">
        <v>1</v>
      </c>
      <c r="AR974" s="2" t="s">
        <v>5</v>
      </c>
      <c r="AS974" s="2" t="s">
        <v>16</v>
      </c>
      <c r="AT974" s="5" t="str">
        <f>HYPERLINK("http://catalog.hathitrust.org/Record/000192551","HathiTrust Record")</f>
        <v>HathiTrust Record</v>
      </c>
      <c r="AU974" s="5" t="str">
        <f>HYPERLINK("https://creighton-primo.hosted.exlibrisgroup.com/primo-explore/search?tab=default_tab&amp;search_scope=EVERYTHING&amp;vid=01CRU&amp;lang=en_US&amp;offset=0&amp;query=any,contains,991001086619702656","Catalog Record")</f>
        <v>Catalog Record</v>
      </c>
      <c r="AV974" s="5" t="str">
        <f>HYPERLINK("http://www.worldcat.org/oclc/7555948","WorldCat Record")</f>
        <v>WorldCat Record</v>
      </c>
      <c r="AW974" s="2" t="s">
        <v>11845</v>
      </c>
      <c r="AX974" s="2" t="s">
        <v>11846</v>
      </c>
      <c r="AY974" s="2" t="s">
        <v>11847</v>
      </c>
      <c r="AZ974" s="2" t="s">
        <v>11847</v>
      </c>
      <c r="BA974" s="2" t="s">
        <v>11848</v>
      </c>
      <c r="BB974" s="2" t="s">
        <v>21</v>
      </c>
      <c r="BD974" s="2" t="s">
        <v>11849</v>
      </c>
      <c r="BE974" s="2" t="s">
        <v>11850</v>
      </c>
      <c r="BF974" s="2" t="s">
        <v>11851</v>
      </c>
    </row>
    <row r="975" spans="1:58" ht="41.25" customHeight="1" x14ac:dyDescent="0.25">
      <c r="A975" s="8" t="s">
        <v>5</v>
      </c>
      <c r="B975" s="1" t="s">
        <v>0</v>
      </c>
      <c r="C975" s="1" t="s">
        <v>1</v>
      </c>
      <c r="D975" s="1" t="s">
        <v>11852</v>
      </c>
      <c r="E975" s="1" t="s">
        <v>11853</v>
      </c>
      <c r="F975" s="1" t="s">
        <v>11854</v>
      </c>
      <c r="H975" s="2" t="s">
        <v>5</v>
      </c>
      <c r="I975" s="2" t="s">
        <v>6</v>
      </c>
      <c r="J975" s="2" t="s">
        <v>5</v>
      </c>
      <c r="K975" s="2" t="s">
        <v>5</v>
      </c>
      <c r="L975" s="2" t="s">
        <v>7</v>
      </c>
      <c r="M975" s="1" t="s">
        <v>11855</v>
      </c>
      <c r="N975" s="1" t="s">
        <v>3535</v>
      </c>
      <c r="O975" s="2" t="s">
        <v>354</v>
      </c>
      <c r="Q975" s="2" t="s">
        <v>11</v>
      </c>
      <c r="R975" s="2" t="s">
        <v>12</v>
      </c>
      <c r="T975" s="2" t="s">
        <v>520</v>
      </c>
      <c r="U975" s="3">
        <v>3</v>
      </c>
      <c r="V975" s="3">
        <v>3</v>
      </c>
      <c r="W975" s="4" t="s">
        <v>11856</v>
      </c>
      <c r="X975" s="4" t="s">
        <v>11856</v>
      </c>
      <c r="Y975" s="4" t="s">
        <v>96</v>
      </c>
      <c r="Z975" s="4" t="s">
        <v>96</v>
      </c>
      <c r="AA975" s="3">
        <v>279</v>
      </c>
      <c r="AB975" s="3">
        <v>235</v>
      </c>
      <c r="AC975" s="3">
        <v>237</v>
      </c>
      <c r="AD975" s="3">
        <v>4</v>
      </c>
      <c r="AE975" s="3">
        <v>4</v>
      </c>
      <c r="AF975" s="3">
        <v>9</v>
      </c>
      <c r="AG975" s="3">
        <v>9</v>
      </c>
      <c r="AH975" s="3">
        <v>3</v>
      </c>
      <c r="AI975" s="3">
        <v>3</v>
      </c>
      <c r="AJ975" s="3">
        <v>3</v>
      </c>
      <c r="AK975" s="3">
        <v>3</v>
      </c>
      <c r="AL975" s="3">
        <v>4</v>
      </c>
      <c r="AM975" s="3">
        <v>4</v>
      </c>
      <c r="AN975" s="3">
        <v>2</v>
      </c>
      <c r="AO975" s="3">
        <v>2</v>
      </c>
      <c r="AP975" s="3">
        <v>0</v>
      </c>
      <c r="AQ975" s="3">
        <v>0</v>
      </c>
      <c r="AR975" s="2" t="s">
        <v>5</v>
      </c>
      <c r="AS975" s="2" t="s">
        <v>16</v>
      </c>
      <c r="AT975" s="5" t="str">
        <f>HYPERLINK("http://catalog.hathitrust.org/Record/000043078","HathiTrust Record")</f>
        <v>HathiTrust Record</v>
      </c>
      <c r="AU975" s="5" t="str">
        <f>HYPERLINK("https://creighton-primo.hosted.exlibrisgroup.com/primo-explore/search?tab=default_tab&amp;search_scope=EVERYTHING&amp;vid=01CRU&amp;lang=en_US&amp;offset=0&amp;query=any,contains,991001086719702656","Catalog Record")</f>
        <v>Catalog Record</v>
      </c>
      <c r="AV975" s="5" t="str">
        <f>HYPERLINK("http://www.worldcat.org/oclc/5029672","WorldCat Record")</f>
        <v>WorldCat Record</v>
      </c>
      <c r="AW975" s="2" t="s">
        <v>11857</v>
      </c>
      <c r="AX975" s="2" t="s">
        <v>11858</v>
      </c>
      <c r="AY975" s="2" t="s">
        <v>11859</v>
      </c>
      <c r="AZ975" s="2" t="s">
        <v>11859</v>
      </c>
      <c r="BA975" s="2" t="s">
        <v>11860</v>
      </c>
      <c r="BB975" s="2" t="s">
        <v>21</v>
      </c>
      <c r="BD975" s="2" t="s">
        <v>11861</v>
      </c>
      <c r="BE975" s="2" t="s">
        <v>11862</v>
      </c>
      <c r="BF975" s="2" t="s">
        <v>11863</v>
      </c>
    </row>
    <row r="976" spans="1:58" ht="41.25" customHeight="1" x14ac:dyDescent="0.25">
      <c r="A976" s="8" t="s">
        <v>5</v>
      </c>
      <c r="B976" s="1" t="s">
        <v>0</v>
      </c>
      <c r="C976" s="1" t="s">
        <v>1</v>
      </c>
      <c r="D976" s="1" t="s">
        <v>11864</v>
      </c>
      <c r="E976" s="1" t="s">
        <v>11865</v>
      </c>
      <c r="F976" s="1" t="s">
        <v>11866</v>
      </c>
      <c r="H976" s="2" t="s">
        <v>5</v>
      </c>
      <c r="I976" s="2" t="s">
        <v>6</v>
      </c>
      <c r="J976" s="2" t="s">
        <v>5</v>
      </c>
      <c r="K976" s="2" t="s">
        <v>5</v>
      </c>
      <c r="L976" s="2" t="s">
        <v>7</v>
      </c>
      <c r="M976" s="1" t="s">
        <v>11867</v>
      </c>
      <c r="N976" s="1" t="s">
        <v>11868</v>
      </c>
      <c r="O976" s="2" t="s">
        <v>62</v>
      </c>
      <c r="Q976" s="2" t="s">
        <v>11</v>
      </c>
      <c r="R976" s="2" t="s">
        <v>369</v>
      </c>
      <c r="T976" s="2" t="s">
        <v>520</v>
      </c>
      <c r="U976" s="3">
        <v>5</v>
      </c>
      <c r="V976" s="3">
        <v>5</v>
      </c>
      <c r="W976" s="4" t="s">
        <v>9691</v>
      </c>
      <c r="X976" s="4" t="s">
        <v>9691</v>
      </c>
      <c r="Y976" s="4" t="s">
        <v>96</v>
      </c>
      <c r="Z976" s="4" t="s">
        <v>96</v>
      </c>
      <c r="AA976" s="3">
        <v>50</v>
      </c>
      <c r="AB976" s="3">
        <v>49</v>
      </c>
      <c r="AC976" s="3">
        <v>49</v>
      </c>
      <c r="AD976" s="3">
        <v>1</v>
      </c>
      <c r="AE976" s="3">
        <v>1</v>
      </c>
      <c r="AF976" s="3">
        <v>2</v>
      </c>
      <c r="AG976" s="3">
        <v>2</v>
      </c>
      <c r="AH976" s="3">
        <v>0</v>
      </c>
      <c r="AI976" s="3">
        <v>0</v>
      </c>
      <c r="AJ976" s="3">
        <v>0</v>
      </c>
      <c r="AK976" s="3">
        <v>0</v>
      </c>
      <c r="AL976" s="3">
        <v>2</v>
      </c>
      <c r="AM976" s="3">
        <v>2</v>
      </c>
      <c r="AN976" s="3">
        <v>0</v>
      </c>
      <c r="AO976" s="3">
        <v>0</v>
      </c>
      <c r="AP976" s="3">
        <v>0</v>
      </c>
      <c r="AQ976" s="3">
        <v>0</v>
      </c>
      <c r="AR976" s="2" t="s">
        <v>5</v>
      </c>
      <c r="AS976" s="2" t="s">
        <v>5</v>
      </c>
      <c r="AU976" s="5" t="str">
        <f>HYPERLINK("https://creighton-primo.hosted.exlibrisgroup.com/primo-explore/search?tab=default_tab&amp;search_scope=EVERYTHING&amp;vid=01CRU&amp;lang=en_US&amp;offset=0&amp;query=any,contains,991001086799702656","Catalog Record")</f>
        <v>Catalog Record</v>
      </c>
      <c r="AV976" s="5" t="str">
        <f>HYPERLINK("http://www.worldcat.org/oclc/4232176","WorldCat Record")</f>
        <v>WorldCat Record</v>
      </c>
      <c r="AW976" s="2" t="s">
        <v>11869</v>
      </c>
      <c r="AX976" s="2" t="s">
        <v>11870</v>
      </c>
      <c r="AY976" s="2" t="s">
        <v>11871</v>
      </c>
      <c r="AZ976" s="2" t="s">
        <v>11871</v>
      </c>
      <c r="BA976" s="2" t="s">
        <v>11872</v>
      </c>
      <c r="BB976" s="2" t="s">
        <v>21</v>
      </c>
      <c r="BE976" s="2" t="s">
        <v>11873</v>
      </c>
      <c r="BF976" s="2" t="s">
        <v>11874</v>
      </c>
    </row>
    <row r="977" spans="1:58" ht="41.25" customHeight="1" x14ac:dyDescent="0.25">
      <c r="A977" s="8" t="s">
        <v>5</v>
      </c>
      <c r="B977" s="1" t="s">
        <v>0</v>
      </c>
      <c r="C977" s="1" t="s">
        <v>1</v>
      </c>
      <c r="D977" s="1" t="s">
        <v>11875</v>
      </c>
      <c r="E977" s="1" t="s">
        <v>11876</v>
      </c>
      <c r="F977" s="1" t="s">
        <v>11877</v>
      </c>
      <c r="H977" s="2" t="s">
        <v>5</v>
      </c>
      <c r="I977" s="2" t="s">
        <v>6</v>
      </c>
      <c r="J977" s="2" t="s">
        <v>5</v>
      </c>
      <c r="K977" s="2" t="s">
        <v>5</v>
      </c>
      <c r="L977" s="2" t="s">
        <v>7</v>
      </c>
      <c r="N977" s="1" t="s">
        <v>1282</v>
      </c>
      <c r="O977" s="2" t="s">
        <v>1283</v>
      </c>
      <c r="P977" s="1" t="s">
        <v>1208</v>
      </c>
      <c r="Q977" s="2" t="s">
        <v>11</v>
      </c>
      <c r="R977" s="2" t="s">
        <v>31</v>
      </c>
      <c r="T977" s="2" t="s">
        <v>520</v>
      </c>
      <c r="U977" s="3">
        <v>1</v>
      </c>
      <c r="V977" s="3">
        <v>1</v>
      </c>
      <c r="W977" s="4" t="s">
        <v>11878</v>
      </c>
      <c r="X977" s="4" t="s">
        <v>11878</v>
      </c>
      <c r="Y977" s="4" t="s">
        <v>8108</v>
      </c>
      <c r="Z977" s="4" t="s">
        <v>8108</v>
      </c>
      <c r="AA977" s="3">
        <v>312</v>
      </c>
      <c r="AB977" s="3">
        <v>270</v>
      </c>
      <c r="AC977" s="3">
        <v>709</v>
      </c>
      <c r="AD977" s="3">
        <v>2</v>
      </c>
      <c r="AE977" s="3">
        <v>2</v>
      </c>
      <c r="AF977" s="3">
        <v>4</v>
      </c>
      <c r="AG977" s="3">
        <v>18</v>
      </c>
      <c r="AH977" s="3">
        <v>2</v>
      </c>
      <c r="AI977" s="3">
        <v>6</v>
      </c>
      <c r="AJ977" s="3">
        <v>1</v>
      </c>
      <c r="AK977" s="3">
        <v>5</v>
      </c>
      <c r="AL977" s="3">
        <v>2</v>
      </c>
      <c r="AM977" s="3">
        <v>11</v>
      </c>
      <c r="AN977" s="3">
        <v>0</v>
      </c>
      <c r="AO977" s="3">
        <v>0</v>
      </c>
      <c r="AP977" s="3">
        <v>0</v>
      </c>
      <c r="AQ977" s="3">
        <v>0</v>
      </c>
      <c r="AR977" s="2" t="s">
        <v>5</v>
      </c>
      <c r="AS977" s="2" t="s">
        <v>16</v>
      </c>
      <c r="AT977" s="5" t="str">
        <f>HYPERLINK("http://catalog.hathitrust.org/Record/004572245","HathiTrust Record")</f>
        <v>HathiTrust Record</v>
      </c>
      <c r="AU977" s="5" t="str">
        <f>HYPERLINK("https://creighton-primo.hosted.exlibrisgroup.com/primo-explore/search?tab=default_tab&amp;search_scope=EVERYTHING&amp;vid=01CRU&amp;lang=en_US&amp;offset=0&amp;query=any,contains,991001555999702656","Catalog Record")</f>
        <v>Catalog Record</v>
      </c>
      <c r="AV977" s="5" t="str">
        <f>HYPERLINK("http://www.worldcat.org/oclc/36192085","WorldCat Record")</f>
        <v>WorldCat Record</v>
      </c>
      <c r="AW977" s="2" t="s">
        <v>11879</v>
      </c>
      <c r="AX977" s="2" t="s">
        <v>11880</v>
      </c>
      <c r="AY977" s="2" t="s">
        <v>11881</v>
      </c>
      <c r="AZ977" s="2" t="s">
        <v>11881</v>
      </c>
      <c r="BA977" s="2" t="s">
        <v>11882</v>
      </c>
      <c r="BB977" s="2" t="s">
        <v>21</v>
      </c>
      <c r="BD977" s="2" t="s">
        <v>11883</v>
      </c>
      <c r="BE977" s="2" t="s">
        <v>11884</v>
      </c>
      <c r="BF977" s="2" t="s">
        <v>11885</v>
      </c>
    </row>
    <row r="978" spans="1:58" ht="41.25" customHeight="1" x14ac:dyDescent="0.25">
      <c r="A978" s="8" t="s">
        <v>5</v>
      </c>
      <c r="B978" s="1" t="s">
        <v>0</v>
      </c>
      <c r="C978" s="1" t="s">
        <v>1</v>
      </c>
      <c r="D978" s="1" t="s">
        <v>11886</v>
      </c>
      <c r="E978" s="1" t="s">
        <v>11887</v>
      </c>
      <c r="F978" s="1" t="s">
        <v>11888</v>
      </c>
      <c r="H978" s="2" t="s">
        <v>5</v>
      </c>
      <c r="I978" s="2" t="s">
        <v>6</v>
      </c>
      <c r="J978" s="2" t="s">
        <v>5</v>
      </c>
      <c r="K978" s="2" t="s">
        <v>5</v>
      </c>
      <c r="L978" s="2" t="s">
        <v>7</v>
      </c>
      <c r="M978" s="1" t="s">
        <v>11889</v>
      </c>
      <c r="N978" s="1" t="s">
        <v>2396</v>
      </c>
      <c r="O978" s="2" t="s">
        <v>393</v>
      </c>
      <c r="P978" s="1" t="s">
        <v>11831</v>
      </c>
      <c r="Q978" s="2" t="s">
        <v>11</v>
      </c>
      <c r="R978" s="2" t="s">
        <v>426</v>
      </c>
      <c r="T978" s="2" t="s">
        <v>520</v>
      </c>
      <c r="U978" s="3">
        <v>5</v>
      </c>
      <c r="V978" s="3">
        <v>5</v>
      </c>
      <c r="W978" s="4" t="s">
        <v>11890</v>
      </c>
      <c r="X978" s="4" t="s">
        <v>11890</v>
      </c>
      <c r="Y978" s="4" t="s">
        <v>96</v>
      </c>
      <c r="Z978" s="4" t="s">
        <v>96</v>
      </c>
      <c r="AA978" s="3">
        <v>213</v>
      </c>
      <c r="AB978" s="3">
        <v>178</v>
      </c>
      <c r="AC978" s="3">
        <v>472</v>
      </c>
      <c r="AD978" s="3">
        <v>1</v>
      </c>
      <c r="AE978" s="3">
        <v>3</v>
      </c>
      <c r="AF978" s="3">
        <v>3</v>
      </c>
      <c r="AG978" s="3">
        <v>11</v>
      </c>
      <c r="AH978" s="3">
        <v>1</v>
      </c>
      <c r="AI978" s="3">
        <v>5</v>
      </c>
      <c r="AJ978" s="3">
        <v>0</v>
      </c>
      <c r="AK978" s="3">
        <v>2</v>
      </c>
      <c r="AL978" s="3">
        <v>3</v>
      </c>
      <c r="AM978" s="3">
        <v>5</v>
      </c>
      <c r="AN978" s="3">
        <v>0</v>
      </c>
      <c r="AO978" s="3">
        <v>1</v>
      </c>
      <c r="AP978" s="3">
        <v>0</v>
      </c>
      <c r="AQ978" s="3">
        <v>0</v>
      </c>
      <c r="AR978" s="2" t="s">
        <v>5</v>
      </c>
      <c r="AS978" s="2" t="s">
        <v>16</v>
      </c>
      <c r="AT978" s="5" t="str">
        <f>HYPERLINK("http://catalog.hathitrust.org/Record/000311940","HathiTrust Record")</f>
        <v>HathiTrust Record</v>
      </c>
      <c r="AU978" s="5" t="str">
        <f>HYPERLINK("https://creighton-primo.hosted.exlibrisgroup.com/primo-explore/search?tab=default_tab&amp;search_scope=EVERYTHING&amp;vid=01CRU&amp;lang=en_US&amp;offset=0&amp;query=any,contains,991001086859702656","Catalog Record")</f>
        <v>Catalog Record</v>
      </c>
      <c r="AV978" s="5" t="str">
        <f>HYPERLINK("http://www.worldcat.org/oclc/6942204","WorldCat Record")</f>
        <v>WorldCat Record</v>
      </c>
      <c r="AW978" s="2" t="s">
        <v>11891</v>
      </c>
      <c r="AX978" s="2" t="s">
        <v>11892</v>
      </c>
      <c r="AY978" s="2" t="s">
        <v>11893</v>
      </c>
      <c r="AZ978" s="2" t="s">
        <v>11893</v>
      </c>
      <c r="BA978" s="2" t="s">
        <v>11894</v>
      </c>
      <c r="BB978" s="2" t="s">
        <v>21</v>
      </c>
      <c r="BD978" s="2" t="s">
        <v>11895</v>
      </c>
      <c r="BE978" s="2" t="s">
        <v>11896</v>
      </c>
      <c r="BF978" s="2" t="s">
        <v>11897</v>
      </c>
    </row>
    <row r="979" spans="1:58" ht="41.25" customHeight="1" x14ac:dyDescent="0.25">
      <c r="A979" s="8" t="s">
        <v>5</v>
      </c>
      <c r="B979" s="1" t="s">
        <v>0</v>
      </c>
      <c r="C979" s="1" t="s">
        <v>1</v>
      </c>
      <c r="D979" s="1" t="s">
        <v>11898</v>
      </c>
      <c r="E979" s="1" t="s">
        <v>11899</v>
      </c>
      <c r="F979" s="1" t="s">
        <v>11900</v>
      </c>
      <c r="H979" s="2" t="s">
        <v>5</v>
      </c>
      <c r="I979" s="2" t="s">
        <v>6</v>
      </c>
      <c r="J979" s="2" t="s">
        <v>5</v>
      </c>
      <c r="K979" s="2" t="s">
        <v>5</v>
      </c>
      <c r="L979" s="2" t="s">
        <v>7</v>
      </c>
      <c r="N979" s="1" t="s">
        <v>8637</v>
      </c>
      <c r="O979" s="2" t="s">
        <v>393</v>
      </c>
      <c r="Q979" s="2" t="s">
        <v>11</v>
      </c>
      <c r="R979" s="2" t="s">
        <v>426</v>
      </c>
      <c r="T979" s="2" t="s">
        <v>520</v>
      </c>
      <c r="U979" s="3">
        <v>5</v>
      </c>
      <c r="V979" s="3">
        <v>5</v>
      </c>
      <c r="W979" s="4" t="s">
        <v>5313</v>
      </c>
      <c r="X979" s="4" t="s">
        <v>5313</v>
      </c>
      <c r="Y979" s="4" t="s">
        <v>329</v>
      </c>
      <c r="Z979" s="4" t="s">
        <v>329</v>
      </c>
      <c r="AA979" s="3">
        <v>189</v>
      </c>
      <c r="AB979" s="3">
        <v>156</v>
      </c>
      <c r="AC979" s="3">
        <v>158</v>
      </c>
      <c r="AD979" s="3">
        <v>2</v>
      </c>
      <c r="AE979" s="3">
        <v>2</v>
      </c>
      <c r="AF979" s="3">
        <v>3</v>
      </c>
      <c r="AG979" s="3">
        <v>3</v>
      </c>
      <c r="AH979" s="3">
        <v>2</v>
      </c>
      <c r="AI979" s="3">
        <v>2</v>
      </c>
      <c r="AJ979" s="3">
        <v>0</v>
      </c>
      <c r="AK979" s="3">
        <v>0</v>
      </c>
      <c r="AL979" s="3">
        <v>2</v>
      </c>
      <c r="AM979" s="3">
        <v>2</v>
      </c>
      <c r="AN979" s="3">
        <v>0</v>
      </c>
      <c r="AO979" s="3">
        <v>0</v>
      </c>
      <c r="AP979" s="3">
        <v>0</v>
      </c>
      <c r="AQ979" s="3">
        <v>0</v>
      </c>
      <c r="AR979" s="2" t="s">
        <v>5</v>
      </c>
      <c r="AS979" s="2" t="s">
        <v>16</v>
      </c>
      <c r="AT979" s="5" t="str">
        <f>HYPERLINK("http://catalog.hathitrust.org/Record/000765028","HathiTrust Record")</f>
        <v>HathiTrust Record</v>
      </c>
      <c r="AU979" s="5" t="str">
        <f>HYPERLINK("https://creighton-primo.hosted.exlibrisgroup.com/primo-explore/search?tab=default_tab&amp;search_scope=EVERYTHING&amp;vid=01CRU&amp;lang=en_US&amp;offset=0&amp;query=any,contains,991000737319702656","Catalog Record")</f>
        <v>Catalog Record</v>
      </c>
      <c r="AV979" s="5" t="str">
        <f>HYPERLINK("http://www.worldcat.org/oclc/7283882","WorldCat Record")</f>
        <v>WorldCat Record</v>
      </c>
      <c r="AW979" s="2" t="s">
        <v>11901</v>
      </c>
      <c r="AX979" s="2" t="s">
        <v>11902</v>
      </c>
      <c r="AY979" s="2" t="s">
        <v>11903</v>
      </c>
      <c r="AZ979" s="2" t="s">
        <v>11903</v>
      </c>
      <c r="BA979" s="2" t="s">
        <v>11904</v>
      </c>
      <c r="BB979" s="2" t="s">
        <v>21</v>
      </c>
      <c r="BD979" s="2" t="s">
        <v>11905</v>
      </c>
      <c r="BE979" s="2" t="s">
        <v>11906</v>
      </c>
      <c r="BF979" s="2" t="s">
        <v>11907</v>
      </c>
    </row>
    <row r="980" spans="1:58" ht="41.25" customHeight="1" x14ac:dyDescent="0.25">
      <c r="A980" s="8" t="s">
        <v>5</v>
      </c>
      <c r="B980" s="1" t="s">
        <v>0</v>
      </c>
      <c r="C980" s="1" t="s">
        <v>1</v>
      </c>
      <c r="D980" s="1" t="s">
        <v>11908</v>
      </c>
      <c r="E980" s="1" t="s">
        <v>11909</v>
      </c>
      <c r="F980" s="1" t="s">
        <v>11910</v>
      </c>
      <c r="H980" s="2" t="s">
        <v>5</v>
      </c>
      <c r="I980" s="2" t="s">
        <v>6</v>
      </c>
      <c r="J980" s="2" t="s">
        <v>5</v>
      </c>
      <c r="K980" s="2" t="s">
        <v>5</v>
      </c>
      <c r="L980" s="2" t="s">
        <v>7</v>
      </c>
      <c r="M980" s="1" t="s">
        <v>11911</v>
      </c>
      <c r="N980" s="1" t="s">
        <v>11912</v>
      </c>
      <c r="O980" s="2" t="s">
        <v>1195</v>
      </c>
      <c r="P980" s="1" t="s">
        <v>63</v>
      </c>
      <c r="Q980" s="2" t="s">
        <v>11</v>
      </c>
      <c r="R980" s="2" t="s">
        <v>12</v>
      </c>
      <c r="T980" s="2" t="s">
        <v>520</v>
      </c>
      <c r="U980" s="3">
        <v>0</v>
      </c>
      <c r="V980" s="3">
        <v>0</v>
      </c>
      <c r="W980" s="4" t="s">
        <v>11913</v>
      </c>
      <c r="X980" s="4" t="s">
        <v>11913</v>
      </c>
      <c r="Y980" s="4" t="s">
        <v>1157</v>
      </c>
      <c r="Z980" s="4" t="s">
        <v>1157</v>
      </c>
      <c r="AA980" s="3">
        <v>222</v>
      </c>
      <c r="AB980" s="3">
        <v>142</v>
      </c>
      <c r="AC980" s="3">
        <v>146</v>
      </c>
      <c r="AD980" s="3">
        <v>1</v>
      </c>
      <c r="AE980" s="3">
        <v>1</v>
      </c>
      <c r="AF980" s="3">
        <v>5</v>
      </c>
      <c r="AG980" s="3">
        <v>5</v>
      </c>
      <c r="AH980" s="3">
        <v>1</v>
      </c>
      <c r="AI980" s="3">
        <v>1</v>
      </c>
      <c r="AJ980" s="3">
        <v>0</v>
      </c>
      <c r="AK980" s="3">
        <v>0</v>
      </c>
      <c r="AL980" s="3">
        <v>4</v>
      </c>
      <c r="AM980" s="3">
        <v>4</v>
      </c>
      <c r="AN980" s="3">
        <v>0</v>
      </c>
      <c r="AO980" s="3">
        <v>0</v>
      </c>
      <c r="AP980" s="3">
        <v>0</v>
      </c>
      <c r="AQ980" s="3">
        <v>0</v>
      </c>
      <c r="AR980" s="2" t="s">
        <v>5</v>
      </c>
      <c r="AS980" s="2" t="s">
        <v>16</v>
      </c>
      <c r="AT980" s="5" t="str">
        <f>HYPERLINK("http://catalog.hathitrust.org/Record/004145373","HathiTrust Record")</f>
        <v>HathiTrust Record</v>
      </c>
      <c r="AU980" s="5" t="str">
        <f>HYPERLINK("https://creighton-primo.hosted.exlibrisgroup.com/primo-explore/search?tab=default_tab&amp;search_scope=EVERYTHING&amp;vid=01CRU&amp;lang=en_US&amp;offset=0&amp;query=any,contains,991000321249702656","Catalog Record")</f>
        <v>Catalog Record</v>
      </c>
      <c r="AV980" s="5" t="str">
        <f>HYPERLINK("http://www.worldcat.org/oclc/43114534","WorldCat Record")</f>
        <v>WorldCat Record</v>
      </c>
      <c r="AW980" s="2" t="s">
        <v>11914</v>
      </c>
      <c r="AX980" s="2" t="s">
        <v>11915</v>
      </c>
      <c r="AY980" s="2" t="s">
        <v>11916</v>
      </c>
      <c r="AZ980" s="2" t="s">
        <v>11916</v>
      </c>
      <c r="BA980" s="2" t="s">
        <v>11917</v>
      </c>
      <c r="BB980" s="2" t="s">
        <v>21</v>
      </c>
      <c r="BD980" s="2" t="s">
        <v>11918</v>
      </c>
      <c r="BE980" s="2" t="s">
        <v>11919</v>
      </c>
      <c r="BF980" s="2" t="s">
        <v>11920</v>
      </c>
    </row>
    <row r="981" spans="1:58" ht="41.25" customHeight="1" x14ac:dyDescent="0.25">
      <c r="A981" s="8" t="s">
        <v>5</v>
      </c>
      <c r="B981" s="1" t="s">
        <v>0</v>
      </c>
      <c r="C981" s="1" t="s">
        <v>1</v>
      </c>
      <c r="D981" s="1" t="s">
        <v>11921</v>
      </c>
      <c r="E981" s="1" t="s">
        <v>11922</v>
      </c>
      <c r="F981" s="1" t="s">
        <v>11923</v>
      </c>
      <c r="H981" s="2" t="s">
        <v>5</v>
      </c>
      <c r="I981" s="2" t="s">
        <v>6</v>
      </c>
      <c r="J981" s="2" t="s">
        <v>5</v>
      </c>
      <c r="K981" s="2" t="s">
        <v>5</v>
      </c>
      <c r="L981" s="2" t="s">
        <v>7</v>
      </c>
      <c r="M981" s="1" t="s">
        <v>11924</v>
      </c>
      <c r="N981" s="1" t="s">
        <v>9264</v>
      </c>
      <c r="O981" s="2" t="s">
        <v>382</v>
      </c>
      <c r="P981" s="1" t="s">
        <v>901</v>
      </c>
      <c r="Q981" s="2" t="s">
        <v>11</v>
      </c>
      <c r="R981" s="2" t="s">
        <v>426</v>
      </c>
      <c r="T981" s="2" t="s">
        <v>520</v>
      </c>
      <c r="U981" s="3">
        <v>5</v>
      </c>
      <c r="V981" s="3">
        <v>5</v>
      </c>
      <c r="W981" s="4" t="s">
        <v>11925</v>
      </c>
      <c r="X981" s="4" t="s">
        <v>11925</v>
      </c>
      <c r="Y981" s="4" t="s">
        <v>96</v>
      </c>
      <c r="Z981" s="4" t="s">
        <v>96</v>
      </c>
      <c r="AA981" s="3">
        <v>211</v>
      </c>
      <c r="AB981" s="3">
        <v>160</v>
      </c>
      <c r="AC981" s="3">
        <v>333</v>
      </c>
      <c r="AD981" s="3">
        <v>1</v>
      </c>
      <c r="AE981" s="3">
        <v>3</v>
      </c>
      <c r="AF981" s="3">
        <v>4</v>
      </c>
      <c r="AG981" s="3">
        <v>10</v>
      </c>
      <c r="AH981" s="3">
        <v>1</v>
      </c>
      <c r="AI981" s="3">
        <v>1</v>
      </c>
      <c r="AJ981" s="3">
        <v>1</v>
      </c>
      <c r="AK981" s="3">
        <v>3</v>
      </c>
      <c r="AL981" s="3">
        <v>3</v>
      </c>
      <c r="AM981" s="3">
        <v>6</v>
      </c>
      <c r="AN981" s="3">
        <v>0</v>
      </c>
      <c r="AO981" s="3">
        <v>1</v>
      </c>
      <c r="AP981" s="3">
        <v>0</v>
      </c>
      <c r="AQ981" s="3">
        <v>0</v>
      </c>
      <c r="AR981" s="2" t="s">
        <v>5</v>
      </c>
      <c r="AS981" s="2" t="s">
        <v>16</v>
      </c>
      <c r="AT981" s="5" t="str">
        <f>HYPERLINK("http://catalog.hathitrust.org/Record/000462597","HathiTrust Record")</f>
        <v>HathiTrust Record</v>
      </c>
      <c r="AU981" s="5" t="str">
        <f>HYPERLINK("https://creighton-primo.hosted.exlibrisgroup.com/primo-explore/search?tab=default_tab&amp;search_scope=EVERYTHING&amp;vid=01CRU&amp;lang=en_US&amp;offset=0&amp;query=any,contains,991001087059702656","Catalog Record")</f>
        <v>Catalog Record</v>
      </c>
      <c r="AV981" s="5" t="str">
        <f>HYPERLINK("http://www.worldcat.org/oclc/11234439","WorldCat Record")</f>
        <v>WorldCat Record</v>
      </c>
      <c r="AW981" s="2" t="s">
        <v>11926</v>
      </c>
      <c r="AX981" s="2" t="s">
        <v>11927</v>
      </c>
      <c r="AY981" s="2" t="s">
        <v>11928</v>
      </c>
      <c r="AZ981" s="2" t="s">
        <v>11928</v>
      </c>
      <c r="BA981" s="2" t="s">
        <v>11929</v>
      </c>
      <c r="BB981" s="2" t="s">
        <v>21</v>
      </c>
      <c r="BD981" s="2" t="s">
        <v>11930</v>
      </c>
      <c r="BE981" s="2" t="s">
        <v>11931</v>
      </c>
      <c r="BF981" s="2" t="s">
        <v>11932</v>
      </c>
    </row>
    <row r="982" spans="1:58" ht="41.25" customHeight="1" x14ac:dyDescent="0.25">
      <c r="A982" s="8" t="s">
        <v>5</v>
      </c>
      <c r="B982" s="1" t="s">
        <v>0</v>
      </c>
      <c r="C982" s="1" t="s">
        <v>1</v>
      </c>
      <c r="D982" s="1" t="s">
        <v>11933</v>
      </c>
      <c r="E982" s="1" t="s">
        <v>11934</v>
      </c>
      <c r="F982" s="1" t="s">
        <v>11935</v>
      </c>
      <c r="H982" s="2" t="s">
        <v>5</v>
      </c>
      <c r="I982" s="2" t="s">
        <v>6</v>
      </c>
      <c r="J982" s="2" t="s">
        <v>5</v>
      </c>
      <c r="K982" s="2" t="s">
        <v>16</v>
      </c>
      <c r="L982" s="2" t="s">
        <v>7</v>
      </c>
      <c r="M982" s="1" t="s">
        <v>11924</v>
      </c>
      <c r="N982" s="1" t="s">
        <v>11007</v>
      </c>
      <c r="O982" s="2" t="s">
        <v>872</v>
      </c>
      <c r="P982" s="1" t="s">
        <v>1208</v>
      </c>
      <c r="Q982" s="2" t="s">
        <v>11</v>
      </c>
      <c r="R982" s="2" t="s">
        <v>426</v>
      </c>
      <c r="T982" s="2" t="s">
        <v>520</v>
      </c>
      <c r="U982" s="3">
        <v>1</v>
      </c>
      <c r="V982" s="3">
        <v>1</v>
      </c>
      <c r="W982" s="4" t="s">
        <v>11936</v>
      </c>
      <c r="X982" s="4" t="s">
        <v>11936</v>
      </c>
      <c r="Y982" s="4" t="s">
        <v>2470</v>
      </c>
      <c r="Z982" s="4" t="s">
        <v>2470</v>
      </c>
      <c r="AA982" s="3">
        <v>243</v>
      </c>
      <c r="AB982" s="3">
        <v>188</v>
      </c>
      <c r="AC982" s="3">
        <v>361</v>
      </c>
      <c r="AD982" s="3">
        <v>1</v>
      </c>
      <c r="AE982" s="3">
        <v>3</v>
      </c>
      <c r="AF982" s="3">
        <v>6</v>
      </c>
      <c r="AG982" s="3">
        <v>11</v>
      </c>
      <c r="AH982" s="3">
        <v>2</v>
      </c>
      <c r="AI982" s="3">
        <v>5</v>
      </c>
      <c r="AJ982" s="3">
        <v>1</v>
      </c>
      <c r="AK982" s="3">
        <v>2</v>
      </c>
      <c r="AL982" s="3">
        <v>5</v>
      </c>
      <c r="AM982" s="3">
        <v>8</v>
      </c>
      <c r="AN982" s="3">
        <v>0</v>
      </c>
      <c r="AO982" s="3">
        <v>0</v>
      </c>
      <c r="AP982" s="3">
        <v>0</v>
      </c>
      <c r="AQ982" s="3">
        <v>0</v>
      </c>
      <c r="AR982" s="2" t="s">
        <v>5</v>
      </c>
      <c r="AS982" s="2" t="s">
        <v>16</v>
      </c>
      <c r="AT982" s="5" t="str">
        <f>HYPERLINK("http://catalog.hathitrust.org/Record/001292394","HathiTrust Record")</f>
        <v>HathiTrust Record</v>
      </c>
      <c r="AU982" s="5" t="str">
        <f>HYPERLINK("https://creighton-primo.hosted.exlibrisgroup.com/primo-explore/search?tab=default_tab&amp;search_scope=EVERYTHING&amp;vid=01CRU&amp;lang=en_US&amp;offset=0&amp;query=any,contains,991001251649702656","Catalog Record")</f>
        <v>Catalog Record</v>
      </c>
      <c r="AV982" s="5" t="str">
        <f>HYPERLINK("http://www.worldcat.org/oclc/18191761","WorldCat Record")</f>
        <v>WorldCat Record</v>
      </c>
      <c r="AW982" s="2" t="s">
        <v>11937</v>
      </c>
      <c r="AX982" s="2" t="s">
        <v>11938</v>
      </c>
      <c r="AY982" s="2" t="s">
        <v>11939</v>
      </c>
      <c r="AZ982" s="2" t="s">
        <v>11939</v>
      </c>
      <c r="BA982" s="2" t="s">
        <v>11940</v>
      </c>
      <c r="BB982" s="2" t="s">
        <v>21</v>
      </c>
      <c r="BD982" s="2" t="s">
        <v>11941</v>
      </c>
      <c r="BE982" s="2" t="s">
        <v>11942</v>
      </c>
      <c r="BF982" s="2" t="s">
        <v>11943</v>
      </c>
    </row>
    <row r="983" spans="1:58" ht="41.25" customHeight="1" x14ac:dyDescent="0.25">
      <c r="A983" s="8" t="s">
        <v>5</v>
      </c>
      <c r="B983" s="1" t="s">
        <v>0</v>
      </c>
      <c r="C983" s="1" t="s">
        <v>1</v>
      </c>
      <c r="D983" s="1" t="s">
        <v>11944</v>
      </c>
      <c r="E983" s="1" t="s">
        <v>11945</v>
      </c>
      <c r="F983" s="1" t="s">
        <v>11946</v>
      </c>
      <c r="H983" s="2" t="s">
        <v>5</v>
      </c>
      <c r="I983" s="2" t="s">
        <v>6</v>
      </c>
      <c r="J983" s="2" t="s">
        <v>5</v>
      </c>
      <c r="K983" s="2" t="s">
        <v>5</v>
      </c>
      <c r="L983" s="2" t="s">
        <v>7</v>
      </c>
      <c r="N983" s="1" t="s">
        <v>11947</v>
      </c>
      <c r="O983" s="2" t="s">
        <v>228</v>
      </c>
      <c r="Q983" s="2" t="s">
        <v>11</v>
      </c>
      <c r="R983" s="2" t="s">
        <v>426</v>
      </c>
      <c r="S983" s="1" t="s">
        <v>6595</v>
      </c>
      <c r="T983" s="2" t="s">
        <v>520</v>
      </c>
      <c r="U983" s="3">
        <v>3</v>
      </c>
      <c r="V983" s="3">
        <v>3</v>
      </c>
      <c r="W983" s="4" t="s">
        <v>11948</v>
      </c>
      <c r="X983" s="4" t="s">
        <v>11948</v>
      </c>
      <c r="Y983" s="4" t="s">
        <v>96</v>
      </c>
      <c r="Z983" s="4" t="s">
        <v>96</v>
      </c>
      <c r="AA983" s="3">
        <v>161</v>
      </c>
      <c r="AB983" s="3">
        <v>123</v>
      </c>
      <c r="AC983" s="3">
        <v>125</v>
      </c>
      <c r="AD983" s="3">
        <v>2</v>
      </c>
      <c r="AE983" s="3">
        <v>2</v>
      </c>
      <c r="AF983" s="3">
        <v>4</v>
      </c>
      <c r="AG983" s="3">
        <v>4</v>
      </c>
      <c r="AH983" s="3">
        <v>1</v>
      </c>
      <c r="AI983" s="3">
        <v>1</v>
      </c>
      <c r="AJ983" s="3">
        <v>0</v>
      </c>
      <c r="AK983" s="3">
        <v>0</v>
      </c>
      <c r="AL983" s="3">
        <v>2</v>
      </c>
      <c r="AM983" s="3">
        <v>2</v>
      </c>
      <c r="AN983" s="3">
        <v>1</v>
      </c>
      <c r="AO983" s="3">
        <v>1</v>
      </c>
      <c r="AP983" s="3">
        <v>0</v>
      </c>
      <c r="AQ983" s="3">
        <v>0</v>
      </c>
      <c r="AR983" s="2" t="s">
        <v>5</v>
      </c>
      <c r="AS983" s="2" t="s">
        <v>16</v>
      </c>
      <c r="AT983" s="5" t="str">
        <f>HYPERLINK("http://catalog.hathitrust.org/Record/004447918","HathiTrust Record")</f>
        <v>HathiTrust Record</v>
      </c>
      <c r="AU983" s="5" t="str">
        <f>HYPERLINK("https://creighton-primo.hosted.exlibrisgroup.com/primo-explore/search?tab=default_tab&amp;search_scope=EVERYTHING&amp;vid=01CRU&amp;lang=en_US&amp;offset=0&amp;query=any,contains,991001087099702656","Catalog Record")</f>
        <v>Catalog Record</v>
      </c>
      <c r="AV983" s="5" t="str">
        <f>HYPERLINK("http://www.worldcat.org/oclc/7796946","WorldCat Record")</f>
        <v>WorldCat Record</v>
      </c>
      <c r="AW983" s="2" t="s">
        <v>11949</v>
      </c>
      <c r="AX983" s="2" t="s">
        <v>11950</v>
      </c>
      <c r="AY983" s="2" t="s">
        <v>11951</v>
      </c>
      <c r="AZ983" s="2" t="s">
        <v>11951</v>
      </c>
      <c r="BA983" s="2" t="s">
        <v>11952</v>
      </c>
      <c r="BB983" s="2" t="s">
        <v>21</v>
      </c>
      <c r="BD983" s="2" t="s">
        <v>11953</v>
      </c>
      <c r="BE983" s="2" t="s">
        <v>11954</v>
      </c>
      <c r="BF983" s="2" t="s">
        <v>11955</v>
      </c>
    </row>
    <row r="984" spans="1:58" ht="41.25" customHeight="1" x14ac:dyDescent="0.25">
      <c r="A984" s="8" t="s">
        <v>5</v>
      </c>
      <c r="B984" s="1" t="s">
        <v>0</v>
      </c>
      <c r="C984" s="1" t="s">
        <v>1</v>
      </c>
      <c r="D984" s="1" t="s">
        <v>11956</v>
      </c>
      <c r="E984" s="1" t="s">
        <v>11957</v>
      </c>
      <c r="F984" s="1" t="s">
        <v>11958</v>
      </c>
      <c r="H984" s="2" t="s">
        <v>5</v>
      </c>
      <c r="I984" s="2" t="s">
        <v>6</v>
      </c>
      <c r="J984" s="2" t="s">
        <v>5</v>
      </c>
      <c r="K984" s="2" t="s">
        <v>5</v>
      </c>
      <c r="L984" s="2" t="s">
        <v>7</v>
      </c>
      <c r="N984" s="1" t="s">
        <v>11959</v>
      </c>
      <c r="O984" s="2" t="s">
        <v>1246</v>
      </c>
      <c r="Q984" s="2" t="s">
        <v>11</v>
      </c>
      <c r="R984" s="2" t="s">
        <v>12</v>
      </c>
      <c r="T984" s="2" t="s">
        <v>520</v>
      </c>
      <c r="U984" s="3">
        <v>1</v>
      </c>
      <c r="V984" s="3">
        <v>1</v>
      </c>
      <c r="W984" s="4" t="s">
        <v>11960</v>
      </c>
      <c r="X984" s="4" t="s">
        <v>11960</v>
      </c>
      <c r="Y984" s="4" t="s">
        <v>80</v>
      </c>
      <c r="Z984" s="4" t="s">
        <v>80</v>
      </c>
      <c r="AA984" s="3">
        <v>320</v>
      </c>
      <c r="AB984" s="3">
        <v>272</v>
      </c>
      <c r="AC984" s="3">
        <v>274</v>
      </c>
      <c r="AD984" s="3">
        <v>2</v>
      </c>
      <c r="AE984" s="3">
        <v>2</v>
      </c>
      <c r="AF984" s="3">
        <v>12</v>
      </c>
      <c r="AG984" s="3">
        <v>12</v>
      </c>
      <c r="AH984" s="3">
        <v>6</v>
      </c>
      <c r="AI984" s="3">
        <v>6</v>
      </c>
      <c r="AJ984" s="3">
        <v>2</v>
      </c>
      <c r="AK984" s="3">
        <v>2</v>
      </c>
      <c r="AL984" s="3">
        <v>7</v>
      </c>
      <c r="AM984" s="3">
        <v>7</v>
      </c>
      <c r="AN984" s="3">
        <v>1</v>
      </c>
      <c r="AO984" s="3">
        <v>1</v>
      </c>
      <c r="AP984" s="3">
        <v>0</v>
      </c>
      <c r="AQ984" s="3">
        <v>0</v>
      </c>
      <c r="AR984" s="2" t="s">
        <v>5</v>
      </c>
      <c r="AS984" s="2" t="s">
        <v>16</v>
      </c>
      <c r="AT984" s="5" t="str">
        <f>HYPERLINK("http://catalog.hathitrust.org/Record/001579434","HathiTrust Record")</f>
        <v>HathiTrust Record</v>
      </c>
      <c r="AU984" s="5" t="str">
        <f>HYPERLINK("https://creighton-primo.hosted.exlibrisgroup.com/primo-explore/search?tab=default_tab&amp;search_scope=EVERYTHING&amp;vid=01CRU&amp;lang=en_US&amp;offset=0&amp;query=any,contains,991001148339702656","Catalog Record")</f>
        <v>Catalog Record</v>
      </c>
      <c r="AV984" s="5" t="str">
        <f>HYPERLINK("http://www.worldcat.org/oclc/632012","WorldCat Record")</f>
        <v>WorldCat Record</v>
      </c>
      <c r="AW984" s="2" t="s">
        <v>11961</v>
      </c>
      <c r="AX984" s="2" t="s">
        <v>11962</v>
      </c>
      <c r="AY984" s="2" t="s">
        <v>11963</v>
      </c>
      <c r="AZ984" s="2" t="s">
        <v>11963</v>
      </c>
      <c r="BA984" s="2" t="s">
        <v>11964</v>
      </c>
      <c r="BB984" s="2" t="s">
        <v>21</v>
      </c>
      <c r="BE984" s="2" t="s">
        <v>11965</v>
      </c>
      <c r="BF984" s="2" t="s">
        <v>11966</v>
      </c>
    </row>
    <row r="985" spans="1:58" ht="41.25" customHeight="1" x14ac:dyDescent="0.25">
      <c r="A985" s="8" t="s">
        <v>5</v>
      </c>
      <c r="B985" s="1" t="s">
        <v>0</v>
      </c>
      <c r="C985" s="1" t="s">
        <v>1</v>
      </c>
      <c r="D985" s="1" t="s">
        <v>11967</v>
      </c>
      <c r="E985" s="1" t="s">
        <v>11968</v>
      </c>
      <c r="F985" s="1" t="s">
        <v>11969</v>
      </c>
      <c r="H985" s="2" t="s">
        <v>5</v>
      </c>
      <c r="I985" s="2" t="s">
        <v>6</v>
      </c>
      <c r="J985" s="2" t="s">
        <v>5</v>
      </c>
      <c r="K985" s="2" t="s">
        <v>5</v>
      </c>
      <c r="L985" s="2" t="s">
        <v>7</v>
      </c>
      <c r="M985" s="1" t="s">
        <v>11970</v>
      </c>
      <c r="N985" s="1" t="s">
        <v>11971</v>
      </c>
      <c r="O985" s="2" t="s">
        <v>794</v>
      </c>
      <c r="Q985" s="2" t="s">
        <v>11</v>
      </c>
      <c r="R985" s="2" t="s">
        <v>426</v>
      </c>
      <c r="T985" s="2" t="s">
        <v>520</v>
      </c>
      <c r="U985" s="3">
        <v>7</v>
      </c>
      <c r="V985" s="3">
        <v>7</v>
      </c>
      <c r="W985" s="4" t="s">
        <v>11972</v>
      </c>
      <c r="X985" s="4" t="s">
        <v>11972</v>
      </c>
      <c r="Y985" s="4" t="s">
        <v>11973</v>
      </c>
      <c r="Z985" s="4" t="s">
        <v>11973</v>
      </c>
      <c r="AA985" s="3">
        <v>45</v>
      </c>
      <c r="AB985" s="3">
        <v>33</v>
      </c>
      <c r="AC985" s="3">
        <v>281</v>
      </c>
      <c r="AD985" s="3">
        <v>1</v>
      </c>
      <c r="AE985" s="3">
        <v>3</v>
      </c>
      <c r="AF985" s="3">
        <v>0</v>
      </c>
      <c r="AG985" s="3">
        <v>13</v>
      </c>
      <c r="AH985" s="3">
        <v>0</v>
      </c>
      <c r="AI985" s="3">
        <v>5</v>
      </c>
      <c r="AJ985" s="3">
        <v>0</v>
      </c>
      <c r="AK985" s="3">
        <v>2</v>
      </c>
      <c r="AL985" s="3">
        <v>0</v>
      </c>
      <c r="AM985" s="3">
        <v>9</v>
      </c>
      <c r="AN985" s="3">
        <v>0</v>
      </c>
      <c r="AO985" s="3">
        <v>2</v>
      </c>
      <c r="AP985" s="3">
        <v>0</v>
      </c>
      <c r="AQ985" s="3">
        <v>0</v>
      </c>
      <c r="AR985" s="2" t="s">
        <v>5</v>
      </c>
      <c r="AS985" s="2" t="s">
        <v>5</v>
      </c>
      <c r="AU985" s="5" t="str">
        <f>HYPERLINK("https://creighton-primo.hosted.exlibrisgroup.com/primo-explore/search?tab=default_tab&amp;search_scope=EVERYTHING&amp;vid=01CRU&amp;lang=en_US&amp;offset=0&amp;query=any,contains,991000855219702656","Catalog Record")</f>
        <v>Catalog Record</v>
      </c>
      <c r="AV985" s="5" t="str">
        <f>HYPERLINK("http://www.worldcat.org/oclc/35716888","WorldCat Record")</f>
        <v>WorldCat Record</v>
      </c>
      <c r="AW985" s="2" t="s">
        <v>11974</v>
      </c>
      <c r="AX985" s="2" t="s">
        <v>11975</v>
      </c>
      <c r="AY985" s="2" t="s">
        <v>11976</v>
      </c>
      <c r="AZ985" s="2" t="s">
        <v>11976</v>
      </c>
      <c r="BA985" s="2" t="s">
        <v>11977</v>
      </c>
      <c r="BB985" s="2" t="s">
        <v>21</v>
      </c>
      <c r="BD985" s="2" t="s">
        <v>11978</v>
      </c>
      <c r="BE985" s="2" t="s">
        <v>11979</v>
      </c>
      <c r="BF985" s="2" t="s">
        <v>11980</v>
      </c>
    </row>
    <row r="986" spans="1:58" ht="41.25" customHeight="1" x14ac:dyDescent="0.25">
      <c r="A986" s="8" t="s">
        <v>5</v>
      </c>
      <c r="B986" s="1" t="s">
        <v>0</v>
      </c>
      <c r="C986" s="1" t="s">
        <v>1</v>
      </c>
      <c r="D986" s="1" t="s">
        <v>11981</v>
      </c>
      <c r="E986" s="1" t="s">
        <v>11982</v>
      </c>
      <c r="F986" s="1" t="s">
        <v>11983</v>
      </c>
      <c r="H986" s="2" t="s">
        <v>5</v>
      </c>
      <c r="I986" s="2" t="s">
        <v>6</v>
      </c>
      <c r="J986" s="2" t="s">
        <v>5</v>
      </c>
      <c r="K986" s="2" t="s">
        <v>5</v>
      </c>
      <c r="L986" s="2" t="s">
        <v>7</v>
      </c>
      <c r="M986" s="1" t="s">
        <v>11984</v>
      </c>
      <c r="N986" s="1" t="s">
        <v>11985</v>
      </c>
      <c r="O986" s="2" t="s">
        <v>872</v>
      </c>
      <c r="Q986" s="2" t="s">
        <v>11</v>
      </c>
      <c r="R986" s="2" t="s">
        <v>426</v>
      </c>
      <c r="T986" s="2" t="s">
        <v>520</v>
      </c>
      <c r="U986" s="3">
        <v>23</v>
      </c>
      <c r="V986" s="3">
        <v>23</v>
      </c>
      <c r="W986" s="4" t="s">
        <v>976</v>
      </c>
      <c r="X986" s="4" t="s">
        <v>976</v>
      </c>
      <c r="Y986" s="4" t="s">
        <v>10845</v>
      </c>
      <c r="Z986" s="4" t="s">
        <v>10845</v>
      </c>
      <c r="AA986" s="3">
        <v>211</v>
      </c>
      <c r="AB986" s="3">
        <v>174</v>
      </c>
      <c r="AC986" s="3">
        <v>181</v>
      </c>
      <c r="AD986" s="3">
        <v>2</v>
      </c>
      <c r="AE986" s="3">
        <v>2</v>
      </c>
      <c r="AF986" s="3">
        <v>7</v>
      </c>
      <c r="AG986" s="3">
        <v>7</v>
      </c>
      <c r="AH986" s="3">
        <v>3</v>
      </c>
      <c r="AI986" s="3">
        <v>3</v>
      </c>
      <c r="AJ986" s="3">
        <v>1</v>
      </c>
      <c r="AK986" s="3">
        <v>1</v>
      </c>
      <c r="AL986" s="3">
        <v>5</v>
      </c>
      <c r="AM986" s="3">
        <v>5</v>
      </c>
      <c r="AN986" s="3">
        <v>1</v>
      </c>
      <c r="AO986" s="3">
        <v>1</v>
      </c>
      <c r="AP986" s="3">
        <v>0</v>
      </c>
      <c r="AQ986" s="3">
        <v>0</v>
      </c>
      <c r="AR986" s="2" t="s">
        <v>5</v>
      </c>
      <c r="AS986" s="2" t="s">
        <v>16</v>
      </c>
      <c r="AT986" s="5" t="str">
        <f>HYPERLINK("http://catalog.hathitrust.org/Record/001539874","HathiTrust Record")</f>
        <v>HathiTrust Record</v>
      </c>
      <c r="AU986" s="5" t="str">
        <f>HYPERLINK("https://creighton-primo.hosted.exlibrisgroup.com/primo-explore/search?tab=default_tab&amp;search_scope=EVERYTHING&amp;vid=01CRU&amp;lang=en_US&amp;offset=0&amp;query=any,contains,991001242879702656","Catalog Record")</f>
        <v>Catalog Record</v>
      </c>
      <c r="AV986" s="5" t="str">
        <f>HYPERLINK("http://www.worldcat.org/oclc/19266643","WorldCat Record")</f>
        <v>WorldCat Record</v>
      </c>
      <c r="AW986" s="2" t="s">
        <v>11986</v>
      </c>
      <c r="AX986" s="2" t="s">
        <v>11987</v>
      </c>
      <c r="AY986" s="2" t="s">
        <v>11988</v>
      </c>
      <c r="AZ986" s="2" t="s">
        <v>11988</v>
      </c>
      <c r="BA986" s="2" t="s">
        <v>11989</v>
      </c>
      <c r="BB986" s="2" t="s">
        <v>21</v>
      </c>
      <c r="BD986" s="2" t="s">
        <v>11990</v>
      </c>
      <c r="BE986" s="2" t="s">
        <v>11991</v>
      </c>
      <c r="BF986" s="2" t="s">
        <v>11992</v>
      </c>
    </row>
    <row r="987" spans="1:58" ht="41.25" customHeight="1" x14ac:dyDescent="0.25">
      <c r="A987" s="8" t="s">
        <v>5</v>
      </c>
      <c r="B987" s="1" t="s">
        <v>0</v>
      </c>
      <c r="C987" s="1" t="s">
        <v>1</v>
      </c>
      <c r="D987" s="1" t="s">
        <v>11993</v>
      </c>
      <c r="E987" s="1" t="s">
        <v>11994</v>
      </c>
      <c r="F987" s="1" t="s">
        <v>11995</v>
      </c>
      <c r="H987" s="2" t="s">
        <v>5</v>
      </c>
      <c r="I987" s="2" t="s">
        <v>6</v>
      </c>
      <c r="J987" s="2" t="s">
        <v>5</v>
      </c>
      <c r="K987" s="2" t="s">
        <v>5</v>
      </c>
      <c r="L987" s="2" t="s">
        <v>7</v>
      </c>
      <c r="N987" s="1" t="s">
        <v>11771</v>
      </c>
      <c r="O987" s="2" t="s">
        <v>794</v>
      </c>
      <c r="Q987" s="2" t="s">
        <v>11</v>
      </c>
      <c r="R987" s="2" t="s">
        <v>31</v>
      </c>
      <c r="T987" s="2" t="s">
        <v>520</v>
      </c>
      <c r="U987" s="3">
        <v>4</v>
      </c>
      <c r="V987" s="3">
        <v>4</v>
      </c>
      <c r="W987" s="4" t="s">
        <v>11996</v>
      </c>
      <c r="X987" s="4" t="s">
        <v>11996</v>
      </c>
      <c r="Y987" s="4" t="s">
        <v>1744</v>
      </c>
      <c r="Z987" s="4" t="s">
        <v>1744</v>
      </c>
      <c r="AA987" s="3">
        <v>332</v>
      </c>
      <c r="AB987" s="3">
        <v>288</v>
      </c>
      <c r="AC987" s="3">
        <v>296</v>
      </c>
      <c r="AD987" s="3">
        <v>3</v>
      </c>
      <c r="AE987" s="3">
        <v>3</v>
      </c>
      <c r="AF987" s="3">
        <v>18</v>
      </c>
      <c r="AG987" s="3">
        <v>18</v>
      </c>
      <c r="AH987" s="3">
        <v>7</v>
      </c>
      <c r="AI987" s="3">
        <v>7</v>
      </c>
      <c r="AJ987" s="3">
        <v>2</v>
      </c>
      <c r="AK987" s="3">
        <v>2</v>
      </c>
      <c r="AL987" s="3">
        <v>10</v>
      </c>
      <c r="AM987" s="3">
        <v>10</v>
      </c>
      <c r="AN987" s="3">
        <v>2</v>
      </c>
      <c r="AO987" s="3">
        <v>2</v>
      </c>
      <c r="AP987" s="3">
        <v>0</v>
      </c>
      <c r="AQ987" s="3">
        <v>0</v>
      </c>
      <c r="AR987" s="2" t="s">
        <v>5</v>
      </c>
      <c r="AS987" s="2" t="s">
        <v>16</v>
      </c>
      <c r="AT987" s="5" t="str">
        <f>HYPERLINK("http://catalog.hathitrust.org/Record/003024720","HathiTrust Record")</f>
        <v>HathiTrust Record</v>
      </c>
      <c r="AU987" s="5" t="str">
        <f>HYPERLINK("https://creighton-primo.hosted.exlibrisgroup.com/primo-explore/search?tab=default_tab&amp;search_scope=EVERYTHING&amp;vid=01CRU&amp;lang=en_US&amp;offset=0&amp;query=any,contains,991001557889702656","Catalog Record")</f>
        <v>Catalog Record</v>
      </c>
      <c r="AV987" s="5" t="str">
        <f>HYPERLINK("http://www.worldcat.org/oclc/33161836","WorldCat Record")</f>
        <v>WorldCat Record</v>
      </c>
      <c r="AW987" s="2" t="s">
        <v>11997</v>
      </c>
      <c r="AX987" s="2" t="s">
        <v>11998</v>
      </c>
      <c r="AY987" s="2" t="s">
        <v>11999</v>
      </c>
      <c r="AZ987" s="2" t="s">
        <v>11999</v>
      </c>
      <c r="BA987" s="2" t="s">
        <v>12000</v>
      </c>
      <c r="BB987" s="2" t="s">
        <v>21</v>
      </c>
      <c r="BD987" s="2" t="s">
        <v>12001</v>
      </c>
      <c r="BE987" s="2" t="s">
        <v>12002</v>
      </c>
      <c r="BF987" s="2" t="s">
        <v>12003</v>
      </c>
    </row>
    <row r="988" spans="1:58" ht="41.25" customHeight="1" x14ac:dyDescent="0.25">
      <c r="A988" s="8" t="s">
        <v>5</v>
      </c>
      <c r="B988" s="1" t="s">
        <v>0</v>
      </c>
      <c r="C988" s="1" t="s">
        <v>1</v>
      </c>
      <c r="D988" s="1" t="s">
        <v>12004</v>
      </c>
      <c r="E988" s="1" t="s">
        <v>12005</v>
      </c>
      <c r="F988" s="1" t="s">
        <v>12006</v>
      </c>
      <c r="H988" s="2" t="s">
        <v>5</v>
      </c>
      <c r="I988" s="2" t="s">
        <v>6</v>
      </c>
      <c r="J988" s="2" t="s">
        <v>5</v>
      </c>
      <c r="K988" s="2" t="s">
        <v>5</v>
      </c>
      <c r="L988" s="2" t="s">
        <v>7</v>
      </c>
      <c r="N988" s="1" t="s">
        <v>12007</v>
      </c>
      <c r="O988" s="2" t="s">
        <v>1391</v>
      </c>
      <c r="Q988" s="2" t="s">
        <v>11</v>
      </c>
      <c r="R988" s="2" t="s">
        <v>10216</v>
      </c>
      <c r="T988" s="2" t="s">
        <v>520</v>
      </c>
      <c r="U988" s="3">
        <v>1</v>
      </c>
      <c r="V988" s="3">
        <v>1</v>
      </c>
      <c r="W988" s="4" t="s">
        <v>12008</v>
      </c>
      <c r="X988" s="4" t="s">
        <v>12008</v>
      </c>
      <c r="Y988" s="4" t="s">
        <v>12008</v>
      </c>
      <c r="Z988" s="4" t="s">
        <v>12008</v>
      </c>
      <c r="AA988" s="3">
        <v>197</v>
      </c>
      <c r="AB988" s="3">
        <v>140</v>
      </c>
      <c r="AC988" s="3">
        <v>244</v>
      </c>
      <c r="AD988" s="3">
        <v>2</v>
      </c>
      <c r="AE988" s="3">
        <v>2</v>
      </c>
      <c r="AF988" s="3">
        <v>3</v>
      </c>
      <c r="AG988" s="3">
        <v>7</v>
      </c>
      <c r="AH988" s="3">
        <v>1</v>
      </c>
      <c r="AI988" s="3">
        <v>1</v>
      </c>
      <c r="AJ988" s="3">
        <v>0</v>
      </c>
      <c r="AK988" s="3">
        <v>3</v>
      </c>
      <c r="AL988" s="3">
        <v>2</v>
      </c>
      <c r="AM988" s="3">
        <v>4</v>
      </c>
      <c r="AN988" s="3">
        <v>0</v>
      </c>
      <c r="AO988" s="3">
        <v>0</v>
      </c>
      <c r="AP988" s="3">
        <v>0</v>
      </c>
      <c r="AQ988" s="3">
        <v>0</v>
      </c>
      <c r="AR988" s="2" t="s">
        <v>5</v>
      </c>
      <c r="AS988" s="2" t="s">
        <v>5</v>
      </c>
      <c r="AU988" s="5" t="str">
        <f>HYPERLINK("https://creighton-primo.hosted.exlibrisgroup.com/primo-explore/search?tab=default_tab&amp;search_scope=EVERYTHING&amp;vid=01CRU&amp;lang=en_US&amp;offset=0&amp;query=any,contains,991001746419702656","Catalog Record")</f>
        <v>Catalog Record</v>
      </c>
      <c r="AV988" s="5" t="str">
        <f>HYPERLINK("http://www.worldcat.org/oclc/52766354","WorldCat Record")</f>
        <v>WorldCat Record</v>
      </c>
      <c r="AW988" s="2" t="s">
        <v>12009</v>
      </c>
      <c r="AX988" s="2" t="s">
        <v>12010</v>
      </c>
      <c r="AY988" s="2" t="s">
        <v>12011</v>
      </c>
      <c r="AZ988" s="2" t="s">
        <v>12011</v>
      </c>
      <c r="BA988" s="2" t="s">
        <v>12012</v>
      </c>
      <c r="BB988" s="2" t="s">
        <v>21</v>
      </c>
      <c r="BD988" s="2" t="s">
        <v>12013</v>
      </c>
      <c r="BE988" s="2" t="s">
        <v>12014</v>
      </c>
      <c r="BF988" s="2" t="s">
        <v>12015</v>
      </c>
    </row>
    <row r="989" spans="1:58" ht="41.25" customHeight="1" x14ac:dyDescent="0.25">
      <c r="A989" s="8" t="s">
        <v>5</v>
      </c>
      <c r="B989" s="1" t="s">
        <v>0</v>
      </c>
      <c r="C989" s="1" t="s">
        <v>1</v>
      </c>
      <c r="D989" s="1" t="s">
        <v>12016</v>
      </c>
      <c r="E989" s="1" t="s">
        <v>12017</v>
      </c>
      <c r="F989" s="1" t="s">
        <v>12018</v>
      </c>
      <c r="H989" s="2" t="s">
        <v>5</v>
      </c>
      <c r="I989" s="2" t="s">
        <v>6</v>
      </c>
      <c r="J989" s="2" t="s">
        <v>5</v>
      </c>
      <c r="K989" s="2" t="s">
        <v>16</v>
      </c>
      <c r="L989" s="2" t="s">
        <v>7</v>
      </c>
      <c r="M989" s="1" t="s">
        <v>11089</v>
      </c>
      <c r="N989" s="1" t="s">
        <v>9554</v>
      </c>
      <c r="O989" s="2" t="s">
        <v>1391</v>
      </c>
      <c r="P989" s="1" t="s">
        <v>901</v>
      </c>
      <c r="Q989" s="2" t="s">
        <v>11</v>
      </c>
      <c r="R989" s="2" t="s">
        <v>31</v>
      </c>
      <c r="T989" s="2" t="s">
        <v>520</v>
      </c>
      <c r="U989" s="3">
        <v>1</v>
      </c>
      <c r="V989" s="3">
        <v>1</v>
      </c>
      <c r="W989" s="4" t="s">
        <v>12019</v>
      </c>
      <c r="X989" s="4" t="s">
        <v>12019</v>
      </c>
      <c r="Y989" s="4" t="s">
        <v>12020</v>
      </c>
      <c r="Z989" s="4" t="s">
        <v>12020</v>
      </c>
      <c r="AA989" s="3">
        <v>233</v>
      </c>
      <c r="AB989" s="3">
        <v>158</v>
      </c>
      <c r="AC989" s="3">
        <v>721</v>
      </c>
      <c r="AD989" s="3">
        <v>2</v>
      </c>
      <c r="AE989" s="3">
        <v>5</v>
      </c>
      <c r="AF989" s="3">
        <v>7</v>
      </c>
      <c r="AG989" s="3">
        <v>19</v>
      </c>
      <c r="AH989" s="3">
        <v>3</v>
      </c>
      <c r="AI989" s="3">
        <v>6</v>
      </c>
      <c r="AJ989" s="3">
        <v>0</v>
      </c>
      <c r="AK989" s="3">
        <v>3</v>
      </c>
      <c r="AL989" s="3">
        <v>4</v>
      </c>
      <c r="AM989" s="3">
        <v>10</v>
      </c>
      <c r="AN989" s="3">
        <v>1</v>
      </c>
      <c r="AO989" s="3">
        <v>3</v>
      </c>
      <c r="AP989" s="3">
        <v>0</v>
      </c>
      <c r="AQ989" s="3">
        <v>0</v>
      </c>
      <c r="AR989" s="2" t="s">
        <v>5</v>
      </c>
      <c r="AS989" s="2" t="s">
        <v>16</v>
      </c>
      <c r="AT989" s="5" t="str">
        <f>HYPERLINK("http://catalog.hathitrust.org/Record/004337896","HathiTrust Record")</f>
        <v>HathiTrust Record</v>
      </c>
      <c r="AU989" s="5" t="str">
        <f>HYPERLINK("https://creighton-primo.hosted.exlibrisgroup.com/primo-explore/search?tab=default_tab&amp;search_scope=EVERYTHING&amp;vid=01CRU&amp;lang=en_US&amp;offset=0&amp;query=any,contains,991000458699702656","Catalog Record")</f>
        <v>Catalog Record</v>
      </c>
      <c r="AV989" s="5" t="str">
        <f>HYPERLINK("http://www.worldcat.org/oclc/52800871","WorldCat Record")</f>
        <v>WorldCat Record</v>
      </c>
      <c r="AW989" s="2" t="s">
        <v>11091</v>
      </c>
      <c r="AX989" s="2" t="s">
        <v>12021</v>
      </c>
      <c r="AY989" s="2" t="s">
        <v>12022</v>
      </c>
      <c r="AZ989" s="2" t="s">
        <v>12022</v>
      </c>
      <c r="BA989" s="2" t="s">
        <v>12023</v>
      </c>
      <c r="BB989" s="2" t="s">
        <v>21</v>
      </c>
      <c r="BD989" s="2" t="s">
        <v>12024</v>
      </c>
      <c r="BE989" s="2" t="s">
        <v>12025</v>
      </c>
      <c r="BF989" s="2" t="s">
        <v>12026</v>
      </c>
    </row>
    <row r="990" spans="1:58" ht="41.25" customHeight="1" x14ac:dyDescent="0.25">
      <c r="A990" s="8" t="s">
        <v>5</v>
      </c>
      <c r="B990" s="1" t="s">
        <v>0</v>
      </c>
      <c r="C990" s="1" t="s">
        <v>1</v>
      </c>
      <c r="D990" s="1" t="s">
        <v>12027</v>
      </c>
      <c r="E990" s="1" t="s">
        <v>12028</v>
      </c>
      <c r="F990" s="1" t="s">
        <v>12029</v>
      </c>
      <c r="H990" s="2" t="s">
        <v>5</v>
      </c>
      <c r="I990" s="2" t="s">
        <v>6</v>
      </c>
      <c r="J990" s="2" t="s">
        <v>5</v>
      </c>
      <c r="K990" s="2" t="s">
        <v>16</v>
      </c>
      <c r="L990" s="2" t="s">
        <v>7</v>
      </c>
      <c r="N990" s="1" t="s">
        <v>7801</v>
      </c>
      <c r="O990" s="2" t="s">
        <v>1195</v>
      </c>
      <c r="P990" s="1" t="s">
        <v>211</v>
      </c>
      <c r="Q990" s="2" t="s">
        <v>11</v>
      </c>
      <c r="R990" s="2" t="s">
        <v>31</v>
      </c>
      <c r="T990" s="2" t="s">
        <v>520</v>
      </c>
      <c r="U990" s="3">
        <v>1</v>
      </c>
      <c r="V990" s="3">
        <v>1</v>
      </c>
      <c r="W990" s="4" t="s">
        <v>12030</v>
      </c>
      <c r="X990" s="4" t="s">
        <v>12030</v>
      </c>
      <c r="Y990" s="4" t="s">
        <v>5117</v>
      </c>
      <c r="Z990" s="4" t="s">
        <v>5117</v>
      </c>
      <c r="AA990" s="3">
        <v>251</v>
      </c>
      <c r="AB990" s="3">
        <v>213</v>
      </c>
      <c r="AC990" s="3">
        <v>672</v>
      </c>
      <c r="AD990" s="3">
        <v>3</v>
      </c>
      <c r="AE990" s="3">
        <v>7</v>
      </c>
      <c r="AF990" s="3">
        <v>13</v>
      </c>
      <c r="AG990" s="3">
        <v>31</v>
      </c>
      <c r="AH990" s="3">
        <v>6</v>
      </c>
      <c r="AI990" s="3">
        <v>10</v>
      </c>
      <c r="AJ990" s="3">
        <v>0</v>
      </c>
      <c r="AK990" s="3">
        <v>6</v>
      </c>
      <c r="AL990" s="3">
        <v>6</v>
      </c>
      <c r="AM990" s="3">
        <v>15</v>
      </c>
      <c r="AN990" s="3">
        <v>2</v>
      </c>
      <c r="AO990" s="3">
        <v>6</v>
      </c>
      <c r="AP990" s="3">
        <v>0</v>
      </c>
      <c r="AQ990" s="3">
        <v>0</v>
      </c>
      <c r="AR990" s="2" t="s">
        <v>5</v>
      </c>
      <c r="AS990" s="2" t="s">
        <v>16</v>
      </c>
      <c r="AT990" s="5" t="str">
        <f>HYPERLINK("http://catalog.hathitrust.org/Record/003449443","HathiTrust Record")</f>
        <v>HathiTrust Record</v>
      </c>
      <c r="AU990" s="5" t="str">
        <f>HYPERLINK("https://creighton-primo.hosted.exlibrisgroup.com/primo-explore/search?tab=default_tab&amp;search_scope=EVERYTHING&amp;vid=01CRU&amp;lang=en_US&amp;offset=0&amp;query=any,contains,991000319179702656","Catalog Record")</f>
        <v>Catalog Record</v>
      </c>
      <c r="AV990" s="5" t="str">
        <f>HYPERLINK("http://www.worldcat.org/oclc/41945021","WorldCat Record")</f>
        <v>WorldCat Record</v>
      </c>
      <c r="AW990" s="2" t="s">
        <v>12031</v>
      </c>
      <c r="AX990" s="2" t="s">
        <v>12032</v>
      </c>
      <c r="AY990" s="2" t="s">
        <v>12033</v>
      </c>
      <c r="AZ990" s="2" t="s">
        <v>12033</v>
      </c>
      <c r="BA990" s="2" t="s">
        <v>12034</v>
      </c>
      <c r="BB990" s="2" t="s">
        <v>21</v>
      </c>
      <c r="BD990" s="2" t="s">
        <v>12035</v>
      </c>
      <c r="BE990" s="2" t="s">
        <v>12036</v>
      </c>
      <c r="BF990" s="2" t="s">
        <v>12037</v>
      </c>
    </row>
    <row r="991" spans="1:58" ht="41.25" customHeight="1" x14ac:dyDescent="0.25">
      <c r="A991" s="8" t="s">
        <v>5</v>
      </c>
      <c r="B991" s="1" t="s">
        <v>0</v>
      </c>
      <c r="C991" s="1" t="s">
        <v>1</v>
      </c>
      <c r="D991" s="1" t="s">
        <v>12038</v>
      </c>
      <c r="E991" s="1" t="s">
        <v>12039</v>
      </c>
      <c r="F991" s="1" t="s">
        <v>12040</v>
      </c>
      <c r="H991" s="2" t="s">
        <v>5</v>
      </c>
      <c r="I991" s="2" t="s">
        <v>6</v>
      </c>
      <c r="J991" s="2" t="s">
        <v>5</v>
      </c>
      <c r="K991" s="2" t="s">
        <v>5</v>
      </c>
      <c r="L991" s="2" t="s">
        <v>7</v>
      </c>
      <c r="N991" s="1" t="s">
        <v>12041</v>
      </c>
      <c r="O991" s="2" t="s">
        <v>794</v>
      </c>
      <c r="P991" s="1" t="s">
        <v>211</v>
      </c>
      <c r="Q991" s="2" t="s">
        <v>11</v>
      </c>
      <c r="R991" s="2" t="s">
        <v>78</v>
      </c>
      <c r="T991" s="2" t="s">
        <v>520</v>
      </c>
      <c r="U991" s="3">
        <v>4</v>
      </c>
      <c r="V991" s="3">
        <v>4</v>
      </c>
      <c r="W991" s="4" t="s">
        <v>4093</v>
      </c>
      <c r="X991" s="4" t="s">
        <v>4093</v>
      </c>
      <c r="Y991" s="4" t="s">
        <v>10557</v>
      </c>
      <c r="Z991" s="4" t="s">
        <v>10557</v>
      </c>
      <c r="AA991" s="3">
        <v>326</v>
      </c>
      <c r="AB991" s="3">
        <v>241</v>
      </c>
      <c r="AC991" s="3">
        <v>342</v>
      </c>
      <c r="AD991" s="3">
        <v>2</v>
      </c>
      <c r="AE991" s="3">
        <v>3</v>
      </c>
      <c r="AF991" s="3">
        <v>13</v>
      </c>
      <c r="AG991" s="3">
        <v>15</v>
      </c>
      <c r="AH991" s="3">
        <v>5</v>
      </c>
      <c r="AI991" s="3">
        <v>6</v>
      </c>
      <c r="AJ991" s="3">
        <v>2</v>
      </c>
      <c r="AK991" s="3">
        <v>3</v>
      </c>
      <c r="AL991" s="3">
        <v>8</v>
      </c>
      <c r="AM991" s="3">
        <v>9</v>
      </c>
      <c r="AN991" s="3">
        <v>1</v>
      </c>
      <c r="AO991" s="3">
        <v>1</v>
      </c>
      <c r="AP991" s="3">
        <v>0</v>
      </c>
      <c r="AQ991" s="3">
        <v>0</v>
      </c>
      <c r="AR991" s="2" t="s">
        <v>5</v>
      </c>
      <c r="AS991" s="2" t="s">
        <v>16</v>
      </c>
      <c r="AT991" s="5" t="str">
        <f>HYPERLINK("http://catalog.hathitrust.org/Record/003036241","HathiTrust Record")</f>
        <v>HathiTrust Record</v>
      </c>
      <c r="AU991" s="5" t="str">
        <f>HYPERLINK("https://creighton-primo.hosted.exlibrisgroup.com/primo-explore/search?tab=default_tab&amp;search_scope=EVERYTHING&amp;vid=01CRU&amp;lang=en_US&amp;offset=0&amp;query=any,contains,991000835709702656","Catalog Record")</f>
        <v>Catalog Record</v>
      </c>
      <c r="AV991" s="5" t="str">
        <f>HYPERLINK("http://www.worldcat.org/oclc/32589515","WorldCat Record")</f>
        <v>WorldCat Record</v>
      </c>
      <c r="AW991" s="2" t="s">
        <v>12042</v>
      </c>
      <c r="AX991" s="2" t="s">
        <v>12043</v>
      </c>
      <c r="AY991" s="2" t="s">
        <v>12044</v>
      </c>
      <c r="AZ991" s="2" t="s">
        <v>12044</v>
      </c>
      <c r="BA991" s="2" t="s">
        <v>12045</v>
      </c>
      <c r="BB991" s="2" t="s">
        <v>21</v>
      </c>
      <c r="BD991" s="2" t="s">
        <v>12046</v>
      </c>
      <c r="BE991" s="2" t="s">
        <v>12047</v>
      </c>
      <c r="BF991" s="2" t="s">
        <v>12048</v>
      </c>
    </row>
    <row r="992" spans="1:58" ht="41.25" customHeight="1" x14ac:dyDescent="0.25">
      <c r="A992" s="8" t="s">
        <v>5</v>
      </c>
      <c r="B992" s="1" t="s">
        <v>0</v>
      </c>
      <c r="C992" s="1" t="s">
        <v>1</v>
      </c>
      <c r="D992" s="1" t="s">
        <v>12049</v>
      </c>
      <c r="E992" s="1" t="s">
        <v>12050</v>
      </c>
      <c r="F992" s="1" t="s">
        <v>12051</v>
      </c>
      <c r="H992" s="2" t="s">
        <v>5</v>
      </c>
      <c r="I992" s="2" t="s">
        <v>6</v>
      </c>
      <c r="J992" s="2" t="s">
        <v>5</v>
      </c>
      <c r="K992" s="2" t="s">
        <v>5</v>
      </c>
      <c r="L992" s="2" t="s">
        <v>7</v>
      </c>
      <c r="N992" s="1" t="s">
        <v>10726</v>
      </c>
      <c r="O992" s="2" t="s">
        <v>1339</v>
      </c>
      <c r="Q992" s="2" t="s">
        <v>11</v>
      </c>
      <c r="R992" s="2" t="s">
        <v>426</v>
      </c>
      <c r="T992" s="2" t="s">
        <v>520</v>
      </c>
      <c r="U992" s="3">
        <v>9</v>
      </c>
      <c r="V992" s="3">
        <v>9</v>
      </c>
      <c r="W992" s="4" t="s">
        <v>12052</v>
      </c>
      <c r="X992" s="4" t="s">
        <v>12052</v>
      </c>
      <c r="Y992" s="4" t="s">
        <v>2970</v>
      </c>
      <c r="Z992" s="4" t="s">
        <v>2970</v>
      </c>
      <c r="AA992" s="3">
        <v>178</v>
      </c>
      <c r="AB992" s="3">
        <v>130</v>
      </c>
      <c r="AC992" s="3">
        <v>132</v>
      </c>
      <c r="AD992" s="3">
        <v>1</v>
      </c>
      <c r="AE992" s="3">
        <v>1</v>
      </c>
      <c r="AF992" s="3">
        <v>3</v>
      </c>
      <c r="AG992" s="3">
        <v>3</v>
      </c>
      <c r="AH992" s="3">
        <v>1</v>
      </c>
      <c r="AI992" s="3">
        <v>1</v>
      </c>
      <c r="AJ992" s="3">
        <v>0</v>
      </c>
      <c r="AK992" s="3">
        <v>0</v>
      </c>
      <c r="AL992" s="3">
        <v>3</v>
      </c>
      <c r="AM992" s="3">
        <v>3</v>
      </c>
      <c r="AN992" s="3">
        <v>0</v>
      </c>
      <c r="AO992" s="3">
        <v>0</v>
      </c>
      <c r="AP992" s="3">
        <v>0</v>
      </c>
      <c r="AQ992" s="3">
        <v>0</v>
      </c>
      <c r="AR992" s="2" t="s">
        <v>5</v>
      </c>
      <c r="AS992" s="2" t="s">
        <v>16</v>
      </c>
      <c r="AT992" s="5" t="str">
        <f>HYPERLINK("http://catalog.hathitrust.org/Record/000857401","HathiTrust Record")</f>
        <v>HathiTrust Record</v>
      </c>
      <c r="AU992" s="5" t="str">
        <f>HYPERLINK("https://creighton-primo.hosted.exlibrisgroup.com/primo-explore/search?tab=default_tab&amp;search_scope=EVERYTHING&amp;vid=01CRU&amp;lang=en_US&amp;offset=0&amp;query=any,contains,991001540139702656","Catalog Record")</f>
        <v>Catalog Record</v>
      </c>
      <c r="AV992" s="5" t="str">
        <f>HYPERLINK("http://www.worldcat.org/oclc/16005697","WorldCat Record")</f>
        <v>WorldCat Record</v>
      </c>
      <c r="AW992" s="2" t="s">
        <v>12053</v>
      </c>
      <c r="AX992" s="2" t="s">
        <v>12054</v>
      </c>
      <c r="AY992" s="2" t="s">
        <v>12055</v>
      </c>
      <c r="AZ992" s="2" t="s">
        <v>12055</v>
      </c>
      <c r="BA992" s="2" t="s">
        <v>12056</v>
      </c>
      <c r="BB992" s="2" t="s">
        <v>21</v>
      </c>
      <c r="BD992" s="2" t="s">
        <v>12057</v>
      </c>
      <c r="BE992" s="2" t="s">
        <v>12058</v>
      </c>
      <c r="BF992" s="2" t="s">
        <v>12059</v>
      </c>
    </row>
    <row r="993" spans="1:58" ht="41.25" customHeight="1" x14ac:dyDescent="0.25">
      <c r="A993" s="8" t="s">
        <v>5</v>
      </c>
      <c r="B993" s="1" t="s">
        <v>0</v>
      </c>
      <c r="C993" s="1" t="s">
        <v>1</v>
      </c>
      <c r="D993" s="1" t="s">
        <v>12060</v>
      </c>
      <c r="E993" s="1" t="s">
        <v>12061</v>
      </c>
      <c r="F993" s="1" t="s">
        <v>12062</v>
      </c>
      <c r="H993" s="2" t="s">
        <v>5</v>
      </c>
      <c r="I993" s="2" t="s">
        <v>6</v>
      </c>
      <c r="J993" s="2" t="s">
        <v>5</v>
      </c>
      <c r="K993" s="2" t="s">
        <v>5</v>
      </c>
      <c r="L993" s="2" t="s">
        <v>7</v>
      </c>
      <c r="N993" s="1" t="s">
        <v>12063</v>
      </c>
      <c r="O993" s="2" t="s">
        <v>872</v>
      </c>
      <c r="P993" s="1" t="s">
        <v>12064</v>
      </c>
      <c r="Q993" s="2" t="s">
        <v>11</v>
      </c>
      <c r="R993" s="2" t="s">
        <v>426</v>
      </c>
      <c r="T993" s="2" t="s">
        <v>520</v>
      </c>
      <c r="U993" s="3">
        <v>77</v>
      </c>
      <c r="V993" s="3">
        <v>77</v>
      </c>
      <c r="W993" s="4" t="s">
        <v>12065</v>
      </c>
      <c r="X993" s="4" t="s">
        <v>12065</v>
      </c>
      <c r="Y993" s="4" t="s">
        <v>12066</v>
      </c>
      <c r="Z993" s="4" t="s">
        <v>12066</v>
      </c>
      <c r="AA993" s="3">
        <v>289</v>
      </c>
      <c r="AB993" s="3">
        <v>246</v>
      </c>
      <c r="AC993" s="3">
        <v>415</v>
      </c>
      <c r="AD993" s="3">
        <v>3</v>
      </c>
      <c r="AE993" s="3">
        <v>4</v>
      </c>
      <c r="AF993" s="3">
        <v>8</v>
      </c>
      <c r="AG993" s="3">
        <v>9</v>
      </c>
      <c r="AH993" s="3">
        <v>3</v>
      </c>
      <c r="AI993" s="3">
        <v>4</v>
      </c>
      <c r="AJ993" s="3">
        <v>2</v>
      </c>
      <c r="AK993" s="3">
        <v>2</v>
      </c>
      <c r="AL993" s="3">
        <v>5</v>
      </c>
      <c r="AM993" s="3">
        <v>5</v>
      </c>
      <c r="AN993" s="3">
        <v>1</v>
      </c>
      <c r="AO993" s="3">
        <v>1</v>
      </c>
      <c r="AP993" s="3">
        <v>0</v>
      </c>
      <c r="AQ993" s="3">
        <v>0</v>
      </c>
      <c r="AR993" s="2" t="s">
        <v>5</v>
      </c>
      <c r="AS993" s="2" t="s">
        <v>16</v>
      </c>
      <c r="AT993" s="5" t="str">
        <f>HYPERLINK("http://catalog.hathitrust.org/Record/001103511","HathiTrust Record")</f>
        <v>HathiTrust Record</v>
      </c>
      <c r="AU993" s="5" t="str">
        <f>HYPERLINK("https://creighton-primo.hosted.exlibrisgroup.com/primo-explore/search?tab=default_tab&amp;search_scope=EVERYTHING&amp;vid=01CRU&amp;lang=en_US&amp;offset=0&amp;query=any,contains,991001448709702656","Catalog Record")</f>
        <v>Catalog Record</v>
      </c>
      <c r="AV993" s="5" t="str">
        <f>HYPERLINK("http://www.worldcat.org/oclc/18107258","WorldCat Record")</f>
        <v>WorldCat Record</v>
      </c>
      <c r="AW993" s="2" t="s">
        <v>12067</v>
      </c>
      <c r="AX993" s="2" t="s">
        <v>12068</v>
      </c>
      <c r="AY993" s="2" t="s">
        <v>12069</v>
      </c>
      <c r="AZ993" s="2" t="s">
        <v>12069</v>
      </c>
      <c r="BA993" s="2" t="s">
        <v>12070</v>
      </c>
      <c r="BB993" s="2" t="s">
        <v>21</v>
      </c>
      <c r="BD993" s="2" t="s">
        <v>12071</v>
      </c>
      <c r="BE993" s="2" t="s">
        <v>12072</v>
      </c>
      <c r="BF993" s="2" t="s">
        <v>12073</v>
      </c>
    </row>
    <row r="994" spans="1:58" ht="41.25" customHeight="1" x14ac:dyDescent="0.25">
      <c r="A994" s="8" t="s">
        <v>5</v>
      </c>
      <c r="B994" s="1" t="s">
        <v>0</v>
      </c>
      <c r="C994" s="1" t="s">
        <v>1</v>
      </c>
      <c r="D994" s="1" t="s">
        <v>12074</v>
      </c>
      <c r="E994" s="1" t="s">
        <v>12075</v>
      </c>
      <c r="F994" s="1" t="s">
        <v>12076</v>
      </c>
      <c r="H994" s="2" t="s">
        <v>5</v>
      </c>
      <c r="I994" s="2" t="s">
        <v>6</v>
      </c>
      <c r="J994" s="2" t="s">
        <v>5</v>
      </c>
      <c r="K994" s="2" t="s">
        <v>5</v>
      </c>
      <c r="L994" s="2" t="s">
        <v>7</v>
      </c>
      <c r="N994" s="1" t="s">
        <v>1403</v>
      </c>
      <c r="O994" s="2" t="s">
        <v>285</v>
      </c>
      <c r="Q994" s="2" t="s">
        <v>11</v>
      </c>
      <c r="R994" s="2" t="s">
        <v>12</v>
      </c>
      <c r="S994" s="1" t="s">
        <v>12077</v>
      </c>
      <c r="T994" s="2" t="s">
        <v>520</v>
      </c>
      <c r="U994" s="3">
        <v>4</v>
      </c>
      <c r="V994" s="3">
        <v>4</v>
      </c>
      <c r="W994" s="4" t="s">
        <v>12078</v>
      </c>
      <c r="X994" s="4" t="s">
        <v>12078</v>
      </c>
      <c r="Y994" s="4" t="s">
        <v>1249</v>
      </c>
      <c r="Z994" s="4" t="s">
        <v>1249</v>
      </c>
      <c r="AA994" s="3">
        <v>101</v>
      </c>
      <c r="AB994" s="3">
        <v>87</v>
      </c>
      <c r="AC994" s="3">
        <v>89</v>
      </c>
      <c r="AD994" s="3">
        <v>2</v>
      </c>
      <c r="AE994" s="3">
        <v>2</v>
      </c>
      <c r="AF994" s="3">
        <v>5</v>
      </c>
      <c r="AG994" s="3">
        <v>5</v>
      </c>
      <c r="AH994" s="3">
        <v>0</v>
      </c>
      <c r="AI994" s="3">
        <v>0</v>
      </c>
      <c r="AJ994" s="3">
        <v>2</v>
      </c>
      <c r="AK994" s="3">
        <v>2</v>
      </c>
      <c r="AL994" s="3">
        <v>3</v>
      </c>
      <c r="AM994" s="3">
        <v>3</v>
      </c>
      <c r="AN994" s="3">
        <v>1</v>
      </c>
      <c r="AO994" s="3">
        <v>1</v>
      </c>
      <c r="AP994" s="3">
        <v>0</v>
      </c>
      <c r="AQ994" s="3">
        <v>0</v>
      </c>
      <c r="AR994" s="2" t="s">
        <v>5</v>
      </c>
      <c r="AS994" s="2" t="s">
        <v>16</v>
      </c>
      <c r="AT994" s="5" t="str">
        <f>HYPERLINK("http://catalog.hathitrust.org/Record/000301674","HathiTrust Record")</f>
        <v>HathiTrust Record</v>
      </c>
      <c r="AU994" s="5" t="str">
        <f>HYPERLINK("https://creighton-primo.hosted.exlibrisgroup.com/primo-explore/search?tab=default_tab&amp;search_scope=EVERYTHING&amp;vid=01CRU&amp;lang=en_US&amp;offset=0&amp;query=any,contains,991001385069702656","Catalog Record")</f>
        <v>Catalog Record</v>
      </c>
      <c r="AV994" s="5" t="str">
        <f>HYPERLINK("http://www.worldcat.org/oclc/5674461","WorldCat Record")</f>
        <v>WorldCat Record</v>
      </c>
      <c r="AW994" s="2" t="s">
        <v>12079</v>
      </c>
      <c r="AX994" s="2" t="s">
        <v>12080</v>
      </c>
      <c r="AY994" s="2" t="s">
        <v>12081</v>
      </c>
      <c r="AZ994" s="2" t="s">
        <v>12081</v>
      </c>
      <c r="BA994" s="2" t="s">
        <v>12082</v>
      </c>
      <c r="BB994" s="2" t="s">
        <v>21</v>
      </c>
      <c r="BE994" s="2" t="s">
        <v>12083</v>
      </c>
      <c r="BF994" s="2" t="s">
        <v>12084</v>
      </c>
    </row>
    <row r="995" spans="1:58" ht="41.25" customHeight="1" x14ac:dyDescent="0.25">
      <c r="A995" s="8" t="s">
        <v>5</v>
      </c>
      <c r="B995" s="1" t="s">
        <v>0</v>
      </c>
      <c r="C995" s="1" t="s">
        <v>1</v>
      </c>
      <c r="D995" s="1" t="s">
        <v>12085</v>
      </c>
      <c r="E995" s="1" t="s">
        <v>12086</v>
      </c>
      <c r="F995" s="1" t="s">
        <v>12087</v>
      </c>
      <c r="H995" s="2" t="s">
        <v>5</v>
      </c>
      <c r="I995" s="2" t="s">
        <v>6</v>
      </c>
      <c r="J995" s="2" t="s">
        <v>5</v>
      </c>
      <c r="K995" s="2" t="s">
        <v>16</v>
      </c>
      <c r="L995" s="2" t="s">
        <v>7</v>
      </c>
      <c r="M995" s="1" t="s">
        <v>12088</v>
      </c>
      <c r="N995" s="1" t="s">
        <v>12089</v>
      </c>
      <c r="O995" s="2" t="s">
        <v>1246</v>
      </c>
      <c r="P995" s="1" t="s">
        <v>12090</v>
      </c>
      <c r="Q995" s="2" t="s">
        <v>11</v>
      </c>
      <c r="R995" s="2" t="s">
        <v>271</v>
      </c>
      <c r="T995" s="2" t="s">
        <v>520</v>
      </c>
      <c r="U995" s="3">
        <v>14</v>
      </c>
      <c r="V995" s="3">
        <v>14</v>
      </c>
      <c r="W995" s="4" t="s">
        <v>547</v>
      </c>
      <c r="X995" s="4" t="s">
        <v>547</v>
      </c>
      <c r="Y995" s="4" t="s">
        <v>12091</v>
      </c>
      <c r="Z995" s="4" t="s">
        <v>12091</v>
      </c>
      <c r="AA995" s="3">
        <v>203</v>
      </c>
      <c r="AB995" s="3">
        <v>165</v>
      </c>
      <c r="AC995" s="3">
        <v>316</v>
      </c>
      <c r="AD995" s="3">
        <v>3</v>
      </c>
      <c r="AE995" s="3">
        <v>4</v>
      </c>
      <c r="AF995" s="3">
        <v>8</v>
      </c>
      <c r="AG995" s="3">
        <v>12</v>
      </c>
      <c r="AH995" s="3">
        <v>1</v>
      </c>
      <c r="AI995" s="3">
        <v>2</v>
      </c>
      <c r="AJ995" s="3">
        <v>3</v>
      </c>
      <c r="AK995" s="3">
        <v>3</v>
      </c>
      <c r="AL995" s="3">
        <v>3</v>
      </c>
      <c r="AM995" s="3">
        <v>7</v>
      </c>
      <c r="AN995" s="3">
        <v>2</v>
      </c>
      <c r="AO995" s="3">
        <v>2</v>
      </c>
      <c r="AP995" s="3">
        <v>0</v>
      </c>
      <c r="AQ995" s="3">
        <v>0</v>
      </c>
      <c r="AR995" s="2" t="s">
        <v>5</v>
      </c>
      <c r="AS995" s="2" t="s">
        <v>16</v>
      </c>
      <c r="AT995" s="5" t="str">
        <f>HYPERLINK("http://catalog.hathitrust.org/Record/001574710","HathiTrust Record")</f>
        <v>HathiTrust Record</v>
      </c>
      <c r="AU995" s="5" t="str">
        <f>HYPERLINK("https://creighton-primo.hosted.exlibrisgroup.com/primo-explore/search?tab=default_tab&amp;search_scope=EVERYTHING&amp;vid=01CRU&amp;lang=en_US&amp;offset=0&amp;query=any,contains,991001148369702656","Catalog Record")</f>
        <v>Catalog Record</v>
      </c>
      <c r="AV995" s="5" t="str">
        <f>HYPERLINK("http://www.worldcat.org/oclc/609202","WorldCat Record")</f>
        <v>WorldCat Record</v>
      </c>
      <c r="AW995" s="2" t="s">
        <v>12092</v>
      </c>
      <c r="AX995" s="2" t="s">
        <v>12093</v>
      </c>
      <c r="AY995" s="2" t="s">
        <v>12094</v>
      </c>
      <c r="AZ995" s="2" t="s">
        <v>12094</v>
      </c>
      <c r="BA995" s="2" t="s">
        <v>12095</v>
      </c>
      <c r="BB995" s="2" t="s">
        <v>21</v>
      </c>
      <c r="BE995" s="2" t="s">
        <v>12096</v>
      </c>
      <c r="BF995" s="2" t="s">
        <v>12097</v>
      </c>
    </row>
    <row r="996" spans="1:58" ht="41.25" customHeight="1" x14ac:dyDescent="0.25">
      <c r="A996" s="8" t="s">
        <v>5</v>
      </c>
      <c r="B996" s="1" t="s">
        <v>0</v>
      </c>
      <c r="C996" s="1" t="s">
        <v>1</v>
      </c>
      <c r="D996" s="1" t="s">
        <v>12098</v>
      </c>
      <c r="E996" s="1" t="s">
        <v>12099</v>
      </c>
      <c r="F996" s="1" t="s">
        <v>12100</v>
      </c>
      <c r="H996" s="2" t="s">
        <v>5</v>
      </c>
      <c r="I996" s="2" t="s">
        <v>6</v>
      </c>
      <c r="J996" s="2" t="s">
        <v>5</v>
      </c>
      <c r="K996" s="2" t="s">
        <v>16</v>
      </c>
      <c r="L996" s="2" t="s">
        <v>7</v>
      </c>
      <c r="M996" s="1" t="s">
        <v>12088</v>
      </c>
      <c r="N996" s="1" t="s">
        <v>12101</v>
      </c>
      <c r="O996" s="2" t="s">
        <v>285</v>
      </c>
      <c r="P996" s="1" t="s">
        <v>2397</v>
      </c>
      <c r="Q996" s="2" t="s">
        <v>11</v>
      </c>
      <c r="R996" s="2" t="s">
        <v>93</v>
      </c>
      <c r="T996" s="2" t="s">
        <v>520</v>
      </c>
      <c r="U996" s="3">
        <v>14</v>
      </c>
      <c r="V996" s="3">
        <v>14</v>
      </c>
      <c r="W996" s="4" t="s">
        <v>547</v>
      </c>
      <c r="X996" s="4" t="s">
        <v>547</v>
      </c>
      <c r="Y996" s="4" t="s">
        <v>12091</v>
      </c>
      <c r="Z996" s="4" t="s">
        <v>12091</v>
      </c>
      <c r="AA996" s="3">
        <v>276</v>
      </c>
      <c r="AB996" s="3">
        <v>246</v>
      </c>
      <c r="AC996" s="3">
        <v>316</v>
      </c>
      <c r="AD996" s="3">
        <v>2</v>
      </c>
      <c r="AE996" s="3">
        <v>4</v>
      </c>
      <c r="AF996" s="3">
        <v>9</v>
      </c>
      <c r="AG996" s="3">
        <v>12</v>
      </c>
      <c r="AH996" s="3">
        <v>2</v>
      </c>
      <c r="AI996" s="3">
        <v>2</v>
      </c>
      <c r="AJ996" s="3">
        <v>2</v>
      </c>
      <c r="AK996" s="3">
        <v>3</v>
      </c>
      <c r="AL996" s="3">
        <v>7</v>
      </c>
      <c r="AM996" s="3">
        <v>7</v>
      </c>
      <c r="AN996" s="3">
        <v>0</v>
      </c>
      <c r="AO996" s="3">
        <v>2</v>
      </c>
      <c r="AP996" s="3">
        <v>0</v>
      </c>
      <c r="AQ996" s="3">
        <v>0</v>
      </c>
      <c r="AR996" s="2" t="s">
        <v>5</v>
      </c>
      <c r="AS996" s="2" t="s">
        <v>16</v>
      </c>
      <c r="AT996" s="5" t="str">
        <f>HYPERLINK("http://catalog.hathitrust.org/Record/000145405","HathiTrust Record")</f>
        <v>HathiTrust Record</v>
      </c>
      <c r="AU996" s="5" t="str">
        <f>HYPERLINK("https://creighton-primo.hosted.exlibrisgroup.com/primo-explore/search?tab=default_tab&amp;search_scope=EVERYTHING&amp;vid=01CRU&amp;lang=en_US&amp;offset=0&amp;query=any,contains,991001148409702656","Catalog Record")</f>
        <v>Catalog Record</v>
      </c>
      <c r="AV996" s="5" t="str">
        <f>HYPERLINK("http://www.worldcat.org/oclc/5684589","WorldCat Record")</f>
        <v>WorldCat Record</v>
      </c>
      <c r="AW996" s="2" t="s">
        <v>12092</v>
      </c>
      <c r="AX996" s="2" t="s">
        <v>12102</v>
      </c>
      <c r="AY996" s="2" t="s">
        <v>12103</v>
      </c>
      <c r="AZ996" s="2" t="s">
        <v>12103</v>
      </c>
      <c r="BA996" s="2" t="s">
        <v>12104</v>
      </c>
      <c r="BB996" s="2" t="s">
        <v>21</v>
      </c>
      <c r="BD996" s="2" t="s">
        <v>12105</v>
      </c>
      <c r="BE996" s="2" t="s">
        <v>12106</v>
      </c>
      <c r="BF996" s="2" t="s">
        <v>12107</v>
      </c>
    </row>
    <row r="997" spans="1:58" ht="41.25" customHeight="1" x14ac:dyDescent="0.25">
      <c r="A997" s="8" t="s">
        <v>5</v>
      </c>
      <c r="B997" s="1" t="s">
        <v>0</v>
      </c>
      <c r="C997" s="1" t="s">
        <v>1</v>
      </c>
      <c r="D997" s="1" t="s">
        <v>12108</v>
      </c>
      <c r="E997" s="1" t="s">
        <v>12109</v>
      </c>
      <c r="F997" s="1" t="s">
        <v>12110</v>
      </c>
      <c r="H997" s="2" t="s">
        <v>5</v>
      </c>
      <c r="I997" s="2" t="s">
        <v>6</v>
      </c>
      <c r="J997" s="2" t="s">
        <v>5</v>
      </c>
      <c r="K997" s="2" t="s">
        <v>5</v>
      </c>
      <c r="L997" s="2" t="s">
        <v>7</v>
      </c>
      <c r="N997" s="1" t="s">
        <v>5017</v>
      </c>
      <c r="O997" s="2" t="s">
        <v>1004</v>
      </c>
      <c r="P997" s="1" t="s">
        <v>901</v>
      </c>
      <c r="Q997" s="2" t="s">
        <v>11</v>
      </c>
      <c r="R997" s="2" t="s">
        <v>78</v>
      </c>
      <c r="T997" s="2" t="s">
        <v>520</v>
      </c>
      <c r="U997" s="3">
        <v>4</v>
      </c>
      <c r="V997" s="3">
        <v>4</v>
      </c>
      <c r="W997" s="4" t="s">
        <v>12111</v>
      </c>
      <c r="X997" s="4" t="s">
        <v>12111</v>
      </c>
      <c r="Y997" s="4" t="s">
        <v>1006</v>
      </c>
      <c r="Z997" s="4" t="s">
        <v>1006</v>
      </c>
      <c r="AA997" s="3">
        <v>258</v>
      </c>
      <c r="AB997" s="3">
        <v>194</v>
      </c>
      <c r="AC997" s="3">
        <v>201</v>
      </c>
      <c r="AD997" s="3">
        <v>2</v>
      </c>
      <c r="AE997" s="3">
        <v>2</v>
      </c>
      <c r="AF997" s="3">
        <v>8</v>
      </c>
      <c r="AG997" s="3">
        <v>8</v>
      </c>
      <c r="AH997" s="3">
        <v>3</v>
      </c>
      <c r="AI997" s="3">
        <v>3</v>
      </c>
      <c r="AJ997" s="3">
        <v>0</v>
      </c>
      <c r="AK997" s="3">
        <v>0</v>
      </c>
      <c r="AL997" s="3">
        <v>5</v>
      </c>
      <c r="AM997" s="3">
        <v>5</v>
      </c>
      <c r="AN997" s="3">
        <v>1</v>
      </c>
      <c r="AO997" s="3">
        <v>1</v>
      </c>
      <c r="AP997" s="3">
        <v>0</v>
      </c>
      <c r="AQ997" s="3">
        <v>0</v>
      </c>
      <c r="AR997" s="2" t="s">
        <v>5</v>
      </c>
      <c r="AS997" s="2" t="s">
        <v>16</v>
      </c>
      <c r="AT997" s="5" t="str">
        <f>HYPERLINK("http://catalog.hathitrust.org/Record/004066765","HathiTrust Record")</f>
        <v>HathiTrust Record</v>
      </c>
      <c r="AU997" s="5" t="str">
        <f>HYPERLINK("https://creighton-primo.hosted.exlibrisgroup.com/primo-explore/search?tab=default_tab&amp;search_scope=EVERYTHING&amp;vid=01CRU&amp;lang=en_US&amp;offset=0&amp;query=any,contains,991001441699702656","Catalog Record")</f>
        <v>Catalog Record</v>
      </c>
      <c r="AV997" s="5" t="str">
        <f>HYPERLINK("http://www.worldcat.org/oclc/40120328","WorldCat Record")</f>
        <v>WorldCat Record</v>
      </c>
      <c r="AW997" s="2" t="s">
        <v>12112</v>
      </c>
      <c r="AX997" s="2" t="s">
        <v>12113</v>
      </c>
      <c r="AY997" s="2" t="s">
        <v>12114</v>
      </c>
      <c r="AZ997" s="2" t="s">
        <v>12114</v>
      </c>
      <c r="BA997" s="2" t="s">
        <v>12115</v>
      </c>
      <c r="BB997" s="2" t="s">
        <v>21</v>
      </c>
      <c r="BD997" s="2" t="s">
        <v>12116</v>
      </c>
      <c r="BE997" s="2" t="s">
        <v>12117</v>
      </c>
      <c r="BF997" s="2" t="s">
        <v>12118</v>
      </c>
    </row>
    <row r="998" spans="1:58" ht="41.25" customHeight="1" x14ac:dyDescent="0.25">
      <c r="A998" s="8" t="s">
        <v>5</v>
      </c>
      <c r="B998" s="1" t="s">
        <v>0</v>
      </c>
      <c r="C998" s="1" t="s">
        <v>1</v>
      </c>
      <c r="D998" s="1" t="s">
        <v>12119</v>
      </c>
      <c r="E998" s="1" t="s">
        <v>12120</v>
      </c>
      <c r="F998" s="1" t="s">
        <v>12121</v>
      </c>
      <c r="H998" s="2" t="s">
        <v>5</v>
      </c>
      <c r="I998" s="2" t="s">
        <v>6</v>
      </c>
      <c r="J998" s="2" t="s">
        <v>5</v>
      </c>
      <c r="K998" s="2" t="s">
        <v>16</v>
      </c>
      <c r="L998" s="2" t="s">
        <v>7</v>
      </c>
      <c r="N998" s="1" t="s">
        <v>7590</v>
      </c>
      <c r="O998" s="2" t="s">
        <v>872</v>
      </c>
      <c r="Q998" s="2" t="s">
        <v>11</v>
      </c>
      <c r="R998" s="2" t="s">
        <v>31</v>
      </c>
      <c r="T998" s="2" t="s">
        <v>520</v>
      </c>
      <c r="U998" s="3">
        <v>17</v>
      </c>
      <c r="V998" s="3">
        <v>17</v>
      </c>
      <c r="W998" s="4" t="s">
        <v>12122</v>
      </c>
      <c r="X998" s="4" t="s">
        <v>12122</v>
      </c>
      <c r="Y998" s="4" t="s">
        <v>12123</v>
      </c>
      <c r="Z998" s="4" t="s">
        <v>12123</v>
      </c>
      <c r="AA998" s="3">
        <v>246</v>
      </c>
      <c r="AB998" s="3">
        <v>185</v>
      </c>
      <c r="AC998" s="3">
        <v>487</v>
      </c>
      <c r="AD998" s="3">
        <v>1</v>
      </c>
      <c r="AE998" s="3">
        <v>3</v>
      </c>
      <c r="AF998" s="3">
        <v>5</v>
      </c>
      <c r="AG998" s="3">
        <v>14</v>
      </c>
      <c r="AH998" s="3">
        <v>2</v>
      </c>
      <c r="AI998" s="3">
        <v>6</v>
      </c>
      <c r="AJ998" s="3">
        <v>0</v>
      </c>
      <c r="AK998" s="3">
        <v>2</v>
      </c>
      <c r="AL998" s="3">
        <v>4</v>
      </c>
      <c r="AM998" s="3">
        <v>9</v>
      </c>
      <c r="AN998" s="3">
        <v>0</v>
      </c>
      <c r="AO998" s="3">
        <v>1</v>
      </c>
      <c r="AP998" s="3">
        <v>0</v>
      </c>
      <c r="AQ998" s="3">
        <v>0</v>
      </c>
      <c r="AR998" s="2" t="s">
        <v>5</v>
      </c>
      <c r="AS998" s="2" t="s">
        <v>16</v>
      </c>
      <c r="AT998" s="5" t="str">
        <f>HYPERLINK("http://catalog.hathitrust.org/Record/001099014","HathiTrust Record")</f>
        <v>HathiTrust Record</v>
      </c>
      <c r="AU998" s="5" t="str">
        <f>HYPERLINK("https://creighton-primo.hosted.exlibrisgroup.com/primo-explore/search?tab=default_tab&amp;search_scope=EVERYTHING&amp;vid=01CRU&amp;lang=en_US&amp;offset=0&amp;query=any,contains,991001321909702656","Catalog Record")</f>
        <v>Catalog Record</v>
      </c>
      <c r="AV998" s="5" t="str">
        <f>HYPERLINK("http://www.worldcat.org/oclc/19125513","WorldCat Record")</f>
        <v>WorldCat Record</v>
      </c>
      <c r="AW998" s="2" t="s">
        <v>12124</v>
      </c>
      <c r="AX998" s="2" t="s">
        <v>12125</v>
      </c>
      <c r="AY998" s="2" t="s">
        <v>12126</v>
      </c>
      <c r="AZ998" s="2" t="s">
        <v>12126</v>
      </c>
      <c r="BA998" s="2" t="s">
        <v>12127</v>
      </c>
      <c r="BB998" s="2" t="s">
        <v>21</v>
      </c>
      <c r="BD998" s="2" t="s">
        <v>12128</v>
      </c>
      <c r="BE998" s="2" t="s">
        <v>12129</v>
      </c>
      <c r="BF998" s="2" t="s">
        <v>12130</v>
      </c>
    </row>
    <row r="999" spans="1:58" ht="41.25" customHeight="1" x14ac:dyDescent="0.25">
      <c r="A999" s="8" t="s">
        <v>5</v>
      </c>
      <c r="B999" s="1" t="s">
        <v>0</v>
      </c>
      <c r="C999" s="1" t="s">
        <v>1</v>
      </c>
      <c r="D999" s="1" t="s">
        <v>12131</v>
      </c>
      <c r="E999" s="1" t="s">
        <v>12132</v>
      </c>
      <c r="F999" s="1" t="s">
        <v>12133</v>
      </c>
      <c r="H999" s="2" t="s">
        <v>5</v>
      </c>
      <c r="I999" s="2" t="s">
        <v>6</v>
      </c>
      <c r="J999" s="2" t="s">
        <v>5</v>
      </c>
      <c r="K999" s="2" t="s">
        <v>5</v>
      </c>
      <c r="L999" s="2" t="s">
        <v>7</v>
      </c>
      <c r="N999" s="1" t="s">
        <v>12134</v>
      </c>
      <c r="O999" s="2" t="s">
        <v>1283</v>
      </c>
      <c r="Q999" s="2" t="s">
        <v>11</v>
      </c>
      <c r="R999" s="2" t="s">
        <v>6660</v>
      </c>
      <c r="T999" s="2" t="s">
        <v>520</v>
      </c>
      <c r="U999" s="3">
        <v>7</v>
      </c>
      <c r="V999" s="3">
        <v>7</v>
      </c>
      <c r="W999" s="4" t="s">
        <v>11972</v>
      </c>
      <c r="X999" s="4" t="s">
        <v>11972</v>
      </c>
      <c r="Y999" s="4" t="s">
        <v>6662</v>
      </c>
      <c r="Z999" s="4" t="s">
        <v>6662</v>
      </c>
      <c r="AA999" s="3">
        <v>84</v>
      </c>
      <c r="AB999" s="3">
        <v>79</v>
      </c>
      <c r="AC999" s="3">
        <v>82</v>
      </c>
      <c r="AD999" s="3">
        <v>1</v>
      </c>
      <c r="AE999" s="3">
        <v>1</v>
      </c>
      <c r="AF999" s="3">
        <v>3</v>
      </c>
      <c r="AG999" s="3">
        <v>3</v>
      </c>
      <c r="AH999" s="3">
        <v>2</v>
      </c>
      <c r="AI999" s="3">
        <v>2</v>
      </c>
      <c r="AJ999" s="3">
        <v>0</v>
      </c>
      <c r="AK999" s="3">
        <v>0</v>
      </c>
      <c r="AL999" s="3">
        <v>2</v>
      </c>
      <c r="AM999" s="3">
        <v>2</v>
      </c>
      <c r="AN999" s="3">
        <v>0</v>
      </c>
      <c r="AO999" s="3">
        <v>0</v>
      </c>
      <c r="AP999" s="3">
        <v>0</v>
      </c>
      <c r="AQ999" s="3">
        <v>0</v>
      </c>
      <c r="AR999" s="2" t="s">
        <v>5</v>
      </c>
      <c r="AS999" s="2" t="s">
        <v>16</v>
      </c>
      <c r="AT999" s="5" t="str">
        <f>HYPERLINK("http://catalog.hathitrust.org/Record/100071913","HathiTrust Record")</f>
        <v>HathiTrust Record</v>
      </c>
      <c r="AU999" s="5" t="str">
        <f>HYPERLINK("https://creighton-primo.hosted.exlibrisgroup.com/primo-explore/search?tab=default_tab&amp;search_scope=EVERYTHING&amp;vid=01CRU&amp;lang=en_US&amp;offset=0&amp;query=any,contains,991001563499702656","Catalog Record")</f>
        <v>Catalog Record</v>
      </c>
      <c r="AV999" s="5" t="str">
        <f>HYPERLINK("http://www.worldcat.org/oclc/35657911","WorldCat Record")</f>
        <v>WorldCat Record</v>
      </c>
      <c r="AW999" s="2" t="s">
        <v>12135</v>
      </c>
      <c r="AX999" s="2" t="s">
        <v>12136</v>
      </c>
      <c r="AY999" s="2" t="s">
        <v>12137</v>
      </c>
      <c r="AZ999" s="2" t="s">
        <v>12137</v>
      </c>
      <c r="BA999" s="2" t="s">
        <v>12138</v>
      </c>
      <c r="BB999" s="2" t="s">
        <v>21</v>
      </c>
      <c r="BD999" s="2" t="s">
        <v>12139</v>
      </c>
      <c r="BE999" s="2" t="s">
        <v>12140</v>
      </c>
      <c r="BF999" s="2" t="s">
        <v>12141</v>
      </c>
    </row>
    <row r="1000" spans="1:58" ht="41.25" customHeight="1" x14ac:dyDescent="0.25">
      <c r="A1000" s="8" t="s">
        <v>5</v>
      </c>
      <c r="B1000" s="1" t="s">
        <v>0</v>
      </c>
      <c r="C1000" s="1" t="s">
        <v>1</v>
      </c>
      <c r="D1000" s="1" t="s">
        <v>12142</v>
      </c>
      <c r="E1000" s="1" t="s">
        <v>12143</v>
      </c>
      <c r="F1000" s="1" t="s">
        <v>12144</v>
      </c>
      <c r="H1000" s="2" t="s">
        <v>5</v>
      </c>
      <c r="I1000" s="2" t="s">
        <v>6</v>
      </c>
      <c r="J1000" s="2" t="s">
        <v>5</v>
      </c>
      <c r="K1000" s="2" t="s">
        <v>16</v>
      </c>
      <c r="L1000" s="2" t="s">
        <v>7</v>
      </c>
      <c r="N1000" s="1" t="s">
        <v>12145</v>
      </c>
      <c r="O1000" s="2" t="s">
        <v>62</v>
      </c>
      <c r="P1000" s="1" t="s">
        <v>12146</v>
      </c>
      <c r="Q1000" s="2" t="s">
        <v>11</v>
      </c>
      <c r="R1000" s="2" t="s">
        <v>12</v>
      </c>
      <c r="T1000" s="2" t="s">
        <v>520</v>
      </c>
      <c r="U1000" s="3">
        <v>6</v>
      </c>
      <c r="V1000" s="3">
        <v>6</v>
      </c>
      <c r="W1000" s="4" t="s">
        <v>12147</v>
      </c>
      <c r="X1000" s="4" t="s">
        <v>12147</v>
      </c>
      <c r="Y1000" s="4" t="s">
        <v>96</v>
      </c>
      <c r="Z1000" s="4" t="s">
        <v>96</v>
      </c>
      <c r="AA1000" s="3">
        <v>257</v>
      </c>
      <c r="AB1000" s="3">
        <v>176</v>
      </c>
      <c r="AC1000" s="3">
        <v>512</v>
      </c>
      <c r="AD1000" s="3">
        <v>2</v>
      </c>
      <c r="AE1000" s="3">
        <v>5</v>
      </c>
      <c r="AF1000" s="3">
        <v>7</v>
      </c>
      <c r="AG1000" s="3">
        <v>22</v>
      </c>
      <c r="AH1000" s="3">
        <v>2</v>
      </c>
      <c r="AI1000" s="3">
        <v>8</v>
      </c>
      <c r="AJ1000" s="3">
        <v>1</v>
      </c>
      <c r="AK1000" s="3">
        <v>6</v>
      </c>
      <c r="AL1000" s="3">
        <v>4</v>
      </c>
      <c r="AM1000" s="3">
        <v>10</v>
      </c>
      <c r="AN1000" s="3">
        <v>1</v>
      </c>
      <c r="AO1000" s="3">
        <v>3</v>
      </c>
      <c r="AP1000" s="3">
        <v>0</v>
      </c>
      <c r="AQ1000" s="3">
        <v>0</v>
      </c>
      <c r="AR1000" s="2" t="s">
        <v>5</v>
      </c>
      <c r="AS1000" s="2" t="s">
        <v>16</v>
      </c>
      <c r="AT1000" s="5" t="str">
        <f>HYPERLINK("http://catalog.hathitrust.org/Record/000143088","HathiTrust Record")</f>
        <v>HathiTrust Record</v>
      </c>
      <c r="AU1000" s="5" t="str">
        <f>HYPERLINK("https://creighton-primo.hosted.exlibrisgroup.com/primo-explore/search?tab=default_tab&amp;search_scope=EVERYTHING&amp;vid=01CRU&amp;lang=en_US&amp;offset=0&amp;query=any,contains,991001148479702656","Catalog Record")</f>
        <v>Catalog Record</v>
      </c>
      <c r="AV1000" s="5" t="str">
        <f>HYPERLINK("http://www.worldcat.org/oclc/3904794","WorldCat Record")</f>
        <v>WorldCat Record</v>
      </c>
      <c r="AW1000" s="2" t="s">
        <v>12148</v>
      </c>
      <c r="AX1000" s="2" t="s">
        <v>12149</v>
      </c>
      <c r="AY1000" s="2" t="s">
        <v>12150</v>
      </c>
      <c r="AZ1000" s="2" t="s">
        <v>12150</v>
      </c>
      <c r="BA1000" s="2" t="s">
        <v>12151</v>
      </c>
      <c r="BB1000" s="2" t="s">
        <v>21</v>
      </c>
      <c r="BD1000" s="2" t="s">
        <v>12152</v>
      </c>
      <c r="BE1000" s="2" t="s">
        <v>12153</v>
      </c>
      <c r="BF1000" s="2" t="s">
        <v>12154</v>
      </c>
    </row>
    <row r="1001" spans="1:58" ht="41.25" customHeight="1" x14ac:dyDescent="0.25">
      <c r="A1001" s="8" t="s">
        <v>5</v>
      </c>
      <c r="B1001" s="1" t="s">
        <v>0</v>
      </c>
      <c r="C1001" s="1" t="s">
        <v>1</v>
      </c>
      <c r="D1001" s="1" t="s">
        <v>12155</v>
      </c>
      <c r="E1001" s="1" t="s">
        <v>12156</v>
      </c>
      <c r="F1001" s="1" t="s">
        <v>12157</v>
      </c>
      <c r="H1001" s="2" t="s">
        <v>5</v>
      </c>
      <c r="I1001" s="2" t="s">
        <v>6</v>
      </c>
      <c r="J1001" s="2" t="s">
        <v>5</v>
      </c>
      <c r="K1001" s="2" t="s">
        <v>5</v>
      </c>
      <c r="L1001" s="2" t="s">
        <v>7</v>
      </c>
      <c r="N1001" s="1" t="s">
        <v>12158</v>
      </c>
      <c r="O1001" s="2" t="s">
        <v>285</v>
      </c>
      <c r="Q1001" s="2" t="s">
        <v>11</v>
      </c>
      <c r="R1001" s="2" t="s">
        <v>1019</v>
      </c>
      <c r="T1001" s="2" t="s">
        <v>520</v>
      </c>
      <c r="U1001" s="3">
        <v>5</v>
      </c>
      <c r="V1001" s="3">
        <v>5</v>
      </c>
      <c r="W1001" s="4" t="s">
        <v>11844</v>
      </c>
      <c r="X1001" s="4" t="s">
        <v>11844</v>
      </c>
      <c r="Y1001" s="4" t="s">
        <v>329</v>
      </c>
      <c r="Z1001" s="4" t="s">
        <v>329</v>
      </c>
      <c r="AA1001" s="3">
        <v>266</v>
      </c>
      <c r="AB1001" s="3">
        <v>189</v>
      </c>
      <c r="AC1001" s="3">
        <v>196</v>
      </c>
      <c r="AD1001" s="3">
        <v>2</v>
      </c>
      <c r="AE1001" s="3">
        <v>2</v>
      </c>
      <c r="AF1001" s="3">
        <v>7</v>
      </c>
      <c r="AG1001" s="3">
        <v>7</v>
      </c>
      <c r="AH1001" s="3">
        <v>2</v>
      </c>
      <c r="AI1001" s="3">
        <v>2</v>
      </c>
      <c r="AJ1001" s="3">
        <v>1</v>
      </c>
      <c r="AK1001" s="3">
        <v>1</v>
      </c>
      <c r="AL1001" s="3">
        <v>4</v>
      </c>
      <c r="AM1001" s="3">
        <v>4</v>
      </c>
      <c r="AN1001" s="3">
        <v>1</v>
      </c>
      <c r="AO1001" s="3">
        <v>1</v>
      </c>
      <c r="AP1001" s="3">
        <v>0</v>
      </c>
      <c r="AQ1001" s="3">
        <v>0</v>
      </c>
      <c r="AR1001" s="2" t="s">
        <v>5</v>
      </c>
      <c r="AS1001" s="2" t="s">
        <v>16</v>
      </c>
      <c r="AT1001" s="5" t="str">
        <f>HYPERLINK("http://catalog.hathitrust.org/Record/000716803","HathiTrust Record")</f>
        <v>HathiTrust Record</v>
      </c>
      <c r="AU1001" s="5" t="str">
        <f>HYPERLINK("https://creighton-primo.hosted.exlibrisgroup.com/primo-explore/search?tab=default_tab&amp;search_scope=EVERYTHING&amp;vid=01CRU&amp;lang=en_US&amp;offset=0&amp;query=any,contains,991000737289702656","Catalog Record")</f>
        <v>Catalog Record</v>
      </c>
      <c r="AV1001" s="5" t="str">
        <f>HYPERLINK("http://www.worldcat.org/oclc/4639119","WorldCat Record")</f>
        <v>WorldCat Record</v>
      </c>
      <c r="AW1001" s="2" t="s">
        <v>12159</v>
      </c>
      <c r="AX1001" s="2" t="s">
        <v>12160</v>
      </c>
      <c r="AY1001" s="2" t="s">
        <v>12161</v>
      </c>
      <c r="AZ1001" s="2" t="s">
        <v>12161</v>
      </c>
      <c r="BA1001" s="2" t="s">
        <v>12162</v>
      </c>
      <c r="BB1001" s="2" t="s">
        <v>21</v>
      </c>
      <c r="BD1001" s="2" t="s">
        <v>12163</v>
      </c>
      <c r="BE1001" s="2" t="s">
        <v>12164</v>
      </c>
      <c r="BF1001" s="2" t="s">
        <v>12165</v>
      </c>
    </row>
    <row r="1002" spans="1:58" ht="41.25" customHeight="1" x14ac:dyDescent="0.25">
      <c r="A1002" s="8" t="s">
        <v>5</v>
      </c>
      <c r="B1002" s="1" t="s">
        <v>0</v>
      </c>
      <c r="C1002" s="1" t="s">
        <v>1</v>
      </c>
      <c r="D1002" s="1" t="s">
        <v>12166</v>
      </c>
      <c r="E1002" s="1" t="s">
        <v>12167</v>
      </c>
      <c r="F1002" s="1" t="s">
        <v>12168</v>
      </c>
      <c r="H1002" s="2" t="s">
        <v>5</v>
      </c>
      <c r="I1002" s="2" t="s">
        <v>6</v>
      </c>
      <c r="J1002" s="2" t="s">
        <v>5</v>
      </c>
      <c r="K1002" s="2" t="s">
        <v>5</v>
      </c>
      <c r="L1002" s="2" t="s">
        <v>7</v>
      </c>
      <c r="M1002" s="1" t="s">
        <v>12169</v>
      </c>
      <c r="N1002" s="1" t="s">
        <v>8689</v>
      </c>
      <c r="O1002" s="2" t="s">
        <v>601</v>
      </c>
      <c r="P1002" s="1" t="s">
        <v>1284</v>
      </c>
      <c r="Q1002" s="2" t="s">
        <v>11</v>
      </c>
      <c r="R1002" s="2" t="s">
        <v>31</v>
      </c>
      <c r="T1002" s="2" t="s">
        <v>520</v>
      </c>
      <c r="U1002" s="3">
        <v>8</v>
      </c>
      <c r="V1002" s="3">
        <v>8</v>
      </c>
      <c r="W1002" s="4" t="s">
        <v>547</v>
      </c>
      <c r="X1002" s="4" t="s">
        <v>547</v>
      </c>
      <c r="Y1002" s="4" t="s">
        <v>12170</v>
      </c>
      <c r="Z1002" s="4" t="s">
        <v>12170</v>
      </c>
      <c r="AA1002" s="3">
        <v>403</v>
      </c>
      <c r="AB1002" s="3">
        <v>279</v>
      </c>
      <c r="AC1002" s="3">
        <v>947</v>
      </c>
      <c r="AD1002" s="3">
        <v>3</v>
      </c>
      <c r="AE1002" s="3">
        <v>10</v>
      </c>
      <c r="AF1002" s="3">
        <v>9</v>
      </c>
      <c r="AG1002" s="3">
        <v>36</v>
      </c>
      <c r="AH1002" s="3">
        <v>2</v>
      </c>
      <c r="AI1002" s="3">
        <v>16</v>
      </c>
      <c r="AJ1002" s="3">
        <v>1</v>
      </c>
      <c r="AK1002" s="3">
        <v>6</v>
      </c>
      <c r="AL1002" s="3">
        <v>6</v>
      </c>
      <c r="AM1002" s="3">
        <v>14</v>
      </c>
      <c r="AN1002" s="3">
        <v>2</v>
      </c>
      <c r="AO1002" s="3">
        <v>7</v>
      </c>
      <c r="AP1002" s="3">
        <v>0</v>
      </c>
      <c r="AQ1002" s="3">
        <v>0</v>
      </c>
      <c r="AR1002" s="2" t="s">
        <v>5</v>
      </c>
      <c r="AS1002" s="2" t="s">
        <v>16</v>
      </c>
      <c r="AT1002" s="5" t="str">
        <f>HYPERLINK("http://catalog.hathitrust.org/Record/002958594","HathiTrust Record")</f>
        <v>HathiTrust Record</v>
      </c>
      <c r="AU1002" s="5" t="str">
        <f>HYPERLINK("https://creighton-primo.hosted.exlibrisgroup.com/primo-explore/search?tab=default_tab&amp;search_scope=EVERYTHING&amp;vid=01CRU&amp;lang=en_US&amp;offset=0&amp;query=any,contains,991001138439702656","Catalog Record")</f>
        <v>Catalog Record</v>
      </c>
      <c r="AV1002" s="5" t="str">
        <f>HYPERLINK("http://www.worldcat.org/oclc/31737359","WorldCat Record")</f>
        <v>WorldCat Record</v>
      </c>
      <c r="AW1002" s="2" t="s">
        <v>12171</v>
      </c>
      <c r="AX1002" s="2" t="s">
        <v>12172</v>
      </c>
      <c r="AY1002" s="2" t="s">
        <v>12173</v>
      </c>
      <c r="AZ1002" s="2" t="s">
        <v>12173</v>
      </c>
      <c r="BA1002" s="2" t="s">
        <v>12174</v>
      </c>
      <c r="BB1002" s="2" t="s">
        <v>21</v>
      </c>
      <c r="BD1002" s="2" t="s">
        <v>12175</v>
      </c>
      <c r="BE1002" s="2" t="s">
        <v>12176</v>
      </c>
      <c r="BF1002" s="2" t="s">
        <v>12177</v>
      </c>
    </row>
    <row r="1003" spans="1:58" ht="41.25" customHeight="1" x14ac:dyDescent="0.25">
      <c r="A1003" s="8" t="s">
        <v>5</v>
      </c>
      <c r="B1003" s="1" t="s">
        <v>0</v>
      </c>
      <c r="C1003" s="1" t="s">
        <v>1</v>
      </c>
      <c r="D1003" s="1" t="s">
        <v>12178</v>
      </c>
      <c r="E1003" s="1" t="s">
        <v>12179</v>
      </c>
      <c r="F1003" s="1" t="s">
        <v>12180</v>
      </c>
      <c r="H1003" s="2" t="s">
        <v>5</v>
      </c>
      <c r="I1003" s="2" t="s">
        <v>6</v>
      </c>
      <c r="J1003" s="2" t="s">
        <v>5</v>
      </c>
      <c r="K1003" s="2" t="s">
        <v>5</v>
      </c>
      <c r="L1003" s="2" t="s">
        <v>7</v>
      </c>
      <c r="M1003" s="1" t="s">
        <v>12181</v>
      </c>
      <c r="N1003" s="1" t="s">
        <v>7103</v>
      </c>
      <c r="O1003" s="2" t="s">
        <v>734</v>
      </c>
      <c r="Q1003" s="2" t="s">
        <v>11</v>
      </c>
      <c r="R1003" s="2" t="s">
        <v>426</v>
      </c>
      <c r="T1003" s="2" t="s">
        <v>520</v>
      </c>
      <c r="U1003" s="3">
        <v>8</v>
      </c>
      <c r="V1003" s="3">
        <v>8</v>
      </c>
      <c r="W1003" s="4" t="s">
        <v>9691</v>
      </c>
      <c r="X1003" s="4" t="s">
        <v>9691</v>
      </c>
      <c r="Y1003" s="4" t="s">
        <v>329</v>
      </c>
      <c r="Z1003" s="4" t="s">
        <v>329</v>
      </c>
      <c r="AA1003" s="3">
        <v>372</v>
      </c>
      <c r="AB1003" s="3">
        <v>318</v>
      </c>
      <c r="AC1003" s="3">
        <v>320</v>
      </c>
      <c r="AD1003" s="3">
        <v>5</v>
      </c>
      <c r="AE1003" s="3">
        <v>5</v>
      </c>
      <c r="AF1003" s="3">
        <v>20</v>
      </c>
      <c r="AG1003" s="3">
        <v>20</v>
      </c>
      <c r="AH1003" s="3">
        <v>8</v>
      </c>
      <c r="AI1003" s="3">
        <v>8</v>
      </c>
      <c r="AJ1003" s="3">
        <v>4</v>
      </c>
      <c r="AK1003" s="3">
        <v>4</v>
      </c>
      <c r="AL1003" s="3">
        <v>8</v>
      </c>
      <c r="AM1003" s="3">
        <v>8</v>
      </c>
      <c r="AN1003" s="3">
        <v>3</v>
      </c>
      <c r="AO1003" s="3">
        <v>3</v>
      </c>
      <c r="AP1003" s="3">
        <v>0</v>
      </c>
      <c r="AQ1003" s="3">
        <v>0</v>
      </c>
      <c r="AR1003" s="2" t="s">
        <v>5</v>
      </c>
      <c r="AS1003" s="2" t="s">
        <v>16</v>
      </c>
      <c r="AT1003" s="5" t="str">
        <f>HYPERLINK("http://catalog.hathitrust.org/Record/000153451","HathiTrust Record")</f>
        <v>HathiTrust Record</v>
      </c>
      <c r="AU1003" s="5" t="str">
        <f>HYPERLINK("https://creighton-primo.hosted.exlibrisgroup.com/primo-explore/search?tab=default_tab&amp;search_scope=EVERYTHING&amp;vid=01CRU&amp;lang=en_US&amp;offset=0&amp;query=any,contains,991000737249702656","Catalog Record")</f>
        <v>Catalog Record</v>
      </c>
      <c r="AV1003" s="5" t="str">
        <f>HYPERLINK("http://www.worldcat.org/oclc/8475542","WorldCat Record")</f>
        <v>WorldCat Record</v>
      </c>
      <c r="AW1003" s="2" t="s">
        <v>12182</v>
      </c>
      <c r="AX1003" s="2" t="s">
        <v>12183</v>
      </c>
      <c r="AY1003" s="2" t="s">
        <v>12184</v>
      </c>
      <c r="AZ1003" s="2" t="s">
        <v>12184</v>
      </c>
      <c r="BA1003" s="2" t="s">
        <v>12185</v>
      </c>
      <c r="BB1003" s="2" t="s">
        <v>21</v>
      </c>
      <c r="BD1003" s="2" t="s">
        <v>12186</v>
      </c>
      <c r="BE1003" s="2" t="s">
        <v>12187</v>
      </c>
      <c r="BF1003" s="2" t="s">
        <v>12188</v>
      </c>
    </row>
    <row r="1004" spans="1:58" ht="41.25" customHeight="1" x14ac:dyDescent="0.25">
      <c r="A1004" s="8" t="s">
        <v>5</v>
      </c>
      <c r="B1004" s="1" t="s">
        <v>0</v>
      </c>
      <c r="C1004" s="1" t="s">
        <v>1</v>
      </c>
      <c r="D1004" s="1" t="s">
        <v>12189</v>
      </c>
      <c r="E1004" s="1" t="s">
        <v>12190</v>
      </c>
      <c r="F1004" s="1" t="s">
        <v>12191</v>
      </c>
      <c r="H1004" s="2" t="s">
        <v>5</v>
      </c>
      <c r="I1004" s="2" t="s">
        <v>6</v>
      </c>
      <c r="J1004" s="2" t="s">
        <v>5</v>
      </c>
      <c r="K1004" s="2" t="s">
        <v>5</v>
      </c>
      <c r="L1004" s="2" t="s">
        <v>7</v>
      </c>
      <c r="N1004" s="1" t="s">
        <v>12192</v>
      </c>
      <c r="O1004" s="2" t="s">
        <v>382</v>
      </c>
      <c r="Q1004" s="2" t="s">
        <v>11</v>
      </c>
      <c r="R1004" s="2" t="s">
        <v>426</v>
      </c>
      <c r="S1004" s="1" t="s">
        <v>12193</v>
      </c>
      <c r="T1004" s="2" t="s">
        <v>520</v>
      </c>
      <c r="U1004" s="3">
        <v>3</v>
      </c>
      <c r="V1004" s="3">
        <v>3</v>
      </c>
      <c r="W1004" s="4" t="s">
        <v>12194</v>
      </c>
      <c r="X1004" s="4" t="s">
        <v>12194</v>
      </c>
      <c r="Y1004" s="4" t="s">
        <v>4696</v>
      </c>
      <c r="Z1004" s="4" t="s">
        <v>4696</v>
      </c>
      <c r="AA1004" s="3">
        <v>320</v>
      </c>
      <c r="AB1004" s="3">
        <v>288</v>
      </c>
      <c r="AC1004" s="3">
        <v>295</v>
      </c>
      <c r="AD1004" s="3">
        <v>3</v>
      </c>
      <c r="AE1004" s="3">
        <v>3</v>
      </c>
      <c r="AF1004" s="3">
        <v>7</v>
      </c>
      <c r="AG1004" s="3">
        <v>7</v>
      </c>
      <c r="AH1004" s="3">
        <v>1</v>
      </c>
      <c r="AI1004" s="3">
        <v>1</v>
      </c>
      <c r="AJ1004" s="3">
        <v>1</v>
      </c>
      <c r="AK1004" s="3">
        <v>1</v>
      </c>
      <c r="AL1004" s="3">
        <v>4</v>
      </c>
      <c r="AM1004" s="3">
        <v>4</v>
      </c>
      <c r="AN1004" s="3">
        <v>1</v>
      </c>
      <c r="AO1004" s="3">
        <v>1</v>
      </c>
      <c r="AP1004" s="3">
        <v>0</v>
      </c>
      <c r="AQ1004" s="3">
        <v>0</v>
      </c>
      <c r="AR1004" s="2" t="s">
        <v>5</v>
      </c>
      <c r="AS1004" s="2" t="s">
        <v>16</v>
      </c>
      <c r="AT1004" s="5" t="str">
        <f>HYPERLINK("http://catalog.hathitrust.org/Record/000625997","HathiTrust Record")</f>
        <v>HathiTrust Record</v>
      </c>
      <c r="AU1004" s="5" t="str">
        <f>HYPERLINK("https://creighton-primo.hosted.exlibrisgroup.com/primo-explore/search?tab=default_tab&amp;search_scope=EVERYTHING&amp;vid=01CRU&amp;lang=en_US&amp;offset=0&amp;query=any,contains,991000771349702656","Catalog Record")</f>
        <v>Catalog Record</v>
      </c>
      <c r="AV1004" s="5" t="str">
        <f>HYPERLINK("http://www.worldcat.org/oclc/11519030","WorldCat Record")</f>
        <v>WorldCat Record</v>
      </c>
      <c r="AW1004" s="2" t="s">
        <v>12195</v>
      </c>
      <c r="AX1004" s="2" t="s">
        <v>12196</v>
      </c>
      <c r="AY1004" s="2" t="s">
        <v>12197</v>
      </c>
      <c r="AZ1004" s="2" t="s">
        <v>12197</v>
      </c>
      <c r="BA1004" s="2" t="s">
        <v>12198</v>
      </c>
      <c r="BB1004" s="2" t="s">
        <v>21</v>
      </c>
      <c r="BD1004" s="2" t="s">
        <v>12199</v>
      </c>
      <c r="BE1004" s="2" t="s">
        <v>12200</v>
      </c>
      <c r="BF1004" s="2" t="s">
        <v>12201</v>
      </c>
    </row>
    <row r="1005" spans="1:58" ht="41.25" customHeight="1" x14ac:dyDescent="0.25">
      <c r="A1005" s="8" t="s">
        <v>5</v>
      </c>
      <c r="B1005" s="1" t="s">
        <v>0</v>
      </c>
      <c r="C1005" s="1" t="s">
        <v>1</v>
      </c>
      <c r="D1005" s="1" t="s">
        <v>12202</v>
      </c>
      <c r="E1005" s="1" t="s">
        <v>12203</v>
      </c>
      <c r="F1005" s="1" t="s">
        <v>12204</v>
      </c>
      <c r="H1005" s="2" t="s">
        <v>5</v>
      </c>
      <c r="I1005" s="2" t="s">
        <v>6</v>
      </c>
      <c r="J1005" s="2" t="s">
        <v>5</v>
      </c>
      <c r="K1005" s="2" t="s">
        <v>5</v>
      </c>
      <c r="L1005" s="2" t="s">
        <v>7</v>
      </c>
      <c r="N1005" s="1" t="s">
        <v>12205</v>
      </c>
      <c r="O1005" s="2" t="s">
        <v>1046</v>
      </c>
      <c r="P1005" s="1" t="s">
        <v>901</v>
      </c>
      <c r="Q1005" s="2" t="s">
        <v>11</v>
      </c>
      <c r="R1005" s="2" t="s">
        <v>78</v>
      </c>
      <c r="T1005" s="2" t="s">
        <v>520</v>
      </c>
      <c r="U1005" s="3">
        <v>7</v>
      </c>
      <c r="V1005" s="3">
        <v>7</v>
      </c>
      <c r="W1005" s="4" t="s">
        <v>8989</v>
      </c>
      <c r="X1005" s="4" t="s">
        <v>8989</v>
      </c>
      <c r="Y1005" s="4" t="s">
        <v>12206</v>
      </c>
      <c r="Z1005" s="4" t="s">
        <v>12206</v>
      </c>
      <c r="AA1005" s="3">
        <v>200</v>
      </c>
      <c r="AB1005" s="3">
        <v>133</v>
      </c>
      <c r="AC1005" s="3">
        <v>406</v>
      </c>
      <c r="AD1005" s="3">
        <v>3</v>
      </c>
      <c r="AE1005" s="3">
        <v>5</v>
      </c>
      <c r="AF1005" s="3">
        <v>13</v>
      </c>
      <c r="AG1005" s="3">
        <v>22</v>
      </c>
      <c r="AH1005" s="3">
        <v>2</v>
      </c>
      <c r="AI1005" s="3">
        <v>6</v>
      </c>
      <c r="AJ1005" s="3">
        <v>3</v>
      </c>
      <c r="AK1005" s="3">
        <v>5</v>
      </c>
      <c r="AL1005" s="3">
        <v>8</v>
      </c>
      <c r="AM1005" s="3">
        <v>12</v>
      </c>
      <c r="AN1005" s="3">
        <v>2</v>
      </c>
      <c r="AO1005" s="3">
        <v>4</v>
      </c>
      <c r="AP1005" s="3">
        <v>0</v>
      </c>
      <c r="AQ1005" s="3">
        <v>0</v>
      </c>
      <c r="AR1005" s="2" t="s">
        <v>5</v>
      </c>
      <c r="AS1005" s="2" t="s">
        <v>16</v>
      </c>
      <c r="AT1005" s="5" t="str">
        <f>HYPERLINK("http://catalog.hathitrust.org/Record/004324089","HathiTrust Record")</f>
        <v>HathiTrust Record</v>
      </c>
      <c r="AU1005" s="5" t="str">
        <f>HYPERLINK("https://creighton-primo.hosted.exlibrisgroup.com/primo-explore/search?tab=default_tab&amp;search_scope=EVERYTHING&amp;vid=01CRU&amp;lang=en_US&amp;offset=0&amp;query=any,contains,991000360079702656","Catalog Record")</f>
        <v>Catalog Record</v>
      </c>
      <c r="AV1005" s="5" t="str">
        <f>HYPERLINK("http://www.worldcat.org/oclc/50598137","WorldCat Record")</f>
        <v>WorldCat Record</v>
      </c>
      <c r="AW1005" s="2" t="s">
        <v>12207</v>
      </c>
      <c r="AX1005" s="2" t="s">
        <v>12208</v>
      </c>
      <c r="AY1005" s="2" t="s">
        <v>12209</v>
      </c>
      <c r="AZ1005" s="2" t="s">
        <v>12209</v>
      </c>
      <c r="BA1005" s="2" t="s">
        <v>12210</v>
      </c>
      <c r="BB1005" s="2" t="s">
        <v>21</v>
      </c>
      <c r="BD1005" s="2" t="s">
        <v>12211</v>
      </c>
      <c r="BE1005" s="2" t="s">
        <v>12212</v>
      </c>
      <c r="BF1005" s="2" t="s">
        <v>12213</v>
      </c>
    </row>
    <row r="1006" spans="1:58" ht="41.25" customHeight="1" x14ac:dyDescent="0.25">
      <c r="A1006" s="8" t="s">
        <v>5</v>
      </c>
      <c r="B1006" s="1" t="s">
        <v>0</v>
      </c>
      <c r="C1006" s="1" t="s">
        <v>1</v>
      </c>
      <c r="D1006" s="1" t="s">
        <v>12214</v>
      </c>
      <c r="E1006" s="1" t="s">
        <v>12215</v>
      </c>
      <c r="F1006" s="1" t="s">
        <v>12216</v>
      </c>
      <c r="H1006" s="2" t="s">
        <v>5</v>
      </c>
      <c r="I1006" s="2" t="s">
        <v>6</v>
      </c>
      <c r="J1006" s="2" t="s">
        <v>5</v>
      </c>
      <c r="K1006" s="2" t="s">
        <v>5</v>
      </c>
      <c r="L1006" s="2" t="s">
        <v>7</v>
      </c>
      <c r="N1006" s="1" t="s">
        <v>12217</v>
      </c>
      <c r="O1006" s="2" t="s">
        <v>1283</v>
      </c>
      <c r="Q1006" s="2" t="s">
        <v>11</v>
      </c>
      <c r="R1006" s="2" t="s">
        <v>271</v>
      </c>
      <c r="T1006" s="2" t="s">
        <v>520</v>
      </c>
      <c r="U1006" s="3">
        <v>8</v>
      </c>
      <c r="V1006" s="3">
        <v>8</v>
      </c>
      <c r="W1006" s="4" t="s">
        <v>11972</v>
      </c>
      <c r="X1006" s="4" t="s">
        <v>11972</v>
      </c>
      <c r="Y1006" s="4" t="s">
        <v>5219</v>
      </c>
      <c r="Z1006" s="4" t="s">
        <v>5219</v>
      </c>
      <c r="AA1006" s="3">
        <v>137</v>
      </c>
      <c r="AB1006" s="3">
        <v>51</v>
      </c>
      <c r="AC1006" s="3">
        <v>80</v>
      </c>
      <c r="AD1006" s="3">
        <v>1</v>
      </c>
      <c r="AE1006" s="3">
        <v>1</v>
      </c>
      <c r="AF1006" s="3">
        <v>1</v>
      </c>
      <c r="AG1006" s="3">
        <v>2</v>
      </c>
      <c r="AH1006" s="3">
        <v>0</v>
      </c>
      <c r="AI1006" s="3">
        <v>1</v>
      </c>
      <c r="AJ1006" s="3">
        <v>0</v>
      </c>
      <c r="AK1006" s="3">
        <v>1</v>
      </c>
      <c r="AL1006" s="3">
        <v>1</v>
      </c>
      <c r="AM1006" s="3">
        <v>1</v>
      </c>
      <c r="AN1006" s="3">
        <v>0</v>
      </c>
      <c r="AO1006" s="3">
        <v>0</v>
      </c>
      <c r="AP1006" s="3">
        <v>0</v>
      </c>
      <c r="AQ1006" s="3">
        <v>0</v>
      </c>
      <c r="AR1006" s="2" t="s">
        <v>5</v>
      </c>
      <c r="AS1006" s="2" t="s">
        <v>5</v>
      </c>
      <c r="AU1006" s="5" t="str">
        <f>HYPERLINK("https://creighton-primo.hosted.exlibrisgroup.com/primo-explore/search?tab=default_tab&amp;search_scope=EVERYTHING&amp;vid=01CRU&amp;lang=en_US&amp;offset=0&amp;query=any,contains,991000783719702656","Catalog Record")</f>
        <v>Catalog Record</v>
      </c>
      <c r="AV1006" s="5" t="str">
        <f>HYPERLINK("http://www.worldcat.org/oclc/34996153","WorldCat Record")</f>
        <v>WorldCat Record</v>
      </c>
      <c r="AW1006" s="2" t="s">
        <v>12218</v>
      </c>
      <c r="AX1006" s="2" t="s">
        <v>12219</v>
      </c>
      <c r="AY1006" s="2" t="s">
        <v>12220</v>
      </c>
      <c r="AZ1006" s="2" t="s">
        <v>12220</v>
      </c>
      <c r="BA1006" s="2" t="s">
        <v>12221</v>
      </c>
      <c r="BB1006" s="2" t="s">
        <v>21</v>
      </c>
      <c r="BD1006" s="2" t="s">
        <v>12222</v>
      </c>
      <c r="BE1006" s="2" t="s">
        <v>12223</v>
      </c>
      <c r="BF1006" s="2" t="s">
        <v>12224</v>
      </c>
    </row>
    <row r="1007" spans="1:58" ht="41.25" customHeight="1" x14ac:dyDescent="0.25">
      <c r="A1007" s="8" t="s">
        <v>5</v>
      </c>
      <c r="B1007" s="1" t="s">
        <v>0</v>
      </c>
      <c r="C1007" s="1" t="s">
        <v>1</v>
      </c>
      <c r="D1007" s="1" t="s">
        <v>12225</v>
      </c>
      <c r="E1007" s="1" t="s">
        <v>12226</v>
      </c>
      <c r="F1007" s="1" t="s">
        <v>12227</v>
      </c>
      <c r="H1007" s="2" t="s">
        <v>5</v>
      </c>
      <c r="I1007" s="2" t="s">
        <v>6</v>
      </c>
      <c r="J1007" s="2" t="s">
        <v>5</v>
      </c>
      <c r="K1007" s="2" t="s">
        <v>5</v>
      </c>
      <c r="L1007" s="2" t="s">
        <v>7</v>
      </c>
      <c r="N1007" s="1" t="s">
        <v>1985</v>
      </c>
      <c r="O1007" s="2" t="s">
        <v>92</v>
      </c>
      <c r="Q1007" s="2" t="s">
        <v>11</v>
      </c>
      <c r="R1007" s="2" t="s">
        <v>426</v>
      </c>
      <c r="S1007" s="1" t="s">
        <v>12228</v>
      </c>
      <c r="T1007" s="2" t="s">
        <v>520</v>
      </c>
      <c r="U1007" s="3">
        <v>3</v>
      </c>
      <c r="V1007" s="3">
        <v>3</v>
      </c>
      <c r="W1007" s="4" t="s">
        <v>12030</v>
      </c>
      <c r="X1007" s="4" t="s">
        <v>12030</v>
      </c>
      <c r="Y1007" s="4" t="s">
        <v>1249</v>
      </c>
      <c r="Z1007" s="4" t="s">
        <v>1249</v>
      </c>
      <c r="AA1007" s="3">
        <v>96</v>
      </c>
      <c r="AB1007" s="3">
        <v>84</v>
      </c>
      <c r="AC1007" s="3">
        <v>86</v>
      </c>
      <c r="AD1007" s="3">
        <v>2</v>
      </c>
      <c r="AE1007" s="3">
        <v>2</v>
      </c>
      <c r="AF1007" s="3">
        <v>3</v>
      </c>
      <c r="AG1007" s="3">
        <v>3</v>
      </c>
      <c r="AH1007" s="3">
        <v>0</v>
      </c>
      <c r="AI1007" s="3">
        <v>0</v>
      </c>
      <c r="AJ1007" s="3">
        <v>0</v>
      </c>
      <c r="AK1007" s="3">
        <v>0</v>
      </c>
      <c r="AL1007" s="3">
        <v>2</v>
      </c>
      <c r="AM1007" s="3">
        <v>2</v>
      </c>
      <c r="AN1007" s="3">
        <v>1</v>
      </c>
      <c r="AO1007" s="3">
        <v>1</v>
      </c>
      <c r="AP1007" s="3">
        <v>0</v>
      </c>
      <c r="AQ1007" s="3">
        <v>0</v>
      </c>
      <c r="AR1007" s="2" t="s">
        <v>5</v>
      </c>
      <c r="AS1007" s="2" t="s">
        <v>16</v>
      </c>
      <c r="AT1007" s="5" t="str">
        <f>HYPERLINK("http://catalog.hathitrust.org/Record/000214158","HathiTrust Record")</f>
        <v>HathiTrust Record</v>
      </c>
      <c r="AU1007" s="5" t="str">
        <f>HYPERLINK("https://creighton-primo.hosted.exlibrisgroup.com/primo-explore/search?tab=default_tab&amp;search_scope=EVERYTHING&amp;vid=01CRU&amp;lang=en_US&amp;offset=0&amp;query=any,contains,991001384739702656","Catalog Record")</f>
        <v>Catalog Record</v>
      </c>
      <c r="AV1007" s="5" t="str">
        <f>HYPERLINK("http://www.worldcat.org/oclc/2968286","WorldCat Record")</f>
        <v>WorldCat Record</v>
      </c>
      <c r="AW1007" s="2" t="s">
        <v>12229</v>
      </c>
      <c r="AX1007" s="2" t="s">
        <v>12230</v>
      </c>
      <c r="AY1007" s="2" t="s">
        <v>12231</v>
      </c>
      <c r="AZ1007" s="2" t="s">
        <v>12231</v>
      </c>
      <c r="BA1007" s="2" t="s">
        <v>12232</v>
      </c>
      <c r="BB1007" s="2" t="s">
        <v>21</v>
      </c>
      <c r="BE1007" s="2" t="s">
        <v>12233</v>
      </c>
      <c r="BF1007" s="2" t="s">
        <v>12234</v>
      </c>
    </row>
    <row r="1008" spans="1:58" ht="41.25" customHeight="1" x14ac:dyDescent="0.25">
      <c r="A1008" s="8" t="s">
        <v>5</v>
      </c>
      <c r="B1008" s="1" t="s">
        <v>0</v>
      </c>
      <c r="C1008" s="1" t="s">
        <v>1</v>
      </c>
      <c r="D1008" s="1" t="s">
        <v>12235</v>
      </c>
      <c r="E1008" s="1" t="s">
        <v>12236</v>
      </c>
      <c r="F1008" s="1" t="s">
        <v>12237</v>
      </c>
      <c r="H1008" s="2" t="s">
        <v>5</v>
      </c>
      <c r="I1008" s="2" t="s">
        <v>6</v>
      </c>
      <c r="J1008" s="2" t="s">
        <v>5</v>
      </c>
      <c r="K1008" s="2" t="s">
        <v>5</v>
      </c>
      <c r="L1008" s="2" t="s">
        <v>7</v>
      </c>
      <c r="N1008" s="1" t="s">
        <v>6646</v>
      </c>
      <c r="O1008" s="2" t="s">
        <v>939</v>
      </c>
      <c r="P1008" s="1" t="s">
        <v>1208</v>
      </c>
      <c r="Q1008" s="2" t="s">
        <v>11</v>
      </c>
      <c r="R1008" s="2" t="s">
        <v>426</v>
      </c>
      <c r="T1008" s="2" t="s">
        <v>520</v>
      </c>
      <c r="U1008" s="3">
        <v>6</v>
      </c>
      <c r="V1008" s="3">
        <v>6</v>
      </c>
      <c r="W1008" s="4" t="s">
        <v>12238</v>
      </c>
      <c r="X1008" s="4" t="s">
        <v>12238</v>
      </c>
      <c r="Y1008" s="4" t="s">
        <v>10751</v>
      </c>
      <c r="Z1008" s="4" t="s">
        <v>10751</v>
      </c>
      <c r="AA1008" s="3">
        <v>318</v>
      </c>
      <c r="AB1008" s="3">
        <v>273</v>
      </c>
      <c r="AC1008" s="3">
        <v>490</v>
      </c>
      <c r="AD1008" s="3">
        <v>4</v>
      </c>
      <c r="AE1008" s="3">
        <v>4</v>
      </c>
      <c r="AF1008" s="3">
        <v>7</v>
      </c>
      <c r="AG1008" s="3">
        <v>11</v>
      </c>
      <c r="AH1008" s="3">
        <v>1</v>
      </c>
      <c r="AI1008" s="3">
        <v>2</v>
      </c>
      <c r="AJ1008" s="3">
        <v>1</v>
      </c>
      <c r="AK1008" s="3">
        <v>2</v>
      </c>
      <c r="AL1008" s="3">
        <v>4</v>
      </c>
      <c r="AM1008" s="3">
        <v>7</v>
      </c>
      <c r="AN1008" s="3">
        <v>2</v>
      </c>
      <c r="AO1008" s="3">
        <v>2</v>
      </c>
      <c r="AP1008" s="3">
        <v>0</v>
      </c>
      <c r="AQ1008" s="3">
        <v>0</v>
      </c>
      <c r="AR1008" s="2" t="s">
        <v>5</v>
      </c>
      <c r="AS1008" s="2" t="s">
        <v>16</v>
      </c>
      <c r="AT1008" s="5" t="str">
        <f>HYPERLINK("http://catalog.hathitrust.org/Record/000879388","HathiTrust Record")</f>
        <v>HathiTrust Record</v>
      </c>
      <c r="AU1008" s="5" t="str">
        <f>HYPERLINK("https://creighton-primo.hosted.exlibrisgroup.com/primo-explore/search?tab=default_tab&amp;search_scope=EVERYTHING&amp;vid=01CRU&amp;lang=en_US&amp;offset=0&amp;query=any,contains,991001189519702656","Catalog Record")</f>
        <v>Catalog Record</v>
      </c>
      <c r="AV1008" s="5" t="str">
        <f>HYPERLINK("http://www.worldcat.org/oclc/16802357","WorldCat Record")</f>
        <v>WorldCat Record</v>
      </c>
      <c r="AW1008" s="2" t="s">
        <v>12239</v>
      </c>
      <c r="AX1008" s="2" t="s">
        <v>12240</v>
      </c>
      <c r="AY1008" s="2" t="s">
        <v>12241</v>
      </c>
      <c r="AZ1008" s="2" t="s">
        <v>12241</v>
      </c>
      <c r="BA1008" s="2" t="s">
        <v>12242</v>
      </c>
      <c r="BB1008" s="2" t="s">
        <v>21</v>
      </c>
      <c r="BD1008" s="2" t="s">
        <v>12243</v>
      </c>
      <c r="BE1008" s="2" t="s">
        <v>12244</v>
      </c>
      <c r="BF1008" s="2" t="s">
        <v>12245</v>
      </c>
    </row>
    <row r="1009" spans="1:58" ht="41.25" customHeight="1" x14ac:dyDescent="0.25">
      <c r="A1009" s="8" t="s">
        <v>5</v>
      </c>
      <c r="B1009" s="1" t="s">
        <v>0</v>
      </c>
      <c r="C1009" s="1" t="s">
        <v>1</v>
      </c>
      <c r="D1009" s="1" t="s">
        <v>12246</v>
      </c>
      <c r="E1009" s="1" t="s">
        <v>12247</v>
      </c>
      <c r="F1009" s="1" t="s">
        <v>12248</v>
      </c>
      <c r="H1009" s="2" t="s">
        <v>5</v>
      </c>
      <c r="I1009" s="2" t="s">
        <v>6</v>
      </c>
      <c r="J1009" s="2" t="s">
        <v>5</v>
      </c>
      <c r="K1009" s="2" t="s">
        <v>5</v>
      </c>
      <c r="L1009" s="2" t="s">
        <v>7</v>
      </c>
      <c r="N1009" s="1" t="s">
        <v>12249</v>
      </c>
      <c r="O1009" s="2" t="s">
        <v>794</v>
      </c>
      <c r="P1009" s="1" t="s">
        <v>63</v>
      </c>
      <c r="Q1009" s="2" t="s">
        <v>11</v>
      </c>
      <c r="R1009" s="2" t="s">
        <v>31</v>
      </c>
      <c r="T1009" s="2" t="s">
        <v>520</v>
      </c>
      <c r="U1009" s="3">
        <v>10</v>
      </c>
      <c r="V1009" s="3">
        <v>10</v>
      </c>
      <c r="W1009" s="4" t="s">
        <v>12250</v>
      </c>
      <c r="X1009" s="4" t="s">
        <v>12250</v>
      </c>
      <c r="Y1009" s="4" t="s">
        <v>12251</v>
      </c>
      <c r="Z1009" s="4" t="s">
        <v>12251</v>
      </c>
      <c r="AA1009" s="3">
        <v>353</v>
      </c>
      <c r="AB1009" s="3">
        <v>302</v>
      </c>
      <c r="AC1009" s="3">
        <v>309</v>
      </c>
      <c r="AD1009" s="3">
        <v>2</v>
      </c>
      <c r="AE1009" s="3">
        <v>2</v>
      </c>
      <c r="AF1009" s="3">
        <v>3</v>
      </c>
      <c r="AG1009" s="3">
        <v>3</v>
      </c>
      <c r="AH1009" s="3">
        <v>3</v>
      </c>
      <c r="AI1009" s="3">
        <v>3</v>
      </c>
      <c r="AJ1009" s="3">
        <v>0</v>
      </c>
      <c r="AK1009" s="3">
        <v>0</v>
      </c>
      <c r="AL1009" s="3">
        <v>2</v>
      </c>
      <c r="AM1009" s="3">
        <v>2</v>
      </c>
      <c r="AN1009" s="3">
        <v>0</v>
      </c>
      <c r="AO1009" s="3">
        <v>0</v>
      </c>
      <c r="AP1009" s="3">
        <v>0</v>
      </c>
      <c r="AQ1009" s="3">
        <v>0</v>
      </c>
      <c r="AR1009" s="2" t="s">
        <v>5</v>
      </c>
      <c r="AS1009" s="2" t="s">
        <v>16</v>
      </c>
      <c r="AT1009" s="5" t="str">
        <f>HYPERLINK("http://catalog.hathitrust.org/Record/003055311","HathiTrust Record")</f>
        <v>HathiTrust Record</v>
      </c>
      <c r="AU1009" s="5" t="str">
        <f>HYPERLINK("https://creighton-primo.hosted.exlibrisgroup.com/primo-explore/search?tab=default_tab&amp;search_scope=EVERYTHING&amp;vid=01CRU&amp;lang=en_US&amp;offset=0&amp;query=any,contains,991001249589702656","Catalog Record")</f>
        <v>Catalog Record</v>
      </c>
      <c r="AV1009" s="5" t="str">
        <f>HYPERLINK("http://www.worldcat.org/oclc/33838228","WorldCat Record")</f>
        <v>WorldCat Record</v>
      </c>
      <c r="AW1009" s="2" t="s">
        <v>12252</v>
      </c>
      <c r="AX1009" s="2" t="s">
        <v>12253</v>
      </c>
      <c r="AY1009" s="2" t="s">
        <v>12254</v>
      </c>
      <c r="AZ1009" s="2" t="s">
        <v>12254</v>
      </c>
      <c r="BA1009" s="2" t="s">
        <v>12255</v>
      </c>
      <c r="BB1009" s="2" t="s">
        <v>21</v>
      </c>
      <c r="BD1009" s="2" t="s">
        <v>12256</v>
      </c>
      <c r="BE1009" s="2" t="s">
        <v>12257</v>
      </c>
      <c r="BF1009" s="2" t="s">
        <v>12258</v>
      </c>
    </row>
    <row r="1010" spans="1:58" ht="41.25" customHeight="1" x14ac:dyDescent="0.25">
      <c r="A1010" s="8" t="s">
        <v>5</v>
      </c>
      <c r="B1010" s="1" t="s">
        <v>0</v>
      </c>
      <c r="C1010" s="1" t="s">
        <v>1</v>
      </c>
      <c r="D1010" s="1" t="s">
        <v>12259</v>
      </c>
      <c r="E1010" s="1" t="s">
        <v>12260</v>
      </c>
      <c r="F1010" s="1" t="s">
        <v>12261</v>
      </c>
      <c r="H1010" s="2" t="s">
        <v>5</v>
      </c>
      <c r="I1010" s="2" t="s">
        <v>6</v>
      </c>
      <c r="J1010" s="2" t="s">
        <v>5</v>
      </c>
      <c r="K1010" s="2" t="s">
        <v>16</v>
      </c>
      <c r="L1010" s="2" t="s">
        <v>7</v>
      </c>
      <c r="N1010" s="1" t="s">
        <v>11783</v>
      </c>
      <c r="O1010" s="2" t="s">
        <v>1195</v>
      </c>
      <c r="P1010" s="1" t="s">
        <v>108</v>
      </c>
      <c r="Q1010" s="2" t="s">
        <v>11</v>
      </c>
      <c r="R1010" s="2" t="s">
        <v>31</v>
      </c>
      <c r="T1010" s="2" t="s">
        <v>520</v>
      </c>
      <c r="U1010" s="3">
        <v>0</v>
      </c>
      <c r="V1010" s="3">
        <v>0</v>
      </c>
      <c r="W1010" s="4" t="s">
        <v>11913</v>
      </c>
      <c r="X1010" s="4" t="s">
        <v>11913</v>
      </c>
      <c r="Y1010" s="4" t="s">
        <v>6921</v>
      </c>
      <c r="Z1010" s="4" t="s">
        <v>6921</v>
      </c>
      <c r="AA1010" s="3">
        <v>524</v>
      </c>
      <c r="AB1010" s="3">
        <v>430</v>
      </c>
      <c r="AC1010" s="3">
        <v>703</v>
      </c>
      <c r="AD1010" s="3">
        <v>2</v>
      </c>
      <c r="AE1010" s="3">
        <v>5</v>
      </c>
      <c r="AF1010" s="3">
        <v>15</v>
      </c>
      <c r="AG1010" s="3">
        <v>21</v>
      </c>
      <c r="AH1010" s="3">
        <v>5</v>
      </c>
      <c r="AI1010" s="3">
        <v>6</v>
      </c>
      <c r="AJ1010" s="3">
        <v>3</v>
      </c>
      <c r="AK1010" s="3">
        <v>3</v>
      </c>
      <c r="AL1010" s="3">
        <v>8</v>
      </c>
      <c r="AM1010" s="3">
        <v>10</v>
      </c>
      <c r="AN1010" s="3">
        <v>1</v>
      </c>
      <c r="AO1010" s="3">
        <v>4</v>
      </c>
      <c r="AP1010" s="3">
        <v>0</v>
      </c>
      <c r="AQ1010" s="3">
        <v>0</v>
      </c>
      <c r="AR1010" s="2" t="s">
        <v>5</v>
      </c>
      <c r="AS1010" s="2" t="s">
        <v>5</v>
      </c>
      <c r="AU1010" s="5" t="str">
        <f>HYPERLINK("https://creighton-primo.hosted.exlibrisgroup.com/primo-explore/search?tab=default_tab&amp;search_scope=EVERYTHING&amp;vid=01CRU&amp;lang=en_US&amp;offset=0&amp;query=any,contains,991000313279702656","Catalog Record")</f>
        <v>Catalog Record</v>
      </c>
      <c r="AV1010" s="5" t="str">
        <f>HYPERLINK("http://www.worldcat.org/oclc/42022650","WorldCat Record")</f>
        <v>WorldCat Record</v>
      </c>
      <c r="AW1010" s="2" t="s">
        <v>12262</v>
      </c>
      <c r="AX1010" s="2" t="s">
        <v>12263</v>
      </c>
      <c r="AY1010" s="2" t="s">
        <v>12264</v>
      </c>
      <c r="AZ1010" s="2" t="s">
        <v>12264</v>
      </c>
      <c r="BA1010" s="2" t="s">
        <v>12265</v>
      </c>
      <c r="BB1010" s="2" t="s">
        <v>21</v>
      </c>
      <c r="BD1010" s="2" t="s">
        <v>12266</v>
      </c>
      <c r="BE1010" s="2" t="s">
        <v>12267</v>
      </c>
      <c r="BF1010" s="2" t="s">
        <v>12268</v>
      </c>
    </row>
    <row r="1011" spans="1:58" ht="41.25" customHeight="1" x14ac:dyDescent="0.25">
      <c r="A1011" s="8" t="s">
        <v>5</v>
      </c>
      <c r="B1011" s="1" t="s">
        <v>0</v>
      </c>
      <c r="C1011" s="1" t="s">
        <v>1</v>
      </c>
      <c r="D1011" s="1" t="s">
        <v>12269</v>
      </c>
      <c r="E1011" s="1" t="s">
        <v>12270</v>
      </c>
      <c r="F1011" s="1" t="s">
        <v>12271</v>
      </c>
      <c r="H1011" s="2" t="s">
        <v>5</v>
      </c>
      <c r="I1011" s="2" t="s">
        <v>6</v>
      </c>
      <c r="J1011" s="2" t="s">
        <v>5</v>
      </c>
      <c r="K1011" s="2" t="s">
        <v>5</v>
      </c>
      <c r="L1011" s="2" t="s">
        <v>7</v>
      </c>
      <c r="N1011" s="1" t="s">
        <v>7655</v>
      </c>
      <c r="O1011" s="2" t="s">
        <v>989</v>
      </c>
      <c r="Q1011" s="2" t="s">
        <v>11</v>
      </c>
      <c r="R1011" s="2" t="s">
        <v>426</v>
      </c>
      <c r="T1011" s="2" t="s">
        <v>520</v>
      </c>
      <c r="U1011" s="3">
        <v>13</v>
      </c>
      <c r="V1011" s="3">
        <v>13</v>
      </c>
      <c r="W1011" s="4" t="s">
        <v>12272</v>
      </c>
      <c r="X1011" s="4" t="s">
        <v>12272</v>
      </c>
      <c r="Y1011" s="4" t="s">
        <v>12273</v>
      </c>
      <c r="Z1011" s="4" t="s">
        <v>12273</v>
      </c>
      <c r="AA1011" s="3">
        <v>346</v>
      </c>
      <c r="AB1011" s="3">
        <v>300</v>
      </c>
      <c r="AC1011" s="3">
        <v>304</v>
      </c>
      <c r="AD1011" s="3">
        <v>1</v>
      </c>
      <c r="AE1011" s="3">
        <v>1</v>
      </c>
      <c r="AF1011" s="3">
        <v>14</v>
      </c>
      <c r="AG1011" s="3">
        <v>14</v>
      </c>
      <c r="AH1011" s="3">
        <v>3</v>
      </c>
      <c r="AI1011" s="3">
        <v>3</v>
      </c>
      <c r="AJ1011" s="3">
        <v>5</v>
      </c>
      <c r="AK1011" s="3">
        <v>5</v>
      </c>
      <c r="AL1011" s="3">
        <v>11</v>
      </c>
      <c r="AM1011" s="3">
        <v>11</v>
      </c>
      <c r="AN1011" s="3">
        <v>0</v>
      </c>
      <c r="AO1011" s="3">
        <v>0</v>
      </c>
      <c r="AP1011" s="3">
        <v>0</v>
      </c>
      <c r="AQ1011" s="3">
        <v>0</v>
      </c>
      <c r="AR1011" s="2" t="s">
        <v>5</v>
      </c>
      <c r="AS1011" s="2" t="s">
        <v>16</v>
      </c>
      <c r="AT1011" s="5" t="str">
        <f>HYPERLINK("http://catalog.hathitrust.org/Record/001823006","HathiTrust Record")</f>
        <v>HathiTrust Record</v>
      </c>
      <c r="AU1011" s="5" t="str">
        <f>HYPERLINK("https://creighton-primo.hosted.exlibrisgroup.com/primo-explore/search?tab=default_tab&amp;search_scope=EVERYTHING&amp;vid=01CRU&amp;lang=en_US&amp;offset=0&amp;query=any,contains,991000947389702656","Catalog Record")</f>
        <v>Catalog Record</v>
      </c>
      <c r="AV1011" s="5" t="str">
        <f>HYPERLINK("http://www.worldcat.org/oclc/20220542","WorldCat Record")</f>
        <v>WorldCat Record</v>
      </c>
      <c r="AW1011" s="2" t="s">
        <v>12274</v>
      </c>
      <c r="AX1011" s="2" t="s">
        <v>12275</v>
      </c>
      <c r="AY1011" s="2" t="s">
        <v>12276</v>
      </c>
      <c r="AZ1011" s="2" t="s">
        <v>12276</v>
      </c>
      <c r="BA1011" s="2" t="s">
        <v>12277</v>
      </c>
      <c r="BB1011" s="2" t="s">
        <v>21</v>
      </c>
      <c r="BD1011" s="2" t="s">
        <v>12278</v>
      </c>
      <c r="BE1011" s="2" t="s">
        <v>12279</v>
      </c>
      <c r="BF1011" s="2" t="s">
        <v>12280</v>
      </c>
    </row>
    <row r="1012" spans="1:58" ht="41.25" customHeight="1" x14ac:dyDescent="0.25">
      <c r="A1012" s="8" t="s">
        <v>5</v>
      </c>
      <c r="B1012" s="1" t="s">
        <v>0</v>
      </c>
      <c r="C1012" s="1" t="s">
        <v>1</v>
      </c>
      <c r="D1012" s="1" t="s">
        <v>12281</v>
      </c>
      <c r="E1012" s="1" t="s">
        <v>12282</v>
      </c>
      <c r="F1012" s="1" t="s">
        <v>12283</v>
      </c>
      <c r="H1012" s="2" t="s">
        <v>5</v>
      </c>
      <c r="I1012" s="2" t="s">
        <v>6</v>
      </c>
      <c r="J1012" s="2" t="s">
        <v>5</v>
      </c>
      <c r="K1012" s="2" t="s">
        <v>5</v>
      </c>
      <c r="L1012" s="2" t="s">
        <v>7</v>
      </c>
      <c r="N1012" s="1" t="s">
        <v>12284</v>
      </c>
      <c r="O1012" s="2" t="s">
        <v>617</v>
      </c>
      <c r="Q1012" s="2" t="s">
        <v>11</v>
      </c>
      <c r="R1012" s="2" t="s">
        <v>12</v>
      </c>
      <c r="T1012" s="2" t="s">
        <v>520</v>
      </c>
      <c r="U1012" s="3">
        <v>6</v>
      </c>
      <c r="V1012" s="3">
        <v>6</v>
      </c>
      <c r="W1012" s="4" t="s">
        <v>8741</v>
      </c>
      <c r="X1012" s="4" t="s">
        <v>8741</v>
      </c>
      <c r="Y1012" s="4" t="s">
        <v>329</v>
      </c>
      <c r="Z1012" s="4" t="s">
        <v>329</v>
      </c>
      <c r="AA1012" s="3">
        <v>293</v>
      </c>
      <c r="AB1012" s="3">
        <v>258</v>
      </c>
      <c r="AC1012" s="3">
        <v>267</v>
      </c>
      <c r="AD1012" s="3">
        <v>1</v>
      </c>
      <c r="AE1012" s="3">
        <v>1</v>
      </c>
      <c r="AF1012" s="3">
        <v>11</v>
      </c>
      <c r="AG1012" s="3">
        <v>11</v>
      </c>
      <c r="AH1012" s="3">
        <v>4</v>
      </c>
      <c r="AI1012" s="3">
        <v>4</v>
      </c>
      <c r="AJ1012" s="3">
        <v>1</v>
      </c>
      <c r="AK1012" s="3">
        <v>1</v>
      </c>
      <c r="AL1012" s="3">
        <v>7</v>
      </c>
      <c r="AM1012" s="3">
        <v>7</v>
      </c>
      <c r="AN1012" s="3">
        <v>0</v>
      </c>
      <c r="AO1012" s="3">
        <v>0</v>
      </c>
      <c r="AP1012" s="3">
        <v>0</v>
      </c>
      <c r="AQ1012" s="3">
        <v>0</v>
      </c>
      <c r="AR1012" s="2" t="s">
        <v>5</v>
      </c>
      <c r="AS1012" s="2" t="s">
        <v>16</v>
      </c>
      <c r="AT1012" s="5" t="str">
        <f>HYPERLINK("http://catalog.hathitrust.org/Record/001579418","HathiTrust Record")</f>
        <v>HathiTrust Record</v>
      </c>
      <c r="AU1012" s="5" t="str">
        <f>HYPERLINK("https://creighton-primo.hosted.exlibrisgroup.com/primo-explore/search?tab=default_tab&amp;search_scope=EVERYTHING&amp;vid=01CRU&amp;lang=en_US&amp;offset=0&amp;query=any,contains,991000737179702656","Catalog Record")</f>
        <v>Catalog Record</v>
      </c>
      <c r="AV1012" s="5" t="str">
        <f>HYPERLINK("http://www.worldcat.org/oclc/710704","WorldCat Record")</f>
        <v>WorldCat Record</v>
      </c>
      <c r="AW1012" s="2" t="s">
        <v>12285</v>
      </c>
      <c r="AX1012" s="2" t="s">
        <v>12286</v>
      </c>
      <c r="AY1012" s="2" t="s">
        <v>12287</v>
      </c>
      <c r="AZ1012" s="2" t="s">
        <v>12287</v>
      </c>
      <c r="BA1012" s="2" t="s">
        <v>12288</v>
      </c>
      <c r="BB1012" s="2" t="s">
        <v>21</v>
      </c>
      <c r="BE1012" s="2" t="s">
        <v>12289</v>
      </c>
      <c r="BF1012" s="2" t="s">
        <v>12290</v>
      </c>
    </row>
    <row r="1013" spans="1:58" ht="41.25" customHeight="1" x14ac:dyDescent="0.25">
      <c r="A1013" s="8" t="s">
        <v>5</v>
      </c>
      <c r="B1013" s="1" t="s">
        <v>0</v>
      </c>
      <c r="C1013" s="1" t="s">
        <v>1</v>
      </c>
      <c r="D1013" s="1" t="s">
        <v>12291</v>
      </c>
      <c r="E1013" s="1" t="s">
        <v>12292</v>
      </c>
      <c r="F1013" s="1" t="s">
        <v>12293</v>
      </c>
      <c r="H1013" s="2" t="s">
        <v>5</v>
      </c>
      <c r="I1013" s="2" t="s">
        <v>6</v>
      </c>
      <c r="J1013" s="2" t="s">
        <v>5</v>
      </c>
      <c r="K1013" s="2" t="s">
        <v>16</v>
      </c>
      <c r="L1013" s="2" t="s">
        <v>7</v>
      </c>
      <c r="N1013" s="1" t="s">
        <v>9760</v>
      </c>
      <c r="O1013" s="2" t="s">
        <v>888</v>
      </c>
      <c r="Q1013" s="2" t="s">
        <v>11</v>
      </c>
      <c r="R1013" s="2" t="s">
        <v>426</v>
      </c>
      <c r="T1013" s="2" t="s">
        <v>520</v>
      </c>
      <c r="U1013" s="3">
        <v>2</v>
      </c>
      <c r="V1013" s="3">
        <v>2</v>
      </c>
      <c r="W1013" s="4" t="s">
        <v>11890</v>
      </c>
      <c r="X1013" s="4" t="s">
        <v>11890</v>
      </c>
      <c r="Y1013" s="4" t="s">
        <v>329</v>
      </c>
      <c r="Z1013" s="4" t="s">
        <v>329</v>
      </c>
      <c r="AA1013" s="3">
        <v>155</v>
      </c>
      <c r="AB1013" s="3">
        <v>127</v>
      </c>
      <c r="AC1013" s="3">
        <v>423</v>
      </c>
      <c r="AD1013" s="3">
        <v>1</v>
      </c>
      <c r="AE1013" s="3">
        <v>2</v>
      </c>
      <c r="AF1013" s="3">
        <v>2</v>
      </c>
      <c r="AG1013" s="3">
        <v>10</v>
      </c>
      <c r="AH1013" s="3">
        <v>0</v>
      </c>
      <c r="AI1013" s="3">
        <v>3</v>
      </c>
      <c r="AJ1013" s="3">
        <v>1</v>
      </c>
      <c r="AK1013" s="3">
        <v>3</v>
      </c>
      <c r="AL1013" s="3">
        <v>2</v>
      </c>
      <c r="AM1013" s="3">
        <v>7</v>
      </c>
      <c r="AN1013" s="3">
        <v>0</v>
      </c>
      <c r="AO1013" s="3">
        <v>0</v>
      </c>
      <c r="AP1013" s="3">
        <v>0</v>
      </c>
      <c r="AQ1013" s="3">
        <v>0</v>
      </c>
      <c r="AR1013" s="2" t="s">
        <v>5</v>
      </c>
      <c r="AS1013" s="2" t="s">
        <v>16</v>
      </c>
      <c r="AT1013" s="5" t="str">
        <f>HYPERLINK("http://catalog.hathitrust.org/Record/000125613","HathiTrust Record")</f>
        <v>HathiTrust Record</v>
      </c>
      <c r="AU1013" s="5" t="str">
        <f>HYPERLINK("https://creighton-primo.hosted.exlibrisgroup.com/primo-explore/search?tab=default_tab&amp;search_scope=EVERYTHING&amp;vid=01CRU&amp;lang=en_US&amp;offset=0&amp;query=any,contains,991000737069702656","Catalog Record")</f>
        <v>Catalog Record</v>
      </c>
      <c r="AV1013" s="5" t="str">
        <f>HYPERLINK("http://www.worldcat.org/oclc/10123637","WorldCat Record")</f>
        <v>WorldCat Record</v>
      </c>
      <c r="AW1013" s="2" t="s">
        <v>12294</v>
      </c>
      <c r="AX1013" s="2" t="s">
        <v>12295</v>
      </c>
      <c r="AY1013" s="2" t="s">
        <v>12296</v>
      </c>
      <c r="AZ1013" s="2" t="s">
        <v>12296</v>
      </c>
      <c r="BA1013" s="2" t="s">
        <v>12297</v>
      </c>
      <c r="BB1013" s="2" t="s">
        <v>21</v>
      </c>
      <c r="BD1013" s="2" t="s">
        <v>12298</v>
      </c>
      <c r="BE1013" s="2" t="s">
        <v>12299</v>
      </c>
      <c r="BF1013" s="2" t="s">
        <v>12300</v>
      </c>
    </row>
    <row r="1014" spans="1:58" ht="41.25" customHeight="1" x14ac:dyDescent="0.25">
      <c r="A1014" s="8" t="s">
        <v>5</v>
      </c>
      <c r="B1014" s="1" t="s">
        <v>0</v>
      </c>
      <c r="C1014" s="1" t="s">
        <v>1</v>
      </c>
      <c r="D1014" s="1" t="s">
        <v>12301</v>
      </c>
      <c r="E1014" s="1" t="s">
        <v>12302</v>
      </c>
      <c r="F1014" s="1" t="s">
        <v>12303</v>
      </c>
      <c r="H1014" s="2" t="s">
        <v>5</v>
      </c>
      <c r="I1014" s="2" t="s">
        <v>6</v>
      </c>
      <c r="J1014" s="2" t="s">
        <v>5</v>
      </c>
      <c r="K1014" s="2" t="s">
        <v>16</v>
      </c>
      <c r="L1014" s="2" t="s">
        <v>7</v>
      </c>
      <c r="M1014" s="1" t="s">
        <v>12304</v>
      </c>
      <c r="N1014" s="1" t="s">
        <v>1282</v>
      </c>
      <c r="O1014" s="2" t="s">
        <v>1283</v>
      </c>
      <c r="P1014" s="1" t="s">
        <v>1208</v>
      </c>
      <c r="Q1014" s="2" t="s">
        <v>11</v>
      </c>
      <c r="R1014" s="2" t="s">
        <v>31</v>
      </c>
      <c r="T1014" s="2" t="s">
        <v>520</v>
      </c>
      <c r="U1014" s="3">
        <v>15</v>
      </c>
      <c r="V1014" s="3">
        <v>15</v>
      </c>
      <c r="W1014" s="4" t="s">
        <v>12305</v>
      </c>
      <c r="X1014" s="4" t="s">
        <v>12305</v>
      </c>
      <c r="Y1014" s="4" t="s">
        <v>1604</v>
      </c>
      <c r="Z1014" s="4" t="s">
        <v>1604</v>
      </c>
      <c r="AA1014" s="3">
        <v>309</v>
      </c>
      <c r="AB1014" s="3">
        <v>224</v>
      </c>
      <c r="AC1014" s="3">
        <v>1402</v>
      </c>
      <c r="AD1014" s="3">
        <v>1</v>
      </c>
      <c r="AE1014" s="3">
        <v>7</v>
      </c>
      <c r="AF1014" s="3">
        <v>3</v>
      </c>
      <c r="AG1014" s="3">
        <v>32</v>
      </c>
      <c r="AH1014" s="3">
        <v>1</v>
      </c>
      <c r="AI1014" s="3">
        <v>11</v>
      </c>
      <c r="AJ1014" s="3">
        <v>0</v>
      </c>
      <c r="AK1014" s="3">
        <v>7</v>
      </c>
      <c r="AL1014" s="3">
        <v>2</v>
      </c>
      <c r="AM1014" s="3">
        <v>14</v>
      </c>
      <c r="AN1014" s="3">
        <v>0</v>
      </c>
      <c r="AO1014" s="3">
        <v>5</v>
      </c>
      <c r="AP1014" s="3">
        <v>0</v>
      </c>
      <c r="AQ1014" s="3">
        <v>0</v>
      </c>
      <c r="AR1014" s="2" t="s">
        <v>5</v>
      </c>
      <c r="AS1014" s="2" t="s">
        <v>5</v>
      </c>
      <c r="AU1014" s="5" t="str">
        <f>HYPERLINK("https://creighton-primo.hosted.exlibrisgroup.com/primo-explore/search?tab=default_tab&amp;search_scope=EVERYTHING&amp;vid=01CRU&amp;lang=en_US&amp;offset=0&amp;query=any,contains,991000901099702656","Catalog Record")</f>
        <v>Catalog Record</v>
      </c>
      <c r="AV1014" s="5" t="str">
        <f>HYPERLINK("http://www.worldcat.org/oclc/34663327","WorldCat Record")</f>
        <v>WorldCat Record</v>
      </c>
      <c r="AW1014" s="2" t="s">
        <v>12306</v>
      </c>
      <c r="AX1014" s="2" t="s">
        <v>12307</v>
      </c>
      <c r="AY1014" s="2" t="s">
        <v>12308</v>
      </c>
      <c r="AZ1014" s="2" t="s">
        <v>12308</v>
      </c>
      <c r="BA1014" s="2" t="s">
        <v>12309</v>
      </c>
      <c r="BB1014" s="2" t="s">
        <v>21</v>
      </c>
      <c r="BD1014" s="2" t="s">
        <v>12310</v>
      </c>
      <c r="BE1014" s="2" t="s">
        <v>12311</v>
      </c>
      <c r="BF1014" s="2" t="s">
        <v>12312</v>
      </c>
    </row>
    <row r="1015" spans="1:58" ht="41.25" customHeight="1" x14ac:dyDescent="0.25">
      <c r="A1015" s="8" t="s">
        <v>5</v>
      </c>
      <c r="B1015" s="1" t="s">
        <v>0</v>
      </c>
      <c r="C1015" s="1" t="s">
        <v>1</v>
      </c>
      <c r="D1015" s="1" t="s">
        <v>12313</v>
      </c>
      <c r="E1015" s="1" t="s">
        <v>12314</v>
      </c>
      <c r="F1015" s="1" t="s">
        <v>12315</v>
      </c>
      <c r="H1015" s="2" t="s">
        <v>5</v>
      </c>
      <c r="I1015" s="2" t="s">
        <v>974</v>
      </c>
      <c r="J1015" s="2" t="s">
        <v>5</v>
      </c>
      <c r="K1015" s="2" t="s">
        <v>16</v>
      </c>
      <c r="L1015" s="2" t="s">
        <v>7</v>
      </c>
      <c r="M1015" s="1" t="s">
        <v>12304</v>
      </c>
      <c r="N1015" s="1" t="s">
        <v>12316</v>
      </c>
      <c r="O1015" s="2" t="s">
        <v>1060</v>
      </c>
      <c r="P1015" s="1" t="s">
        <v>63</v>
      </c>
      <c r="Q1015" s="2" t="s">
        <v>11</v>
      </c>
      <c r="R1015" s="2" t="s">
        <v>31</v>
      </c>
      <c r="T1015" s="2" t="s">
        <v>520</v>
      </c>
      <c r="U1015" s="3">
        <v>0</v>
      </c>
      <c r="V1015" s="3">
        <v>0</v>
      </c>
      <c r="W1015" s="4" t="s">
        <v>8767</v>
      </c>
      <c r="X1015" s="4" t="s">
        <v>8767</v>
      </c>
      <c r="Y1015" s="4" t="s">
        <v>5018</v>
      </c>
      <c r="Z1015" s="4" t="s">
        <v>5018</v>
      </c>
      <c r="AA1015" s="3">
        <v>414</v>
      </c>
      <c r="AB1015" s="3">
        <v>317</v>
      </c>
      <c r="AC1015" s="3">
        <v>1402</v>
      </c>
      <c r="AD1015" s="3">
        <v>1</v>
      </c>
      <c r="AE1015" s="3">
        <v>7</v>
      </c>
      <c r="AF1015" s="3">
        <v>7</v>
      </c>
      <c r="AG1015" s="3">
        <v>32</v>
      </c>
      <c r="AH1015" s="3">
        <v>3</v>
      </c>
      <c r="AI1015" s="3">
        <v>11</v>
      </c>
      <c r="AJ1015" s="3">
        <v>2</v>
      </c>
      <c r="AK1015" s="3">
        <v>7</v>
      </c>
      <c r="AL1015" s="3">
        <v>4</v>
      </c>
      <c r="AM1015" s="3">
        <v>14</v>
      </c>
      <c r="AN1015" s="3">
        <v>0</v>
      </c>
      <c r="AO1015" s="3">
        <v>5</v>
      </c>
      <c r="AP1015" s="3">
        <v>0</v>
      </c>
      <c r="AQ1015" s="3">
        <v>0</v>
      </c>
      <c r="AR1015" s="2" t="s">
        <v>5</v>
      </c>
      <c r="AS1015" s="2" t="s">
        <v>16</v>
      </c>
      <c r="AT1015" s="5" t="str">
        <f>HYPERLINK("http://catalog.hathitrust.org/Record/004735849","HathiTrust Record")</f>
        <v>HathiTrust Record</v>
      </c>
      <c r="AU1015" s="5" t="str">
        <f>HYPERLINK("https://creighton-primo.hosted.exlibrisgroup.com/primo-explore/search?tab=default_tab&amp;search_scope=EVERYTHING&amp;vid=01CRU&amp;lang=en_US&amp;offset=0&amp;query=any,contains,991001728439702656","Catalog Record")</f>
        <v>Catalog Record</v>
      </c>
      <c r="AV1015" s="5" t="str">
        <f>HYPERLINK("http://www.worldcat.org/oclc/55686932","WorldCat Record")</f>
        <v>WorldCat Record</v>
      </c>
      <c r="AW1015" s="2" t="s">
        <v>12306</v>
      </c>
      <c r="AX1015" s="2" t="s">
        <v>12317</v>
      </c>
      <c r="AY1015" s="2" t="s">
        <v>12318</v>
      </c>
      <c r="AZ1015" s="2" t="s">
        <v>12318</v>
      </c>
      <c r="BA1015" s="2" t="s">
        <v>12319</v>
      </c>
      <c r="BB1015" s="2" t="s">
        <v>21</v>
      </c>
      <c r="BD1015" s="2" t="s">
        <v>12320</v>
      </c>
      <c r="BE1015" s="2" t="s">
        <v>12321</v>
      </c>
      <c r="BF1015" s="2" t="s">
        <v>12322</v>
      </c>
    </row>
    <row r="1016" spans="1:58" ht="41.25" customHeight="1" x14ac:dyDescent="0.25">
      <c r="A1016" s="8" t="s">
        <v>5</v>
      </c>
      <c r="B1016" s="1" t="s">
        <v>0</v>
      </c>
      <c r="C1016" s="1" t="s">
        <v>1</v>
      </c>
      <c r="D1016" s="1" t="s">
        <v>12323</v>
      </c>
      <c r="E1016" s="1" t="s">
        <v>12324</v>
      </c>
      <c r="F1016" s="1" t="s">
        <v>12325</v>
      </c>
      <c r="H1016" s="2" t="s">
        <v>5</v>
      </c>
      <c r="I1016" s="2" t="s">
        <v>6</v>
      </c>
      <c r="J1016" s="2" t="s">
        <v>5</v>
      </c>
      <c r="K1016" s="2" t="s">
        <v>16</v>
      </c>
      <c r="L1016" s="2" t="s">
        <v>7</v>
      </c>
      <c r="M1016" s="1" t="s">
        <v>12326</v>
      </c>
      <c r="N1016" s="1" t="s">
        <v>5092</v>
      </c>
      <c r="O1016" s="2" t="s">
        <v>1195</v>
      </c>
      <c r="P1016" s="1" t="s">
        <v>211</v>
      </c>
      <c r="Q1016" s="2" t="s">
        <v>11</v>
      </c>
      <c r="R1016" s="2" t="s">
        <v>78</v>
      </c>
      <c r="T1016" s="2" t="s">
        <v>520</v>
      </c>
      <c r="U1016" s="3">
        <v>3</v>
      </c>
      <c r="V1016" s="3">
        <v>3</v>
      </c>
      <c r="W1016" s="4" t="s">
        <v>12327</v>
      </c>
      <c r="X1016" s="4" t="s">
        <v>12327</v>
      </c>
      <c r="Y1016" s="4" t="s">
        <v>1197</v>
      </c>
      <c r="Z1016" s="4" t="s">
        <v>1197</v>
      </c>
      <c r="AA1016" s="3">
        <v>325</v>
      </c>
      <c r="AB1016" s="3">
        <v>261</v>
      </c>
      <c r="AC1016" s="3">
        <v>594</v>
      </c>
      <c r="AD1016" s="3">
        <v>1</v>
      </c>
      <c r="AE1016" s="3">
        <v>4</v>
      </c>
      <c r="AF1016" s="3">
        <v>9</v>
      </c>
      <c r="AG1016" s="3">
        <v>23</v>
      </c>
      <c r="AH1016" s="3">
        <v>4</v>
      </c>
      <c r="AI1016" s="3">
        <v>9</v>
      </c>
      <c r="AJ1016" s="3">
        <v>1</v>
      </c>
      <c r="AK1016" s="3">
        <v>4</v>
      </c>
      <c r="AL1016" s="3">
        <v>5</v>
      </c>
      <c r="AM1016" s="3">
        <v>14</v>
      </c>
      <c r="AN1016" s="3">
        <v>0</v>
      </c>
      <c r="AO1016" s="3">
        <v>2</v>
      </c>
      <c r="AP1016" s="3">
        <v>0</v>
      </c>
      <c r="AQ1016" s="3">
        <v>0</v>
      </c>
      <c r="AR1016" s="2" t="s">
        <v>5</v>
      </c>
      <c r="AS1016" s="2" t="s">
        <v>5</v>
      </c>
      <c r="AU1016" s="5" t="str">
        <f>HYPERLINK("https://creighton-primo.hosted.exlibrisgroup.com/primo-explore/search?tab=default_tab&amp;search_scope=EVERYTHING&amp;vid=01CRU&amp;lang=en_US&amp;offset=0&amp;query=any,contains,991001410269702656","Catalog Record")</f>
        <v>Catalog Record</v>
      </c>
      <c r="AV1016" s="5" t="str">
        <f>HYPERLINK("http://www.worldcat.org/oclc/41982276","WorldCat Record")</f>
        <v>WorldCat Record</v>
      </c>
      <c r="AW1016" s="2" t="s">
        <v>12328</v>
      </c>
      <c r="AX1016" s="2" t="s">
        <v>12329</v>
      </c>
      <c r="AY1016" s="2" t="s">
        <v>12330</v>
      </c>
      <c r="AZ1016" s="2" t="s">
        <v>12330</v>
      </c>
      <c r="BA1016" s="2" t="s">
        <v>12331</v>
      </c>
      <c r="BB1016" s="2" t="s">
        <v>21</v>
      </c>
      <c r="BD1016" s="2" t="s">
        <v>12332</v>
      </c>
      <c r="BE1016" s="2" t="s">
        <v>12333</v>
      </c>
      <c r="BF1016" s="2" t="s">
        <v>12334</v>
      </c>
    </row>
    <row r="1017" spans="1:58" ht="41.25" customHeight="1" x14ac:dyDescent="0.25">
      <c r="A1017" s="8" t="s">
        <v>5</v>
      </c>
      <c r="B1017" s="1" t="s">
        <v>0</v>
      </c>
      <c r="C1017" s="1" t="s">
        <v>1</v>
      </c>
      <c r="D1017" s="1" t="s">
        <v>12335</v>
      </c>
      <c r="E1017" s="1" t="s">
        <v>12336</v>
      </c>
      <c r="F1017" s="1" t="s">
        <v>12337</v>
      </c>
      <c r="H1017" s="2" t="s">
        <v>5</v>
      </c>
      <c r="I1017" s="2" t="s">
        <v>6</v>
      </c>
      <c r="J1017" s="2" t="s">
        <v>5</v>
      </c>
      <c r="K1017" s="2" t="s">
        <v>16</v>
      </c>
      <c r="L1017" s="2" t="s">
        <v>7</v>
      </c>
      <c r="M1017" s="1" t="s">
        <v>12326</v>
      </c>
      <c r="N1017" s="1" t="s">
        <v>12338</v>
      </c>
      <c r="O1017" s="2" t="s">
        <v>794</v>
      </c>
      <c r="Q1017" s="2" t="s">
        <v>11</v>
      </c>
      <c r="R1017" s="2" t="s">
        <v>78</v>
      </c>
      <c r="T1017" s="2" t="s">
        <v>520</v>
      </c>
      <c r="U1017" s="3">
        <v>7</v>
      </c>
      <c r="V1017" s="3">
        <v>7</v>
      </c>
      <c r="W1017" s="4" t="s">
        <v>12339</v>
      </c>
      <c r="X1017" s="4" t="s">
        <v>12339</v>
      </c>
      <c r="Y1017" s="4" t="s">
        <v>1744</v>
      </c>
      <c r="Z1017" s="4" t="s">
        <v>1744</v>
      </c>
      <c r="AA1017" s="3">
        <v>358</v>
      </c>
      <c r="AB1017" s="3">
        <v>297</v>
      </c>
      <c r="AC1017" s="3">
        <v>594</v>
      </c>
      <c r="AD1017" s="3">
        <v>2</v>
      </c>
      <c r="AE1017" s="3">
        <v>4</v>
      </c>
      <c r="AF1017" s="3">
        <v>11</v>
      </c>
      <c r="AG1017" s="3">
        <v>23</v>
      </c>
      <c r="AH1017" s="3">
        <v>5</v>
      </c>
      <c r="AI1017" s="3">
        <v>9</v>
      </c>
      <c r="AJ1017" s="3">
        <v>2</v>
      </c>
      <c r="AK1017" s="3">
        <v>4</v>
      </c>
      <c r="AL1017" s="3">
        <v>7</v>
      </c>
      <c r="AM1017" s="3">
        <v>14</v>
      </c>
      <c r="AN1017" s="3">
        <v>0</v>
      </c>
      <c r="AO1017" s="3">
        <v>2</v>
      </c>
      <c r="AP1017" s="3">
        <v>0</v>
      </c>
      <c r="AQ1017" s="3">
        <v>0</v>
      </c>
      <c r="AR1017" s="2" t="s">
        <v>5</v>
      </c>
      <c r="AS1017" s="2" t="s">
        <v>16</v>
      </c>
      <c r="AT1017" s="5" t="str">
        <f>HYPERLINK("http://catalog.hathitrust.org/Record/003013551","HathiTrust Record")</f>
        <v>HathiTrust Record</v>
      </c>
      <c r="AU1017" s="5" t="str">
        <f>HYPERLINK("https://creighton-primo.hosted.exlibrisgroup.com/primo-explore/search?tab=default_tab&amp;search_scope=EVERYTHING&amp;vid=01CRU&amp;lang=en_US&amp;offset=0&amp;query=any,contains,991001557849702656","Catalog Record")</f>
        <v>Catalog Record</v>
      </c>
      <c r="AV1017" s="5" t="str">
        <f>HYPERLINK("http://www.worldcat.org/oclc/32823979","WorldCat Record")</f>
        <v>WorldCat Record</v>
      </c>
      <c r="AW1017" s="2" t="s">
        <v>12328</v>
      </c>
      <c r="AX1017" s="2" t="s">
        <v>12340</v>
      </c>
      <c r="AY1017" s="2" t="s">
        <v>12341</v>
      </c>
      <c r="AZ1017" s="2" t="s">
        <v>12341</v>
      </c>
      <c r="BA1017" s="2" t="s">
        <v>12342</v>
      </c>
      <c r="BB1017" s="2" t="s">
        <v>21</v>
      </c>
      <c r="BD1017" s="2" t="s">
        <v>12343</v>
      </c>
      <c r="BE1017" s="2" t="s">
        <v>12344</v>
      </c>
      <c r="BF1017" s="2" t="s">
        <v>12345</v>
      </c>
    </row>
    <row r="1018" spans="1:58" ht="41.25" customHeight="1" x14ac:dyDescent="0.25">
      <c r="A1018" s="8" t="s">
        <v>5</v>
      </c>
      <c r="B1018" s="1" t="s">
        <v>0</v>
      </c>
      <c r="C1018" s="1" t="s">
        <v>1</v>
      </c>
      <c r="D1018" s="1" t="s">
        <v>12346</v>
      </c>
      <c r="E1018" s="1" t="s">
        <v>12347</v>
      </c>
      <c r="F1018" s="1" t="s">
        <v>12348</v>
      </c>
      <c r="H1018" s="2" t="s">
        <v>5</v>
      </c>
      <c r="I1018" s="2" t="s">
        <v>6</v>
      </c>
      <c r="J1018" s="2" t="s">
        <v>5</v>
      </c>
      <c r="K1018" s="2" t="s">
        <v>5</v>
      </c>
      <c r="L1018" s="2" t="s">
        <v>7</v>
      </c>
      <c r="N1018" s="1" t="s">
        <v>12349</v>
      </c>
      <c r="O1018" s="2" t="s">
        <v>4599</v>
      </c>
      <c r="Q1018" s="2" t="s">
        <v>11</v>
      </c>
      <c r="R1018" s="2" t="s">
        <v>93</v>
      </c>
      <c r="S1018" s="1" t="s">
        <v>12350</v>
      </c>
      <c r="T1018" s="2" t="s">
        <v>520</v>
      </c>
      <c r="U1018" s="3">
        <v>1</v>
      </c>
      <c r="V1018" s="3">
        <v>1</v>
      </c>
      <c r="W1018" s="4" t="s">
        <v>1840</v>
      </c>
      <c r="X1018" s="4" t="s">
        <v>1840</v>
      </c>
      <c r="Y1018" s="4" t="s">
        <v>1827</v>
      </c>
      <c r="Z1018" s="4" t="s">
        <v>1827</v>
      </c>
      <c r="AA1018" s="3">
        <v>43</v>
      </c>
      <c r="AB1018" s="3">
        <v>35</v>
      </c>
      <c r="AC1018" s="3">
        <v>42</v>
      </c>
      <c r="AD1018" s="3">
        <v>1</v>
      </c>
      <c r="AE1018" s="3">
        <v>1</v>
      </c>
      <c r="AF1018" s="3">
        <v>1</v>
      </c>
      <c r="AG1018" s="3">
        <v>1</v>
      </c>
      <c r="AH1018" s="3">
        <v>0</v>
      </c>
      <c r="AI1018" s="3">
        <v>0</v>
      </c>
      <c r="AJ1018" s="3">
        <v>0</v>
      </c>
      <c r="AK1018" s="3">
        <v>0</v>
      </c>
      <c r="AL1018" s="3">
        <v>1</v>
      </c>
      <c r="AM1018" s="3">
        <v>1</v>
      </c>
      <c r="AN1018" s="3">
        <v>0</v>
      </c>
      <c r="AO1018" s="3">
        <v>0</v>
      </c>
      <c r="AP1018" s="3">
        <v>0</v>
      </c>
      <c r="AQ1018" s="3">
        <v>0</v>
      </c>
      <c r="AR1018" s="2" t="s">
        <v>16</v>
      </c>
      <c r="AS1018" s="2" t="s">
        <v>5</v>
      </c>
      <c r="AT1018" s="5" t="str">
        <f>HYPERLINK("http://catalog.hathitrust.org/Record/002072152","HathiTrust Record")</f>
        <v>HathiTrust Record</v>
      </c>
      <c r="AU1018" s="5" t="str">
        <f>HYPERLINK("https://creighton-primo.hosted.exlibrisgroup.com/primo-explore/search?tab=default_tab&amp;search_scope=EVERYTHING&amp;vid=01CRU&amp;lang=en_US&amp;offset=0&amp;query=any,contains,991001364419702656","Catalog Record")</f>
        <v>Catalog Record</v>
      </c>
      <c r="AV1018" s="5" t="str">
        <f>HYPERLINK("http://www.worldcat.org/oclc/2920438","WorldCat Record")</f>
        <v>WorldCat Record</v>
      </c>
      <c r="AW1018" s="2" t="s">
        <v>12351</v>
      </c>
      <c r="AX1018" s="2" t="s">
        <v>12352</v>
      </c>
      <c r="AY1018" s="2" t="s">
        <v>12353</v>
      </c>
      <c r="AZ1018" s="2" t="s">
        <v>12353</v>
      </c>
      <c r="BA1018" s="2" t="s">
        <v>12354</v>
      </c>
      <c r="BB1018" s="2" t="s">
        <v>21</v>
      </c>
      <c r="BE1018" s="2" t="s">
        <v>12355</v>
      </c>
      <c r="BF1018" s="2" t="s">
        <v>12356</v>
      </c>
    </row>
    <row r="1019" spans="1:58" ht="41.25" customHeight="1" x14ac:dyDescent="0.25">
      <c r="A1019" s="8" t="s">
        <v>5</v>
      </c>
      <c r="B1019" s="1" t="s">
        <v>0</v>
      </c>
      <c r="C1019" s="1" t="s">
        <v>1</v>
      </c>
      <c r="D1019" s="1" t="s">
        <v>12357</v>
      </c>
      <c r="E1019" s="1" t="s">
        <v>12358</v>
      </c>
      <c r="F1019" s="1" t="s">
        <v>12359</v>
      </c>
      <c r="H1019" s="2" t="s">
        <v>5</v>
      </c>
      <c r="I1019" s="2" t="s">
        <v>6</v>
      </c>
      <c r="J1019" s="2" t="s">
        <v>5</v>
      </c>
      <c r="K1019" s="2" t="s">
        <v>5</v>
      </c>
      <c r="L1019" s="2" t="s">
        <v>7</v>
      </c>
      <c r="N1019" s="1" t="s">
        <v>12360</v>
      </c>
      <c r="O1019" s="2" t="s">
        <v>872</v>
      </c>
      <c r="Q1019" s="2" t="s">
        <v>11</v>
      </c>
      <c r="R1019" s="2" t="s">
        <v>426</v>
      </c>
      <c r="T1019" s="2" t="s">
        <v>520</v>
      </c>
      <c r="U1019" s="3">
        <v>11</v>
      </c>
      <c r="V1019" s="3">
        <v>11</v>
      </c>
      <c r="W1019" s="4" t="s">
        <v>12361</v>
      </c>
      <c r="X1019" s="4" t="s">
        <v>12361</v>
      </c>
      <c r="Y1019" s="4" t="s">
        <v>3807</v>
      </c>
      <c r="Z1019" s="4" t="s">
        <v>3807</v>
      </c>
      <c r="AA1019" s="3">
        <v>281</v>
      </c>
      <c r="AB1019" s="3">
        <v>241</v>
      </c>
      <c r="AC1019" s="3">
        <v>248</v>
      </c>
      <c r="AD1019" s="3">
        <v>2</v>
      </c>
      <c r="AE1019" s="3">
        <v>2</v>
      </c>
      <c r="AF1019" s="3">
        <v>13</v>
      </c>
      <c r="AG1019" s="3">
        <v>13</v>
      </c>
      <c r="AH1019" s="3">
        <v>7</v>
      </c>
      <c r="AI1019" s="3">
        <v>7</v>
      </c>
      <c r="AJ1019" s="3">
        <v>2</v>
      </c>
      <c r="AK1019" s="3">
        <v>2</v>
      </c>
      <c r="AL1019" s="3">
        <v>6</v>
      </c>
      <c r="AM1019" s="3">
        <v>6</v>
      </c>
      <c r="AN1019" s="3">
        <v>1</v>
      </c>
      <c r="AO1019" s="3">
        <v>1</v>
      </c>
      <c r="AP1019" s="3">
        <v>0</v>
      </c>
      <c r="AQ1019" s="3">
        <v>0</v>
      </c>
      <c r="AR1019" s="2" t="s">
        <v>5</v>
      </c>
      <c r="AS1019" s="2" t="s">
        <v>16</v>
      </c>
      <c r="AT1019" s="5" t="str">
        <f>HYPERLINK("http://catalog.hathitrust.org/Record/000944693","HathiTrust Record")</f>
        <v>HathiTrust Record</v>
      </c>
      <c r="AU1019" s="5" t="str">
        <f>HYPERLINK("https://creighton-primo.hosted.exlibrisgroup.com/primo-explore/search?tab=default_tab&amp;search_scope=EVERYTHING&amp;vid=01CRU&amp;lang=en_US&amp;offset=0&amp;query=any,contains,991001449839702656","Catalog Record")</f>
        <v>Catalog Record</v>
      </c>
      <c r="AV1019" s="5" t="str">
        <f>HYPERLINK("http://www.worldcat.org/oclc/18379013","WorldCat Record")</f>
        <v>WorldCat Record</v>
      </c>
      <c r="AW1019" s="2" t="s">
        <v>12362</v>
      </c>
      <c r="AX1019" s="2" t="s">
        <v>12363</v>
      </c>
      <c r="AY1019" s="2" t="s">
        <v>12364</v>
      </c>
      <c r="AZ1019" s="2" t="s">
        <v>12364</v>
      </c>
      <c r="BA1019" s="2" t="s">
        <v>12365</v>
      </c>
      <c r="BB1019" s="2" t="s">
        <v>21</v>
      </c>
      <c r="BD1019" s="2" t="s">
        <v>12366</v>
      </c>
      <c r="BE1019" s="2" t="s">
        <v>12367</v>
      </c>
      <c r="BF1019" s="2" t="s">
        <v>12368</v>
      </c>
    </row>
    <row r="1020" spans="1:58" ht="41.25" customHeight="1" x14ac:dyDescent="0.25">
      <c r="A1020" s="8" t="s">
        <v>5</v>
      </c>
      <c r="B1020" s="1" t="s">
        <v>0</v>
      </c>
      <c r="C1020" s="1" t="s">
        <v>1</v>
      </c>
      <c r="D1020" s="1" t="s">
        <v>12369</v>
      </c>
      <c r="E1020" s="1" t="s">
        <v>12370</v>
      </c>
      <c r="F1020" s="1" t="s">
        <v>12371</v>
      </c>
      <c r="H1020" s="2" t="s">
        <v>5</v>
      </c>
      <c r="I1020" s="2" t="s">
        <v>6</v>
      </c>
      <c r="J1020" s="2" t="s">
        <v>5</v>
      </c>
      <c r="K1020" s="2" t="s">
        <v>5</v>
      </c>
      <c r="L1020" s="2" t="s">
        <v>7</v>
      </c>
      <c r="N1020" s="1" t="s">
        <v>12372</v>
      </c>
      <c r="O1020" s="2" t="s">
        <v>92</v>
      </c>
      <c r="Q1020" s="2" t="s">
        <v>11</v>
      </c>
      <c r="R1020" s="2" t="s">
        <v>12</v>
      </c>
      <c r="T1020" s="2" t="s">
        <v>520</v>
      </c>
      <c r="U1020" s="3">
        <v>7</v>
      </c>
      <c r="V1020" s="3">
        <v>7</v>
      </c>
      <c r="W1020" s="4" t="s">
        <v>9691</v>
      </c>
      <c r="X1020" s="4" t="s">
        <v>9691</v>
      </c>
      <c r="Y1020" s="4" t="s">
        <v>5741</v>
      </c>
      <c r="Z1020" s="4" t="s">
        <v>5741</v>
      </c>
      <c r="AA1020" s="3">
        <v>336</v>
      </c>
      <c r="AB1020" s="3">
        <v>316</v>
      </c>
      <c r="AC1020" s="3">
        <v>318</v>
      </c>
      <c r="AD1020" s="3">
        <v>5</v>
      </c>
      <c r="AE1020" s="3">
        <v>5</v>
      </c>
      <c r="AF1020" s="3">
        <v>17</v>
      </c>
      <c r="AG1020" s="3">
        <v>17</v>
      </c>
      <c r="AH1020" s="3">
        <v>8</v>
      </c>
      <c r="AI1020" s="3">
        <v>8</v>
      </c>
      <c r="AJ1020" s="3">
        <v>4</v>
      </c>
      <c r="AK1020" s="3">
        <v>4</v>
      </c>
      <c r="AL1020" s="3">
        <v>7</v>
      </c>
      <c r="AM1020" s="3">
        <v>7</v>
      </c>
      <c r="AN1020" s="3">
        <v>2</v>
      </c>
      <c r="AO1020" s="3">
        <v>2</v>
      </c>
      <c r="AP1020" s="3">
        <v>0</v>
      </c>
      <c r="AQ1020" s="3">
        <v>0</v>
      </c>
      <c r="AR1020" s="2" t="s">
        <v>5</v>
      </c>
      <c r="AS1020" s="2" t="s">
        <v>16</v>
      </c>
      <c r="AT1020" s="5" t="str">
        <f>HYPERLINK("http://catalog.hathitrust.org/Record/000727157","HathiTrust Record")</f>
        <v>HathiTrust Record</v>
      </c>
      <c r="AU1020" s="5" t="str">
        <f>HYPERLINK("https://creighton-primo.hosted.exlibrisgroup.com/primo-explore/search?tab=default_tab&amp;search_scope=EVERYTHING&amp;vid=01CRU&amp;lang=en_US&amp;offset=0&amp;query=any,contains,991000736979702656","Catalog Record")</f>
        <v>Catalog Record</v>
      </c>
      <c r="AV1020" s="5" t="str">
        <f>HYPERLINK("http://www.worldcat.org/oclc/2091445","WorldCat Record")</f>
        <v>WorldCat Record</v>
      </c>
      <c r="AW1020" s="2" t="s">
        <v>12373</v>
      </c>
      <c r="AX1020" s="2" t="s">
        <v>12374</v>
      </c>
      <c r="AY1020" s="2" t="s">
        <v>12375</v>
      </c>
      <c r="AZ1020" s="2" t="s">
        <v>12375</v>
      </c>
      <c r="BA1020" s="2" t="s">
        <v>12376</v>
      </c>
      <c r="BB1020" s="2" t="s">
        <v>21</v>
      </c>
      <c r="BD1020" s="2" t="s">
        <v>12377</v>
      </c>
      <c r="BE1020" s="2" t="s">
        <v>12378</v>
      </c>
      <c r="BF1020" s="2" t="s">
        <v>12379</v>
      </c>
    </row>
    <row r="1021" spans="1:58" ht="41.25" customHeight="1" x14ac:dyDescent="0.25">
      <c r="A1021" s="8" t="s">
        <v>5</v>
      </c>
      <c r="B1021" s="1" t="s">
        <v>0</v>
      </c>
      <c r="C1021" s="1" t="s">
        <v>1</v>
      </c>
      <c r="D1021" s="1" t="s">
        <v>12380</v>
      </c>
      <c r="E1021" s="1" t="s">
        <v>12381</v>
      </c>
      <c r="F1021" s="1" t="s">
        <v>12382</v>
      </c>
      <c r="H1021" s="2" t="s">
        <v>5</v>
      </c>
      <c r="I1021" s="2" t="s">
        <v>6</v>
      </c>
      <c r="J1021" s="2" t="s">
        <v>5</v>
      </c>
      <c r="K1021" s="2" t="s">
        <v>5</v>
      </c>
      <c r="L1021" s="2" t="s">
        <v>7</v>
      </c>
      <c r="M1021" s="1" t="s">
        <v>12383</v>
      </c>
      <c r="N1021" s="1" t="s">
        <v>12384</v>
      </c>
      <c r="O1021" s="2" t="s">
        <v>62</v>
      </c>
      <c r="P1021" s="1" t="s">
        <v>341</v>
      </c>
      <c r="Q1021" s="2" t="s">
        <v>11</v>
      </c>
      <c r="R1021" s="2" t="s">
        <v>271</v>
      </c>
      <c r="T1021" s="2" t="s">
        <v>520</v>
      </c>
      <c r="U1021" s="3">
        <v>5</v>
      </c>
      <c r="V1021" s="3">
        <v>5</v>
      </c>
      <c r="W1021" s="4" t="s">
        <v>12385</v>
      </c>
      <c r="X1021" s="4" t="s">
        <v>12385</v>
      </c>
      <c r="Y1021" s="4" t="s">
        <v>329</v>
      </c>
      <c r="Z1021" s="4" t="s">
        <v>329</v>
      </c>
      <c r="AA1021" s="3">
        <v>360</v>
      </c>
      <c r="AB1021" s="3">
        <v>320</v>
      </c>
      <c r="AC1021" s="3">
        <v>331</v>
      </c>
      <c r="AD1021" s="3">
        <v>4</v>
      </c>
      <c r="AE1021" s="3">
        <v>4</v>
      </c>
      <c r="AF1021" s="3">
        <v>17</v>
      </c>
      <c r="AG1021" s="3">
        <v>17</v>
      </c>
      <c r="AH1021" s="3">
        <v>7</v>
      </c>
      <c r="AI1021" s="3">
        <v>7</v>
      </c>
      <c r="AJ1021" s="3">
        <v>4</v>
      </c>
      <c r="AK1021" s="3">
        <v>4</v>
      </c>
      <c r="AL1021" s="3">
        <v>6</v>
      </c>
      <c r="AM1021" s="3">
        <v>6</v>
      </c>
      <c r="AN1021" s="3">
        <v>3</v>
      </c>
      <c r="AO1021" s="3">
        <v>3</v>
      </c>
      <c r="AP1021" s="3">
        <v>0</v>
      </c>
      <c r="AQ1021" s="3">
        <v>0</v>
      </c>
      <c r="AR1021" s="2" t="s">
        <v>5</v>
      </c>
      <c r="AS1021" s="2" t="s">
        <v>16</v>
      </c>
      <c r="AT1021" s="5" t="str">
        <f>HYPERLINK("http://catalog.hathitrust.org/Record/000218032","HathiTrust Record")</f>
        <v>HathiTrust Record</v>
      </c>
      <c r="AU1021" s="5" t="str">
        <f>HYPERLINK("https://creighton-primo.hosted.exlibrisgroup.com/primo-explore/search?tab=default_tab&amp;search_scope=EVERYTHING&amp;vid=01CRU&amp;lang=en_US&amp;offset=0&amp;query=any,contains,991000737009702656","Catalog Record")</f>
        <v>Catalog Record</v>
      </c>
      <c r="AV1021" s="5" t="str">
        <f>HYPERLINK("http://www.worldcat.org/oclc/4291969","WorldCat Record")</f>
        <v>WorldCat Record</v>
      </c>
      <c r="AW1021" s="2" t="s">
        <v>12386</v>
      </c>
      <c r="AX1021" s="2" t="s">
        <v>12387</v>
      </c>
      <c r="AY1021" s="2" t="s">
        <v>12388</v>
      </c>
      <c r="AZ1021" s="2" t="s">
        <v>12388</v>
      </c>
      <c r="BA1021" s="2" t="s">
        <v>12389</v>
      </c>
      <c r="BB1021" s="2" t="s">
        <v>21</v>
      </c>
      <c r="BD1021" s="2" t="s">
        <v>12390</v>
      </c>
      <c r="BE1021" s="2" t="s">
        <v>12391</v>
      </c>
      <c r="BF1021" s="2" t="s">
        <v>12392</v>
      </c>
    </row>
    <row r="1022" spans="1:58" ht="41.25" customHeight="1" x14ac:dyDescent="0.25">
      <c r="A1022" s="8" t="s">
        <v>5</v>
      </c>
      <c r="B1022" s="1" t="s">
        <v>0</v>
      </c>
      <c r="C1022" s="1" t="s">
        <v>1</v>
      </c>
      <c r="D1022" s="1" t="s">
        <v>12393</v>
      </c>
      <c r="E1022" s="1" t="s">
        <v>12394</v>
      </c>
      <c r="F1022" s="1" t="s">
        <v>12395</v>
      </c>
      <c r="H1022" s="2" t="s">
        <v>5</v>
      </c>
      <c r="I1022" s="2" t="s">
        <v>6</v>
      </c>
      <c r="J1022" s="2" t="s">
        <v>5</v>
      </c>
      <c r="K1022" s="2" t="s">
        <v>5</v>
      </c>
      <c r="L1022" s="2" t="s">
        <v>7</v>
      </c>
      <c r="N1022" s="1" t="s">
        <v>2918</v>
      </c>
      <c r="O1022" s="2" t="s">
        <v>151</v>
      </c>
      <c r="Q1022" s="2" t="s">
        <v>11</v>
      </c>
      <c r="R1022" s="2" t="s">
        <v>12</v>
      </c>
      <c r="S1022" s="1" t="s">
        <v>12396</v>
      </c>
      <c r="T1022" s="2" t="s">
        <v>520</v>
      </c>
      <c r="U1022" s="3">
        <v>2</v>
      </c>
      <c r="V1022" s="3">
        <v>2</v>
      </c>
      <c r="W1022" s="4" t="s">
        <v>1826</v>
      </c>
      <c r="X1022" s="4" t="s">
        <v>1826</v>
      </c>
      <c r="Y1022" s="4" t="s">
        <v>124</v>
      </c>
      <c r="Z1022" s="4" t="s">
        <v>124</v>
      </c>
      <c r="AA1022" s="3">
        <v>56</v>
      </c>
      <c r="AB1022" s="3">
        <v>53</v>
      </c>
      <c r="AC1022" s="3">
        <v>53</v>
      </c>
      <c r="AD1022" s="3">
        <v>2</v>
      </c>
      <c r="AE1022" s="3">
        <v>2</v>
      </c>
      <c r="AF1022" s="3">
        <v>3</v>
      </c>
      <c r="AG1022" s="3">
        <v>3</v>
      </c>
      <c r="AH1022" s="3">
        <v>0</v>
      </c>
      <c r="AI1022" s="3">
        <v>0</v>
      </c>
      <c r="AJ1022" s="3">
        <v>0</v>
      </c>
      <c r="AK1022" s="3">
        <v>0</v>
      </c>
      <c r="AL1022" s="3">
        <v>2</v>
      </c>
      <c r="AM1022" s="3">
        <v>2</v>
      </c>
      <c r="AN1022" s="3">
        <v>1</v>
      </c>
      <c r="AO1022" s="3">
        <v>1</v>
      </c>
      <c r="AP1022" s="3">
        <v>0</v>
      </c>
      <c r="AQ1022" s="3">
        <v>0</v>
      </c>
      <c r="AR1022" s="2" t="s">
        <v>5</v>
      </c>
      <c r="AS1022" s="2" t="s">
        <v>5</v>
      </c>
      <c r="AU1022" s="5" t="str">
        <f>HYPERLINK("https://creighton-primo.hosted.exlibrisgroup.com/primo-explore/search?tab=default_tab&amp;search_scope=EVERYTHING&amp;vid=01CRU&amp;lang=en_US&amp;offset=0&amp;query=any,contains,991001368999702656","Catalog Record")</f>
        <v>Catalog Record</v>
      </c>
      <c r="AV1022" s="5" t="str">
        <f>HYPERLINK("http://www.worldcat.org/oclc/14434452","WorldCat Record")</f>
        <v>WorldCat Record</v>
      </c>
      <c r="AW1022" s="2" t="s">
        <v>12397</v>
      </c>
      <c r="AX1022" s="2" t="s">
        <v>12398</v>
      </c>
      <c r="AY1022" s="2" t="s">
        <v>12399</v>
      </c>
      <c r="AZ1022" s="2" t="s">
        <v>12399</v>
      </c>
      <c r="BA1022" s="2" t="s">
        <v>12400</v>
      </c>
      <c r="BB1022" s="2" t="s">
        <v>21</v>
      </c>
      <c r="BE1022" s="2" t="s">
        <v>12401</v>
      </c>
      <c r="BF1022" s="2" t="s">
        <v>12402</v>
      </c>
    </row>
    <row r="1023" spans="1:58" ht="41.25" customHeight="1" x14ac:dyDescent="0.25">
      <c r="A1023" s="8" t="s">
        <v>5</v>
      </c>
      <c r="B1023" s="1" t="s">
        <v>0</v>
      </c>
      <c r="C1023" s="1" t="s">
        <v>1</v>
      </c>
      <c r="D1023" s="1" t="s">
        <v>12403</v>
      </c>
      <c r="E1023" s="1" t="s">
        <v>12404</v>
      </c>
      <c r="F1023" s="1" t="s">
        <v>12405</v>
      </c>
      <c r="H1023" s="2" t="s">
        <v>5</v>
      </c>
      <c r="I1023" s="2" t="s">
        <v>6</v>
      </c>
      <c r="J1023" s="2" t="s">
        <v>5</v>
      </c>
      <c r="K1023" s="2" t="s">
        <v>5</v>
      </c>
      <c r="L1023" s="2" t="s">
        <v>7</v>
      </c>
      <c r="M1023" s="1" t="s">
        <v>12406</v>
      </c>
      <c r="N1023" s="1" t="s">
        <v>12407</v>
      </c>
      <c r="O1023" s="2" t="s">
        <v>888</v>
      </c>
      <c r="Q1023" s="2" t="s">
        <v>11</v>
      </c>
      <c r="R1023" s="2" t="s">
        <v>426</v>
      </c>
      <c r="T1023" s="2" t="s">
        <v>520</v>
      </c>
      <c r="U1023" s="3">
        <v>19</v>
      </c>
      <c r="V1023" s="3">
        <v>19</v>
      </c>
      <c r="W1023" s="4" t="s">
        <v>12408</v>
      </c>
      <c r="X1023" s="4" t="s">
        <v>12408</v>
      </c>
      <c r="Y1023" s="4" t="s">
        <v>96</v>
      </c>
      <c r="Z1023" s="4" t="s">
        <v>96</v>
      </c>
      <c r="AA1023" s="3">
        <v>268</v>
      </c>
      <c r="AB1023" s="3">
        <v>188</v>
      </c>
      <c r="AC1023" s="3">
        <v>195</v>
      </c>
      <c r="AD1023" s="3">
        <v>1</v>
      </c>
      <c r="AE1023" s="3">
        <v>1</v>
      </c>
      <c r="AF1023" s="3">
        <v>5</v>
      </c>
      <c r="AG1023" s="3">
        <v>5</v>
      </c>
      <c r="AH1023" s="3">
        <v>3</v>
      </c>
      <c r="AI1023" s="3">
        <v>3</v>
      </c>
      <c r="AJ1023" s="3">
        <v>0</v>
      </c>
      <c r="AK1023" s="3">
        <v>0</v>
      </c>
      <c r="AL1023" s="3">
        <v>3</v>
      </c>
      <c r="AM1023" s="3">
        <v>3</v>
      </c>
      <c r="AN1023" s="3">
        <v>0</v>
      </c>
      <c r="AO1023" s="3">
        <v>0</v>
      </c>
      <c r="AP1023" s="3">
        <v>0</v>
      </c>
      <c r="AQ1023" s="3">
        <v>0</v>
      </c>
      <c r="AR1023" s="2" t="s">
        <v>5</v>
      </c>
      <c r="AS1023" s="2" t="s">
        <v>16</v>
      </c>
      <c r="AT1023" s="5" t="str">
        <f>HYPERLINK("http://catalog.hathitrust.org/Record/000285301","HathiTrust Record")</f>
        <v>HathiTrust Record</v>
      </c>
      <c r="AU1023" s="5" t="str">
        <f>HYPERLINK("https://creighton-primo.hosted.exlibrisgroup.com/primo-explore/search?tab=default_tab&amp;search_scope=EVERYTHING&amp;vid=01CRU&amp;lang=en_US&amp;offset=0&amp;query=any,contains,991001149129702656","Catalog Record")</f>
        <v>Catalog Record</v>
      </c>
      <c r="AV1023" s="5" t="str">
        <f>HYPERLINK("http://www.worldcat.org/oclc/9197951","WorldCat Record")</f>
        <v>WorldCat Record</v>
      </c>
      <c r="AW1023" s="2" t="s">
        <v>12409</v>
      </c>
      <c r="AX1023" s="2" t="s">
        <v>12410</v>
      </c>
      <c r="AY1023" s="2" t="s">
        <v>12411</v>
      </c>
      <c r="AZ1023" s="2" t="s">
        <v>12411</v>
      </c>
      <c r="BA1023" s="2" t="s">
        <v>12412</v>
      </c>
      <c r="BB1023" s="2" t="s">
        <v>21</v>
      </c>
      <c r="BD1023" s="2" t="s">
        <v>12413</v>
      </c>
      <c r="BE1023" s="2" t="s">
        <v>12414</v>
      </c>
      <c r="BF1023" s="2" t="s">
        <v>12415</v>
      </c>
    </row>
    <row r="1024" spans="1:58" ht="41.25" customHeight="1" x14ac:dyDescent="0.25">
      <c r="A1024" s="8" t="s">
        <v>5</v>
      </c>
      <c r="B1024" s="1" t="s">
        <v>0</v>
      </c>
      <c r="C1024" s="1" t="s">
        <v>1</v>
      </c>
      <c r="D1024" s="1" t="s">
        <v>12416</v>
      </c>
      <c r="E1024" s="1" t="s">
        <v>12417</v>
      </c>
      <c r="F1024" s="1" t="s">
        <v>12418</v>
      </c>
      <c r="H1024" s="2" t="s">
        <v>5</v>
      </c>
      <c r="I1024" s="2" t="s">
        <v>6</v>
      </c>
      <c r="J1024" s="2" t="s">
        <v>5</v>
      </c>
      <c r="K1024" s="2" t="s">
        <v>5</v>
      </c>
      <c r="L1024" s="2" t="s">
        <v>7</v>
      </c>
      <c r="M1024" s="1" t="s">
        <v>12419</v>
      </c>
      <c r="N1024" s="1" t="s">
        <v>12420</v>
      </c>
      <c r="O1024" s="2" t="s">
        <v>1060</v>
      </c>
      <c r="Q1024" s="2" t="s">
        <v>11</v>
      </c>
      <c r="R1024" s="2" t="s">
        <v>229</v>
      </c>
      <c r="T1024" s="2" t="s">
        <v>520</v>
      </c>
      <c r="U1024" s="3">
        <v>6</v>
      </c>
      <c r="V1024" s="3">
        <v>6</v>
      </c>
      <c r="W1024" s="4" t="s">
        <v>5131</v>
      </c>
      <c r="X1024" s="4" t="s">
        <v>5131</v>
      </c>
      <c r="Y1024" s="4" t="s">
        <v>12421</v>
      </c>
      <c r="Z1024" s="4" t="s">
        <v>12421</v>
      </c>
      <c r="AA1024" s="3">
        <v>109</v>
      </c>
      <c r="AB1024" s="3">
        <v>76</v>
      </c>
      <c r="AC1024" s="3">
        <v>184</v>
      </c>
      <c r="AD1024" s="3">
        <v>1</v>
      </c>
      <c r="AE1024" s="3">
        <v>2</v>
      </c>
      <c r="AF1024" s="3">
        <v>2</v>
      </c>
      <c r="AG1024" s="3">
        <v>3</v>
      </c>
      <c r="AH1024" s="3">
        <v>1</v>
      </c>
      <c r="AI1024" s="3">
        <v>1</v>
      </c>
      <c r="AJ1024" s="3">
        <v>0</v>
      </c>
      <c r="AK1024" s="3">
        <v>0</v>
      </c>
      <c r="AL1024" s="3">
        <v>1</v>
      </c>
      <c r="AM1024" s="3">
        <v>2</v>
      </c>
      <c r="AN1024" s="3">
        <v>0</v>
      </c>
      <c r="AO1024" s="3">
        <v>0</v>
      </c>
      <c r="AP1024" s="3">
        <v>0</v>
      </c>
      <c r="AQ1024" s="3">
        <v>0</v>
      </c>
      <c r="AR1024" s="2" t="s">
        <v>5</v>
      </c>
      <c r="AS1024" s="2" t="s">
        <v>16</v>
      </c>
      <c r="AT1024" s="5" t="str">
        <f>HYPERLINK("http://catalog.hathitrust.org/Record/005055677","HathiTrust Record")</f>
        <v>HathiTrust Record</v>
      </c>
      <c r="AU1024" s="5" t="str">
        <f>HYPERLINK("https://creighton-primo.hosted.exlibrisgroup.com/primo-explore/search?tab=default_tab&amp;search_scope=EVERYTHING&amp;vid=01CRU&amp;lang=en_US&amp;offset=0&amp;query=any,contains,991000585239702656","Catalog Record")</f>
        <v>Catalog Record</v>
      </c>
      <c r="AV1024" s="5" t="str">
        <f>HYPERLINK("http://www.worldcat.org/oclc/60245535","WorldCat Record")</f>
        <v>WorldCat Record</v>
      </c>
      <c r="AW1024" s="2" t="s">
        <v>12422</v>
      </c>
      <c r="AX1024" s="2" t="s">
        <v>12423</v>
      </c>
      <c r="AY1024" s="2" t="s">
        <v>12424</v>
      </c>
      <c r="AZ1024" s="2" t="s">
        <v>12424</v>
      </c>
      <c r="BA1024" s="2" t="s">
        <v>12425</v>
      </c>
      <c r="BB1024" s="2" t="s">
        <v>21</v>
      </c>
      <c r="BD1024" s="2" t="s">
        <v>12426</v>
      </c>
      <c r="BE1024" s="2" t="s">
        <v>12427</v>
      </c>
      <c r="BF1024" s="2" t="s">
        <v>12428</v>
      </c>
    </row>
    <row r="1025" spans="1:58" ht="41.25" customHeight="1" x14ac:dyDescent="0.25">
      <c r="A1025" s="8" t="s">
        <v>5</v>
      </c>
      <c r="B1025" s="1" t="s">
        <v>0</v>
      </c>
      <c r="C1025" s="1" t="s">
        <v>1</v>
      </c>
      <c r="D1025" s="1" t="s">
        <v>12429</v>
      </c>
      <c r="E1025" s="1" t="s">
        <v>12430</v>
      </c>
      <c r="F1025" s="1" t="s">
        <v>12431</v>
      </c>
      <c r="H1025" s="2" t="s">
        <v>5</v>
      </c>
      <c r="I1025" s="2" t="s">
        <v>6</v>
      </c>
      <c r="J1025" s="2" t="s">
        <v>5</v>
      </c>
      <c r="K1025" s="2" t="s">
        <v>5</v>
      </c>
      <c r="L1025" s="2" t="s">
        <v>7</v>
      </c>
      <c r="M1025" s="1" t="s">
        <v>12432</v>
      </c>
      <c r="N1025" s="1" t="s">
        <v>2250</v>
      </c>
      <c r="O1025" s="2" t="s">
        <v>228</v>
      </c>
      <c r="Q1025" s="2" t="s">
        <v>11</v>
      </c>
      <c r="R1025" s="2" t="s">
        <v>426</v>
      </c>
      <c r="T1025" s="2" t="s">
        <v>520</v>
      </c>
      <c r="U1025" s="3">
        <v>24</v>
      </c>
      <c r="V1025" s="3">
        <v>24</v>
      </c>
      <c r="W1025" s="4" t="s">
        <v>12433</v>
      </c>
      <c r="X1025" s="4" t="s">
        <v>12433</v>
      </c>
      <c r="Y1025" s="4" t="s">
        <v>197</v>
      </c>
      <c r="Z1025" s="4" t="s">
        <v>197</v>
      </c>
      <c r="AA1025" s="3">
        <v>287</v>
      </c>
      <c r="AB1025" s="3">
        <v>221</v>
      </c>
      <c r="AC1025" s="3">
        <v>228</v>
      </c>
      <c r="AD1025" s="3">
        <v>3</v>
      </c>
      <c r="AE1025" s="3">
        <v>3</v>
      </c>
      <c r="AF1025" s="3">
        <v>10</v>
      </c>
      <c r="AG1025" s="3">
        <v>10</v>
      </c>
      <c r="AH1025" s="3">
        <v>5</v>
      </c>
      <c r="AI1025" s="3">
        <v>5</v>
      </c>
      <c r="AJ1025" s="3">
        <v>1</v>
      </c>
      <c r="AK1025" s="3">
        <v>1</v>
      </c>
      <c r="AL1025" s="3">
        <v>4</v>
      </c>
      <c r="AM1025" s="3">
        <v>4</v>
      </c>
      <c r="AN1025" s="3">
        <v>2</v>
      </c>
      <c r="AO1025" s="3">
        <v>2</v>
      </c>
      <c r="AP1025" s="3">
        <v>0</v>
      </c>
      <c r="AQ1025" s="3">
        <v>0</v>
      </c>
      <c r="AR1025" s="2" t="s">
        <v>5</v>
      </c>
      <c r="AS1025" s="2" t="s">
        <v>16</v>
      </c>
      <c r="AT1025" s="5" t="str">
        <f>HYPERLINK("http://catalog.hathitrust.org/Record/000241158","HathiTrust Record")</f>
        <v>HathiTrust Record</v>
      </c>
      <c r="AU1025" s="5" t="str">
        <f>HYPERLINK("https://creighton-primo.hosted.exlibrisgroup.com/primo-explore/search?tab=default_tab&amp;search_scope=EVERYTHING&amp;vid=01CRU&amp;lang=en_US&amp;offset=0&amp;query=any,contains,991001149169702656","Catalog Record")</f>
        <v>Catalog Record</v>
      </c>
      <c r="AV1025" s="5" t="str">
        <f>HYPERLINK("http://www.worldcat.org/oclc/7998406","WorldCat Record")</f>
        <v>WorldCat Record</v>
      </c>
      <c r="AW1025" s="2" t="s">
        <v>12434</v>
      </c>
      <c r="AX1025" s="2" t="s">
        <v>12435</v>
      </c>
      <c r="AY1025" s="2" t="s">
        <v>12436</v>
      </c>
      <c r="AZ1025" s="2" t="s">
        <v>12436</v>
      </c>
      <c r="BA1025" s="2" t="s">
        <v>12437</v>
      </c>
      <c r="BB1025" s="2" t="s">
        <v>21</v>
      </c>
      <c r="BD1025" s="2" t="s">
        <v>12438</v>
      </c>
      <c r="BE1025" s="2" t="s">
        <v>12439</v>
      </c>
      <c r="BF1025" s="2" t="s">
        <v>12440</v>
      </c>
    </row>
    <row r="1026" spans="1:58" ht="41.25" customHeight="1" x14ac:dyDescent="0.25">
      <c r="A1026" s="8" t="s">
        <v>5</v>
      </c>
      <c r="B1026" s="1" t="s">
        <v>0</v>
      </c>
      <c r="C1026" s="1" t="s">
        <v>1</v>
      </c>
      <c r="D1026" s="1" t="s">
        <v>12441</v>
      </c>
      <c r="E1026" s="1" t="s">
        <v>12442</v>
      </c>
      <c r="F1026" s="1" t="s">
        <v>12443</v>
      </c>
      <c r="H1026" s="2" t="s">
        <v>5</v>
      </c>
      <c r="I1026" s="2" t="s">
        <v>6</v>
      </c>
      <c r="J1026" s="2" t="s">
        <v>5</v>
      </c>
      <c r="K1026" s="2" t="s">
        <v>5</v>
      </c>
      <c r="L1026" s="2" t="s">
        <v>7</v>
      </c>
      <c r="M1026" s="1" t="s">
        <v>12444</v>
      </c>
      <c r="N1026" s="1" t="s">
        <v>12445</v>
      </c>
      <c r="O1026" s="2" t="s">
        <v>1863</v>
      </c>
      <c r="P1026" s="1" t="s">
        <v>1208</v>
      </c>
      <c r="Q1026" s="2" t="s">
        <v>11</v>
      </c>
      <c r="R1026" s="2" t="s">
        <v>78</v>
      </c>
      <c r="T1026" s="2" t="s">
        <v>520</v>
      </c>
      <c r="U1026" s="3">
        <v>5</v>
      </c>
      <c r="V1026" s="3">
        <v>5</v>
      </c>
      <c r="W1026" s="4" t="s">
        <v>12446</v>
      </c>
      <c r="X1026" s="4" t="s">
        <v>12446</v>
      </c>
      <c r="Y1026" s="4" t="s">
        <v>8017</v>
      </c>
      <c r="Z1026" s="4" t="s">
        <v>8017</v>
      </c>
      <c r="AA1026" s="3">
        <v>362</v>
      </c>
      <c r="AB1026" s="3">
        <v>255</v>
      </c>
      <c r="AC1026" s="3">
        <v>575</v>
      </c>
      <c r="AD1026" s="3">
        <v>1</v>
      </c>
      <c r="AE1026" s="3">
        <v>2</v>
      </c>
      <c r="AF1026" s="3">
        <v>6</v>
      </c>
      <c r="AG1026" s="3">
        <v>16</v>
      </c>
      <c r="AH1026" s="3">
        <v>5</v>
      </c>
      <c r="AI1026" s="3">
        <v>8</v>
      </c>
      <c r="AJ1026" s="3">
        <v>0</v>
      </c>
      <c r="AK1026" s="3">
        <v>3</v>
      </c>
      <c r="AL1026" s="3">
        <v>2</v>
      </c>
      <c r="AM1026" s="3">
        <v>8</v>
      </c>
      <c r="AN1026" s="3">
        <v>0</v>
      </c>
      <c r="AO1026" s="3">
        <v>1</v>
      </c>
      <c r="AP1026" s="3">
        <v>0</v>
      </c>
      <c r="AQ1026" s="3">
        <v>0</v>
      </c>
      <c r="AR1026" s="2" t="s">
        <v>5</v>
      </c>
      <c r="AS1026" s="2" t="s">
        <v>16</v>
      </c>
      <c r="AT1026" s="5" t="str">
        <f>HYPERLINK("http://catalog.hathitrust.org/Record/004155578","HathiTrust Record")</f>
        <v>HathiTrust Record</v>
      </c>
      <c r="AU1026" s="5" t="str">
        <f>HYPERLINK("https://creighton-primo.hosted.exlibrisgroup.com/primo-explore/search?tab=default_tab&amp;search_scope=EVERYTHING&amp;vid=01CRU&amp;lang=en_US&amp;offset=0&amp;query=any,contains,991001713389702656","Catalog Record")</f>
        <v>Catalog Record</v>
      </c>
      <c r="AV1026" s="5" t="str">
        <f>HYPERLINK("http://www.worldcat.org/oclc/44979687","WorldCat Record")</f>
        <v>WorldCat Record</v>
      </c>
      <c r="AW1026" s="2" t="s">
        <v>12447</v>
      </c>
      <c r="AX1026" s="2" t="s">
        <v>12448</v>
      </c>
      <c r="AY1026" s="2" t="s">
        <v>12449</v>
      </c>
      <c r="AZ1026" s="2" t="s">
        <v>12449</v>
      </c>
      <c r="BA1026" s="2" t="s">
        <v>12450</v>
      </c>
      <c r="BB1026" s="2" t="s">
        <v>21</v>
      </c>
      <c r="BD1026" s="2" t="s">
        <v>12451</v>
      </c>
      <c r="BE1026" s="2" t="s">
        <v>12452</v>
      </c>
      <c r="BF1026" s="2" t="s">
        <v>12453</v>
      </c>
    </row>
    <row r="1027" spans="1:58" ht="41.25" customHeight="1" x14ac:dyDescent="0.25">
      <c r="A1027" s="8" t="s">
        <v>5</v>
      </c>
      <c r="B1027" s="1" t="s">
        <v>0</v>
      </c>
      <c r="C1027" s="1" t="s">
        <v>1</v>
      </c>
      <c r="D1027" s="1" t="s">
        <v>12454</v>
      </c>
      <c r="E1027" s="1" t="s">
        <v>12455</v>
      </c>
      <c r="F1027" s="1" t="s">
        <v>12456</v>
      </c>
      <c r="H1027" s="2" t="s">
        <v>5</v>
      </c>
      <c r="I1027" s="2" t="s">
        <v>6</v>
      </c>
      <c r="J1027" s="2" t="s">
        <v>5</v>
      </c>
      <c r="K1027" s="2" t="s">
        <v>5</v>
      </c>
      <c r="L1027" s="2" t="s">
        <v>7</v>
      </c>
      <c r="M1027" s="1" t="s">
        <v>12444</v>
      </c>
      <c r="N1027" s="1" t="s">
        <v>2321</v>
      </c>
      <c r="O1027" s="2" t="s">
        <v>1060</v>
      </c>
      <c r="P1027" s="1" t="s">
        <v>1284</v>
      </c>
      <c r="Q1027" s="2" t="s">
        <v>11</v>
      </c>
      <c r="R1027" s="2" t="s">
        <v>78</v>
      </c>
      <c r="T1027" s="2" t="s">
        <v>520</v>
      </c>
      <c r="U1027" s="3">
        <v>1</v>
      </c>
      <c r="V1027" s="3">
        <v>1</v>
      </c>
      <c r="W1027" s="4" t="s">
        <v>12457</v>
      </c>
      <c r="X1027" s="4" t="s">
        <v>12457</v>
      </c>
      <c r="Y1027" s="4" t="s">
        <v>12458</v>
      </c>
      <c r="Z1027" s="4" t="s">
        <v>12458</v>
      </c>
      <c r="AA1027" s="3">
        <v>471</v>
      </c>
      <c r="AB1027" s="3">
        <v>340</v>
      </c>
      <c r="AC1027" s="3">
        <v>344</v>
      </c>
      <c r="AD1027" s="3">
        <v>4</v>
      </c>
      <c r="AE1027" s="3">
        <v>4</v>
      </c>
      <c r="AF1027" s="3">
        <v>19</v>
      </c>
      <c r="AG1027" s="3">
        <v>19</v>
      </c>
      <c r="AH1027" s="3">
        <v>5</v>
      </c>
      <c r="AI1027" s="3">
        <v>5</v>
      </c>
      <c r="AJ1027" s="3">
        <v>3</v>
      </c>
      <c r="AK1027" s="3">
        <v>3</v>
      </c>
      <c r="AL1027" s="3">
        <v>12</v>
      </c>
      <c r="AM1027" s="3">
        <v>12</v>
      </c>
      <c r="AN1027" s="3">
        <v>3</v>
      </c>
      <c r="AO1027" s="3">
        <v>3</v>
      </c>
      <c r="AP1027" s="3">
        <v>0</v>
      </c>
      <c r="AQ1027" s="3">
        <v>0</v>
      </c>
      <c r="AR1027" s="2" t="s">
        <v>5</v>
      </c>
      <c r="AS1027" s="2" t="s">
        <v>5</v>
      </c>
      <c r="AU1027" s="5" t="str">
        <f>HYPERLINK("https://creighton-primo.hosted.exlibrisgroup.com/primo-explore/search?tab=default_tab&amp;search_scope=EVERYTHING&amp;vid=01CRU&amp;lang=en_US&amp;offset=0&amp;query=any,contains,991001732189702656","Catalog Record")</f>
        <v>Catalog Record</v>
      </c>
      <c r="AV1027" s="5" t="str">
        <f>HYPERLINK("http://www.worldcat.org/oclc/55634046","WorldCat Record")</f>
        <v>WorldCat Record</v>
      </c>
      <c r="AW1027" s="2" t="s">
        <v>12459</v>
      </c>
      <c r="AX1027" s="2" t="s">
        <v>12460</v>
      </c>
      <c r="AY1027" s="2" t="s">
        <v>12461</v>
      </c>
      <c r="AZ1027" s="2" t="s">
        <v>12461</v>
      </c>
      <c r="BA1027" s="2" t="s">
        <v>12462</v>
      </c>
      <c r="BB1027" s="2" t="s">
        <v>21</v>
      </c>
      <c r="BD1027" s="2" t="s">
        <v>12463</v>
      </c>
      <c r="BE1027" s="2" t="s">
        <v>12464</v>
      </c>
      <c r="BF1027" s="2" t="s">
        <v>12465</v>
      </c>
    </row>
    <row r="1028" spans="1:58" ht="41.25" customHeight="1" x14ac:dyDescent="0.25">
      <c r="A1028" s="8" t="s">
        <v>5</v>
      </c>
      <c r="B1028" s="1" t="s">
        <v>0</v>
      </c>
      <c r="C1028" s="1" t="s">
        <v>1</v>
      </c>
      <c r="D1028" s="1" t="s">
        <v>12466</v>
      </c>
      <c r="E1028" s="1" t="s">
        <v>12467</v>
      </c>
      <c r="F1028" s="1" t="s">
        <v>12468</v>
      </c>
      <c r="H1028" s="2" t="s">
        <v>5</v>
      </c>
      <c r="I1028" s="2" t="s">
        <v>6</v>
      </c>
      <c r="J1028" s="2" t="s">
        <v>5</v>
      </c>
      <c r="K1028" s="2" t="s">
        <v>16</v>
      </c>
      <c r="L1028" s="2" t="s">
        <v>7</v>
      </c>
      <c r="N1028" s="1" t="s">
        <v>7526</v>
      </c>
      <c r="O1028" s="2" t="s">
        <v>1887</v>
      </c>
      <c r="Q1028" s="2" t="s">
        <v>11</v>
      </c>
      <c r="R1028" s="2" t="s">
        <v>78</v>
      </c>
      <c r="T1028" s="2" t="s">
        <v>520</v>
      </c>
      <c r="U1028" s="3">
        <v>8</v>
      </c>
      <c r="V1028" s="3">
        <v>8</v>
      </c>
      <c r="W1028" s="4" t="s">
        <v>12469</v>
      </c>
      <c r="X1028" s="4" t="s">
        <v>12469</v>
      </c>
      <c r="Y1028" s="4" t="s">
        <v>12470</v>
      </c>
      <c r="Z1028" s="4" t="s">
        <v>12470</v>
      </c>
      <c r="AA1028" s="3">
        <v>246</v>
      </c>
      <c r="AB1028" s="3">
        <v>185</v>
      </c>
      <c r="AC1028" s="3">
        <v>243</v>
      </c>
      <c r="AD1028" s="3">
        <v>1</v>
      </c>
      <c r="AE1028" s="3">
        <v>1</v>
      </c>
      <c r="AF1028" s="3">
        <v>7</v>
      </c>
      <c r="AG1028" s="3">
        <v>12</v>
      </c>
      <c r="AH1028" s="3">
        <v>3</v>
      </c>
      <c r="AI1028" s="3">
        <v>6</v>
      </c>
      <c r="AJ1028" s="3">
        <v>1</v>
      </c>
      <c r="AK1028" s="3">
        <v>1</v>
      </c>
      <c r="AL1028" s="3">
        <v>6</v>
      </c>
      <c r="AM1028" s="3">
        <v>9</v>
      </c>
      <c r="AN1028" s="3">
        <v>0</v>
      </c>
      <c r="AO1028" s="3">
        <v>0</v>
      </c>
      <c r="AP1028" s="3">
        <v>0</v>
      </c>
      <c r="AQ1028" s="3">
        <v>0</v>
      </c>
      <c r="AR1028" s="2" t="s">
        <v>5</v>
      </c>
      <c r="AS1028" s="2" t="s">
        <v>16</v>
      </c>
      <c r="AT1028" s="5" t="str">
        <f>HYPERLINK("http://catalog.hathitrust.org/Record/003186025","HathiTrust Record")</f>
        <v>HathiTrust Record</v>
      </c>
      <c r="AU1028" s="5" t="str">
        <f>HYPERLINK("https://creighton-primo.hosted.exlibrisgroup.com/primo-explore/search?tab=default_tab&amp;search_scope=EVERYTHING&amp;vid=01CRU&amp;lang=en_US&amp;offset=0&amp;query=any,contains,991001431499702656","Catalog Record")</f>
        <v>Catalog Record</v>
      </c>
      <c r="AV1028" s="5" t="str">
        <f>HYPERLINK("http://www.worldcat.org/oclc/27144027","WorldCat Record")</f>
        <v>WorldCat Record</v>
      </c>
      <c r="AW1028" s="2" t="s">
        <v>12471</v>
      </c>
      <c r="AX1028" s="2" t="s">
        <v>12472</v>
      </c>
      <c r="AY1028" s="2" t="s">
        <v>12473</v>
      </c>
      <c r="AZ1028" s="2" t="s">
        <v>12473</v>
      </c>
      <c r="BA1028" s="2" t="s">
        <v>12474</v>
      </c>
      <c r="BB1028" s="2" t="s">
        <v>21</v>
      </c>
      <c r="BD1028" s="2" t="s">
        <v>12475</v>
      </c>
      <c r="BE1028" s="2" t="s">
        <v>12476</v>
      </c>
      <c r="BF1028" s="2" t="s">
        <v>12477</v>
      </c>
    </row>
    <row r="1029" spans="1:58" ht="41.25" customHeight="1" x14ac:dyDescent="0.25">
      <c r="A1029" s="8" t="s">
        <v>5</v>
      </c>
      <c r="B1029" s="1" t="s">
        <v>0</v>
      </c>
      <c r="C1029" s="1" t="s">
        <v>1</v>
      </c>
      <c r="D1029" s="1" t="s">
        <v>12478</v>
      </c>
      <c r="E1029" s="1" t="s">
        <v>12479</v>
      </c>
      <c r="F1029" s="1" t="s">
        <v>12480</v>
      </c>
      <c r="H1029" s="2" t="s">
        <v>5</v>
      </c>
      <c r="I1029" s="2" t="s">
        <v>6</v>
      </c>
      <c r="J1029" s="2" t="s">
        <v>5</v>
      </c>
      <c r="K1029" s="2" t="s">
        <v>5</v>
      </c>
      <c r="L1029" s="2" t="s">
        <v>7</v>
      </c>
      <c r="M1029" s="1" t="s">
        <v>12481</v>
      </c>
      <c r="N1029" s="1" t="s">
        <v>10519</v>
      </c>
      <c r="O1029" s="2" t="s">
        <v>734</v>
      </c>
      <c r="Q1029" s="2" t="s">
        <v>11</v>
      </c>
      <c r="R1029" s="2" t="s">
        <v>1019</v>
      </c>
      <c r="T1029" s="2" t="s">
        <v>520</v>
      </c>
      <c r="U1029" s="3">
        <v>4</v>
      </c>
      <c r="V1029" s="3">
        <v>4</v>
      </c>
      <c r="W1029" s="4" t="s">
        <v>10421</v>
      </c>
      <c r="X1029" s="4" t="s">
        <v>10421</v>
      </c>
      <c r="Y1029" s="4" t="s">
        <v>197</v>
      </c>
      <c r="Z1029" s="4" t="s">
        <v>197</v>
      </c>
      <c r="AA1029" s="3">
        <v>49</v>
      </c>
      <c r="AB1029" s="3">
        <v>40</v>
      </c>
      <c r="AC1029" s="3">
        <v>72</v>
      </c>
      <c r="AD1029" s="3">
        <v>1</v>
      </c>
      <c r="AE1029" s="3">
        <v>2</v>
      </c>
      <c r="AF1029" s="3">
        <v>1</v>
      </c>
      <c r="AG1029" s="3">
        <v>1</v>
      </c>
      <c r="AH1029" s="3">
        <v>0</v>
      </c>
      <c r="AI1029" s="3">
        <v>0</v>
      </c>
      <c r="AJ1029" s="3">
        <v>0</v>
      </c>
      <c r="AK1029" s="3">
        <v>0</v>
      </c>
      <c r="AL1029" s="3">
        <v>1</v>
      </c>
      <c r="AM1029" s="3">
        <v>1</v>
      </c>
      <c r="AN1029" s="3">
        <v>0</v>
      </c>
      <c r="AO1029" s="3">
        <v>0</v>
      </c>
      <c r="AP1029" s="3">
        <v>0</v>
      </c>
      <c r="AQ1029" s="3">
        <v>0</v>
      </c>
      <c r="AR1029" s="2" t="s">
        <v>5</v>
      </c>
      <c r="AS1029" s="2" t="s">
        <v>5</v>
      </c>
      <c r="AU1029" s="5" t="str">
        <f>HYPERLINK("https://creighton-primo.hosted.exlibrisgroup.com/primo-explore/search?tab=default_tab&amp;search_scope=EVERYTHING&amp;vid=01CRU&amp;lang=en_US&amp;offset=0&amp;query=any,contains,991001149269702656","Catalog Record")</f>
        <v>Catalog Record</v>
      </c>
      <c r="AV1029" s="5" t="str">
        <f>HYPERLINK("http://www.worldcat.org/oclc/8429838","WorldCat Record")</f>
        <v>WorldCat Record</v>
      </c>
      <c r="AW1029" s="2" t="s">
        <v>12482</v>
      </c>
      <c r="AX1029" s="2" t="s">
        <v>12483</v>
      </c>
      <c r="AY1029" s="2" t="s">
        <v>12484</v>
      </c>
      <c r="AZ1029" s="2" t="s">
        <v>12484</v>
      </c>
      <c r="BA1029" s="2" t="s">
        <v>12485</v>
      </c>
      <c r="BB1029" s="2" t="s">
        <v>21</v>
      </c>
      <c r="BD1029" s="2" t="s">
        <v>12486</v>
      </c>
      <c r="BE1029" s="2" t="s">
        <v>12487</v>
      </c>
      <c r="BF1029" s="2" t="s">
        <v>12488</v>
      </c>
    </row>
    <row r="1030" spans="1:58" ht="41.25" customHeight="1" x14ac:dyDescent="0.25">
      <c r="A1030" s="8" t="s">
        <v>5</v>
      </c>
      <c r="B1030" s="1" t="s">
        <v>0</v>
      </c>
      <c r="C1030" s="1" t="s">
        <v>1</v>
      </c>
      <c r="D1030" s="1" t="s">
        <v>12489</v>
      </c>
      <c r="E1030" s="1" t="s">
        <v>12490</v>
      </c>
      <c r="F1030" s="1" t="s">
        <v>12491</v>
      </c>
      <c r="G1030" s="2" t="s">
        <v>4173</v>
      </c>
      <c r="H1030" s="2" t="s">
        <v>5</v>
      </c>
      <c r="I1030" s="2" t="s">
        <v>6</v>
      </c>
      <c r="J1030" s="2" t="s">
        <v>5</v>
      </c>
      <c r="K1030" s="2" t="s">
        <v>5</v>
      </c>
      <c r="L1030" s="2" t="s">
        <v>7</v>
      </c>
      <c r="M1030" s="1" t="s">
        <v>12492</v>
      </c>
      <c r="N1030" s="1" t="s">
        <v>12493</v>
      </c>
      <c r="O1030" s="2" t="s">
        <v>228</v>
      </c>
      <c r="Q1030" s="2" t="s">
        <v>11</v>
      </c>
      <c r="R1030" s="2" t="s">
        <v>426</v>
      </c>
      <c r="S1030" s="1" t="s">
        <v>12494</v>
      </c>
      <c r="T1030" s="2" t="s">
        <v>520</v>
      </c>
      <c r="U1030" s="3">
        <v>1</v>
      </c>
      <c r="V1030" s="3">
        <v>1</v>
      </c>
      <c r="W1030" s="4" t="s">
        <v>3536</v>
      </c>
      <c r="X1030" s="4" t="s">
        <v>3536</v>
      </c>
      <c r="Y1030" s="4" t="s">
        <v>197</v>
      </c>
      <c r="Z1030" s="4" t="s">
        <v>197</v>
      </c>
      <c r="AA1030" s="3">
        <v>84</v>
      </c>
      <c r="AB1030" s="3">
        <v>69</v>
      </c>
      <c r="AC1030" s="3">
        <v>69</v>
      </c>
      <c r="AD1030" s="3">
        <v>1</v>
      </c>
      <c r="AE1030" s="3">
        <v>1</v>
      </c>
      <c r="AF1030" s="3">
        <v>2</v>
      </c>
      <c r="AG1030" s="3">
        <v>2</v>
      </c>
      <c r="AH1030" s="3">
        <v>1</v>
      </c>
      <c r="AI1030" s="3">
        <v>1</v>
      </c>
      <c r="AJ1030" s="3">
        <v>1</v>
      </c>
      <c r="AK1030" s="3">
        <v>1</v>
      </c>
      <c r="AL1030" s="3">
        <v>0</v>
      </c>
      <c r="AM1030" s="3">
        <v>0</v>
      </c>
      <c r="AN1030" s="3">
        <v>0</v>
      </c>
      <c r="AO1030" s="3">
        <v>0</v>
      </c>
      <c r="AP1030" s="3">
        <v>0</v>
      </c>
      <c r="AQ1030" s="3">
        <v>0</v>
      </c>
      <c r="AR1030" s="2" t="s">
        <v>5</v>
      </c>
      <c r="AS1030" s="2" t="s">
        <v>5</v>
      </c>
      <c r="AU1030" s="5" t="str">
        <f>HYPERLINK("https://creighton-primo.hosted.exlibrisgroup.com/primo-explore/search?tab=default_tab&amp;search_scope=EVERYTHING&amp;vid=01CRU&amp;lang=en_US&amp;offset=0&amp;query=any,contains,991001149339702656","Catalog Record")</f>
        <v>Catalog Record</v>
      </c>
      <c r="AV1030" s="5" t="str">
        <f>HYPERLINK("http://www.worldcat.org/oclc/8280326","WorldCat Record")</f>
        <v>WorldCat Record</v>
      </c>
      <c r="AW1030" s="2" t="s">
        <v>12495</v>
      </c>
      <c r="AX1030" s="2" t="s">
        <v>12496</v>
      </c>
      <c r="AY1030" s="2" t="s">
        <v>12497</v>
      </c>
      <c r="AZ1030" s="2" t="s">
        <v>12497</v>
      </c>
      <c r="BA1030" s="2" t="s">
        <v>12498</v>
      </c>
      <c r="BB1030" s="2" t="s">
        <v>21</v>
      </c>
      <c r="BD1030" s="2" t="s">
        <v>12499</v>
      </c>
      <c r="BE1030" s="2" t="s">
        <v>12500</v>
      </c>
      <c r="BF1030" s="2" t="s">
        <v>12501</v>
      </c>
    </row>
    <row r="1031" spans="1:58" ht="41.25" customHeight="1" x14ac:dyDescent="0.25">
      <c r="A1031" s="8" t="s">
        <v>5</v>
      </c>
      <c r="B1031" s="1" t="s">
        <v>0</v>
      </c>
      <c r="C1031" s="1" t="s">
        <v>1</v>
      </c>
      <c r="D1031" s="1" t="s">
        <v>12502</v>
      </c>
      <c r="E1031" s="1" t="s">
        <v>12503</v>
      </c>
      <c r="F1031" s="1" t="s">
        <v>12504</v>
      </c>
      <c r="H1031" s="2" t="s">
        <v>5</v>
      </c>
      <c r="I1031" s="2" t="s">
        <v>6</v>
      </c>
      <c r="J1031" s="2" t="s">
        <v>5</v>
      </c>
      <c r="K1031" s="2" t="s">
        <v>5</v>
      </c>
      <c r="L1031" s="2" t="s">
        <v>7</v>
      </c>
      <c r="M1031" s="1" t="s">
        <v>12505</v>
      </c>
      <c r="N1031" s="1" t="s">
        <v>6543</v>
      </c>
      <c r="O1031" s="2" t="s">
        <v>989</v>
      </c>
      <c r="Q1031" s="2" t="s">
        <v>11</v>
      </c>
      <c r="R1031" s="2" t="s">
        <v>426</v>
      </c>
      <c r="T1031" s="2" t="s">
        <v>520</v>
      </c>
      <c r="U1031" s="3">
        <v>15</v>
      </c>
      <c r="V1031" s="3">
        <v>15</v>
      </c>
      <c r="W1031" s="4" t="s">
        <v>12506</v>
      </c>
      <c r="X1031" s="4" t="s">
        <v>12506</v>
      </c>
      <c r="Y1031" s="4" t="s">
        <v>3308</v>
      </c>
      <c r="Z1031" s="4" t="s">
        <v>3308</v>
      </c>
      <c r="AA1031" s="3">
        <v>113</v>
      </c>
      <c r="AB1031" s="3">
        <v>96</v>
      </c>
      <c r="AC1031" s="3">
        <v>101</v>
      </c>
      <c r="AD1031" s="3">
        <v>1</v>
      </c>
      <c r="AE1031" s="3">
        <v>1</v>
      </c>
      <c r="AF1031" s="3">
        <v>3</v>
      </c>
      <c r="AG1031" s="3">
        <v>3</v>
      </c>
      <c r="AH1031" s="3">
        <v>1</v>
      </c>
      <c r="AI1031" s="3">
        <v>1</v>
      </c>
      <c r="AJ1031" s="3">
        <v>1</v>
      </c>
      <c r="AK1031" s="3">
        <v>1</v>
      </c>
      <c r="AL1031" s="3">
        <v>1</v>
      </c>
      <c r="AM1031" s="3">
        <v>1</v>
      </c>
      <c r="AN1031" s="3">
        <v>0</v>
      </c>
      <c r="AO1031" s="3">
        <v>0</v>
      </c>
      <c r="AP1031" s="3">
        <v>0</v>
      </c>
      <c r="AQ1031" s="3">
        <v>0</v>
      </c>
      <c r="AR1031" s="2" t="s">
        <v>5</v>
      </c>
      <c r="AS1031" s="2" t="s">
        <v>16</v>
      </c>
      <c r="AT1031" s="5" t="str">
        <f>HYPERLINK("http://catalog.hathitrust.org/Record/001818784","HathiTrust Record")</f>
        <v>HathiTrust Record</v>
      </c>
      <c r="AU1031" s="5" t="str">
        <f>HYPERLINK("https://creighton-primo.hosted.exlibrisgroup.com/primo-explore/search?tab=default_tab&amp;search_scope=EVERYTHING&amp;vid=01CRU&amp;lang=en_US&amp;offset=0&amp;query=any,contains,991001361109702656","Catalog Record")</f>
        <v>Catalog Record</v>
      </c>
      <c r="AV1031" s="5" t="str">
        <f>HYPERLINK("http://www.worldcat.org/oclc/19922596","WorldCat Record")</f>
        <v>WorldCat Record</v>
      </c>
      <c r="AW1031" s="2" t="s">
        <v>12507</v>
      </c>
      <c r="AX1031" s="2" t="s">
        <v>12508</v>
      </c>
      <c r="AY1031" s="2" t="s">
        <v>12509</v>
      </c>
      <c r="AZ1031" s="2" t="s">
        <v>12509</v>
      </c>
      <c r="BA1031" s="2" t="s">
        <v>12510</v>
      </c>
      <c r="BB1031" s="2" t="s">
        <v>21</v>
      </c>
      <c r="BD1031" s="2" t="s">
        <v>12511</v>
      </c>
      <c r="BE1031" s="2" t="s">
        <v>12512</v>
      </c>
      <c r="BF1031" s="2" t="s">
        <v>12513</v>
      </c>
    </row>
    <row r="1032" spans="1:58" ht="41.25" customHeight="1" x14ac:dyDescent="0.25">
      <c r="A1032" s="8" t="s">
        <v>5</v>
      </c>
      <c r="B1032" s="1" t="s">
        <v>0</v>
      </c>
      <c r="C1032" s="1" t="s">
        <v>1</v>
      </c>
      <c r="D1032" s="1" t="s">
        <v>12514</v>
      </c>
      <c r="E1032" s="1" t="s">
        <v>12515</v>
      </c>
      <c r="F1032" s="1" t="s">
        <v>12516</v>
      </c>
      <c r="H1032" s="2" t="s">
        <v>5</v>
      </c>
      <c r="I1032" s="2" t="s">
        <v>6</v>
      </c>
      <c r="J1032" s="2" t="s">
        <v>5</v>
      </c>
      <c r="K1032" s="2" t="s">
        <v>5</v>
      </c>
      <c r="L1032" s="2" t="s">
        <v>7</v>
      </c>
      <c r="N1032" s="1" t="s">
        <v>7917</v>
      </c>
      <c r="O1032" s="2" t="s">
        <v>382</v>
      </c>
      <c r="Q1032" s="2" t="s">
        <v>11</v>
      </c>
      <c r="R1032" s="2" t="s">
        <v>78</v>
      </c>
      <c r="T1032" s="2" t="s">
        <v>520</v>
      </c>
      <c r="U1032" s="3">
        <v>3</v>
      </c>
      <c r="V1032" s="3">
        <v>3</v>
      </c>
      <c r="W1032" s="4" t="s">
        <v>286</v>
      </c>
      <c r="X1032" s="4" t="s">
        <v>286</v>
      </c>
      <c r="Y1032" s="4" t="s">
        <v>197</v>
      </c>
      <c r="Z1032" s="4" t="s">
        <v>197</v>
      </c>
      <c r="AA1032" s="3">
        <v>283</v>
      </c>
      <c r="AB1032" s="3">
        <v>225</v>
      </c>
      <c r="AC1032" s="3">
        <v>228</v>
      </c>
      <c r="AD1032" s="3">
        <v>2</v>
      </c>
      <c r="AE1032" s="3">
        <v>2</v>
      </c>
      <c r="AF1032" s="3">
        <v>6</v>
      </c>
      <c r="AG1032" s="3">
        <v>6</v>
      </c>
      <c r="AH1032" s="3">
        <v>3</v>
      </c>
      <c r="AI1032" s="3">
        <v>3</v>
      </c>
      <c r="AJ1032" s="3">
        <v>1</v>
      </c>
      <c r="AK1032" s="3">
        <v>1</v>
      </c>
      <c r="AL1032" s="3">
        <v>4</v>
      </c>
      <c r="AM1032" s="3">
        <v>4</v>
      </c>
      <c r="AN1032" s="3">
        <v>0</v>
      </c>
      <c r="AO1032" s="3">
        <v>0</v>
      </c>
      <c r="AP1032" s="3">
        <v>0</v>
      </c>
      <c r="AQ1032" s="3">
        <v>0</v>
      </c>
      <c r="AR1032" s="2" t="s">
        <v>5</v>
      </c>
      <c r="AS1032" s="2" t="s">
        <v>16</v>
      </c>
      <c r="AT1032" s="5" t="str">
        <f>HYPERLINK("http://catalog.hathitrust.org/Record/000249666","HathiTrust Record")</f>
        <v>HathiTrust Record</v>
      </c>
      <c r="AU1032" s="5" t="str">
        <f>HYPERLINK("https://creighton-primo.hosted.exlibrisgroup.com/primo-explore/search?tab=default_tab&amp;search_scope=EVERYTHING&amp;vid=01CRU&amp;lang=en_US&amp;offset=0&amp;query=any,contains,991001149469702656","Catalog Record")</f>
        <v>Catalog Record</v>
      </c>
      <c r="AV1032" s="5" t="str">
        <f>HYPERLINK("http://www.worldcat.org/oclc/10878363","WorldCat Record")</f>
        <v>WorldCat Record</v>
      </c>
      <c r="AW1032" s="2" t="s">
        <v>12517</v>
      </c>
      <c r="AX1032" s="2" t="s">
        <v>12518</v>
      </c>
      <c r="AY1032" s="2" t="s">
        <v>12519</v>
      </c>
      <c r="AZ1032" s="2" t="s">
        <v>12519</v>
      </c>
      <c r="BA1032" s="2" t="s">
        <v>12520</v>
      </c>
      <c r="BB1032" s="2" t="s">
        <v>21</v>
      </c>
      <c r="BD1032" s="2" t="s">
        <v>12521</v>
      </c>
      <c r="BE1032" s="2" t="s">
        <v>12522</v>
      </c>
      <c r="BF1032" s="2" t="s">
        <v>12523</v>
      </c>
    </row>
    <row r="1033" spans="1:58" ht="41.25" customHeight="1" x14ac:dyDescent="0.25">
      <c r="A1033" s="8" t="s">
        <v>5</v>
      </c>
      <c r="B1033" s="1" t="s">
        <v>0</v>
      </c>
      <c r="C1033" s="1" t="s">
        <v>1</v>
      </c>
      <c r="D1033" s="1" t="s">
        <v>12524</v>
      </c>
      <c r="E1033" s="1" t="s">
        <v>12525</v>
      </c>
      <c r="F1033" s="1" t="s">
        <v>12526</v>
      </c>
      <c r="H1033" s="2" t="s">
        <v>5</v>
      </c>
      <c r="I1033" s="2" t="s">
        <v>6</v>
      </c>
      <c r="J1033" s="2" t="s">
        <v>5</v>
      </c>
      <c r="K1033" s="2" t="s">
        <v>5</v>
      </c>
      <c r="L1033" s="2" t="s">
        <v>7</v>
      </c>
      <c r="M1033" s="1" t="s">
        <v>5205</v>
      </c>
      <c r="N1033" s="1" t="s">
        <v>3414</v>
      </c>
      <c r="O1033" s="2" t="s">
        <v>210</v>
      </c>
      <c r="P1033" s="1" t="s">
        <v>901</v>
      </c>
      <c r="Q1033" s="2" t="s">
        <v>11</v>
      </c>
      <c r="R1033" s="2" t="s">
        <v>3356</v>
      </c>
      <c r="T1033" s="2" t="s">
        <v>520</v>
      </c>
      <c r="U1033" s="3">
        <v>14</v>
      </c>
      <c r="V1033" s="3">
        <v>14</v>
      </c>
      <c r="W1033" s="4" t="s">
        <v>12527</v>
      </c>
      <c r="X1033" s="4" t="s">
        <v>12527</v>
      </c>
      <c r="Y1033" s="4" t="s">
        <v>12528</v>
      </c>
      <c r="Z1033" s="4" t="s">
        <v>12528</v>
      </c>
      <c r="AA1033" s="3">
        <v>190</v>
      </c>
      <c r="AB1033" s="3">
        <v>149</v>
      </c>
      <c r="AC1033" s="3">
        <v>923</v>
      </c>
      <c r="AD1033" s="3">
        <v>2</v>
      </c>
      <c r="AE1033" s="3">
        <v>4</v>
      </c>
      <c r="AF1033" s="3">
        <v>1</v>
      </c>
      <c r="AG1033" s="3">
        <v>19</v>
      </c>
      <c r="AH1033" s="3">
        <v>0</v>
      </c>
      <c r="AI1033" s="3">
        <v>7</v>
      </c>
      <c r="AJ1033" s="3">
        <v>0</v>
      </c>
      <c r="AK1033" s="3">
        <v>4</v>
      </c>
      <c r="AL1033" s="3">
        <v>1</v>
      </c>
      <c r="AM1033" s="3">
        <v>9</v>
      </c>
      <c r="AN1033" s="3">
        <v>0</v>
      </c>
      <c r="AO1033" s="3">
        <v>2</v>
      </c>
      <c r="AP1033" s="3">
        <v>0</v>
      </c>
      <c r="AQ1033" s="3">
        <v>0</v>
      </c>
      <c r="AR1033" s="2" t="s">
        <v>5</v>
      </c>
      <c r="AS1033" s="2" t="s">
        <v>16</v>
      </c>
      <c r="AT1033" s="5" t="str">
        <f>HYPERLINK("http://catalog.hathitrust.org/Record/002600361","HathiTrust Record")</f>
        <v>HathiTrust Record</v>
      </c>
      <c r="AU1033" s="5" t="str">
        <f>HYPERLINK("https://creighton-primo.hosted.exlibrisgroup.com/primo-explore/search?tab=default_tab&amp;search_scope=EVERYTHING&amp;vid=01CRU&amp;lang=en_US&amp;offset=0&amp;query=any,contains,991001307619702656","Catalog Record")</f>
        <v>Catalog Record</v>
      </c>
      <c r="AV1033" s="5" t="str">
        <f>HYPERLINK("http://www.worldcat.org/oclc/24667696","WorldCat Record")</f>
        <v>WorldCat Record</v>
      </c>
      <c r="AW1033" s="2" t="s">
        <v>12529</v>
      </c>
      <c r="AX1033" s="2" t="s">
        <v>12530</v>
      </c>
      <c r="AY1033" s="2" t="s">
        <v>12531</v>
      </c>
      <c r="AZ1033" s="2" t="s">
        <v>12531</v>
      </c>
      <c r="BA1033" s="2" t="s">
        <v>12532</v>
      </c>
      <c r="BB1033" s="2" t="s">
        <v>21</v>
      </c>
      <c r="BD1033" s="2" t="s">
        <v>12533</v>
      </c>
      <c r="BE1033" s="2" t="s">
        <v>12534</v>
      </c>
      <c r="BF1033" s="2" t="s">
        <v>12535</v>
      </c>
    </row>
    <row r="1034" spans="1:58" ht="41.25" customHeight="1" x14ac:dyDescent="0.25">
      <c r="A1034" s="8" t="s">
        <v>5</v>
      </c>
      <c r="B1034" s="1" t="s">
        <v>0</v>
      </c>
      <c r="C1034" s="1" t="s">
        <v>1</v>
      </c>
      <c r="D1034" s="1" t="s">
        <v>12536</v>
      </c>
      <c r="E1034" s="1" t="s">
        <v>12537</v>
      </c>
      <c r="F1034" s="1" t="s">
        <v>12538</v>
      </c>
      <c r="H1034" s="2" t="s">
        <v>5</v>
      </c>
      <c r="I1034" s="2" t="s">
        <v>6</v>
      </c>
      <c r="J1034" s="2" t="s">
        <v>5</v>
      </c>
      <c r="K1034" s="2" t="s">
        <v>16</v>
      </c>
      <c r="L1034" s="2" t="s">
        <v>7</v>
      </c>
      <c r="M1034" s="1" t="s">
        <v>8912</v>
      </c>
      <c r="N1034" s="1" t="s">
        <v>12101</v>
      </c>
      <c r="O1034" s="2" t="s">
        <v>285</v>
      </c>
      <c r="P1034" s="1" t="s">
        <v>355</v>
      </c>
      <c r="Q1034" s="2" t="s">
        <v>11</v>
      </c>
      <c r="R1034" s="2" t="s">
        <v>271</v>
      </c>
      <c r="T1034" s="2" t="s">
        <v>520</v>
      </c>
      <c r="U1034" s="3">
        <v>14</v>
      </c>
      <c r="V1034" s="3">
        <v>14</v>
      </c>
      <c r="W1034" s="4" t="s">
        <v>12539</v>
      </c>
      <c r="X1034" s="4" t="s">
        <v>12539</v>
      </c>
      <c r="Y1034" s="4" t="s">
        <v>197</v>
      </c>
      <c r="Z1034" s="4" t="s">
        <v>197</v>
      </c>
      <c r="AA1034" s="3">
        <v>307</v>
      </c>
      <c r="AB1034" s="3">
        <v>260</v>
      </c>
      <c r="AC1034" s="3">
        <v>839</v>
      </c>
      <c r="AD1034" s="3">
        <v>3</v>
      </c>
      <c r="AE1034" s="3">
        <v>8</v>
      </c>
      <c r="AF1034" s="3">
        <v>12</v>
      </c>
      <c r="AG1034" s="3">
        <v>34</v>
      </c>
      <c r="AH1034" s="3">
        <v>5</v>
      </c>
      <c r="AI1034" s="3">
        <v>14</v>
      </c>
      <c r="AJ1034" s="3">
        <v>3</v>
      </c>
      <c r="AK1034" s="3">
        <v>6</v>
      </c>
      <c r="AL1034" s="3">
        <v>6</v>
      </c>
      <c r="AM1034" s="3">
        <v>15</v>
      </c>
      <c r="AN1034" s="3">
        <v>0</v>
      </c>
      <c r="AO1034" s="3">
        <v>5</v>
      </c>
      <c r="AP1034" s="3">
        <v>0</v>
      </c>
      <c r="AQ1034" s="3">
        <v>0</v>
      </c>
      <c r="AR1034" s="2" t="s">
        <v>5</v>
      </c>
      <c r="AS1034" s="2" t="s">
        <v>16</v>
      </c>
      <c r="AT1034" s="5" t="str">
        <f>HYPERLINK("http://catalog.hathitrust.org/Record/000706145","HathiTrust Record")</f>
        <v>HathiTrust Record</v>
      </c>
      <c r="AU1034" s="5" t="str">
        <f>HYPERLINK("https://creighton-primo.hosted.exlibrisgroup.com/primo-explore/search?tab=default_tab&amp;search_scope=EVERYTHING&amp;vid=01CRU&amp;lang=en_US&amp;offset=0&amp;query=any,contains,991001149729702656","Catalog Record")</f>
        <v>Catalog Record</v>
      </c>
      <c r="AV1034" s="5" t="str">
        <f>HYPERLINK("http://www.worldcat.org/oclc/4623696","WorldCat Record")</f>
        <v>WorldCat Record</v>
      </c>
      <c r="AW1034" s="2" t="s">
        <v>8915</v>
      </c>
      <c r="AX1034" s="2" t="s">
        <v>12540</v>
      </c>
      <c r="AY1034" s="2" t="s">
        <v>12541</v>
      </c>
      <c r="AZ1034" s="2" t="s">
        <v>12541</v>
      </c>
      <c r="BA1034" s="2" t="s">
        <v>12542</v>
      </c>
      <c r="BB1034" s="2" t="s">
        <v>21</v>
      </c>
      <c r="BD1034" s="2" t="s">
        <v>12543</v>
      </c>
      <c r="BE1034" s="2" t="s">
        <v>12544</v>
      </c>
      <c r="BF1034" s="2" t="s">
        <v>12545</v>
      </c>
    </row>
    <row r="1035" spans="1:58" ht="41.25" customHeight="1" x14ac:dyDescent="0.25">
      <c r="A1035" s="8" t="s">
        <v>5</v>
      </c>
      <c r="B1035" s="1" t="s">
        <v>0</v>
      </c>
      <c r="C1035" s="1" t="s">
        <v>1</v>
      </c>
      <c r="D1035" s="1" t="s">
        <v>12546</v>
      </c>
      <c r="E1035" s="1" t="s">
        <v>12547</v>
      </c>
      <c r="F1035" s="1" t="s">
        <v>12548</v>
      </c>
      <c r="H1035" s="2" t="s">
        <v>5</v>
      </c>
      <c r="I1035" s="2" t="s">
        <v>6</v>
      </c>
      <c r="J1035" s="2" t="s">
        <v>5</v>
      </c>
      <c r="K1035" s="2" t="s">
        <v>5</v>
      </c>
      <c r="L1035" s="2" t="s">
        <v>7</v>
      </c>
      <c r="M1035" s="1" t="s">
        <v>12549</v>
      </c>
      <c r="N1035" s="1" t="s">
        <v>8079</v>
      </c>
      <c r="O1035" s="2" t="s">
        <v>1004</v>
      </c>
      <c r="Q1035" s="2" t="s">
        <v>11</v>
      </c>
      <c r="R1035" s="2" t="s">
        <v>31</v>
      </c>
      <c r="T1035" s="2" t="s">
        <v>520</v>
      </c>
      <c r="U1035" s="3">
        <v>4</v>
      </c>
      <c r="V1035" s="3">
        <v>4</v>
      </c>
      <c r="W1035" s="4" t="s">
        <v>8268</v>
      </c>
      <c r="X1035" s="4" t="s">
        <v>8268</v>
      </c>
      <c r="Y1035" s="4" t="s">
        <v>12550</v>
      </c>
      <c r="Z1035" s="4" t="s">
        <v>12550</v>
      </c>
      <c r="AA1035" s="3">
        <v>328</v>
      </c>
      <c r="AB1035" s="3">
        <v>256</v>
      </c>
      <c r="AC1035" s="3">
        <v>263</v>
      </c>
      <c r="AD1035" s="3">
        <v>1</v>
      </c>
      <c r="AE1035" s="3">
        <v>1</v>
      </c>
      <c r="AF1035" s="3">
        <v>9</v>
      </c>
      <c r="AG1035" s="3">
        <v>9</v>
      </c>
      <c r="AH1035" s="3">
        <v>3</v>
      </c>
      <c r="AI1035" s="3">
        <v>3</v>
      </c>
      <c r="AJ1035" s="3">
        <v>1</v>
      </c>
      <c r="AK1035" s="3">
        <v>1</v>
      </c>
      <c r="AL1035" s="3">
        <v>7</v>
      </c>
      <c r="AM1035" s="3">
        <v>7</v>
      </c>
      <c r="AN1035" s="3">
        <v>0</v>
      </c>
      <c r="AO1035" s="3">
        <v>0</v>
      </c>
      <c r="AP1035" s="3">
        <v>0</v>
      </c>
      <c r="AQ1035" s="3">
        <v>0</v>
      </c>
      <c r="AR1035" s="2" t="s">
        <v>5</v>
      </c>
      <c r="AS1035" s="2" t="s">
        <v>16</v>
      </c>
      <c r="AT1035" s="5" t="str">
        <f>HYPERLINK("http://catalog.hathitrust.org/Record/004017042","HathiTrust Record")</f>
        <v>HathiTrust Record</v>
      </c>
      <c r="AU1035" s="5" t="str">
        <f>HYPERLINK("https://creighton-primo.hosted.exlibrisgroup.com/primo-explore/search?tab=default_tab&amp;search_scope=EVERYTHING&amp;vid=01CRU&amp;lang=en_US&amp;offset=0&amp;query=any,contains,991001572089702656","Catalog Record")</f>
        <v>Catalog Record</v>
      </c>
      <c r="AV1035" s="5" t="str">
        <f>HYPERLINK("http://www.worldcat.org/oclc/39982644","WorldCat Record")</f>
        <v>WorldCat Record</v>
      </c>
      <c r="AW1035" s="2" t="s">
        <v>12551</v>
      </c>
      <c r="AX1035" s="2" t="s">
        <v>12552</v>
      </c>
      <c r="AY1035" s="2" t="s">
        <v>12553</v>
      </c>
      <c r="AZ1035" s="2" t="s">
        <v>12553</v>
      </c>
      <c r="BA1035" s="2" t="s">
        <v>12554</v>
      </c>
      <c r="BB1035" s="2" t="s">
        <v>21</v>
      </c>
      <c r="BD1035" s="2" t="s">
        <v>12555</v>
      </c>
      <c r="BE1035" s="2" t="s">
        <v>12556</v>
      </c>
      <c r="BF1035" s="2" t="s">
        <v>12557</v>
      </c>
    </row>
    <row r="1036" spans="1:58" ht="41.25" customHeight="1" x14ac:dyDescent="0.25">
      <c r="A1036" s="8" t="s">
        <v>5</v>
      </c>
      <c r="B1036" s="1" t="s">
        <v>0</v>
      </c>
      <c r="C1036" s="1" t="s">
        <v>1</v>
      </c>
      <c r="D1036" s="1" t="s">
        <v>12558</v>
      </c>
      <c r="E1036" s="1" t="s">
        <v>12559</v>
      </c>
      <c r="F1036" s="1" t="s">
        <v>12560</v>
      </c>
      <c r="H1036" s="2" t="s">
        <v>5</v>
      </c>
      <c r="I1036" s="2" t="s">
        <v>6</v>
      </c>
      <c r="J1036" s="2" t="s">
        <v>5</v>
      </c>
      <c r="K1036" s="2" t="s">
        <v>5</v>
      </c>
      <c r="L1036" s="2" t="s">
        <v>7</v>
      </c>
      <c r="M1036" s="1" t="s">
        <v>12561</v>
      </c>
      <c r="N1036" s="1" t="s">
        <v>6468</v>
      </c>
      <c r="O1036" s="2" t="s">
        <v>872</v>
      </c>
      <c r="P1036" s="1" t="s">
        <v>211</v>
      </c>
      <c r="Q1036" s="2" t="s">
        <v>11</v>
      </c>
      <c r="R1036" s="2" t="s">
        <v>271</v>
      </c>
      <c r="T1036" s="2" t="s">
        <v>520</v>
      </c>
      <c r="U1036" s="3">
        <v>16</v>
      </c>
      <c r="V1036" s="3">
        <v>16</v>
      </c>
      <c r="W1036" s="4" t="s">
        <v>12562</v>
      </c>
      <c r="X1036" s="4" t="s">
        <v>12562</v>
      </c>
      <c r="Y1036" s="4" t="s">
        <v>1485</v>
      </c>
      <c r="Z1036" s="4" t="s">
        <v>1485</v>
      </c>
      <c r="AA1036" s="3">
        <v>179</v>
      </c>
      <c r="AB1036" s="3">
        <v>144</v>
      </c>
      <c r="AC1036" s="3">
        <v>203</v>
      </c>
      <c r="AD1036" s="3">
        <v>1</v>
      </c>
      <c r="AE1036" s="3">
        <v>1</v>
      </c>
      <c r="AF1036" s="3">
        <v>3</v>
      </c>
      <c r="AG1036" s="3">
        <v>6</v>
      </c>
      <c r="AH1036" s="3">
        <v>0</v>
      </c>
      <c r="AI1036" s="3">
        <v>0</v>
      </c>
      <c r="AJ1036" s="3">
        <v>1</v>
      </c>
      <c r="AK1036" s="3">
        <v>2</v>
      </c>
      <c r="AL1036" s="3">
        <v>3</v>
      </c>
      <c r="AM1036" s="3">
        <v>5</v>
      </c>
      <c r="AN1036" s="3">
        <v>0</v>
      </c>
      <c r="AO1036" s="3">
        <v>0</v>
      </c>
      <c r="AP1036" s="3">
        <v>0</v>
      </c>
      <c r="AQ1036" s="3">
        <v>0</v>
      </c>
      <c r="AR1036" s="2" t="s">
        <v>5</v>
      </c>
      <c r="AS1036" s="2" t="s">
        <v>5</v>
      </c>
      <c r="AU1036" s="5" t="str">
        <f>HYPERLINK("https://creighton-primo.hosted.exlibrisgroup.com/primo-explore/search?tab=default_tab&amp;search_scope=EVERYTHING&amp;vid=01CRU&amp;lang=en_US&amp;offset=0&amp;query=any,contains,991001313039702656","Catalog Record")</f>
        <v>Catalog Record</v>
      </c>
      <c r="AV1036" s="5" t="str">
        <f>HYPERLINK("http://www.worldcat.org/oclc/19067513","WorldCat Record")</f>
        <v>WorldCat Record</v>
      </c>
      <c r="AW1036" s="2" t="s">
        <v>12563</v>
      </c>
      <c r="AX1036" s="2" t="s">
        <v>12564</v>
      </c>
      <c r="AY1036" s="2" t="s">
        <v>12565</v>
      </c>
      <c r="AZ1036" s="2" t="s">
        <v>12565</v>
      </c>
      <c r="BA1036" s="2" t="s">
        <v>12566</v>
      </c>
      <c r="BB1036" s="2" t="s">
        <v>21</v>
      </c>
      <c r="BD1036" s="2" t="s">
        <v>12567</v>
      </c>
      <c r="BE1036" s="2" t="s">
        <v>12568</v>
      </c>
      <c r="BF1036" s="2" t="s">
        <v>12569</v>
      </c>
    </row>
    <row r="1037" spans="1:58" ht="41.25" customHeight="1" x14ac:dyDescent="0.25">
      <c r="A1037" s="8" t="s">
        <v>5</v>
      </c>
      <c r="B1037" s="1" t="s">
        <v>0</v>
      </c>
      <c r="C1037" s="1" t="s">
        <v>1</v>
      </c>
      <c r="D1037" s="1" t="s">
        <v>12570</v>
      </c>
      <c r="E1037" s="1" t="s">
        <v>12571</v>
      </c>
      <c r="F1037" s="1" t="s">
        <v>12572</v>
      </c>
      <c r="H1037" s="2" t="s">
        <v>5</v>
      </c>
      <c r="I1037" s="2" t="s">
        <v>6</v>
      </c>
      <c r="J1037" s="2" t="s">
        <v>5</v>
      </c>
      <c r="K1037" s="2" t="s">
        <v>5</v>
      </c>
      <c r="L1037" s="2" t="s">
        <v>7</v>
      </c>
      <c r="N1037" s="1" t="s">
        <v>7953</v>
      </c>
      <c r="O1037" s="2" t="s">
        <v>1060</v>
      </c>
      <c r="Q1037" s="2" t="s">
        <v>11</v>
      </c>
      <c r="R1037" s="2" t="s">
        <v>78</v>
      </c>
      <c r="T1037" s="2" t="s">
        <v>520</v>
      </c>
      <c r="U1037" s="3">
        <v>0</v>
      </c>
      <c r="V1037" s="3">
        <v>0</v>
      </c>
      <c r="W1037" s="4" t="s">
        <v>12573</v>
      </c>
      <c r="X1037" s="4" t="s">
        <v>12573</v>
      </c>
      <c r="Y1037" s="4" t="s">
        <v>12574</v>
      </c>
      <c r="Z1037" s="4" t="s">
        <v>12574</v>
      </c>
      <c r="AA1037" s="3">
        <v>179</v>
      </c>
      <c r="AB1037" s="3">
        <v>115</v>
      </c>
      <c r="AC1037" s="3">
        <v>584</v>
      </c>
      <c r="AD1037" s="3">
        <v>1</v>
      </c>
      <c r="AE1037" s="3">
        <v>2</v>
      </c>
      <c r="AF1037" s="3">
        <v>4</v>
      </c>
      <c r="AG1037" s="3">
        <v>14</v>
      </c>
      <c r="AH1037" s="3">
        <v>1</v>
      </c>
      <c r="AI1037" s="3">
        <v>5</v>
      </c>
      <c r="AJ1037" s="3">
        <v>1</v>
      </c>
      <c r="AK1037" s="3">
        <v>3</v>
      </c>
      <c r="AL1037" s="3">
        <v>3</v>
      </c>
      <c r="AM1037" s="3">
        <v>7</v>
      </c>
      <c r="AN1037" s="3">
        <v>0</v>
      </c>
      <c r="AO1037" s="3">
        <v>1</v>
      </c>
      <c r="AP1037" s="3">
        <v>0</v>
      </c>
      <c r="AQ1037" s="3">
        <v>0</v>
      </c>
      <c r="AR1037" s="2" t="s">
        <v>5</v>
      </c>
      <c r="AS1037" s="2" t="s">
        <v>5</v>
      </c>
      <c r="AU1037" s="5" t="str">
        <f>HYPERLINK("https://creighton-primo.hosted.exlibrisgroup.com/primo-explore/search?tab=default_tab&amp;search_scope=EVERYTHING&amp;vid=01CRU&amp;lang=en_US&amp;offset=0&amp;query=any,contains,991000632319702656","Catalog Record")</f>
        <v>Catalog Record</v>
      </c>
      <c r="AV1037" s="5" t="str">
        <f>HYPERLINK("http://www.worldcat.org/oclc/54906932","WorldCat Record")</f>
        <v>WorldCat Record</v>
      </c>
      <c r="AW1037" s="2" t="s">
        <v>12575</v>
      </c>
      <c r="AX1037" s="2" t="s">
        <v>12576</v>
      </c>
      <c r="AY1037" s="2" t="s">
        <v>12577</v>
      </c>
      <c r="AZ1037" s="2" t="s">
        <v>12577</v>
      </c>
      <c r="BA1037" s="2" t="s">
        <v>12578</v>
      </c>
      <c r="BB1037" s="2" t="s">
        <v>21</v>
      </c>
      <c r="BD1037" s="2" t="s">
        <v>12579</v>
      </c>
      <c r="BE1037" s="2" t="s">
        <v>12580</v>
      </c>
      <c r="BF1037" s="2" t="s">
        <v>12581</v>
      </c>
    </row>
    <row r="1038" spans="1:58" ht="41.25" customHeight="1" x14ac:dyDescent="0.25">
      <c r="A1038" s="8" t="s">
        <v>5</v>
      </c>
      <c r="B1038" s="1" t="s">
        <v>0</v>
      </c>
      <c r="C1038" s="1" t="s">
        <v>1</v>
      </c>
      <c r="D1038" s="1" t="s">
        <v>12582</v>
      </c>
      <c r="E1038" s="1" t="s">
        <v>12583</v>
      </c>
      <c r="F1038" s="1" t="s">
        <v>12584</v>
      </c>
      <c r="H1038" s="2" t="s">
        <v>5</v>
      </c>
      <c r="I1038" s="2" t="s">
        <v>6</v>
      </c>
      <c r="J1038" s="2" t="s">
        <v>5</v>
      </c>
      <c r="K1038" s="2" t="s">
        <v>5</v>
      </c>
      <c r="L1038" s="2" t="s">
        <v>7</v>
      </c>
      <c r="M1038" s="1" t="s">
        <v>12585</v>
      </c>
      <c r="N1038" s="1" t="s">
        <v>12586</v>
      </c>
      <c r="O1038" s="2" t="s">
        <v>734</v>
      </c>
      <c r="Q1038" s="2" t="s">
        <v>11</v>
      </c>
      <c r="R1038" s="2" t="s">
        <v>426</v>
      </c>
      <c r="T1038" s="2" t="s">
        <v>520</v>
      </c>
      <c r="U1038" s="3">
        <v>8</v>
      </c>
      <c r="V1038" s="3">
        <v>8</v>
      </c>
      <c r="W1038" s="4" t="s">
        <v>12587</v>
      </c>
      <c r="X1038" s="4" t="s">
        <v>12587</v>
      </c>
      <c r="Y1038" s="4" t="s">
        <v>197</v>
      </c>
      <c r="Z1038" s="4" t="s">
        <v>197</v>
      </c>
      <c r="AA1038" s="3">
        <v>269</v>
      </c>
      <c r="AB1038" s="3">
        <v>197</v>
      </c>
      <c r="AC1038" s="3">
        <v>199</v>
      </c>
      <c r="AD1038" s="3">
        <v>1</v>
      </c>
      <c r="AE1038" s="3">
        <v>1</v>
      </c>
      <c r="AF1038" s="3">
        <v>14</v>
      </c>
      <c r="AG1038" s="3">
        <v>14</v>
      </c>
      <c r="AH1038" s="3">
        <v>7</v>
      </c>
      <c r="AI1038" s="3">
        <v>7</v>
      </c>
      <c r="AJ1038" s="3">
        <v>3</v>
      </c>
      <c r="AK1038" s="3">
        <v>3</v>
      </c>
      <c r="AL1038" s="3">
        <v>7</v>
      </c>
      <c r="AM1038" s="3">
        <v>7</v>
      </c>
      <c r="AN1038" s="3">
        <v>0</v>
      </c>
      <c r="AO1038" s="3">
        <v>0</v>
      </c>
      <c r="AP1038" s="3">
        <v>0</v>
      </c>
      <c r="AQ1038" s="3">
        <v>0</v>
      </c>
      <c r="AR1038" s="2" t="s">
        <v>5</v>
      </c>
      <c r="AS1038" s="2" t="s">
        <v>16</v>
      </c>
      <c r="AT1038" s="5" t="str">
        <f>HYPERLINK("http://catalog.hathitrust.org/Record/000317526","HathiTrust Record")</f>
        <v>HathiTrust Record</v>
      </c>
      <c r="AU1038" s="5" t="str">
        <f>HYPERLINK("https://creighton-primo.hosted.exlibrisgroup.com/primo-explore/search?tab=default_tab&amp;search_scope=EVERYTHING&amp;vid=01CRU&amp;lang=en_US&amp;offset=0&amp;query=any,contains,991001149839702656","Catalog Record")</f>
        <v>Catalog Record</v>
      </c>
      <c r="AV1038" s="5" t="str">
        <f>HYPERLINK("http://www.worldcat.org/oclc/8431291","WorldCat Record")</f>
        <v>WorldCat Record</v>
      </c>
      <c r="AW1038" s="2" t="s">
        <v>12588</v>
      </c>
      <c r="AX1038" s="2" t="s">
        <v>12589</v>
      </c>
      <c r="AY1038" s="2" t="s">
        <v>12590</v>
      </c>
      <c r="AZ1038" s="2" t="s">
        <v>12590</v>
      </c>
      <c r="BA1038" s="2" t="s">
        <v>12591</v>
      </c>
      <c r="BB1038" s="2" t="s">
        <v>21</v>
      </c>
      <c r="BD1038" s="2" t="s">
        <v>12592</v>
      </c>
      <c r="BE1038" s="2" t="s">
        <v>12593</v>
      </c>
      <c r="BF1038" s="2" t="s">
        <v>12594</v>
      </c>
    </row>
    <row r="1039" spans="1:58" ht="41.25" customHeight="1" x14ac:dyDescent="0.25">
      <c r="A1039" s="8" t="s">
        <v>5</v>
      </c>
      <c r="B1039" s="1" t="s">
        <v>0</v>
      </c>
      <c r="C1039" s="1" t="s">
        <v>1</v>
      </c>
      <c r="D1039" s="1" t="s">
        <v>12595</v>
      </c>
      <c r="E1039" s="1" t="s">
        <v>12596</v>
      </c>
      <c r="F1039" s="1" t="s">
        <v>12597</v>
      </c>
      <c r="H1039" s="2" t="s">
        <v>5</v>
      </c>
      <c r="I1039" s="2" t="s">
        <v>6</v>
      </c>
      <c r="J1039" s="2" t="s">
        <v>5</v>
      </c>
      <c r="K1039" s="2" t="s">
        <v>5</v>
      </c>
      <c r="L1039" s="2" t="s">
        <v>7</v>
      </c>
      <c r="M1039" s="1" t="s">
        <v>12598</v>
      </c>
      <c r="N1039" s="1" t="s">
        <v>7953</v>
      </c>
      <c r="O1039" s="2" t="s">
        <v>1060</v>
      </c>
      <c r="Q1039" s="2" t="s">
        <v>11</v>
      </c>
      <c r="R1039" s="2" t="s">
        <v>78</v>
      </c>
      <c r="T1039" s="2" t="s">
        <v>520</v>
      </c>
      <c r="U1039" s="3">
        <v>0</v>
      </c>
      <c r="V1039" s="3">
        <v>0</v>
      </c>
      <c r="W1039" s="4" t="s">
        <v>12599</v>
      </c>
      <c r="X1039" s="4" t="s">
        <v>12599</v>
      </c>
      <c r="Y1039" s="4" t="s">
        <v>12599</v>
      </c>
      <c r="Z1039" s="4" t="s">
        <v>12599</v>
      </c>
      <c r="AA1039" s="3">
        <v>147</v>
      </c>
      <c r="AB1039" s="3">
        <v>98</v>
      </c>
      <c r="AC1039" s="3">
        <v>103</v>
      </c>
      <c r="AD1039" s="3">
        <v>1</v>
      </c>
      <c r="AE1039" s="3">
        <v>1</v>
      </c>
      <c r="AF1039" s="3">
        <v>1</v>
      </c>
      <c r="AG1039" s="3">
        <v>1</v>
      </c>
      <c r="AH1039" s="3">
        <v>0</v>
      </c>
      <c r="AI1039" s="3">
        <v>0</v>
      </c>
      <c r="AJ1039" s="3">
        <v>0</v>
      </c>
      <c r="AK1039" s="3">
        <v>0</v>
      </c>
      <c r="AL1039" s="3">
        <v>1</v>
      </c>
      <c r="AM1039" s="3">
        <v>1</v>
      </c>
      <c r="AN1039" s="3">
        <v>0</v>
      </c>
      <c r="AO1039" s="3">
        <v>0</v>
      </c>
      <c r="AP1039" s="3">
        <v>0</v>
      </c>
      <c r="AQ1039" s="3">
        <v>0</v>
      </c>
      <c r="AR1039" s="2" t="s">
        <v>5</v>
      </c>
      <c r="AS1039" s="2" t="s">
        <v>5</v>
      </c>
      <c r="AU1039" s="5" t="str">
        <f>HYPERLINK("https://creighton-primo.hosted.exlibrisgroup.com/primo-explore/search?tab=default_tab&amp;search_scope=EVERYTHING&amp;vid=01CRU&amp;lang=en_US&amp;offset=0&amp;query=any,contains,991000435529702656","Catalog Record")</f>
        <v>Catalog Record</v>
      </c>
      <c r="AV1039" s="5" t="str">
        <f>HYPERLINK("http://www.worldcat.org/oclc/54111890","WorldCat Record")</f>
        <v>WorldCat Record</v>
      </c>
      <c r="AW1039" s="2" t="s">
        <v>12600</v>
      </c>
      <c r="AX1039" s="2" t="s">
        <v>12601</v>
      </c>
      <c r="AY1039" s="2" t="s">
        <v>12602</v>
      </c>
      <c r="AZ1039" s="2" t="s">
        <v>12602</v>
      </c>
      <c r="BA1039" s="2" t="s">
        <v>12603</v>
      </c>
      <c r="BB1039" s="2" t="s">
        <v>21</v>
      </c>
      <c r="BD1039" s="2" t="s">
        <v>12604</v>
      </c>
      <c r="BE1039" s="2" t="s">
        <v>12605</v>
      </c>
      <c r="BF1039" s="2" t="s">
        <v>12606</v>
      </c>
    </row>
    <row r="1040" spans="1:58" ht="41.25" customHeight="1" x14ac:dyDescent="0.25">
      <c r="A1040" s="8" t="s">
        <v>5</v>
      </c>
      <c r="B1040" s="1" t="s">
        <v>0</v>
      </c>
      <c r="C1040" s="1" t="s">
        <v>1</v>
      </c>
      <c r="D1040" s="1" t="s">
        <v>12607</v>
      </c>
      <c r="E1040" s="1" t="s">
        <v>12608</v>
      </c>
      <c r="F1040" s="1" t="s">
        <v>12609</v>
      </c>
      <c r="H1040" s="2" t="s">
        <v>5</v>
      </c>
      <c r="I1040" s="2" t="s">
        <v>6</v>
      </c>
      <c r="J1040" s="2" t="s">
        <v>5</v>
      </c>
      <c r="K1040" s="2" t="s">
        <v>16</v>
      </c>
      <c r="L1040" s="2" t="s">
        <v>7</v>
      </c>
      <c r="M1040" s="1" t="s">
        <v>12598</v>
      </c>
      <c r="N1040" s="1" t="s">
        <v>12610</v>
      </c>
      <c r="O1040" s="2" t="s">
        <v>794</v>
      </c>
      <c r="P1040" s="1" t="s">
        <v>63</v>
      </c>
      <c r="Q1040" s="2" t="s">
        <v>11</v>
      </c>
      <c r="R1040" s="2" t="s">
        <v>78</v>
      </c>
      <c r="T1040" s="2" t="s">
        <v>520</v>
      </c>
      <c r="U1040" s="3">
        <v>39</v>
      </c>
      <c r="V1040" s="3">
        <v>39</v>
      </c>
      <c r="W1040" s="4" t="s">
        <v>7618</v>
      </c>
      <c r="X1040" s="4" t="s">
        <v>7618</v>
      </c>
      <c r="Y1040" s="4" t="s">
        <v>8108</v>
      </c>
      <c r="Z1040" s="4" t="s">
        <v>8108</v>
      </c>
      <c r="AA1040" s="3">
        <v>205</v>
      </c>
      <c r="AB1040" s="3">
        <v>160</v>
      </c>
      <c r="AC1040" s="3">
        <v>541</v>
      </c>
      <c r="AD1040" s="3">
        <v>1</v>
      </c>
      <c r="AE1040" s="3">
        <v>3</v>
      </c>
      <c r="AF1040" s="3">
        <v>3</v>
      </c>
      <c r="AG1040" s="3">
        <v>12</v>
      </c>
      <c r="AH1040" s="3">
        <v>1</v>
      </c>
      <c r="AI1040" s="3">
        <v>5</v>
      </c>
      <c r="AJ1040" s="3">
        <v>1</v>
      </c>
      <c r="AK1040" s="3">
        <v>2</v>
      </c>
      <c r="AL1040" s="3">
        <v>2</v>
      </c>
      <c r="AM1040" s="3">
        <v>7</v>
      </c>
      <c r="AN1040" s="3">
        <v>0</v>
      </c>
      <c r="AO1040" s="3">
        <v>0</v>
      </c>
      <c r="AP1040" s="3">
        <v>0</v>
      </c>
      <c r="AQ1040" s="3">
        <v>0</v>
      </c>
      <c r="AR1040" s="2" t="s">
        <v>5</v>
      </c>
      <c r="AS1040" s="2" t="s">
        <v>16</v>
      </c>
      <c r="AT1040" s="5" t="str">
        <f>HYPERLINK("http://catalog.hathitrust.org/Record/003038400","HathiTrust Record")</f>
        <v>HathiTrust Record</v>
      </c>
      <c r="AU1040" s="5" t="str">
        <f>HYPERLINK("https://creighton-primo.hosted.exlibrisgroup.com/primo-explore/search?tab=default_tab&amp;search_scope=EVERYTHING&amp;vid=01CRU&amp;lang=en_US&amp;offset=0&amp;query=any,contains,991001230749702656","Catalog Record")</f>
        <v>Catalog Record</v>
      </c>
      <c r="AV1040" s="5" t="str">
        <f>HYPERLINK("http://www.worldcat.org/oclc/33013497","WorldCat Record")</f>
        <v>WorldCat Record</v>
      </c>
      <c r="AW1040" s="2" t="s">
        <v>12611</v>
      </c>
      <c r="AX1040" s="2" t="s">
        <v>12612</v>
      </c>
      <c r="AY1040" s="2" t="s">
        <v>12613</v>
      </c>
      <c r="AZ1040" s="2" t="s">
        <v>12613</v>
      </c>
      <c r="BA1040" s="2" t="s">
        <v>12614</v>
      </c>
      <c r="BB1040" s="2" t="s">
        <v>21</v>
      </c>
      <c r="BD1040" s="2" t="s">
        <v>12615</v>
      </c>
      <c r="BE1040" s="2" t="s">
        <v>12616</v>
      </c>
      <c r="BF1040" s="2" t="s">
        <v>12617</v>
      </c>
    </row>
    <row r="1041" spans="1:58" ht="41.25" customHeight="1" x14ac:dyDescent="0.25">
      <c r="A1041" s="8" t="s">
        <v>5</v>
      </c>
      <c r="B1041" s="1" t="s">
        <v>0</v>
      </c>
      <c r="C1041" s="1" t="s">
        <v>1</v>
      </c>
      <c r="D1041" s="1" t="s">
        <v>12618</v>
      </c>
      <c r="E1041" s="1" t="s">
        <v>12619</v>
      </c>
      <c r="F1041" s="1" t="s">
        <v>12620</v>
      </c>
      <c r="H1041" s="2" t="s">
        <v>5</v>
      </c>
      <c r="I1041" s="2" t="s">
        <v>6</v>
      </c>
      <c r="J1041" s="2" t="s">
        <v>5</v>
      </c>
      <c r="K1041" s="2" t="s">
        <v>16</v>
      </c>
      <c r="L1041" s="2" t="s">
        <v>7</v>
      </c>
      <c r="M1041" s="1" t="s">
        <v>12598</v>
      </c>
      <c r="N1041" s="1" t="s">
        <v>7953</v>
      </c>
      <c r="O1041" s="2" t="s">
        <v>1060</v>
      </c>
      <c r="P1041" s="1" t="s">
        <v>771</v>
      </c>
      <c r="Q1041" s="2" t="s">
        <v>11</v>
      </c>
      <c r="R1041" s="2" t="s">
        <v>78</v>
      </c>
      <c r="T1041" s="2" t="s">
        <v>520</v>
      </c>
      <c r="U1041" s="3">
        <v>3</v>
      </c>
      <c r="V1041" s="3">
        <v>3</v>
      </c>
      <c r="W1041" s="4" t="s">
        <v>12621</v>
      </c>
      <c r="X1041" s="4" t="s">
        <v>12621</v>
      </c>
      <c r="Y1041" s="4" t="s">
        <v>9061</v>
      </c>
      <c r="Z1041" s="4" t="s">
        <v>9061</v>
      </c>
      <c r="AA1041" s="3">
        <v>228</v>
      </c>
      <c r="AB1041" s="3">
        <v>164</v>
      </c>
      <c r="AC1041" s="3">
        <v>470</v>
      </c>
      <c r="AD1041" s="3">
        <v>1</v>
      </c>
      <c r="AE1041" s="3">
        <v>2</v>
      </c>
      <c r="AF1041" s="3">
        <v>4</v>
      </c>
      <c r="AG1041" s="3">
        <v>5</v>
      </c>
      <c r="AH1041" s="3">
        <v>2</v>
      </c>
      <c r="AI1041" s="3">
        <v>2</v>
      </c>
      <c r="AJ1041" s="3">
        <v>1</v>
      </c>
      <c r="AK1041" s="3">
        <v>1</v>
      </c>
      <c r="AL1041" s="3">
        <v>2</v>
      </c>
      <c r="AM1041" s="3">
        <v>2</v>
      </c>
      <c r="AN1041" s="3">
        <v>0</v>
      </c>
      <c r="AO1041" s="3">
        <v>1</v>
      </c>
      <c r="AP1041" s="3">
        <v>0</v>
      </c>
      <c r="AQ1041" s="3">
        <v>0</v>
      </c>
      <c r="AR1041" s="2" t="s">
        <v>5</v>
      </c>
      <c r="AS1041" s="2" t="s">
        <v>5</v>
      </c>
      <c r="AU1041" s="5" t="str">
        <f>HYPERLINK("https://creighton-primo.hosted.exlibrisgroup.com/primo-explore/search?tab=default_tab&amp;search_scope=EVERYTHING&amp;vid=01CRU&amp;lang=en_US&amp;offset=0&amp;query=any,contains,991000390819702656","Catalog Record")</f>
        <v>Catalog Record</v>
      </c>
      <c r="AV1041" s="5" t="str">
        <f>HYPERLINK("http://www.worldcat.org/oclc/54677698","WorldCat Record")</f>
        <v>WorldCat Record</v>
      </c>
      <c r="AW1041" s="2" t="s">
        <v>12622</v>
      </c>
      <c r="AX1041" s="2" t="s">
        <v>12623</v>
      </c>
      <c r="AY1041" s="2" t="s">
        <v>12624</v>
      </c>
      <c r="AZ1041" s="2" t="s">
        <v>12624</v>
      </c>
      <c r="BA1041" s="2" t="s">
        <v>12625</v>
      </c>
      <c r="BB1041" s="2" t="s">
        <v>21</v>
      </c>
      <c r="BD1041" s="2" t="s">
        <v>12626</v>
      </c>
      <c r="BE1041" s="2" t="s">
        <v>12627</v>
      </c>
      <c r="BF1041" s="2" t="s">
        <v>12628</v>
      </c>
    </row>
    <row r="1042" spans="1:58" ht="41.25" customHeight="1" x14ac:dyDescent="0.25">
      <c r="A1042" s="8" t="s">
        <v>5</v>
      </c>
      <c r="B1042" s="1" t="s">
        <v>0</v>
      </c>
      <c r="C1042" s="1" t="s">
        <v>1</v>
      </c>
      <c r="D1042" s="1" t="s">
        <v>12629</v>
      </c>
      <c r="E1042" s="1" t="s">
        <v>12630</v>
      </c>
      <c r="F1042" s="1" t="s">
        <v>12631</v>
      </c>
      <c r="H1042" s="2" t="s">
        <v>5</v>
      </c>
      <c r="I1042" s="2" t="s">
        <v>6</v>
      </c>
      <c r="J1042" s="2" t="s">
        <v>5</v>
      </c>
      <c r="K1042" s="2" t="s">
        <v>5</v>
      </c>
      <c r="L1042" s="2" t="s">
        <v>7</v>
      </c>
      <c r="N1042" s="1" t="s">
        <v>12632</v>
      </c>
      <c r="O1042" s="2" t="s">
        <v>872</v>
      </c>
      <c r="Q1042" s="2" t="s">
        <v>11</v>
      </c>
      <c r="R1042" s="2" t="s">
        <v>426</v>
      </c>
      <c r="T1042" s="2" t="s">
        <v>520</v>
      </c>
      <c r="U1042" s="3">
        <v>17</v>
      </c>
      <c r="V1042" s="3">
        <v>17</v>
      </c>
      <c r="W1042" s="4" t="s">
        <v>12633</v>
      </c>
      <c r="X1042" s="4" t="s">
        <v>12633</v>
      </c>
      <c r="Y1042" s="4" t="s">
        <v>12634</v>
      </c>
      <c r="Z1042" s="4" t="s">
        <v>12634</v>
      </c>
      <c r="AA1042" s="3">
        <v>334</v>
      </c>
      <c r="AB1042" s="3">
        <v>256</v>
      </c>
      <c r="AC1042" s="3">
        <v>262</v>
      </c>
      <c r="AD1042" s="3">
        <v>3</v>
      </c>
      <c r="AE1042" s="3">
        <v>3</v>
      </c>
      <c r="AF1042" s="3">
        <v>12</v>
      </c>
      <c r="AG1042" s="3">
        <v>12</v>
      </c>
      <c r="AH1042" s="3">
        <v>5</v>
      </c>
      <c r="AI1042" s="3">
        <v>5</v>
      </c>
      <c r="AJ1042" s="3">
        <v>1</v>
      </c>
      <c r="AK1042" s="3">
        <v>1</v>
      </c>
      <c r="AL1042" s="3">
        <v>7</v>
      </c>
      <c r="AM1042" s="3">
        <v>7</v>
      </c>
      <c r="AN1042" s="3">
        <v>1</v>
      </c>
      <c r="AO1042" s="3">
        <v>1</v>
      </c>
      <c r="AP1042" s="3">
        <v>0</v>
      </c>
      <c r="AQ1042" s="3">
        <v>0</v>
      </c>
      <c r="AR1042" s="2" t="s">
        <v>5</v>
      </c>
      <c r="AS1042" s="2" t="s">
        <v>16</v>
      </c>
      <c r="AT1042" s="5" t="str">
        <f>HYPERLINK("http://catalog.hathitrust.org/Record/000928149","HathiTrust Record")</f>
        <v>HathiTrust Record</v>
      </c>
      <c r="AU1042" s="5" t="str">
        <f>HYPERLINK("https://creighton-primo.hosted.exlibrisgroup.com/primo-explore/search?tab=default_tab&amp;search_scope=EVERYTHING&amp;vid=01CRU&amp;lang=en_US&amp;offset=0&amp;query=any,contains,991001118289702656","Catalog Record")</f>
        <v>Catalog Record</v>
      </c>
      <c r="AV1042" s="5" t="str">
        <f>HYPERLINK("http://www.worldcat.org/oclc/17875218","WorldCat Record")</f>
        <v>WorldCat Record</v>
      </c>
      <c r="AW1042" s="2" t="s">
        <v>12635</v>
      </c>
      <c r="AX1042" s="2" t="s">
        <v>12636</v>
      </c>
      <c r="AY1042" s="2" t="s">
        <v>12637</v>
      </c>
      <c r="AZ1042" s="2" t="s">
        <v>12637</v>
      </c>
      <c r="BA1042" s="2" t="s">
        <v>12638</v>
      </c>
      <c r="BB1042" s="2" t="s">
        <v>21</v>
      </c>
      <c r="BD1042" s="2" t="s">
        <v>12639</v>
      </c>
      <c r="BE1042" s="2" t="s">
        <v>12640</v>
      </c>
      <c r="BF1042" s="2" t="s">
        <v>12641</v>
      </c>
    </row>
    <row r="1043" spans="1:58" ht="41.25" customHeight="1" x14ac:dyDescent="0.25">
      <c r="A1043" s="8" t="s">
        <v>5</v>
      </c>
      <c r="B1043" s="1" t="s">
        <v>0</v>
      </c>
      <c r="C1043" s="1" t="s">
        <v>1</v>
      </c>
      <c r="D1043" s="1" t="s">
        <v>12642</v>
      </c>
      <c r="E1043" s="1" t="s">
        <v>12643</v>
      </c>
      <c r="F1043" s="1" t="s">
        <v>12644</v>
      </c>
      <c r="H1043" s="2" t="s">
        <v>5</v>
      </c>
      <c r="I1043" s="2" t="s">
        <v>6</v>
      </c>
      <c r="J1043" s="2" t="s">
        <v>5</v>
      </c>
      <c r="K1043" s="2" t="s">
        <v>16</v>
      </c>
      <c r="L1043" s="2" t="s">
        <v>974</v>
      </c>
      <c r="N1043" s="1" t="s">
        <v>12645</v>
      </c>
      <c r="O1043" s="2" t="s">
        <v>1046</v>
      </c>
      <c r="P1043" s="1" t="s">
        <v>211</v>
      </c>
      <c r="Q1043" s="2" t="s">
        <v>11</v>
      </c>
      <c r="R1043" s="2" t="s">
        <v>78</v>
      </c>
      <c r="T1043" s="2" t="s">
        <v>520</v>
      </c>
      <c r="U1043" s="3">
        <v>5</v>
      </c>
      <c r="V1043" s="3">
        <v>5</v>
      </c>
      <c r="W1043" s="4" t="s">
        <v>12646</v>
      </c>
      <c r="X1043" s="4" t="s">
        <v>12646</v>
      </c>
      <c r="Y1043" s="4" t="s">
        <v>12647</v>
      </c>
      <c r="Z1043" s="4" t="s">
        <v>12647</v>
      </c>
      <c r="AA1043" s="3">
        <v>113</v>
      </c>
      <c r="AB1043" s="3">
        <v>81</v>
      </c>
      <c r="AC1043" s="3">
        <v>1100</v>
      </c>
      <c r="AD1043" s="3">
        <v>1</v>
      </c>
      <c r="AE1043" s="3">
        <v>33</v>
      </c>
      <c r="AF1043" s="3">
        <v>2</v>
      </c>
      <c r="AG1043" s="3">
        <v>32</v>
      </c>
      <c r="AH1043" s="3">
        <v>0</v>
      </c>
      <c r="AI1043" s="3">
        <v>10</v>
      </c>
      <c r="AJ1043" s="3">
        <v>0</v>
      </c>
      <c r="AK1043" s="3">
        <v>5</v>
      </c>
      <c r="AL1043" s="3">
        <v>2</v>
      </c>
      <c r="AM1043" s="3">
        <v>8</v>
      </c>
      <c r="AN1043" s="3">
        <v>0</v>
      </c>
      <c r="AO1043" s="3">
        <v>13</v>
      </c>
      <c r="AP1043" s="3">
        <v>0</v>
      </c>
      <c r="AQ1043" s="3">
        <v>1</v>
      </c>
      <c r="AR1043" s="2" t="s">
        <v>5</v>
      </c>
      <c r="AS1043" s="2" t="s">
        <v>5</v>
      </c>
      <c r="AU1043" s="5" t="str">
        <f>HYPERLINK("https://creighton-primo.hosted.exlibrisgroup.com/primo-explore/search?tab=default_tab&amp;search_scope=EVERYTHING&amp;vid=01CRU&amp;lang=en_US&amp;offset=0&amp;query=any,contains,991000351059702656","Catalog Record")</f>
        <v>Catalog Record</v>
      </c>
      <c r="AV1043" s="5" t="str">
        <f>HYPERLINK("http://www.worldcat.org/oclc/51731191","WorldCat Record")</f>
        <v>WorldCat Record</v>
      </c>
      <c r="AW1043" s="2" t="s">
        <v>12648</v>
      </c>
      <c r="AX1043" s="2" t="s">
        <v>12649</v>
      </c>
      <c r="AY1043" s="2" t="s">
        <v>12650</v>
      </c>
      <c r="AZ1043" s="2" t="s">
        <v>12650</v>
      </c>
      <c r="BA1043" s="2" t="s">
        <v>12651</v>
      </c>
      <c r="BB1043" s="2" t="s">
        <v>21</v>
      </c>
      <c r="BD1043" s="2" t="s">
        <v>12652</v>
      </c>
      <c r="BE1043" s="2" t="s">
        <v>12653</v>
      </c>
      <c r="BF1043" s="2" t="s">
        <v>12654</v>
      </c>
    </row>
    <row r="1044" spans="1:58" ht="41.25" customHeight="1" x14ac:dyDescent="0.25">
      <c r="A1044" s="8" t="s">
        <v>5</v>
      </c>
      <c r="B1044" s="1" t="s">
        <v>0</v>
      </c>
      <c r="C1044" s="1" t="s">
        <v>1</v>
      </c>
      <c r="D1044" s="1" t="s">
        <v>12655</v>
      </c>
      <c r="E1044" s="1" t="s">
        <v>12656</v>
      </c>
      <c r="F1044" s="1" t="s">
        <v>12657</v>
      </c>
      <c r="H1044" s="2" t="s">
        <v>5</v>
      </c>
      <c r="I1044" s="2" t="s">
        <v>6</v>
      </c>
      <c r="J1044" s="2" t="s">
        <v>5</v>
      </c>
      <c r="K1044" s="2" t="s">
        <v>5</v>
      </c>
      <c r="L1044" s="2" t="s">
        <v>7</v>
      </c>
      <c r="M1044" s="1" t="s">
        <v>12658</v>
      </c>
      <c r="N1044" s="1" t="s">
        <v>12659</v>
      </c>
      <c r="O1044" s="2" t="s">
        <v>1246</v>
      </c>
      <c r="Q1044" s="2" t="s">
        <v>11</v>
      </c>
      <c r="R1044" s="2" t="s">
        <v>575</v>
      </c>
      <c r="T1044" s="2" t="s">
        <v>520</v>
      </c>
      <c r="U1044" s="3">
        <v>4</v>
      </c>
      <c r="V1044" s="3">
        <v>4</v>
      </c>
      <c r="W1044" s="4" t="s">
        <v>12660</v>
      </c>
      <c r="X1044" s="4" t="s">
        <v>12660</v>
      </c>
      <c r="Y1044" s="4" t="s">
        <v>12091</v>
      </c>
      <c r="Z1044" s="4" t="s">
        <v>12091</v>
      </c>
      <c r="AA1044" s="3">
        <v>3</v>
      </c>
      <c r="AB1044" s="3">
        <v>3</v>
      </c>
      <c r="AC1044" s="3">
        <v>3</v>
      </c>
      <c r="AD1044" s="3">
        <v>1</v>
      </c>
      <c r="AE1044" s="3">
        <v>1</v>
      </c>
      <c r="AF1044" s="3">
        <v>0</v>
      </c>
      <c r="AG1044" s="3">
        <v>0</v>
      </c>
      <c r="AH1044" s="3">
        <v>0</v>
      </c>
      <c r="AI1044" s="3">
        <v>0</v>
      </c>
      <c r="AJ1044" s="3">
        <v>0</v>
      </c>
      <c r="AK1044" s="3">
        <v>0</v>
      </c>
      <c r="AL1044" s="3">
        <v>0</v>
      </c>
      <c r="AM1044" s="3">
        <v>0</v>
      </c>
      <c r="AN1044" s="3">
        <v>0</v>
      </c>
      <c r="AO1044" s="3">
        <v>0</v>
      </c>
      <c r="AP1044" s="3">
        <v>0</v>
      </c>
      <c r="AQ1044" s="3">
        <v>0</v>
      </c>
      <c r="AR1044" s="2" t="s">
        <v>5</v>
      </c>
      <c r="AS1044" s="2" t="s">
        <v>5</v>
      </c>
      <c r="AU1044" s="5" t="str">
        <f>HYPERLINK("https://creighton-primo.hosted.exlibrisgroup.com/primo-explore/search?tab=default_tab&amp;search_scope=EVERYTHING&amp;vid=01CRU&amp;lang=en_US&amp;offset=0&amp;query=any,contains,991001144329702656","Catalog Record")</f>
        <v>Catalog Record</v>
      </c>
      <c r="AV1044" s="5" t="str">
        <f>HYPERLINK("http://www.worldcat.org/oclc/1380969","WorldCat Record")</f>
        <v>WorldCat Record</v>
      </c>
      <c r="AW1044" s="2" t="s">
        <v>12661</v>
      </c>
      <c r="AX1044" s="2" t="s">
        <v>12662</v>
      </c>
      <c r="AY1044" s="2" t="s">
        <v>12663</v>
      </c>
      <c r="AZ1044" s="2" t="s">
        <v>12663</v>
      </c>
      <c r="BA1044" s="2" t="s">
        <v>12664</v>
      </c>
      <c r="BB1044" s="2" t="s">
        <v>21</v>
      </c>
      <c r="BE1044" s="2" t="s">
        <v>12665</v>
      </c>
      <c r="BF1044" s="2" t="s">
        <v>12666</v>
      </c>
    </row>
    <row r="1045" spans="1:58" ht="41.25" customHeight="1" x14ac:dyDescent="0.25">
      <c r="A1045" s="8" t="s">
        <v>5</v>
      </c>
      <c r="B1045" s="1" t="s">
        <v>0</v>
      </c>
      <c r="C1045" s="1" t="s">
        <v>1</v>
      </c>
      <c r="D1045" s="1" t="s">
        <v>12667</v>
      </c>
      <c r="E1045" s="1" t="s">
        <v>12668</v>
      </c>
      <c r="F1045" s="1" t="s">
        <v>12669</v>
      </c>
      <c r="H1045" s="2" t="s">
        <v>5</v>
      </c>
      <c r="I1045" s="2" t="s">
        <v>6</v>
      </c>
      <c r="J1045" s="2" t="s">
        <v>5</v>
      </c>
      <c r="K1045" s="2" t="s">
        <v>5</v>
      </c>
      <c r="L1045" s="2" t="s">
        <v>7</v>
      </c>
      <c r="M1045" s="1" t="s">
        <v>12670</v>
      </c>
      <c r="N1045" s="1" t="s">
        <v>12671</v>
      </c>
      <c r="O1045" s="2" t="s">
        <v>1824</v>
      </c>
      <c r="Q1045" s="2" t="s">
        <v>11</v>
      </c>
      <c r="R1045" s="2" t="s">
        <v>12</v>
      </c>
      <c r="T1045" s="2" t="s">
        <v>520</v>
      </c>
      <c r="U1045" s="3">
        <v>0</v>
      </c>
      <c r="V1045" s="3">
        <v>0</v>
      </c>
      <c r="W1045" s="4" t="s">
        <v>12672</v>
      </c>
      <c r="X1045" s="4" t="s">
        <v>12672</v>
      </c>
      <c r="Y1045" s="4" t="s">
        <v>3755</v>
      </c>
      <c r="Z1045" s="4" t="s">
        <v>3755</v>
      </c>
      <c r="AA1045" s="3">
        <v>186</v>
      </c>
      <c r="AB1045" s="3">
        <v>160</v>
      </c>
      <c r="AC1045" s="3">
        <v>162</v>
      </c>
      <c r="AD1045" s="3">
        <v>1</v>
      </c>
      <c r="AE1045" s="3">
        <v>1</v>
      </c>
      <c r="AF1045" s="3">
        <v>9</v>
      </c>
      <c r="AG1045" s="3">
        <v>9</v>
      </c>
      <c r="AH1045" s="3">
        <v>2</v>
      </c>
      <c r="AI1045" s="3">
        <v>2</v>
      </c>
      <c r="AJ1045" s="3">
        <v>3</v>
      </c>
      <c r="AK1045" s="3">
        <v>3</v>
      </c>
      <c r="AL1045" s="3">
        <v>6</v>
      </c>
      <c r="AM1045" s="3">
        <v>6</v>
      </c>
      <c r="AN1045" s="3">
        <v>0</v>
      </c>
      <c r="AO1045" s="3">
        <v>0</v>
      </c>
      <c r="AP1045" s="3">
        <v>0</v>
      </c>
      <c r="AQ1045" s="3">
        <v>0</v>
      </c>
      <c r="AR1045" s="2" t="s">
        <v>5</v>
      </c>
      <c r="AS1045" s="2" t="s">
        <v>16</v>
      </c>
      <c r="AT1045" s="5" t="str">
        <f>HYPERLINK("http://catalog.hathitrust.org/Record/001574335","HathiTrust Record")</f>
        <v>HathiTrust Record</v>
      </c>
      <c r="AU1045" s="5" t="str">
        <f>HYPERLINK("https://creighton-primo.hosted.exlibrisgroup.com/primo-explore/search?tab=default_tab&amp;search_scope=EVERYTHING&amp;vid=01CRU&amp;lang=en_US&amp;offset=0&amp;query=any,contains,991001150019702656","Catalog Record")</f>
        <v>Catalog Record</v>
      </c>
      <c r="AV1045" s="5" t="str">
        <f>HYPERLINK("http://www.worldcat.org/oclc/1220734","WorldCat Record")</f>
        <v>WorldCat Record</v>
      </c>
      <c r="AW1045" s="2" t="s">
        <v>12673</v>
      </c>
      <c r="AX1045" s="2" t="s">
        <v>12674</v>
      </c>
      <c r="AY1045" s="2" t="s">
        <v>12675</v>
      </c>
      <c r="AZ1045" s="2" t="s">
        <v>12675</v>
      </c>
      <c r="BA1045" s="2" t="s">
        <v>12676</v>
      </c>
      <c r="BB1045" s="2" t="s">
        <v>21</v>
      </c>
      <c r="BE1045" s="2" t="s">
        <v>12677</v>
      </c>
      <c r="BF1045" s="2" t="s">
        <v>12678</v>
      </c>
    </row>
    <row r="1046" spans="1:58" ht="41.25" customHeight="1" x14ac:dyDescent="0.25">
      <c r="A1046" s="8" t="s">
        <v>5</v>
      </c>
      <c r="B1046" s="1" t="s">
        <v>0</v>
      </c>
      <c r="C1046" s="1" t="s">
        <v>1</v>
      </c>
      <c r="D1046" s="1" t="s">
        <v>12679</v>
      </c>
      <c r="E1046" s="1" t="s">
        <v>12680</v>
      </c>
      <c r="F1046" s="1" t="s">
        <v>12681</v>
      </c>
      <c r="H1046" s="2" t="s">
        <v>5</v>
      </c>
      <c r="I1046" s="2" t="s">
        <v>6</v>
      </c>
      <c r="J1046" s="2" t="s">
        <v>5</v>
      </c>
      <c r="K1046" s="2" t="s">
        <v>5</v>
      </c>
      <c r="L1046" s="2" t="s">
        <v>7</v>
      </c>
      <c r="M1046" s="1" t="s">
        <v>12682</v>
      </c>
      <c r="N1046" s="1" t="s">
        <v>10494</v>
      </c>
      <c r="O1046" s="2" t="s">
        <v>1060</v>
      </c>
      <c r="P1046" s="1" t="s">
        <v>355</v>
      </c>
      <c r="Q1046" s="2" t="s">
        <v>11</v>
      </c>
      <c r="R1046" s="2" t="s">
        <v>78</v>
      </c>
      <c r="T1046" s="2" t="s">
        <v>520</v>
      </c>
      <c r="U1046" s="3">
        <v>2</v>
      </c>
      <c r="V1046" s="3">
        <v>2</v>
      </c>
      <c r="W1046" s="4" t="s">
        <v>12683</v>
      </c>
      <c r="X1046" s="4" t="s">
        <v>12683</v>
      </c>
      <c r="Y1046" s="4" t="s">
        <v>12684</v>
      </c>
      <c r="Z1046" s="4" t="s">
        <v>12684</v>
      </c>
      <c r="AA1046" s="3">
        <v>420</v>
      </c>
      <c r="AB1046" s="3">
        <v>332</v>
      </c>
      <c r="AC1046" s="3">
        <v>332</v>
      </c>
      <c r="AD1046" s="3">
        <v>3</v>
      </c>
      <c r="AE1046" s="3">
        <v>3</v>
      </c>
      <c r="AF1046" s="3">
        <v>23</v>
      </c>
      <c r="AG1046" s="3">
        <v>23</v>
      </c>
      <c r="AH1046" s="3">
        <v>10</v>
      </c>
      <c r="AI1046" s="3">
        <v>10</v>
      </c>
      <c r="AJ1046" s="3">
        <v>4</v>
      </c>
      <c r="AK1046" s="3">
        <v>4</v>
      </c>
      <c r="AL1046" s="3">
        <v>9</v>
      </c>
      <c r="AM1046" s="3">
        <v>9</v>
      </c>
      <c r="AN1046" s="3">
        <v>3</v>
      </c>
      <c r="AO1046" s="3">
        <v>3</v>
      </c>
      <c r="AP1046" s="3">
        <v>0</v>
      </c>
      <c r="AQ1046" s="3">
        <v>0</v>
      </c>
      <c r="AR1046" s="2" t="s">
        <v>5</v>
      </c>
      <c r="AS1046" s="2" t="s">
        <v>5</v>
      </c>
      <c r="AU1046" s="5" t="str">
        <f>HYPERLINK("https://creighton-primo.hosted.exlibrisgroup.com/primo-explore/search?tab=default_tab&amp;search_scope=EVERYTHING&amp;vid=01CRU&amp;lang=en_US&amp;offset=0&amp;query=any,contains,991000406709702656","Catalog Record")</f>
        <v>Catalog Record</v>
      </c>
      <c r="AV1046" s="5" t="str">
        <f>HYPERLINK("http://www.worldcat.org/oclc/54365455","WorldCat Record")</f>
        <v>WorldCat Record</v>
      </c>
      <c r="AW1046" s="2" t="s">
        <v>12685</v>
      </c>
      <c r="AX1046" s="2" t="s">
        <v>12686</v>
      </c>
      <c r="AY1046" s="2" t="s">
        <v>12687</v>
      </c>
      <c r="AZ1046" s="2" t="s">
        <v>12687</v>
      </c>
      <c r="BA1046" s="2" t="s">
        <v>12688</v>
      </c>
      <c r="BB1046" s="2" t="s">
        <v>21</v>
      </c>
      <c r="BD1046" s="2" t="s">
        <v>12689</v>
      </c>
      <c r="BE1046" s="2" t="s">
        <v>12690</v>
      </c>
      <c r="BF1046" s="2" t="s">
        <v>12691</v>
      </c>
    </row>
    <row r="1047" spans="1:58" ht="41.25" customHeight="1" x14ac:dyDescent="0.25">
      <c r="A1047" s="8" t="s">
        <v>5</v>
      </c>
      <c r="B1047" s="1" t="s">
        <v>0</v>
      </c>
      <c r="C1047" s="1" t="s">
        <v>1</v>
      </c>
      <c r="D1047" s="1" t="s">
        <v>12692</v>
      </c>
      <c r="E1047" s="1" t="s">
        <v>12693</v>
      </c>
      <c r="F1047" s="1" t="s">
        <v>12694</v>
      </c>
      <c r="H1047" s="2" t="s">
        <v>5</v>
      </c>
      <c r="I1047" s="2" t="s">
        <v>6</v>
      </c>
      <c r="J1047" s="2" t="s">
        <v>5</v>
      </c>
      <c r="K1047" s="2" t="s">
        <v>16</v>
      </c>
      <c r="L1047" s="2" t="s">
        <v>7</v>
      </c>
      <c r="M1047" s="1" t="s">
        <v>8252</v>
      </c>
      <c r="N1047" s="1" t="s">
        <v>12695</v>
      </c>
      <c r="O1047" s="2" t="s">
        <v>1060</v>
      </c>
      <c r="P1047" s="1" t="s">
        <v>211</v>
      </c>
      <c r="Q1047" s="2" t="s">
        <v>11</v>
      </c>
      <c r="R1047" s="2" t="s">
        <v>12</v>
      </c>
      <c r="T1047" s="2" t="s">
        <v>520</v>
      </c>
      <c r="U1047" s="3">
        <v>0</v>
      </c>
      <c r="V1047" s="3">
        <v>0</v>
      </c>
      <c r="W1047" s="4" t="s">
        <v>9060</v>
      </c>
      <c r="X1047" s="4" t="s">
        <v>9060</v>
      </c>
      <c r="Y1047" s="4" t="s">
        <v>2323</v>
      </c>
      <c r="Z1047" s="4" t="s">
        <v>2323</v>
      </c>
      <c r="AA1047" s="3">
        <v>179</v>
      </c>
      <c r="AB1047" s="3">
        <v>143</v>
      </c>
      <c r="AC1047" s="3">
        <v>232</v>
      </c>
      <c r="AD1047" s="3">
        <v>2</v>
      </c>
      <c r="AE1047" s="3">
        <v>3</v>
      </c>
      <c r="AF1047" s="3">
        <v>3</v>
      </c>
      <c r="AG1047" s="3">
        <v>6</v>
      </c>
      <c r="AH1047" s="3">
        <v>1</v>
      </c>
      <c r="AI1047" s="3">
        <v>1</v>
      </c>
      <c r="AJ1047" s="3">
        <v>1</v>
      </c>
      <c r="AK1047" s="3">
        <v>3</v>
      </c>
      <c r="AL1047" s="3">
        <v>1</v>
      </c>
      <c r="AM1047" s="3">
        <v>3</v>
      </c>
      <c r="AN1047" s="3">
        <v>1</v>
      </c>
      <c r="AO1047" s="3">
        <v>1</v>
      </c>
      <c r="AP1047" s="3">
        <v>0</v>
      </c>
      <c r="AQ1047" s="3">
        <v>0</v>
      </c>
      <c r="AR1047" s="2" t="s">
        <v>5</v>
      </c>
      <c r="AS1047" s="2" t="s">
        <v>5</v>
      </c>
      <c r="AU1047" s="5" t="str">
        <f>HYPERLINK("https://creighton-primo.hosted.exlibrisgroup.com/primo-explore/search?tab=default_tab&amp;search_scope=EVERYTHING&amp;vid=01CRU&amp;lang=en_US&amp;offset=0&amp;query=any,contains,991000393219702656","Catalog Record")</f>
        <v>Catalog Record</v>
      </c>
      <c r="AV1047" s="5" t="str">
        <f>HYPERLINK("http://www.worldcat.org/oclc/55511476","WorldCat Record")</f>
        <v>WorldCat Record</v>
      </c>
      <c r="AW1047" s="2" t="s">
        <v>12696</v>
      </c>
      <c r="AX1047" s="2" t="s">
        <v>12697</v>
      </c>
      <c r="AY1047" s="2" t="s">
        <v>12698</v>
      </c>
      <c r="AZ1047" s="2" t="s">
        <v>12698</v>
      </c>
      <c r="BA1047" s="2" t="s">
        <v>12699</v>
      </c>
      <c r="BB1047" s="2" t="s">
        <v>21</v>
      </c>
      <c r="BD1047" s="2" t="s">
        <v>12700</v>
      </c>
      <c r="BE1047" s="2" t="s">
        <v>12701</v>
      </c>
      <c r="BF1047" s="2" t="s">
        <v>12702</v>
      </c>
    </row>
    <row r="1048" spans="1:58" ht="41.25" customHeight="1" x14ac:dyDescent="0.25">
      <c r="A1048" s="8" t="s">
        <v>5</v>
      </c>
      <c r="B1048" s="1" t="s">
        <v>0</v>
      </c>
      <c r="C1048" s="1" t="s">
        <v>1</v>
      </c>
      <c r="D1048" s="1" t="s">
        <v>12703</v>
      </c>
      <c r="E1048" s="1" t="s">
        <v>12704</v>
      </c>
      <c r="F1048" s="1" t="s">
        <v>12705</v>
      </c>
      <c r="G1048" s="2" t="s">
        <v>4558</v>
      </c>
      <c r="H1048" s="2" t="s">
        <v>16</v>
      </c>
      <c r="I1048" s="2" t="s">
        <v>6</v>
      </c>
      <c r="J1048" s="2" t="s">
        <v>5</v>
      </c>
      <c r="K1048" s="2" t="s">
        <v>16</v>
      </c>
      <c r="L1048" s="2" t="s">
        <v>7</v>
      </c>
      <c r="M1048" s="1" t="s">
        <v>12706</v>
      </c>
      <c r="N1048" s="1" t="s">
        <v>12707</v>
      </c>
      <c r="O1048" s="2" t="s">
        <v>3465</v>
      </c>
      <c r="Q1048" s="2" t="s">
        <v>11</v>
      </c>
      <c r="R1048" s="2" t="s">
        <v>78</v>
      </c>
      <c r="T1048" s="2" t="s">
        <v>520</v>
      </c>
      <c r="U1048" s="3">
        <v>0</v>
      </c>
      <c r="V1048" s="3">
        <v>1</v>
      </c>
      <c r="W1048" s="4" t="s">
        <v>12708</v>
      </c>
      <c r="X1048" s="4" t="s">
        <v>12708</v>
      </c>
      <c r="Y1048" s="4" t="s">
        <v>12709</v>
      </c>
      <c r="Z1048" s="4" t="s">
        <v>12709</v>
      </c>
      <c r="AA1048" s="3">
        <v>241</v>
      </c>
      <c r="AB1048" s="3">
        <v>197</v>
      </c>
      <c r="AC1048" s="3">
        <v>607</v>
      </c>
      <c r="AD1048" s="3">
        <v>3</v>
      </c>
      <c r="AE1048" s="3">
        <v>8</v>
      </c>
      <c r="AF1048" s="3">
        <v>5</v>
      </c>
      <c r="AG1048" s="3">
        <v>16</v>
      </c>
      <c r="AH1048" s="3">
        <v>1</v>
      </c>
      <c r="AI1048" s="3">
        <v>5</v>
      </c>
      <c r="AJ1048" s="3">
        <v>1</v>
      </c>
      <c r="AK1048" s="3">
        <v>4</v>
      </c>
      <c r="AL1048" s="3">
        <v>1</v>
      </c>
      <c r="AM1048" s="3">
        <v>3</v>
      </c>
      <c r="AN1048" s="3">
        <v>2</v>
      </c>
      <c r="AO1048" s="3">
        <v>5</v>
      </c>
      <c r="AP1048" s="3">
        <v>0</v>
      </c>
      <c r="AQ1048" s="3">
        <v>1</v>
      </c>
      <c r="AR1048" s="2" t="s">
        <v>5</v>
      </c>
      <c r="AS1048" s="2" t="s">
        <v>5</v>
      </c>
      <c r="AU1048" s="5" t="str">
        <f>HYPERLINK("https://creighton-primo.hosted.exlibrisgroup.com/primo-explore/search?tab=default_tab&amp;search_scope=EVERYTHING&amp;vid=01CRU&amp;lang=en_US&amp;offset=0&amp;query=any,contains,991001322269702656","Catalog Record")</f>
        <v>Catalog Record</v>
      </c>
      <c r="AV1048" s="5" t="str">
        <f>HYPERLINK("http://www.worldcat.org/oclc/69423184","WorldCat Record")</f>
        <v>WorldCat Record</v>
      </c>
      <c r="AW1048" s="2" t="s">
        <v>12710</v>
      </c>
      <c r="AX1048" s="2" t="s">
        <v>12711</v>
      </c>
      <c r="AY1048" s="2" t="s">
        <v>12712</v>
      </c>
      <c r="AZ1048" s="2" t="s">
        <v>12712</v>
      </c>
      <c r="BA1048" s="2" t="s">
        <v>12713</v>
      </c>
      <c r="BB1048" s="2" t="s">
        <v>21</v>
      </c>
      <c r="BD1048" s="2" t="s">
        <v>12714</v>
      </c>
      <c r="BE1048" s="2" t="s">
        <v>12715</v>
      </c>
      <c r="BF1048" s="2" t="s">
        <v>12716</v>
      </c>
    </row>
    <row r="1049" spans="1:58" ht="41.25" customHeight="1" x14ac:dyDescent="0.25">
      <c r="A1049" s="8" t="s">
        <v>5</v>
      </c>
      <c r="B1049" s="1" t="s">
        <v>0</v>
      </c>
      <c r="C1049" s="1" t="s">
        <v>1</v>
      </c>
      <c r="D1049" s="1" t="s">
        <v>12703</v>
      </c>
      <c r="E1049" s="1" t="s">
        <v>12704</v>
      </c>
      <c r="F1049" s="1" t="s">
        <v>12705</v>
      </c>
      <c r="G1049" s="2" t="s">
        <v>4173</v>
      </c>
      <c r="H1049" s="2" t="s">
        <v>16</v>
      </c>
      <c r="I1049" s="2" t="s">
        <v>6</v>
      </c>
      <c r="J1049" s="2" t="s">
        <v>5</v>
      </c>
      <c r="K1049" s="2" t="s">
        <v>16</v>
      </c>
      <c r="L1049" s="2" t="s">
        <v>7</v>
      </c>
      <c r="M1049" s="1" t="s">
        <v>12706</v>
      </c>
      <c r="N1049" s="1" t="s">
        <v>12707</v>
      </c>
      <c r="O1049" s="2" t="s">
        <v>3465</v>
      </c>
      <c r="Q1049" s="2" t="s">
        <v>11</v>
      </c>
      <c r="R1049" s="2" t="s">
        <v>78</v>
      </c>
      <c r="T1049" s="2" t="s">
        <v>520</v>
      </c>
      <c r="U1049" s="3">
        <v>1</v>
      </c>
      <c r="V1049" s="3">
        <v>1</v>
      </c>
      <c r="W1049" s="4" t="s">
        <v>12708</v>
      </c>
      <c r="X1049" s="4" t="s">
        <v>12708</v>
      </c>
      <c r="Y1049" s="4" t="s">
        <v>12709</v>
      </c>
      <c r="Z1049" s="4" t="s">
        <v>12709</v>
      </c>
      <c r="AA1049" s="3">
        <v>241</v>
      </c>
      <c r="AB1049" s="3">
        <v>197</v>
      </c>
      <c r="AC1049" s="3">
        <v>607</v>
      </c>
      <c r="AD1049" s="3">
        <v>3</v>
      </c>
      <c r="AE1049" s="3">
        <v>8</v>
      </c>
      <c r="AF1049" s="3">
        <v>5</v>
      </c>
      <c r="AG1049" s="3">
        <v>16</v>
      </c>
      <c r="AH1049" s="3">
        <v>1</v>
      </c>
      <c r="AI1049" s="3">
        <v>5</v>
      </c>
      <c r="AJ1049" s="3">
        <v>1</v>
      </c>
      <c r="AK1049" s="3">
        <v>4</v>
      </c>
      <c r="AL1049" s="3">
        <v>1</v>
      </c>
      <c r="AM1049" s="3">
        <v>3</v>
      </c>
      <c r="AN1049" s="3">
        <v>2</v>
      </c>
      <c r="AO1049" s="3">
        <v>5</v>
      </c>
      <c r="AP1049" s="3">
        <v>0</v>
      </c>
      <c r="AQ1049" s="3">
        <v>1</v>
      </c>
      <c r="AR1049" s="2" t="s">
        <v>5</v>
      </c>
      <c r="AS1049" s="2" t="s">
        <v>5</v>
      </c>
      <c r="AU1049" s="5" t="str">
        <f>HYPERLINK("https://creighton-primo.hosted.exlibrisgroup.com/primo-explore/search?tab=default_tab&amp;search_scope=EVERYTHING&amp;vid=01CRU&amp;lang=en_US&amp;offset=0&amp;query=any,contains,991001322269702656","Catalog Record")</f>
        <v>Catalog Record</v>
      </c>
      <c r="AV1049" s="5" t="str">
        <f>HYPERLINK("http://www.worldcat.org/oclc/69423184","WorldCat Record")</f>
        <v>WorldCat Record</v>
      </c>
      <c r="AW1049" s="2" t="s">
        <v>12710</v>
      </c>
      <c r="AX1049" s="2" t="s">
        <v>12711</v>
      </c>
      <c r="AY1049" s="2" t="s">
        <v>12712</v>
      </c>
      <c r="AZ1049" s="2" t="s">
        <v>12712</v>
      </c>
      <c r="BA1049" s="2" t="s">
        <v>12713</v>
      </c>
      <c r="BB1049" s="2" t="s">
        <v>21</v>
      </c>
      <c r="BD1049" s="2" t="s">
        <v>12714</v>
      </c>
      <c r="BE1049" s="2" t="s">
        <v>12717</v>
      </c>
      <c r="BF1049" s="2" t="s">
        <v>12718</v>
      </c>
    </row>
    <row r="1050" spans="1:58" ht="41.25" customHeight="1" x14ac:dyDescent="0.25">
      <c r="A1050" s="8" t="s">
        <v>5</v>
      </c>
      <c r="B1050" s="1" t="s">
        <v>0</v>
      </c>
      <c r="C1050" s="1" t="s">
        <v>1</v>
      </c>
      <c r="D1050" s="1" t="s">
        <v>12719</v>
      </c>
      <c r="E1050" s="1" t="s">
        <v>12720</v>
      </c>
      <c r="F1050" s="1" t="s">
        <v>12721</v>
      </c>
      <c r="H1050" s="2" t="s">
        <v>5</v>
      </c>
      <c r="I1050" s="2" t="s">
        <v>6</v>
      </c>
      <c r="J1050" s="2" t="s">
        <v>5</v>
      </c>
      <c r="K1050" s="2" t="s">
        <v>16</v>
      </c>
      <c r="L1050" s="2" t="s">
        <v>7</v>
      </c>
      <c r="M1050" s="1" t="s">
        <v>12706</v>
      </c>
      <c r="N1050" s="1" t="s">
        <v>12707</v>
      </c>
      <c r="O1050" s="2" t="s">
        <v>3465</v>
      </c>
      <c r="Q1050" s="2" t="s">
        <v>11</v>
      </c>
      <c r="R1050" s="2" t="s">
        <v>78</v>
      </c>
      <c r="T1050" s="2" t="s">
        <v>520</v>
      </c>
      <c r="U1050" s="3">
        <v>1</v>
      </c>
      <c r="V1050" s="3">
        <v>1</v>
      </c>
      <c r="W1050" s="4" t="s">
        <v>12708</v>
      </c>
      <c r="X1050" s="4" t="s">
        <v>12708</v>
      </c>
      <c r="Y1050" s="4" t="s">
        <v>12709</v>
      </c>
      <c r="Z1050" s="4" t="s">
        <v>12709</v>
      </c>
      <c r="AA1050" s="3">
        <v>52</v>
      </c>
      <c r="AB1050" s="3">
        <v>47</v>
      </c>
      <c r="AC1050" s="3">
        <v>607</v>
      </c>
      <c r="AD1050" s="3">
        <v>1</v>
      </c>
      <c r="AE1050" s="3">
        <v>8</v>
      </c>
      <c r="AF1050" s="3">
        <v>0</v>
      </c>
      <c r="AG1050" s="3">
        <v>16</v>
      </c>
      <c r="AH1050" s="3">
        <v>0</v>
      </c>
      <c r="AI1050" s="3">
        <v>5</v>
      </c>
      <c r="AJ1050" s="3">
        <v>0</v>
      </c>
      <c r="AK1050" s="3">
        <v>4</v>
      </c>
      <c r="AL1050" s="3">
        <v>0</v>
      </c>
      <c r="AM1050" s="3">
        <v>3</v>
      </c>
      <c r="AN1050" s="3">
        <v>0</v>
      </c>
      <c r="AO1050" s="3">
        <v>5</v>
      </c>
      <c r="AP1050" s="3">
        <v>0</v>
      </c>
      <c r="AQ1050" s="3">
        <v>1</v>
      </c>
      <c r="AR1050" s="2" t="s">
        <v>5</v>
      </c>
      <c r="AS1050" s="2" t="s">
        <v>5</v>
      </c>
      <c r="AU1050" s="5" t="str">
        <f>HYPERLINK("https://creighton-primo.hosted.exlibrisgroup.com/primo-explore/search?tab=default_tab&amp;search_scope=EVERYTHING&amp;vid=01CRU&amp;lang=en_US&amp;offset=0&amp;query=any,contains,991001794919702656","Catalog Record")</f>
        <v>Catalog Record</v>
      </c>
      <c r="AV1050" s="5" t="str">
        <f>HYPERLINK("http://www.worldcat.org/oclc/72717886","WorldCat Record")</f>
        <v>WorldCat Record</v>
      </c>
      <c r="AW1050" s="2" t="s">
        <v>12710</v>
      </c>
      <c r="AX1050" s="2" t="s">
        <v>12722</v>
      </c>
      <c r="AY1050" s="2" t="s">
        <v>12723</v>
      </c>
      <c r="AZ1050" s="2" t="s">
        <v>12723</v>
      </c>
      <c r="BA1050" s="2" t="s">
        <v>12724</v>
      </c>
      <c r="BB1050" s="2" t="s">
        <v>21</v>
      </c>
      <c r="BD1050" s="2" t="s">
        <v>12725</v>
      </c>
      <c r="BE1050" s="2" t="s">
        <v>12726</v>
      </c>
      <c r="BF1050" s="2" t="s">
        <v>12727</v>
      </c>
    </row>
    <row r="1051" spans="1:58" ht="41.25" customHeight="1" x14ac:dyDescent="0.25">
      <c r="A1051" s="8" t="s">
        <v>5</v>
      </c>
      <c r="B1051" s="1" t="s">
        <v>0</v>
      </c>
      <c r="C1051" s="1" t="s">
        <v>1</v>
      </c>
      <c r="D1051" s="1" t="s">
        <v>12728</v>
      </c>
      <c r="E1051" s="1" t="s">
        <v>12729</v>
      </c>
      <c r="F1051" s="1" t="s">
        <v>12730</v>
      </c>
      <c r="H1051" s="2" t="s">
        <v>5</v>
      </c>
      <c r="I1051" s="2" t="s">
        <v>6</v>
      </c>
      <c r="J1051" s="2" t="s">
        <v>5</v>
      </c>
      <c r="K1051" s="2" t="s">
        <v>16</v>
      </c>
      <c r="L1051" s="2" t="s">
        <v>974</v>
      </c>
      <c r="M1051" s="1" t="s">
        <v>12731</v>
      </c>
      <c r="N1051" s="1" t="s">
        <v>12732</v>
      </c>
      <c r="O1051" s="2" t="s">
        <v>1004</v>
      </c>
      <c r="Q1051" s="2" t="s">
        <v>11</v>
      </c>
      <c r="R1051" s="2" t="s">
        <v>78</v>
      </c>
      <c r="T1051" s="2" t="s">
        <v>520</v>
      </c>
      <c r="U1051" s="3">
        <v>1</v>
      </c>
      <c r="V1051" s="3">
        <v>1</v>
      </c>
      <c r="W1051" s="4" t="s">
        <v>9509</v>
      </c>
      <c r="X1051" s="4" t="s">
        <v>9509</v>
      </c>
      <c r="Y1051" s="4" t="s">
        <v>9509</v>
      </c>
      <c r="Z1051" s="4" t="s">
        <v>9509</v>
      </c>
      <c r="AA1051" s="3">
        <v>126</v>
      </c>
      <c r="AB1051" s="3">
        <v>104</v>
      </c>
      <c r="AC1051" s="3">
        <v>1100</v>
      </c>
      <c r="AD1051" s="3">
        <v>1</v>
      </c>
      <c r="AE1051" s="3">
        <v>33</v>
      </c>
      <c r="AF1051" s="3">
        <v>1</v>
      </c>
      <c r="AG1051" s="3">
        <v>32</v>
      </c>
      <c r="AH1051" s="3">
        <v>0</v>
      </c>
      <c r="AI1051" s="3">
        <v>10</v>
      </c>
      <c r="AJ1051" s="3">
        <v>0</v>
      </c>
      <c r="AK1051" s="3">
        <v>5</v>
      </c>
      <c r="AL1051" s="3">
        <v>1</v>
      </c>
      <c r="AM1051" s="3">
        <v>8</v>
      </c>
      <c r="AN1051" s="3">
        <v>0</v>
      </c>
      <c r="AO1051" s="3">
        <v>13</v>
      </c>
      <c r="AP1051" s="3">
        <v>0</v>
      </c>
      <c r="AQ1051" s="3">
        <v>1</v>
      </c>
      <c r="AR1051" s="2" t="s">
        <v>5</v>
      </c>
      <c r="AS1051" s="2" t="s">
        <v>5</v>
      </c>
      <c r="AU1051" s="5" t="str">
        <f>HYPERLINK("https://creighton-primo.hosted.exlibrisgroup.com/primo-explore/search?tab=default_tab&amp;search_scope=EVERYTHING&amp;vid=01CRU&amp;lang=en_US&amp;offset=0&amp;query=any,contains,991001572269702656","Catalog Record")</f>
        <v>Catalog Record</v>
      </c>
      <c r="AV1051" s="5" t="str">
        <f>HYPERLINK("http://www.worldcat.org/oclc/40339598","WorldCat Record")</f>
        <v>WorldCat Record</v>
      </c>
      <c r="AW1051" s="2" t="s">
        <v>12648</v>
      </c>
      <c r="AX1051" s="2" t="s">
        <v>12733</v>
      </c>
      <c r="AY1051" s="2" t="s">
        <v>12734</v>
      </c>
      <c r="AZ1051" s="2" t="s">
        <v>12734</v>
      </c>
      <c r="BA1051" s="2" t="s">
        <v>12735</v>
      </c>
      <c r="BB1051" s="2" t="s">
        <v>21</v>
      </c>
      <c r="BD1051" s="2" t="s">
        <v>12736</v>
      </c>
      <c r="BE1051" s="2" t="s">
        <v>12737</v>
      </c>
      <c r="BF1051" s="2" t="s">
        <v>12738</v>
      </c>
    </row>
    <row r="1052" spans="1:58" ht="41.25" customHeight="1" x14ac:dyDescent="0.25">
      <c r="A1052" s="8" t="s">
        <v>5</v>
      </c>
      <c r="B1052" s="1" t="s">
        <v>0</v>
      </c>
      <c r="C1052" s="1" t="s">
        <v>1</v>
      </c>
      <c r="D1052" s="1" t="s">
        <v>12739</v>
      </c>
      <c r="E1052" s="1" t="s">
        <v>12740</v>
      </c>
      <c r="F1052" s="1" t="s">
        <v>12741</v>
      </c>
      <c r="H1052" s="2" t="s">
        <v>5</v>
      </c>
      <c r="I1052" s="2" t="s">
        <v>6</v>
      </c>
      <c r="J1052" s="2" t="s">
        <v>5</v>
      </c>
      <c r="K1052" s="2" t="s">
        <v>5</v>
      </c>
      <c r="L1052" s="2" t="s">
        <v>12742</v>
      </c>
      <c r="M1052" s="1" t="s">
        <v>10493</v>
      </c>
      <c r="N1052" s="1" t="s">
        <v>545</v>
      </c>
      <c r="O1052" s="2" t="s">
        <v>546</v>
      </c>
      <c r="P1052" s="1" t="s">
        <v>211</v>
      </c>
      <c r="Q1052" s="2" t="s">
        <v>11</v>
      </c>
      <c r="R1052" s="2" t="s">
        <v>78</v>
      </c>
      <c r="T1052" s="2" t="s">
        <v>520</v>
      </c>
      <c r="U1052" s="3">
        <v>6</v>
      </c>
      <c r="V1052" s="3">
        <v>6</v>
      </c>
      <c r="W1052" s="4" t="s">
        <v>12743</v>
      </c>
      <c r="X1052" s="4" t="s">
        <v>12743</v>
      </c>
      <c r="Y1052" s="4" t="s">
        <v>12744</v>
      </c>
      <c r="Z1052" s="4" t="s">
        <v>12744</v>
      </c>
      <c r="AA1052" s="3">
        <v>249</v>
      </c>
      <c r="AB1052" s="3">
        <v>166</v>
      </c>
      <c r="AC1052" s="3">
        <v>1286</v>
      </c>
      <c r="AD1052" s="3">
        <v>1</v>
      </c>
      <c r="AE1052" s="3">
        <v>26</v>
      </c>
      <c r="AF1052" s="3">
        <v>4</v>
      </c>
      <c r="AG1052" s="3">
        <v>48</v>
      </c>
      <c r="AH1052" s="3">
        <v>2</v>
      </c>
      <c r="AI1052" s="3">
        <v>17</v>
      </c>
      <c r="AJ1052" s="3">
        <v>0</v>
      </c>
      <c r="AK1052" s="3">
        <v>8</v>
      </c>
      <c r="AL1052" s="3">
        <v>3</v>
      </c>
      <c r="AM1052" s="3">
        <v>16</v>
      </c>
      <c r="AN1052" s="3">
        <v>0</v>
      </c>
      <c r="AO1052" s="3">
        <v>14</v>
      </c>
      <c r="AP1052" s="3">
        <v>0</v>
      </c>
      <c r="AQ1052" s="3">
        <v>1</v>
      </c>
      <c r="AR1052" s="2" t="s">
        <v>5</v>
      </c>
      <c r="AS1052" s="2" t="s">
        <v>16</v>
      </c>
      <c r="AT1052" s="5" t="str">
        <f>HYPERLINK("http://catalog.hathitrust.org/Record/002967678","HathiTrust Record")</f>
        <v>HathiTrust Record</v>
      </c>
      <c r="AU1052" s="5" t="str">
        <f>HYPERLINK("https://creighton-primo.hosted.exlibrisgroup.com/primo-explore/search?tab=default_tab&amp;search_scope=EVERYTHING&amp;vid=01CRU&amp;lang=en_US&amp;offset=0&amp;query=any,contains,991000679979702656","Catalog Record")</f>
        <v>Catalog Record</v>
      </c>
      <c r="AV1052" s="5" t="str">
        <f>HYPERLINK("http://www.worldcat.org/oclc/29474558","WorldCat Record")</f>
        <v>WorldCat Record</v>
      </c>
      <c r="AW1052" s="2" t="s">
        <v>12745</v>
      </c>
      <c r="AX1052" s="2" t="s">
        <v>12746</v>
      </c>
      <c r="AY1052" s="2" t="s">
        <v>12747</v>
      </c>
      <c r="AZ1052" s="2" t="s">
        <v>12747</v>
      </c>
      <c r="BA1052" s="2" t="s">
        <v>12748</v>
      </c>
      <c r="BB1052" s="2" t="s">
        <v>21</v>
      </c>
      <c r="BD1052" s="2" t="s">
        <v>12749</v>
      </c>
      <c r="BE1052" s="2" t="s">
        <v>12750</v>
      </c>
      <c r="BF1052" s="2" t="s">
        <v>12751</v>
      </c>
    </row>
    <row r="1053" spans="1:58" ht="41.25" customHeight="1" x14ac:dyDescent="0.25">
      <c r="A1053" s="8" t="s">
        <v>5</v>
      </c>
      <c r="B1053" s="1" t="s">
        <v>0</v>
      </c>
      <c r="C1053" s="1" t="s">
        <v>1</v>
      </c>
      <c r="D1053" s="1" t="s">
        <v>12752</v>
      </c>
      <c r="E1053" s="1" t="s">
        <v>12753</v>
      </c>
      <c r="F1053" s="1" t="s">
        <v>12754</v>
      </c>
      <c r="H1053" s="2" t="s">
        <v>5</v>
      </c>
      <c r="I1053" s="2" t="s">
        <v>6</v>
      </c>
      <c r="J1053" s="2" t="s">
        <v>5</v>
      </c>
      <c r="K1053" s="2" t="s">
        <v>16</v>
      </c>
      <c r="L1053" s="2" t="s">
        <v>7</v>
      </c>
      <c r="M1053" s="1" t="s">
        <v>4968</v>
      </c>
      <c r="N1053" s="1" t="s">
        <v>1338</v>
      </c>
      <c r="O1053" s="2" t="s">
        <v>1339</v>
      </c>
      <c r="P1053" s="1" t="s">
        <v>1284</v>
      </c>
      <c r="Q1053" s="2" t="s">
        <v>11</v>
      </c>
      <c r="R1053" s="2" t="s">
        <v>426</v>
      </c>
      <c r="T1053" s="2" t="s">
        <v>520</v>
      </c>
      <c r="U1053" s="3">
        <v>5</v>
      </c>
      <c r="V1053" s="3">
        <v>5</v>
      </c>
      <c r="W1053" s="4" t="s">
        <v>12755</v>
      </c>
      <c r="X1053" s="4" t="s">
        <v>12755</v>
      </c>
      <c r="Y1053" s="4" t="s">
        <v>12756</v>
      </c>
      <c r="Z1053" s="4" t="s">
        <v>12756</v>
      </c>
      <c r="AA1053" s="3">
        <v>306</v>
      </c>
      <c r="AB1053" s="3">
        <v>247</v>
      </c>
      <c r="AC1053" s="3">
        <v>512</v>
      </c>
      <c r="AD1053" s="3">
        <v>3</v>
      </c>
      <c r="AE1053" s="3">
        <v>5</v>
      </c>
      <c r="AF1053" s="3">
        <v>10</v>
      </c>
      <c r="AG1053" s="3">
        <v>22</v>
      </c>
      <c r="AH1053" s="3">
        <v>5</v>
      </c>
      <c r="AI1053" s="3">
        <v>8</v>
      </c>
      <c r="AJ1053" s="3">
        <v>2</v>
      </c>
      <c r="AK1053" s="3">
        <v>6</v>
      </c>
      <c r="AL1053" s="3">
        <v>5</v>
      </c>
      <c r="AM1053" s="3">
        <v>10</v>
      </c>
      <c r="AN1053" s="3">
        <v>1</v>
      </c>
      <c r="AO1053" s="3">
        <v>3</v>
      </c>
      <c r="AP1053" s="3">
        <v>0</v>
      </c>
      <c r="AQ1053" s="3">
        <v>0</v>
      </c>
      <c r="AR1053" s="2" t="s">
        <v>5</v>
      </c>
      <c r="AS1053" s="2" t="s">
        <v>16</v>
      </c>
      <c r="AT1053" s="5" t="str">
        <f>HYPERLINK("http://catalog.hathitrust.org/Record/000903041","HathiTrust Record")</f>
        <v>HathiTrust Record</v>
      </c>
      <c r="AU1053" s="5" t="str">
        <f>HYPERLINK("https://creighton-primo.hosted.exlibrisgroup.com/primo-explore/search?tab=default_tab&amp;search_scope=EVERYTHING&amp;vid=01CRU&amp;lang=en_US&amp;offset=0&amp;query=any,contains,991000986549702656","Catalog Record")</f>
        <v>Catalog Record</v>
      </c>
      <c r="AV1053" s="5" t="str">
        <f>HYPERLINK("http://www.worldcat.org/oclc/16003979","WorldCat Record")</f>
        <v>WorldCat Record</v>
      </c>
      <c r="AW1053" s="2" t="s">
        <v>12148</v>
      </c>
      <c r="AX1053" s="2" t="s">
        <v>12757</v>
      </c>
      <c r="AY1053" s="2" t="s">
        <v>12758</v>
      </c>
      <c r="AZ1053" s="2" t="s">
        <v>12758</v>
      </c>
      <c r="BA1053" s="2" t="s">
        <v>12759</v>
      </c>
      <c r="BB1053" s="2" t="s">
        <v>21</v>
      </c>
      <c r="BD1053" s="2" t="s">
        <v>12760</v>
      </c>
      <c r="BE1053" s="2" t="s">
        <v>12761</v>
      </c>
      <c r="BF1053" s="2" t="s">
        <v>12762</v>
      </c>
    </row>
    <row r="1054" spans="1:58" ht="41.25" customHeight="1" x14ac:dyDescent="0.25">
      <c r="A1054" s="8" t="s">
        <v>5</v>
      </c>
      <c r="B1054" s="1" t="s">
        <v>0</v>
      </c>
      <c r="C1054" s="1" t="s">
        <v>1</v>
      </c>
      <c r="D1054" s="1" t="s">
        <v>12763</v>
      </c>
      <c r="E1054" s="1" t="s">
        <v>12764</v>
      </c>
      <c r="F1054" s="1" t="s">
        <v>12765</v>
      </c>
      <c r="H1054" s="2" t="s">
        <v>5</v>
      </c>
      <c r="I1054" s="2" t="s">
        <v>6</v>
      </c>
      <c r="J1054" s="2" t="s">
        <v>5</v>
      </c>
      <c r="K1054" s="2" t="s">
        <v>5</v>
      </c>
      <c r="L1054" s="2" t="s">
        <v>7</v>
      </c>
      <c r="N1054" s="1" t="s">
        <v>1403</v>
      </c>
      <c r="O1054" s="2" t="s">
        <v>62</v>
      </c>
      <c r="Q1054" s="2" t="s">
        <v>11</v>
      </c>
      <c r="R1054" s="2" t="s">
        <v>12</v>
      </c>
      <c r="S1054" s="1" t="s">
        <v>12766</v>
      </c>
      <c r="T1054" s="2" t="s">
        <v>520</v>
      </c>
      <c r="U1054" s="3">
        <v>3</v>
      </c>
      <c r="V1054" s="3">
        <v>3</v>
      </c>
      <c r="W1054" s="4" t="s">
        <v>2775</v>
      </c>
      <c r="X1054" s="4" t="s">
        <v>2775</v>
      </c>
      <c r="Y1054" s="4" t="s">
        <v>1444</v>
      </c>
      <c r="Z1054" s="4" t="s">
        <v>1444</v>
      </c>
      <c r="AA1054" s="3">
        <v>132</v>
      </c>
      <c r="AB1054" s="3">
        <v>118</v>
      </c>
      <c r="AC1054" s="3">
        <v>120</v>
      </c>
      <c r="AD1054" s="3">
        <v>2</v>
      </c>
      <c r="AE1054" s="3">
        <v>2</v>
      </c>
      <c r="AF1054" s="3">
        <v>6</v>
      </c>
      <c r="AG1054" s="3">
        <v>6</v>
      </c>
      <c r="AH1054" s="3">
        <v>1</v>
      </c>
      <c r="AI1054" s="3">
        <v>1</v>
      </c>
      <c r="AJ1054" s="3">
        <v>2</v>
      </c>
      <c r="AK1054" s="3">
        <v>2</v>
      </c>
      <c r="AL1054" s="3">
        <v>3</v>
      </c>
      <c r="AM1054" s="3">
        <v>3</v>
      </c>
      <c r="AN1054" s="3">
        <v>1</v>
      </c>
      <c r="AO1054" s="3">
        <v>1</v>
      </c>
      <c r="AP1054" s="3">
        <v>0</v>
      </c>
      <c r="AQ1054" s="3">
        <v>0</v>
      </c>
      <c r="AR1054" s="2" t="s">
        <v>5</v>
      </c>
      <c r="AS1054" s="2" t="s">
        <v>16</v>
      </c>
      <c r="AT1054" s="5" t="str">
        <f>HYPERLINK("http://catalog.hathitrust.org/Record/000297092","HathiTrust Record")</f>
        <v>HathiTrust Record</v>
      </c>
      <c r="AU1054" s="5" t="str">
        <f>HYPERLINK("https://creighton-primo.hosted.exlibrisgroup.com/primo-explore/search?tab=default_tab&amp;search_scope=EVERYTHING&amp;vid=01CRU&amp;lang=en_US&amp;offset=0&amp;query=any,contains,991001517319702656","Catalog Record")</f>
        <v>Catalog Record</v>
      </c>
      <c r="AV1054" s="5" t="str">
        <f>HYPERLINK("http://www.worldcat.org/oclc/5674553","WorldCat Record")</f>
        <v>WorldCat Record</v>
      </c>
      <c r="AW1054" s="2" t="s">
        <v>12767</v>
      </c>
      <c r="AX1054" s="2" t="s">
        <v>12768</v>
      </c>
      <c r="AY1054" s="2" t="s">
        <v>12769</v>
      </c>
      <c r="AZ1054" s="2" t="s">
        <v>12769</v>
      </c>
      <c r="BA1054" s="2" t="s">
        <v>12770</v>
      </c>
      <c r="BB1054" s="2" t="s">
        <v>21</v>
      </c>
      <c r="BE1054" s="2" t="s">
        <v>12771</v>
      </c>
      <c r="BF1054" s="2" t="s">
        <v>12772</v>
      </c>
    </row>
    <row r="1055" spans="1:58" ht="41.25" customHeight="1" x14ac:dyDescent="0.25">
      <c r="A1055" s="8" t="s">
        <v>5</v>
      </c>
      <c r="B1055" s="1" t="s">
        <v>0</v>
      </c>
      <c r="C1055" s="1" t="s">
        <v>1</v>
      </c>
      <c r="D1055" s="1" t="s">
        <v>12773</v>
      </c>
      <c r="E1055" s="1" t="s">
        <v>12774</v>
      </c>
      <c r="F1055" s="1" t="s">
        <v>12775</v>
      </c>
      <c r="H1055" s="2" t="s">
        <v>5</v>
      </c>
      <c r="I1055" s="2" t="s">
        <v>6</v>
      </c>
      <c r="J1055" s="2" t="s">
        <v>5</v>
      </c>
      <c r="K1055" s="2" t="s">
        <v>5</v>
      </c>
      <c r="L1055" s="2" t="s">
        <v>7</v>
      </c>
      <c r="N1055" s="1" t="s">
        <v>12101</v>
      </c>
      <c r="O1055" s="2" t="s">
        <v>285</v>
      </c>
      <c r="P1055" s="1" t="s">
        <v>355</v>
      </c>
      <c r="Q1055" s="2" t="s">
        <v>11</v>
      </c>
      <c r="R1055" s="2" t="s">
        <v>271</v>
      </c>
      <c r="T1055" s="2" t="s">
        <v>520</v>
      </c>
      <c r="U1055" s="3">
        <v>2</v>
      </c>
      <c r="V1055" s="3">
        <v>2</v>
      </c>
      <c r="W1055" s="4" t="s">
        <v>12776</v>
      </c>
      <c r="X1055" s="4" t="s">
        <v>12776</v>
      </c>
      <c r="Y1055" s="4" t="s">
        <v>3755</v>
      </c>
      <c r="Z1055" s="4" t="s">
        <v>3755</v>
      </c>
      <c r="AA1055" s="3">
        <v>313</v>
      </c>
      <c r="AB1055" s="3">
        <v>271</v>
      </c>
      <c r="AC1055" s="3">
        <v>278</v>
      </c>
      <c r="AD1055" s="3">
        <v>3</v>
      </c>
      <c r="AE1055" s="3">
        <v>3</v>
      </c>
      <c r="AF1055" s="3">
        <v>12</v>
      </c>
      <c r="AG1055" s="3">
        <v>12</v>
      </c>
      <c r="AH1055" s="3">
        <v>4</v>
      </c>
      <c r="AI1055" s="3">
        <v>4</v>
      </c>
      <c r="AJ1055" s="3">
        <v>3</v>
      </c>
      <c r="AK1055" s="3">
        <v>3</v>
      </c>
      <c r="AL1055" s="3">
        <v>7</v>
      </c>
      <c r="AM1055" s="3">
        <v>7</v>
      </c>
      <c r="AN1055" s="3">
        <v>2</v>
      </c>
      <c r="AO1055" s="3">
        <v>2</v>
      </c>
      <c r="AP1055" s="3">
        <v>0</v>
      </c>
      <c r="AQ1055" s="3">
        <v>0</v>
      </c>
      <c r="AR1055" s="2" t="s">
        <v>5</v>
      </c>
      <c r="AS1055" s="2" t="s">
        <v>16</v>
      </c>
      <c r="AT1055" s="5" t="str">
        <f>HYPERLINK("http://catalog.hathitrust.org/Record/000686338","HathiTrust Record")</f>
        <v>HathiTrust Record</v>
      </c>
      <c r="AU1055" s="5" t="str">
        <f>HYPERLINK("https://creighton-primo.hosted.exlibrisgroup.com/primo-explore/search?tab=default_tab&amp;search_scope=EVERYTHING&amp;vid=01CRU&amp;lang=en_US&amp;offset=0&amp;query=any,contains,991001149879702656","Catalog Record")</f>
        <v>Catalog Record</v>
      </c>
      <c r="AV1055" s="5" t="str">
        <f>HYPERLINK("http://www.worldcat.org/oclc/5000242","WorldCat Record")</f>
        <v>WorldCat Record</v>
      </c>
      <c r="AW1055" s="2" t="s">
        <v>12777</v>
      </c>
      <c r="AX1055" s="2" t="s">
        <v>12778</v>
      </c>
      <c r="AY1055" s="2" t="s">
        <v>12779</v>
      </c>
      <c r="AZ1055" s="2" t="s">
        <v>12779</v>
      </c>
      <c r="BA1055" s="2" t="s">
        <v>12780</v>
      </c>
      <c r="BB1055" s="2" t="s">
        <v>21</v>
      </c>
      <c r="BD1055" s="2" t="s">
        <v>12781</v>
      </c>
      <c r="BE1055" s="2" t="s">
        <v>12782</v>
      </c>
      <c r="BF1055" s="2" t="s">
        <v>12783</v>
      </c>
    </row>
    <row r="1056" spans="1:58" ht="41.25" customHeight="1" x14ac:dyDescent="0.25">
      <c r="A1056" s="8" t="s">
        <v>5</v>
      </c>
      <c r="B1056" s="1" t="s">
        <v>0</v>
      </c>
      <c r="C1056" s="1" t="s">
        <v>1</v>
      </c>
      <c r="D1056" s="1" t="s">
        <v>12784</v>
      </c>
      <c r="E1056" s="1" t="s">
        <v>12785</v>
      </c>
      <c r="F1056" s="1" t="s">
        <v>12786</v>
      </c>
      <c r="H1056" s="2" t="s">
        <v>5</v>
      </c>
      <c r="I1056" s="2" t="s">
        <v>6</v>
      </c>
      <c r="J1056" s="2" t="s">
        <v>5</v>
      </c>
      <c r="K1056" s="2" t="s">
        <v>5</v>
      </c>
      <c r="L1056" s="2" t="s">
        <v>7</v>
      </c>
      <c r="M1056" s="1" t="s">
        <v>425</v>
      </c>
      <c r="N1056" s="1" t="s">
        <v>11279</v>
      </c>
      <c r="O1056" s="2" t="s">
        <v>3465</v>
      </c>
      <c r="Q1056" s="2" t="s">
        <v>11</v>
      </c>
      <c r="R1056" s="2" t="s">
        <v>78</v>
      </c>
      <c r="T1056" s="2" t="s">
        <v>520</v>
      </c>
      <c r="U1056" s="3">
        <v>0</v>
      </c>
      <c r="V1056" s="3">
        <v>0</v>
      </c>
      <c r="W1056" s="4" t="s">
        <v>2152</v>
      </c>
      <c r="X1056" s="4" t="s">
        <v>2152</v>
      </c>
      <c r="Y1056" s="4" t="s">
        <v>2153</v>
      </c>
      <c r="Z1056" s="4" t="s">
        <v>2153</v>
      </c>
      <c r="AA1056" s="3">
        <v>395</v>
      </c>
      <c r="AB1056" s="3">
        <v>271</v>
      </c>
      <c r="AC1056" s="3">
        <v>278</v>
      </c>
      <c r="AD1056" s="3">
        <v>4</v>
      </c>
      <c r="AE1056" s="3">
        <v>4</v>
      </c>
      <c r="AF1056" s="3">
        <v>9</v>
      </c>
      <c r="AG1056" s="3">
        <v>9</v>
      </c>
      <c r="AH1056" s="3">
        <v>2</v>
      </c>
      <c r="AI1056" s="3">
        <v>2</v>
      </c>
      <c r="AJ1056" s="3">
        <v>1</v>
      </c>
      <c r="AK1056" s="3">
        <v>1</v>
      </c>
      <c r="AL1056" s="3">
        <v>4</v>
      </c>
      <c r="AM1056" s="3">
        <v>4</v>
      </c>
      <c r="AN1056" s="3">
        <v>3</v>
      </c>
      <c r="AO1056" s="3">
        <v>3</v>
      </c>
      <c r="AP1056" s="3">
        <v>0</v>
      </c>
      <c r="AQ1056" s="3">
        <v>0</v>
      </c>
      <c r="AR1056" s="2" t="s">
        <v>5</v>
      </c>
      <c r="AS1056" s="2" t="s">
        <v>5</v>
      </c>
      <c r="AU1056" s="5" t="str">
        <f>HYPERLINK("https://creighton-primo.hosted.exlibrisgroup.com/primo-explore/search?tab=default_tab&amp;search_scope=EVERYTHING&amp;vid=01CRU&amp;lang=en_US&amp;offset=0&amp;query=any,contains,991001753239702656","Catalog Record")</f>
        <v>Catalog Record</v>
      </c>
      <c r="AV1056" s="5" t="str">
        <f>HYPERLINK("http://www.worldcat.org/oclc/62109953","WorldCat Record")</f>
        <v>WorldCat Record</v>
      </c>
      <c r="AW1056" s="2" t="s">
        <v>12787</v>
      </c>
      <c r="AX1056" s="2" t="s">
        <v>12788</v>
      </c>
      <c r="AY1056" s="2" t="s">
        <v>12789</v>
      </c>
      <c r="AZ1056" s="2" t="s">
        <v>12789</v>
      </c>
      <c r="BA1056" s="2" t="s">
        <v>12790</v>
      </c>
      <c r="BB1056" s="2" t="s">
        <v>21</v>
      </c>
      <c r="BD1056" s="2" t="s">
        <v>12791</v>
      </c>
      <c r="BE1056" s="2" t="s">
        <v>12792</v>
      </c>
      <c r="BF1056" s="2" t="s">
        <v>12793</v>
      </c>
    </row>
    <row r="1057" spans="1:58" ht="41.25" customHeight="1" x14ac:dyDescent="0.25">
      <c r="A1057" s="8" t="s">
        <v>5</v>
      </c>
      <c r="B1057" s="1" t="s">
        <v>0</v>
      </c>
      <c r="C1057" s="1" t="s">
        <v>1</v>
      </c>
      <c r="D1057" s="1" t="s">
        <v>12794</v>
      </c>
      <c r="E1057" s="1" t="s">
        <v>12795</v>
      </c>
      <c r="F1057" s="1" t="s">
        <v>10926</v>
      </c>
      <c r="H1057" s="2" t="s">
        <v>5</v>
      </c>
      <c r="I1057" s="2" t="s">
        <v>6</v>
      </c>
      <c r="J1057" s="2" t="s">
        <v>5</v>
      </c>
      <c r="K1057" s="2" t="s">
        <v>16</v>
      </c>
      <c r="L1057" s="2" t="s">
        <v>7</v>
      </c>
      <c r="N1057" s="1" t="s">
        <v>7867</v>
      </c>
      <c r="O1057" s="2" t="s">
        <v>1283</v>
      </c>
      <c r="P1057" s="1" t="s">
        <v>901</v>
      </c>
      <c r="Q1057" s="2" t="s">
        <v>11</v>
      </c>
      <c r="R1057" s="2" t="s">
        <v>78</v>
      </c>
      <c r="T1057" s="2" t="s">
        <v>520</v>
      </c>
      <c r="U1057" s="3">
        <v>4</v>
      </c>
      <c r="V1057" s="3">
        <v>4</v>
      </c>
      <c r="W1057" s="4" t="s">
        <v>11972</v>
      </c>
      <c r="X1057" s="4" t="s">
        <v>11972</v>
      </c>
      <c r="Y1057" s="4" t="s">
        <v>12796</v>
      </c>
      <c r="Z1057" s="4" t="s">
        <v>12796</v>
      </c>
      <c r="AA1057" s="3">
        <v>255</v>
      </c>
      <c r="AB1057" s="3">
        <v>225</v>
      </c>
      <c r="AC1057" s="3">
        <v>1254</v>
      </c>
      <c r="AD1057" s="3">
        <v>1</v>
      </c>
      <c r="AE1057" s="3">
        <v>28</v>
      </c>
      <c r="AF1057" s="3">
        <v>10</v>
      </c>
      <c r="AG1057" s="3">
        <v>37</v>
      </c>
      <c r="AH1057" s="3">
        <v>5</v>
      </c>
      <c r="AI1057" s="3">
        <v>14</v>
      </c>
      <c r="AJ1057" s="3">
        <v>1</v>
      </c>
      <c r="AK1057" s="3">
        <v>4</v>
      </c>
      <c r="AL1057" s="3">
        <v>6</v>
      </c>
      <c r="AM1057" s="3">
        <v>13</v>
      </c>
      <c r="AN1057" s="3">
        <v>0</v>
      </c>
      <c r="AO1057" s="3">
        <v>11</v>
      </c>
      <c r="AP1057" s="3">
        <v>0</v>
      </c>
      <c r="AQ1057" s="3">
        <v>0</v>
      </c>
      <c r="AR1057" s="2" t="s">
        <v>5</v>
      </c>
      <c r="AS1057" s="2" t="s">
        <v>16</v>
      </c>
      <c r="AT1057" s="5" t="str">
        <f>HYPERLINK("http://catalog.hathitrust.org/Record/003126543","HathiTrust Record")</f>
        <v>HathiTrust Record</v>
      </c>
      <c r="AU1057" s="5" t="str">
        <f>HYPERLINK("https://creighton-primo.hosted.exlibrisgroup.com/primo-explore/search?tab=default_tab&amp;search_scope=EVERYTHING&amp;vid=01CRU&amp;lang=en_US&amp;offset=0&amp;query=any,contains,991000901449702656","Catalog Record")</f>
        <v>Catalog Record</v>
      </c>
      <c r="AV1057" s="5" t="str">
        <f>HYPERLINK("http://www.worldcat.org/oclc/35325257","WorldCat Record")</f>
        <v>WorldCat Record</v>
      </c>
      <c r="AW1057" s="2" t="s">
        <v>10929</v>
      </c>
      <c r="AX1057" s="2" t="s">
        <v>12797</v>
      </c>
      <c r="AY1057" s="2" t="s">
        <v>12798</v>
      </c>
      <c r="AZ1057" s="2" t="s">
        <v>12798</v>
      </c>
      <c r="BA1057" s="2" t="s">
        <v>12799</v>
      </c>
      <c r="BB1057" s="2" t="s">
        <v>21</v>
      </c>
      <c r="BD1057" s="2" t="s">
        <v>12800</v>
      </c>
      <c r="BE1057" s="2" t="s">
        <v>12801</v>
      </c>
      <c r="BF1057" s="2" t="s">
        <v>12802</v>
      </c>
    </row>
    <row r="1058" spans="1:58" ht="41.25" customHeight="1" x14ac:dyDescent="0.25">
      <c r="A1058" s="8" t="s">
        <v>5</v>
      </c>
      <c r="B1058" s="1" t="s">
        <v>0</v>
      </c>
      <c r="C1058" s="1" t="s">
        <v>1</v>
      </c>
      <c r="D1058" s="1" t="s">
        <v>12803</v>
      </c>
      <c r="E1058" s="1" t="s">
        <v>12804</v>
      </c>
      <c r="F1058" s="1" t="s">
        <v>10926</v>
      </c>
      <c r="H1058" s="2" t="s">
        <v>5</v>
      </c>
      <c r="I1058" s="2" t="s">
        <v>6</v>
      </c>
      <c r="J1058" s="2" t="s">
        <v>5</v>
      </c>
      <c r="K1058" s="2" t="s">
        <v>16</v>
      </c>
      <c r="L1058" s="2" t="s">
        <v>7</v>
      </c>
      <c r="N1058" s="1" t="s">
        <v>12805</v>
      </c>
      <c r="O1058" s="2" t="s">
        <v>4990</v>
      </c>
      <c r="P1058" s="1" t="s">
        <v>1208</v>
      </c>
      <c r="Q1058" s="2" t="s">
        <v>11</v>
      </c>
      <c r="R1058" s="2" t="s">
        <v>78</v>
      </c>
      <c r="T1058" s="2" t="s">
        <v>520</v>
      </c>
      <c r="U1058" s="3">
        <v>4</v>
      </c>
      <c r="V1058" s="3">
        <v>4</v>
      </c>
      <c r="W1058" s="4" t="s">
        <v>12806</v>
      </c>
      <c r="X1058" s="4" t="s">
        <v>12806</v>
      </c>
      <c r="Y1058" s="4" t="s">
        <v>12807</v>
      </c>
      <c r="Z1058" s="4" t="s">
        <v>12807</v>
      </c>
      <c r="AA1058" s="3">
        <v>317</v>
      </c>
      <c r="AB1058" s="3">
        <v>250</v>
      </c>
      <c r="AC1058" s="3">
        <v>1254</v>
      </c>
      <c r="AD1058" s="3">
        <v>1</v>
      </c>
      <c r="AE1058" s="3">
        <v>28</v>
      </c>
      <c r="AF1058" s="3">
        <v>9</v>
      </c>
      <c r="AG1058" s="3">
        <v>37</v>
      </c>
      <c r="AH1058" s="3">
        <v>5</v>
      </c>
      <c r="AI1058" s="3">
        <v>14</v>
      </c>
      <c r="AJ1058" s="3">
        <v>0</v>
      </c>
      <c r="AK1058" s="3">
        <v>4</v>
      </c>
      <c r="AL1058" s="3">
        <v>5</v>
      </c>
      <c r="AM1058" s="3">
        <v>13</v>
      </c>
      <c r="AN1058" s="3">
        <v>0</v>
      </c>
      <c r="AO1058" s="3">
        <v>11</v>
      </c>
      <c r="AP1058" s="3">
        <v>0</v>
      </c>
      <c r="AQ1058" s="3">
        <v>0</v>
      </c>
      <c r="AR1058" s="2" t="s">
        <v>5</v>
      </c>
      <c r="AS1058" s="2" t="s">
        <v>5</v>
      </c>
      <c r="AU1058" s="5" t="str">
        <f>HYPERLINK("https://creighton-primo.hosted.exlibrisgroup.com/primo-explore/search?tab=default_tab&amp;search_scope=EVERYTHING&amp;vid=01CRU&amp;lang=en_US&amp;offset=0&amp;query=any,contains,991000327899702656","Catalog Record")</f>
        <v>Catalog Record</v>
      </c>
      <c r="AV1058" s="5" t="str">
        <f>HYPERLINK("http://www.worldcat.org/oclc/47844332","WorldCat Record")</f>
        <v>WorldCat Record</v>
      </c>
      <c r="AW1058" s="2" t="s">
        <v>10929</v>
      </c>
      <c r="AX1058" s="2" t="s">
        <v>12808</v>
      </c>
      <c r="AY1058" s="2" t="s">
        <v>12809</v>
      </c>
      <c r="AZ1058" s="2" t="s">
        <v>12809</v>
      </c>
      <c r="BA1058" s="2" t="s">
        <v>12810</v>
      </c>
      <c r="BB1058" s="2" t="s">
        <v>21</v>
      </c>
      <c r="BD1058" s="2" t="s">
        <v>12811</v>
      </c>
      <c r="BE1058" s="2" t="s">
        <v>12812</v>
      </c>
      <c r="BF1058" s="2" t="s">
        <v>12813</v>
      </c>
    </row>
    <row r="1059" spans="1:58" ht="41.25" customHeight="1" x14ac:dyDescent="0.25">
      <c r="A1059" s="8" t="s">
        <v>5</v>
      </c>
      <c r="B1059" s="1" t="s">
        <v>0</v>
      </c>
      <c r="C1059" s="1" t="s">
        <v>1</v>
      </c>
      <c r="D1059" s="1" t="s">
        <v>12814</v>
      </c>
      <c r="E1059" s="1" t="s">
        <v>12815</v>
      </c>
      <c r="F1059" s="1" t="s">
        <v>12816</v>
      </c>
      <c r="H1059" s="2" t="s">
        <v>5</v>
      </c>
      <c r="I1059" s="2" t="s">
        <v>6</v>
      </c>
      <c r="J1059" s="2" t="s">
        <v>5</v>
      </c>
      <c r="K1059" s="2" t="s">
        <v>5</v>
      </c>
      <c r="L1059" s="2" t="s">
        <v>7</v>
      </c>
      <c r="N1059" s="1" t="s">
        <v>12817</v>
      </c>
      <c r="O1059" s="2" t="s">
        <v>3465</v>
      </c>
      <c r="P1059" s="1" t="s">
        <v>1284</v>
      </c>
      <c r="Q1059" s="2" t="s">
        <v>11</v>
      </c>
      <c r="R1059" s="2" t="s">
        <v>78</v>
      </c>
      <c r="T1059" s="2" t="s">
        <v>520</v>
      </c>
      <c r="U1059" s="3">
        <v>0</v>
      </c>
      <c r="V1059" s="3">
        <v>0</v>
      </c>
      <c r="W1059" s="4" t="s">
        <v>9276</v>
      </c>
      <c r="X1059" s="4" t="s">
        <v>9276</v>
      </c>
      <c r="Y1059" s="4" t="s">
        <v>5018</v>
      </c>
      <c r="Z1059" s="4" t="s">
        <v>5018</v>
      </c>
      <c r="AA1059" s="3">
        <v>323</v>
      </c>
      <c r="AB1059" s="3">
        <v>257</v>
      </c>
      <c r="AC1059" s="3">
        <v>680</v>
      </c>
      <c r="AD1059" s="3">
        <v>3</v>
      </c>
      <c r="AE1059" s="3">
        <v>15</v>
      </c>
      <c r="AF1059" s="3">
        <v>9</v>
      </c>
      <c r="AG1059" s="3">
        <v>25</v>
      </c>
      <c r="AH1059" s="3">
        <v>0</v>
      </c>
      <c r="AI1059" s="3">
        <v>7</v>
      </c>
      <c r="AJ1059" s="3">
        <v>2</v>
      </c>
      <c r="AK1059" s="3">
        <v>4</v>
      </c>
      <c r="AL1059" s="3">
        <v>6</v>
      </c>
      <c r="AM1059" s="3">
        <v>8</v>
      </c>
      <c r="AN1059" s="3">
        <v>2</v>
      </c>
      <c r="AO1059" s="3">
        <v>10</v>
      </c>
      <c r="AP1059" s="3">
        <v>0</v>
      </c>
      <c r="AQ1059" s="3">
        <v>0</v>
      </c>
      <c r="AR1059" s="2" t="s">
        <v>5</v>
      </c>
      <c r="AS1059" s="2" t="s">
        <v>5</v>
      </c>
      <c r="AU1059" s="5" t="str">
        <f>HYPERLINK("https://creighton-primo.hosted.exlibrisgroup.com/primo-explore/search?tab=default_tab&amp;search_scope=EVERYTHING&amp;vid=01CRU&amp;lang=en_US&amp;offset=0&amp;query=any,contains,991001751249702656","Catalog Record")</f>
        <v>Catalog Record</v>
      </c>
      <c r="AV1059" s="5" t="str">
        <f>HYPERLINK("http://www.worldcat.org/oclc/85814171","WorldCat Record")</f>
        <v>WorldCat Record</v>
      </c>
      <c r="AW1059" s="2" t="s">
        <v>12818</v>
      </c>
      <c r="AX1059" s="2" t="s">
        <v>12819</v>
      </c>
      <c r="AY1059" s="2" t="s">
        <v>12820</v>
      </c>
      <c r="AZ1059" s="2" t="s">
        <v>12820</v>
      </c>
      <c r="BA1059" s="2" t="s">
        <v>12821</v>
      </c>
      <c r="BB1059" s="2" t="s">
        <v>21</v>
      </c>
      <c r="BD1059" s="2" t="s">
        <v>12822</v>
      </c>
      <c r="BE1059" s="2" t="s">
        <v>12823</v>
      </c>
      <c r="BF1059" s="2" t="s">
        <v>12824</v>
      </c>
    </row>
    <row r="1060" spans="1:58" ht="41.25" customHeight="1" x14ac:dyDescent="0.25">
      <c r="A1060" s="8" t="s">
        <v>5</v>
      </c>
      <c r="B1060" s="1" t="s">
        <v>0</v>
      </c>
      <c r="C1060" s="1" t="s">
        <v>1</v>
      </c>
      <c r="D1060" s="1" t="s">
        <v>12825</v>
      </c>
      <c r="E1060" s="1" t="s">
        <v>12826</v>
      </c>
      <c r="F1060" s="1" t="s">
        <v>12827</v>
      </c>
      <c r="H1060" s="2" t="s">
        <v>5</v>
      </c>
      <c r="I1060" s="2" t="s">
        <v>6</v>
      </c>
      <c r="J1060" s="2" t="s">
        <v>5</v>
      </c>
      <c r="K1060" s="2" t="s">
        <v>5</v>
      </c>
      <c r="L1060" s="2" t="s">
        <v>7</v>
      </c>
      <c r="M1060" s="1" t="s">
        <v>12828</v>
      </c>
      <c r="N1060" s="1" t="s">
        <v>12829</v>
      </c>
      <c r="O1060" s="2" t="s">
        <v>3465</v>
      </c>
      <c r="Q1060" s="2" t="s">
        <v>11</v>
      </c>
      <c r="R1060" s="2" t="s">
        <v>229</v>
      </c>
      <c r="T1060" s="2" t="s">
        <v>520</v>
      </c>
      <c r="U1060" s="3">
        <v>0</v>
      </c>
      <c r="V1060" s="3">
        <v>0</v>
      </c>
      <c r="W1060" s="4" t="s">
        <v>12830</v>
      </c>
      <c r="X1060" s="4" t="s">
        <v>12830</v>
      </c>
      <c r="Y1060" s="4" t="s">
        <v>12831</v>
      </c>
      <c r="Z1060" s="4" t="s">
        <v>12831</v>
      </c>
      <c r="AA1060" s="3">
        <v>224</v>
      </c>
      <c r="AB1060" s="3">
        <v>146</v>
      </c>
      <c r="AC1060" s="3">
        <v>386</v>
      </c>
      <c r="AD1060" s="3">
        <v>2</v>
      </c>
      <c r="AE1060" s="3">
        <v>4</v>
      </c>
      <c r="AF1060" s="3">
        <v>5</v>
      </c>
      <c r="AG1060" s="3">
        <v>8</v>
      </c>
      <c r="AH1060" s="3">
        <v>1</v>
      </c>
      <c r="AI1060" s="3">
        <v>1</v>
      </c>
      <c r="AJ1060" s="3">
        <v>1</v>
      </c>
      <c r="AK1060" s="3">
        <v>2</v>
      </c>
      <c r="AL1060" s="3">
        <v>3</v>
      </c>
      <c r="AM1060" s="3">
        <v>5</v>
      </c>
      <c r="AN1060" s="3">
        <v>1</v>
      </c>
      <c r="AO1060" s="3">
        <v>2</v>
      </c>
      <c r="AP1060" s="3">
        <v>0</v>
      </c>
      <c r="AQ1060" s="3">
        <v>0</v>
      </c>
      <c r="AR1060" s="2" t="s">
        <v>5</v>
      </c>
      <c r="AS1060" s="2" t="s">
        <v>5</v>
      </c>
      <c r="AU1060" s="5" t="str">
        <f>HYPERLINK("https://creighton-primo.hosted.exlibrisgroup.com/primo-explore/search?tab=default_tab&amp;search_scope=EVERYTHING&amp;vid=01CRU&amp;lang=en_US&amp;offset=0&amp;query=any,contains,991001750849702656","Catalog Record")</f>
        <v>Catalog Record</v>
      </c>
      <c r="AV1060" s="5" t="str">
        <f>HYPERLINK("http://www.worldcat.org/oclc/60590141","WorldCat Record")</f>
        <v>WorldCat Record</v>
      </c>
      <c r="AW1060" s="2" t="s">
        <v>12832</v>
      </c>
      <c r="AX1060" s="2" t="s">
        <v>12833</v>
      </c>
      <c r="AY1060" s="2" t="s">
        <v>12834</v>
      </c>
      <c r="AZ1060" s="2" t="s">
        <v>12834</v>
      </c>
      <c r="BA1060" s="2" t="s">
        <v>12835</v>
      </c>
      <c r="BB1060" s="2" t="s">
        <v>21</v>
      </c>
      <c r="BD1060" s="2" t="s">
        <v>12836</v>
      </c>
      <c r="BE1060" s="2" t="s">
        <v>12837</v>
      </c>
      <c r="BF1060" s="2" t="s">
        <v>12838</v>
      </c>
    </row>
    <row r="1061" spans="1:58" ht="41.25" customHeight="1" x14ac:dyDescent="0.25">
      <c r="A1061" s="8" t="s">
        <v>5</v>
      </c>
      <c r="B1061" s="1" t="s">
        <v>0</v>
      </c>
      <c r="C1061" s="1" t="s">
        <v>1</v>
      </c>
      <c r="D1061" s="1" t="s">
        <v>12839</v>
      </c>
      <c r="E1061" s="1" t="s">
        <v>12840</v>
      </c>
      <c r="F1061" s="1" t="s">
        <v>12841</v>
      </c>
      <c r="H1061" s="2" t="s">
        <v>5</v>
      </c>
      <c r="I1061" s="2" t="s">
        <v>6</v>
      </c>
      <c r="J1061" s="2" t="s">
        <v>5</v>
      </c>
      <c r="K1061" s="2" t="s">
        <v>16</v>
      </c>
      <c r="L1061" s="2" t="s">
        <v>7</v>
      </c>
      <c r="N1061" s="1" t="s">
        <v>11304</v>
      </c>
      <c r="O1061" s="2" t="s">
        <v>107</v>
      </c>
      <c r="P1061" s="1" t="s">
        <v>901</v>
      </c>
      <c r="Q1061" s="2" t="s">
        <v>11</v>
      </c>
      <c r="R1061" s="2" t="s">
        <v>12</v>
      </c>
      <c r="T1061" s="2" t="s">
        <v>520</v>
      </c>
      <c r="U1061" s="3">
        <v>1</v>
      </c>
      <c r="V1061" s="3">
        <v>1</v>
      </c>
      <c r="W1061" s="4" t="s">
        <v>11429</v>
      </c>
      <c r="X1061" s="4" t="s">
        <v>11429</v>
      </c>
      <c r="Y1061" s="4" t="s">
        <v>12842</v>
      </c>
      <c r="Z1061" s="4" t="s">
        <v>12842</v>
      </c>
      <c r="AA1061" s="3">
        <v>273</v>
      </c>
      <c r="AB1061" s="3">
        <v>197</v>
      </c>
      <c r="AC1061" s="3">
        <v>648</v>
      </c>
      <c r="AD1061" s="3">
        <v>2</v>
      </c>
      <c r="AE1061" s="3">
        <v>5</v>
      </c>
      <c r="AF1061" s="3">
        <v>6</v>
      </c>
      <c r="AG1061" s="3">
        <v>23</v>
      </c>
      <c r="AH1061" s="3">
        <v>2</v>
      </c>
      <c r="AI1061" s="3">
        <v>9</v>
      </c>
      <c r="AJ1061" s="3">
        <v>0</v>
      </c>
      <c r="AK1061" s="3">
        <v>3</v>
      </c>
      <c r="AL1061" s="3">
        <v>3</v>
      </c>
      <c r="AM1061" s="3">
        <v>11</v>
      </c>
      <c r="AN1061" s="3">
        <v>1</v>
      </c>
      <c r="AO1061" s="3">
        <v>4</v>
      </c>
      <c r="AP1061" s="3">
        <v>0</v>
      </c>
      <c r="AQ1061" s="3">
        <v>0</v>
      </c>
      <c r="AR1061" s="2" t="s">
        <v>5</v>
      </c>
      <c r="AS1061" s="2" t="s">
        <v>16</v>
      </c>
      <c r="AT1061" s="5" t="str">
        <f>HYPERLINK("http://catalog.hathitrust.org/Record/005057086","HathiTrust Record")</f>
        <v>HathiTrust Record</v>
      </c>
      <c r="AU1061" s="5" t="str">
        <f>HYPERLINK("https://creighton-primo.hosted.exlibrisgroup.com/primo-explore/search?tab=default_tab&amp;search_scope=EVERYTHING&amp;vid=01CRU&amp;lang=en_US&amp;offset=0&amp;query=any,contains,991000445049702656","Catalog Record")</f>
        <v>Catalog Record</v>
      </c>
      <c r="AV1061" s="5" t="str">
        <f>HYPERLINK("http://www.worldcat.org/oclc/60393388","WorldCat Record")</f>
        <v>WorldCat Record</v>
      </c>
      <c r="AW1061" s="2" t="s">
        <v>12843</v>
      </c>
      <c r="AX1061" s="2" t="s">
        <v>12844</v>
      </c>
      <c r="AY1061" s="2" t="s">
        <v>12845</v>
      </c>
      <c r="AZ1061" s="2" t="s">
        <v>12845</v>
      </c>
      <c r="BA1061" s="2" t="s">
        <v>12846</v>
      </c>
      <c r="BB1061" s="2" t="s">
        <v>21</v>
      </c>
      <c r="BD1061" s="2" t="s">
        <v>12847</v>
      </c>
      <c r="BE1061" s="2" t="s">
        <v>12848</v>
      </c>
      <c r="BF1061" s="2" t="s">
        <v>12849</v>
      </c>
    </row>
    <row r="1062" spans="1:58" ht="41.25" customHeight="1" x14ac:dyDescent="0.25">
      <c r="A1062" s="8" t="s">
        <v>5</v>
      </c>
      <c r="B1062" s="1" t="s">
        <v>0</v>
      </c>
      <c r="C1062" s="1" t="s">
        <v>1</v>
      </c>
      <c r="D1062" s="1" t="s">
        <v>12850</v>
      </c>
      <c r="E1062" s="1" t="s">
        <v>12851</v>
      </c>
      <c r="F1062" s="1" t="s">
        <v>12852</v>
      </c>
      <c r="H1062" s="2" t="s">
        <v>5</v>
      </c>
      <c r="I1062" s="2" t="s">
        <v>6</v>
      </c>
      <c r="J1062" s="2" t="s">
        <v>5</v>
      </c>
      <c r="K1062" s="2" t="s">
        <v>16</v>
      </c>
      <c r="L1062" s="2" t="s">
        <v>7</v>
      </c>
      <c r="M1062" s="1" t="s">
        <v>12853</v>
      </c>
      <c r="N1062" s="1" t="s">
        <v>12854</v>
      </c>
      <c r="O1062" s="2" t="s">
        <v>4990</v>
      </c>
      <c r="P1062" s="1" t="s">
        <v>211</v>
      </c>
      <c r="Q1062" s="2" t="s">
        <v>11</v>
      </c>
      <c r="R1062" s="2" t="s">
        <v>12</v>
      </c>
      <c r="T1062" s="2" t="s">
        <v>520</v>
      </c>
      <c r="U1062" s="3">
        <v>6</v>
      </c>
      <c r="V1062" s="3">
        <v>6</v>
      </c>
      <c r="W1062" s="4" t="s">
        <v>12855</v>
      </c>
      <c r="X1062" s="4" t="s">
        <v>12855</v>
      </c>
      <c r="Y1062" s="4" t="s">
        <v>8173</v>
      </c>
      <c r="Z1062" s="4" t="s">
        <v>8173</v>
      </c>
      <c r="AA1062" s="3">
        <v>288</v>
      </c>
      <c r="AB1062" s="3">
        <v>218</v>
      </c>
      <c r="AC1062" s="3">
        <v>648</v>
      </c>
      <c r="AD1062" s="3">
        <v>1</v>
      </c>
      <c r="AE1062" s="3">
        <v>5</v>
      </c>
      <c r="AF1062" s="3">
        <v>6</v>
      </c>
      <c r="AG1062" s="3">
        <v>23</v>
      </c>
      <c r="AH1062" s="3">
        <v>2</v>
      </c>
      <c r="AI1062" s="3">
        <v>9</v>
      </c>
      <c r="AJ1062" s="3">
        <v>1</v>
      </c>
      <c r="AK1062" s="3">
        <v>3</v>
      </c>
      <c r="AL1062" s="3">
        <v>5</v>
      </c>
      <c r="AM1062" s="3">
        <v>11</v>
      </c>
      <c r="AN1062" s="3">
        <v>0</v>
      </c>
      <c r="AO1062" s="3">
        <v>4</v>
      </c>
      <c r="AP1062" s="3">
        <v>0</v>
      </c>
      <c r="AQ1062" s="3">
        <v>0</v>
      </c>
      <c r="AR1062" s="2" t="s">
        <v>5</v>
      </c>
      <c r="AS1062" s="2" t="s">
        <v>5</v>
      </c>
      <c r="AU1062" s="5" t="str">
        <f>HYPERLINK("https://creighton-primo.hosted.exlibrisgroup.com/primo-explore/search?tab=default_tab&amp;search_scope=EVERYTHING&amp;vid=01CRU&amp;lang=en_US&amp;offset=0&amp;query=any,contains,991000298859702656","Catalog Record")</f>
        <v>Catalog Record</v>
      </c>
      <c r="AV1062" s="5" t="str">
        <f>HYPERLINK("http://www.worldcat.org/oclc/47023703","WorldCat Record")</f>
        <v>WorldCat Record</v>
      </c>
      <c r="AW1062" s="2" t="s">
        <v>12843</v>
      </c>
      <c r="AX1062" s="2" t="s">
        <v>12856</v>
      </c>
      <c r="AY1062" s="2" t="s">
        <v>12857</v>
      </c>
      <c r="AZ1062" s="2" t="s">
        <v>12857</v>
      </c>
      <c r="BA1062" s="2" t="s">
        <v>12858</v>
      </c>
      <c r="BB1062" s="2" t="s">
        <v>21</v>
      </c>
      <c r="BD1062" s="2" t="s">
        <v>12859</v>
      </c>
      <c r="BE1062" s="2" t="s">
        <v>12860</v>
      </c>
      <c r="BF1062" s="2" t="s">
        <v>12861</v>
      </c>
    </row>
    <row r="1063" spans="1:58" ht="41.25" customHeight="1" x14ac:dyDescent="0.25">
      <c r="A1063" s="8" t="s">
        <v>5</v>
      </c>
      <c r="B1063" s="1" t="s">
        <v>0</v>
      </c>
      <c r="C1063" s="1" t="s">
        <v>1</v>
      </c>
      <c r="D1063" s="1" t="s">
        <v>12862</v>
      </c>
      <c r="E1063" s="1" t="s">
        <v>12863</v>
      </c>
      <c r="F1063" s="1" t="s">
        <v>12864</v>
      </c>
      <c r="H1063" s="2" t="s">
        <v>5</v>
      </c>
      <c r="I1063" s="2" t="s">
        <v>6</v>
      </c>
      <c r="J1063" s="2" t="s">
        <v>5</v>
      </c>
      <c r="K1063" s="2" t="s">
        <v>5</v>
      </c>
      <c r="L1063" s="2" t="s">
        <v>7</v>
      </c>
      <c r="M1063" s="1" t="s">
        <v>11924</v>
      </c>
      <c r="N1063" s="1" t="s">
        <v>7347</v>
      </c>
      <c r="O1063" s="2" t="s">
        <v>1283</v>
      </c>
      <c r="P1063" s="1" t="s">
        <v>63</v>
      </c>
      <c r="Q1063" s="2" t="s">
        <v>11</v>
      </c>
      <c r="R1063" s="2" t="s">
        <v>3356</v>
      </c>
      <c r="T1063" s="2" t="s">
        <v>520</v>
      </c>
      <c r="U1063" s="3">
        <v>8</v>
      </c>
      <c r="V1063" s="3">
        <v>8</v>
      </c>
      <c r="W1063" s="4" t="s">
        <v>12865</v>
      </c>
      <c r="X1063" s="4" t="s">
        <v>12865</v>
      </c>
      <c r="Y1063" s="4" t="s">
        <v>7395</v>
      </c>
      <c r="Z1063" s="4" t="s">
        <v>7395</v>
      </c>
      <c r="AA1063" s="3">
        <v>328</v>
      </c>
      <c r="AB1063" s="3">
        <v>251</v>
      </c>
      <c r="AC1063" s="3">
        <v>254</v>
      </c>
      <c r="AD1063" s="3">
        <v>1</v>
      </c>
      <c r="AE1063" s="3">
        <v>1</v>
      </c>
      <c r="AF1063" s="3">
        <v>11</v>
      </c>
      <c r="AG1063" s="3">
        <v>11</v>
      </c>
      <c r="AH1063" s="3">
        <v>8</v>
      </c>
      <c r="AI1063" s="3">
        <v>8</v>
      </c>
      <c r="AJ1063" s="3">
        <v>0</v>
      </c>
      <c r="AK1063" s="3">
        <v>0</v>
      </c>
      <c r="AL1063" s="3">
        <v>7</v>
      </c>
      <c r="AM1063" s="3">
        <v>7</v>
      </c>
      <c r="AN1063" s="3">
        <v>0</v>
      </c>
      <c r="AO1063" s="3">
        <v>0</v>
      </c>
      <c r="AP1063" s="3">
        <v>0</v>
      </c>
      <c r="AQ1063" s="3">
        <v>0</v>
      </c>
      <c r="AR1063" s="2" t="s">
        <v>5</v>
      </c>
      <c r="AS1063" s="2" t="s">
        <v>16</v>
      </c>
      <c r="AT1063" s="5" t="str">
        <f>HYPERLINK("http://catalog.hathitrust.org/Record/003110555","HathiTrust Record")</f>
        <v>HathiTrust Record</v>
      </c>
      <c r="AU1063" s="5" t="str">
        <f>HYPERLINK("https://creighton-primo.hosted.exlibrisgroup.com/primo-explore/search?tab=default_tab&amp;search_scope=EVERYTHING&amp;vid=01CRU&amp;lang=en_US&amp;offset=0&amp;query=any,contains,991001551749702656","Catalog Record")</f>
        <v>Catalog Record</v>
      </c>
      <c r="AV1063" s="5" t="str">
        <f>HYPERLINK("http://www.worldcat.org/oclc/34776054","WorldCat Record")</f>
        <v>WorldCat Record</v>
      </c>
      <c r="AW1063" s="2" t="s">
        <v>12866</v>
      </c>
      <c r="AX1063" s="2" t="s">
        <v>12867</v>
      </c>
      <c r="AY1063" s="2" t="s">
        <v>12868</v>
      </c>
      <c r="AZ1063" s="2" t="s">
        <v>12868</v>
      </c>
      <c r="BA1063" s="2" t="s">
        <v>12869</v>
      </c>
      <c r="BB1063" s="2" t="s">
        <v>21</v>
      </c>
      <c r="BD1063" s="2" t="s">
        <v>12870</v>
      </c>
      <c r="BE1063" s="2" t="s">
        <v>12871</v>
      </c>
      <c r="BF1063" s="2" t="s">
        <v>12872</v>
      </c>
    </row>
    <row r="1064" spans="1:58" ht="41.25" customHeight="1" x14ac:dyDescent="0.25">
      <c r="A1064" s="8" t="s">
        <v>5</v>
      </c>
      <c r="B1064" s="1" t="s">
        <v>0</v>
      </c>
      <c r="C1064" s="1" t="s">
        <v>1</v>
      </c>
      <c r="D1064" s="1" t="s">
        <v>12873</v>
      </c>
      <c r="E1064" s="1" t="s">
        <v>12874</v>
      </c>
      <c r="F1064" s="1" t="s">
        <v>12121</v>
      </c>
      <c r="H1064" s="2" t="s">
        <v>5</v>
      </c>
      <c r="I1064" s="2" t="s">
        <v>6</v>
      </c>
      <c r="J1064" s="2" t="s">
        <v>5</v>
      </c>
      <c r="K1064" s="2" t="s">
        <v>16</v>
      </c>
      <c r="L1064" s="2" t="s">
        <v>7</v>
      </c>
      <c r="N1064" s="1" t="s">
        <v>1282</v>
      </c>
      <c r="O1064" s="2" t="s">
        <v>1283</v>
      </c>
      <c r="P1064" s="1" t="s">
        <v>901</v>
      </c>
      <c r="Q1064" s="2" t="s">
        <v>11</v>
      </c>
      <c r="R1064" s="2" t="s">
        <v>426</v>
      </c>
      <c r="T1064" s="2" t="s">
        <v>520</v>
      </c>
      <c r="U1064" s="3">
        <v>30</v>
      </c>
      <c r="V1064" s="3">
        <v>30</v>
      </c>
      <c r="W1064" s="4" t="s">
        <v>12875</v>
      </c>
      <c r="X1064" s="4" t="s">
        <v>12875</v>
      </c>
      <c r="Y1064" s="4" t="s">
        <v>8108</v>
      </c>
      <c r="Z1064" s="4" t="s">
        <v>8108</v>
      </c>
      <c r="AA1064" s="3">
        <v>320</v>
      </c>
      <c r="AB1064" s="3">
        <v>240</v>
      </c>
      <c r="AC1064" s="3">
        <v>487</v>
      </c>
      <c r="AD1064" s="3">
        <v>3</v>
      </c>
      <c r="AE1064" s="3">
        <v>3</v>
      </c>
      <c r="AF1064" s="3">
        <v>11</v>
      </c>
      <c r="AG1064" s="3">
        <v>14</v>
      </c>
      <c r="AH1064" s="3">
        <v>5</v>
      </c>
      <c r="AI1064" s="3">
        <v>6</v>
      </c>
      <c r="AJ1064" s="3">
        <v>0</v>
      </c>
      <c r="AK1064" s="3">
        <v>2</v>
      </c>
      <c r="AL1064" s="3">
        <v>7</v>
      </c>
      <c r="AM1064" s="3">
        <v>9</v>
      </c>
      <c r="AN1064" s="3">
        <v>1</v>
      </c>
      <c r="AO1064" s="3">
        <v>1</v>
      </c>
      <c r="AP1064" s="3">
        <v>0</v>
      </c>
      <c r="AQ1064" s="3">
        <v>0</v>
      </c>
      <c r="AR1064" s="2" t="s">
        <v>5</v>
      </c>
      <c r="AS1064" s="2" t="s">
        <v>16</v>
      </c>
      <c r="AT1064" s="5" t="str">
        <f>HYPERLINK("http://catalog.hathitrust.org/Record/003123070","HathiTrust Record")</f>
        <v>HathiTrust Record</v>
      </c>
      <c r="AU1064" s="5" t="str">
        <f>HYPERLINK("https://creighton-primo.hosted.exlibrisgroup.com/primo-explore/search?tab=default_tab&amp;search_scope=EVERYTHING&amp;vid=01CRU&amp;lang=en_US&amp;offset=0&amp;query=any,contains,991001560399702656","Catalog Record")</f>
        <v>Catalog Record</v>
      </c>
      <c r="AV1064" s="5" t="str">
        <f>HYPERLINK("http://www.worldcat.org/oclc/36291676","WorldCat Record")</f>
        <v>WorldCat Record</v>
      </c>
      <c r="AW1064" s="2" t="s">
        <v>12124</v>
      </c>
      <c r="AX1064" s="2" t="s">
        <v>12876</v>
      </c>
      <c r="AY1064" s="2" t="s">
        <v>12877</v>
      </c>
      <c r="AZ1064" s="2" t="s">
        <v>12877</v>
      </c>
      <c r="BA1064" s="2" t="s">
        <v>12878</v>
      </c>
      <c r="BB1064" s="2" t="s">
        <v>21</v>
      </c>
      <c r="BD1064" s="2" t="s">
        <v>12879</v>
      </c>
      <c r="BE1064" s="2" t="s">
        <v>12880</v>
      </c>
      <c r="BF1064" s="2" t="s">
        <v>12881</v>
      </c>
    </row>
    <row r="1065" spans="1:58" ht="41.25" customHeight="1" x14ac:dyDescent="0.25">
      <c r="A1065" s="8" t="s">
        <v>5</v>
      </c>
      <c r="B1065" s="1" t="s">
        <v>0</v>
      </c>
      <c r="C1065" s="1" t="s">
        <v>1</v>
      </c>
      <c r="D1065" s="1" t="s">
        <v>12882</v>
      </c>
      <c r="E1065" s="1" t="s">
        <v>12883</v>
      </c>
      <c r="F1065" s="1" t="s">
        <v>12884</v>
      </c>
      <c r="H1065" s="2" t="s">
        <v>5</v>
      </c>
      <c r="I1065" s="2" t="s">
        <v>6</v>
      </c>
      <c r="J1065" s="2" t="s">
        <v>5</v>
      </c>
      <c r="K1065" s="2" t="s">
        <v>5</v>
      </c>
      <c r="L1065" s="2" t="s">
        <v>7</v>
      </c>
      <c r="M1065" s="1" t="s">
        <v>12885</v>
      </c>
      <c r="N1065" s="1" t="s">
        <v>12886</v>
      </c>
      <c r="O1065" s="2" t="s">
        <v>1004</v>
      </c>
      <c r="Q1065" s="2" t="s">
        <v>11</v>
      </c>
      <c r="R1065" s="2" t="s">
        <v>12</v>
      </c>
      <c r="T1065" s="2" t="s">
        <v>520</v>
      </c>
      <c r="U1065" s="3">
        <v>5</v>
      </c>
      <c r="V1065" s="3">
        <v>5</v>
      </c>
      <c r="W1065" s="4" t="s">
        <v>12887</v>
      </c>
      <c r="X1065" s="4" t="s">
        <v>12887</v>
      </c>
      <c r="Y1065" s="4" t="s">
        <v>12888</v>
      </c>
      <c r="Z1065" s="4" t="s">
        <v>12888</v>
      </c>
      <c r="AA1065" s="3">
        <v>319</v>
      </c>
      <c r="AB1065" s="3">
        <v>240</v>
      </c>
      <c r="AC1065" s="3">
        <v>247</v>
      </c>
      <c r="AD1065" s="3">
        <v>1</v>
      </c>
      <c r="AE1065" s="3">
        <v>1</v>
      </c>
      <c r="AF1065" s="3">
        <v>7</v>
      </c>
      <c r="AG1065" s="3">
        <v>7</v>
      </c>
      <c r="AH1065" s="3">
        <v>2</v>
      </c>
      <c r="AI1065" s="3">
        <v>2</v>
      </c>
      <c r="AJ1065" s="3">
        <v>0</v>
      </c>
      <c r="AK1065" s="3">
        <v>0</v>
      </c>
      <c r="AL1065" s="3">
        <v>5</v>
      </c>
      <c r="AM1065" s="3">
        <v>5</v>
      </c>
      <c r="AN1065" s="3">
        <v>0</v>
      </c>
      <c r="AO1065" s="3">
        <v>0</v>
      </c>
      <c r="AP1065" s="3">
        <v>0</v>
      </c>
      <c r="AQ1065" s="3">
        <v>0</v>
      </c>
      <c r="AR1065" s="2" t="s">
        <v>5</v>
      </c>
      <c r="AS1065" s="2" t="s">
        <v>16</v>
      </c>
      <c r="AT1065" s="5" t="str">
        <f>HYPERLINK("http://catalog.hathitrust.org/Record/004031654","HathiTrust Record")</f>
        <v>HathiTrust Record</v>
      </c>
      <c r="AU1065" s="5" t="str">
        <f>HYPERLINK("https://creighton-primo.hosted.exlibrisgroup.com/primo-explore/search?tab=default_tab&amp;search_scope=EVERYTHING&amp;vid=01CRU&amp;lang=en_US&amp;offset=0&amp;query=any,contains,991000797589702656","Catalog Record")</f>
        <v>Catalog Record</v>
      </c>
      <c r="AV1065" s="5" t="str">
        <f>HYPERLINK("http://www.worldcat.org/oclc/39914299","WorldCat Record")</f>
        <v>WorldCat Record</v>
      </c>
      <c r="AW1065" s="2" t="s">
        <v>12889</v>
      </c>
      <c r="AX1065" s="2" t="s">
        <v>12890</v>
      </c>
      <c r="AY1065" s="2" t="s">
        <v>12891</v>
      </c>
      <c r="AZ1065" s="2" t="s">
        <v>12891</v>
      </c>
      <c r="BA1065" s="2" t="s">
        <v>12892</v>
      </c>
      <c r="BB1065" s="2" t="s">
        <v>21</v>
      </c>
      <c r="BD1065" s="2" t="s">
        <v>12893</v>
      </c>
      <c r="BE1065" s="2" t="s">
        <v>12894</v>
      </c>
      <c r="BF1065" s="2" t="s">
        <v>12895</v>
      </c>
    </row>
    <row r="1066" spans="1:58" ht="41.25" customHeight="1" x14ac:dyDescent="0.25">
      <c r="A1066" s="8" t="s">
        <v>5</v>
      </c>
      <c r="B1066" s="1" t="s">
        <v>0</v>
      </c>
      <c r="C1066" s="1" t="s">
        <v>1</v>
      </c>
      <c r="D1066" s="1" t="s">
        <v>12896</v>
      </c>
      <c r="E1066" s="1" t="s">
        <v>12897</v>
      </c>
      <c r="F1066" s="1" t="s">
        <v>12898</v>
      </c>
      <c r="H1066" s="2" t="s">
        <v>5</v>
      </c>
      <c r="I1066" s="2" t="s">
        <v>6</v>
      </c>
      <c r="J1066" s="2" t="s">
        <v>5</v>
      </c>
      <c r="K1066" s="2" t="s">
        <v>16</v>
      </c>
      <c r="L1066" s="2" t="s">
        <v>7</v>
      </c>
      <c r="M1066" s="1" t="s">
        <v>12899</v>
      </c>
      <c r="N1066" s="1" t="s">
        <v>10544</v>
      </c>
      <c r="O1066" s="2" t="s">
        <v>1378</v>
      </c>
      <c r="Q1066" s="2" t="s">
        <v>11</v>
      </c>
      <c r="R1066" s="2" t="s">
        <v>78</v>
      </c>
      <c r="S1066" s="1" t="s">
        <v>12900</v>
      </c>
      <c r="T1066" s="2" t="s">
        <v>520</v>
      </c>
      <c r="U1066" s="3">
        <v>5</v>
      </c>
      <c r="V1066" s="3">
        <v>5</v>
      </c>
      <c r="W1066" s="4" t="s">
        <v>12901</v>
      </c>
      <c r="X1066" s="4" t="s">
        <v>12901</v>
      </c>
      <c r="Y1066" s="4" t="s">
        <v>12902</v>
      </c>
      <c r="Z1066" s="4" t="s">
        <v>12902</v>
      </c>
      <c r="AA1066" s="3">
        <v>107</v>
      </c>
      <c r="AB1066" s="3">
        <v>76</v>
      </c>
      <c r="AC1066" s="3">
        <v>602</v>
      </c>
      <c r="AD1066" s="3">
        <v>1</v>
      </c>
      <c r="AE1066" s="3">
        <v>5</v>
      </c>
      <c r="AF1066" s="3">
        <v>4</v>
      </c>
      <c r="AG1066" s="3">
        <v>19</v>
      </c>
      <c r="AH1066" s="3">
        <v>2</v>
      </c>
      <c r="AI1066" s="3">
        <v>5</v>
      </c>
      <c r="AJ1066" s="3">
        <v>0</v>
      </c>
      <c r="AK1066" s="3">
        <v>4</v>
      </c>
      <c r="AL1066" s="3">
        <v>2</v>
      </c>
      <c r="AM1066" s="3">
        <v>8</v>
      </c>
      <c r="AN1066" s="3">
        <v>0</v>
      </c>
      <c r="AO1066" s="3">
        <v>4</v>
      </c>
      <c r="AP1066" s="3">
        <v>0</v>
      </c>
      <c r="AQ1066" s="3">
        <v>0</v>
      </c>
      <c r="AR1066" s="2" t="s">
        <v>5</v>
      </c>
      <c r="AS1066" s="2" t="s">
        <v>5</v>
      </c>
      <c r="AU1066" s="5" t="str">
        <f>HYPERLINK("https://creighton-primo.hosted.exlibrisgroup.com/primo-explore/search?tab=default_tab&amp;search_scope=EVERYTHING&amp;vid=01CRU&amp;lang=en_US&amp;offset=0&amp;query=any,contains,991001572809702656","Catalog Record")</f>
        <v>Catalog Record</v>
      </c>
      <c r="AV1066" s="5" t="str">
        <f>HYPERLINK("http://www.worldcat.org/oclc/37031263","WorldCat Record")</f>
        <v>WorldCat Record</v>
      </c>
      <c r="AW1066" s="2" t="s">
        <v>12903</v>
      </c>
      <c r="AX1066" s="2" t="s">
        <v>12904</v>
      </c>
      <c r="AY1066" s="2" t="s">
        <v>12905</v>
      </c>
      <c r="AZ1066" s="2" t="s">
        <v>12905</v>
      </c>
      <c r="BA1066" s="2" t="s">
        <v>12906</v>
      </c>
      <c r="BB1066" s="2" t="s">
        <v>21</v>
      </c>
      <c r="BD1066" s="2" t="s">
        <v>12907</v>
      </c>
      <c r="BE1066" s="2" t="s">
        <v>12908</v>
      </c>
      <c r="BF1066" s="2" t="s">
        <v>12909</v>
      </c>
    </row>
    <row r="1067" spans="1:58" ht="41.25" customHeight="1" x14ac:dyDescent="0.25">
      <c r="A1067" s="8" t="s">
        <v>5</v>
      </c>
      <c r="B1067" s="1" t="s">
        <v>0</v>
      </c>
      <c r="C1067" s="1" t="s">
        <v>1</v>
      </c>
      <c r="D1067" s="1" t="s">
        <v>12910</v>
      </c>
      <c r="E1067" s="1" t="s">
        <v>12911</v>
      </c>
      <c r="F1067" s="1" t="s">
        <v>12912</v>
      </c>
      <c r="H1067" s="2" t="s">
        <v>5</v>
      </c>
      <c r="I1067" s="2" t="s">
        <v>6</v>
      </c>
      <c r="J1067" s="2" t="s">
        <v>5</v>
      </c>
      <c r="K1067" s="2" t="s">
        <v>16</v>
      </c>
      <c r="L1067" s="2" t="s">
        <v>7</v>
      </c>
      <c r="M1067" s="1" t="s">
        <v>12913</v>
      </c>
      <c r="N1067" s="1" t="s">
        <v>5080</v>
      </c>
      <c r="O1067" s="2" t="s">
        <v>1863</v>
      </c>
      <c r="P1067" s="1" t="s">
        <v>211</v>
      </c>
      <c r="Q1067" s="2" t="s">
        <v>11</v>
      </c>
      <c r="R1067" s="2" t="s">
        <v>31</v>
      </c>
      <c r="T1067" s="2" t="s">
        <v>520</v>
      </c>
      <c r="U1067" s="3">
        <v>18</v>
      </c>
      <c r="V1067" s="3">
        <v>18</v>
      </c>
      <c r="W1067" s="4" t="s">
        <v>12914</v>
      </c>
      <c r="X1067" s="4" t="s">
        <v>12914</v>
      </c>
      <c r="Y1067" s="4" t="s">
        <v>12915</v>
      </c>
      <c r="Z1067" s="4" t="s">
        <v>12915</v>
      </c>
      <c r="AA1067" s="3">
        <v>146</v>
      </c>
      <c r="AB1067" s="3">
        <v>96</v>
      </c>
      <c r="AC1067" s="3">
        <v>501</v>
      </c>
      <c r="AD1067" s="3">
        <v>0</v>
      </c>
      <c r="AE1067" s="3">
        <v>6</v>
      </c>
      <c r="AF1067" s="3">
        <v>3</v>
      </c>
      <c r="AG1067" s="3">
        <v>20</v>
      </c>
      <c r="AH1067" s="3">
        <v>1</v>
      </c>
      <c r="AI1067" s="3">
        <v>6</v>
      </c>
      <c r="AJ1067" s="3">
        <v>1</v>
      </c>
      <c r="AK1067" s="3">
        <v>4</v>
      </c>
      <c r="AL1067" s="3">
        <v>1</v>
      </c>
      <c r="AM1067" s="3">
        <v>9</v>
      </c>
      <c r="AN1067" s="3">
        <v>0</v>
      </c>
      <c r="AO1067" s="3">
        <v>4</v>
      </c>
      <c r="AP1067" s="3">
        <v>0</v>
      </c>
      <c r="AQ1067" s="3">
        <v>0</v>
      </c>
      <c r="AR1067" s="2" t="s">
        <v>5</v>
      </c>
      <c r="AS1067" s="2" t="s">
        <v>16</v>
      </c>
      <c r="AT1067" s="5" t="str">
        <f>HYPERLINK("http://catalog.hathitrust.org/Record/004137080","HathiTrust Record")</f>
        <v>HathiTrust Record</v>
      </c>
      <c r="AU1067" s="5" t="str">
        <f>HYPERLINK("https://creighton-primo.hosted.exlibrisgroup.com/primo-explore/search?tab=default_tab&amp;search_scope=EVERYTHING&amp;vid=01CRU&amp;lang=en_US&amp;offset=0&amp;query=any,contains,991001705619702656","Catalog Record")</f>
        <v>Catalog Record</v>
      </c>
      <c r="AV1067" s="5" t="str">
        <f>HYPERLINK("http://www.worldcat.org/oclc/46928927","WorldCat Record")</f>
        <v>WorldCat Record</v>
      </c>
      <c r="AW1067" s="2" t="s">
        <v>12916</v>
      </c>
      <c r="AX1067" s="2" t="s">
        <v>12917</v>
      </c>
      <c r="AY1067" s="2" t="s">
        <v>12918</v>
      </c>
      <c r="AZ1067" s="2" t="s">
        <v>12918</v>
      </c>
      <c r="BA1067" s="2" t="s">
        <v>12919</v>
      </c>
      <c r="BB1067" s="2" t="s">
        <v>21</v>
      </c>
      <c r="BD1067" s="2" t="s">
        <v>12920</v>
      </c>
      <c r="BE1067" s="2" t="s">
        <v>12921</v>
      </c>
      <c r="BF1067" s="2" t="s">
        <v>12922</v>
      </c>
    </row>
    <row r="1068" spans="1:58" ht="41.25" customHeight="1" x14ac:dyDescent="0.25">
      <c r="A1068" s="8" t="s">
        <v>5</v>
      </c>
      <c r="B1068" s="1" t="s">
        <v>0</v>
      </c>
      <c r="C1068" s="1" t="s">
        <v>1</v>
      </c>
      <c r="D1068" s="1" t="s">
        <v>12923</v>
      </c>
      <c r="E1068" s="1" t="s">
        <v>12924</v>
      </c>
      <c r="F1068" s="1" t="s">
        <v>12925</v>
      </c>
      <c r="H1068" s="2" t="s">
        <v>5</v>
      </c>
      <c r="I1068" s="2" t="s">
        <v>6</v>
      </c>
      <c r="J1068" s="2" t="s">
        <v>5</v>
      </c>
      <c r="K1068" s="2" t="s">
        <v>5</v>
      </c>
      <c r="L1068" s="2" t="s">
        <v>7</v>
      </c>
      <c r="M1068" s="1" t="s">
        <v>10665</v>
      </c>
      <c r="N1068" s="1" t="s">
        <v>12926</v>
      </c>
      <c r="O1068" s="2" t="s">
        <v>1246</v>
      </c>
      <c r="Q1068" s="2" t="s">
        <v>11</v>
      </c>
      <c r="R1068" s="2" t="s">
        <v>426</v>
      </c>
      <c r="S1068" s="1" t="s">
        <v>12927</v>
      </c>
      <c r="T1068" s="2" t="s">
        <v>520</v>
      </c>
      <c r="U1068" s="3">
        <v>3</v>
      </c>
      <c r="V1068" s="3">
        <v>3</v>
      </c>
      <c r="W1068" s="4" t="s">
        <v>1248</v>
      </c>
      <c r="X1068" s="4" t="s">
        <v>1248</v>
      </c>
      <c r="Y1068" s="4" t="s">
        <v>1249</v>
      </c>
      <c r="Z1068" s="4" t="s">
        <v>1249</v>
      </c>
      <c r="AA1068" s="3">
        <v>65</v>
      </c>
      <c r="AB1068" s="3">
        <v>57</v>
      </c>
      <c r="AC1068" s="3">
        <v>57</v>
      </c>
      <c r="AD1068" s="3">
        <v>1</v>
      </c>
      <c r="AE1068" s="3">
        <v>1</v>
      </c>
      <c r="AF1068" s="3">
        <v>2</v>
      </c>
      <c r="AG1068" s="3">
        <v>2</v>
      </c>
      <c r="AH1068" s="3">
        <v>0</v>
      </c>
      <c r="AI1068" s="3">
        <v>0</v>
      </c>
      <c r="AJ1068" s="3">
        <v>0</v>
      </c>
      <c r="AK1068" s="3">
        <v>0</v>
      </c>
      <c r="AL1068" s="3">
        <v>2</v>
      </c>
      <c r="AM1068" s="3">
        <v>2</v>
      </c>
      <c r="AN1068" s="3">
        <v>0</v>
      </c>
      <c r="AO1068" s="3">
        <v>0</v>
      </c>
      <c r="AP1068" s="3">
        <v>0</v>
      </c>
      <c r="AQ1068" s="3">
        <v>0</v>
      </c>
      <c r="AR1068" s="2" t="s">
        <v>5</v>
      </c>
      <c r="AS1068" s="2" t="s">
        <v>5</v>
      </c>
      <c r="AU1068" s="5" t="str">
        <f>HYPERLINK("https://creighton-primo.hosted.exlibrisgroup.com/primo-explore/search?tab=default_tab&amp;search_scope=EVERYTHING&amp;vid=01CRU&amp;lang=en_US&amp;offset=0&amp;query=any,contains,991001384379702656","Catalog Record")</f>
        <v>Catalog Record</v>
      </c>
      <c r="AV1068" s="5" t="str">
        <f>HYPERLINK("http://www.worldcat.org/oclc/811594","WorldCat Record")</f>
        <v>WorldCat Record</v>
      </c>
      <c r="AW1068" s="2" t="s">
        <v>12928</v>
      </c>
      <c r="AX1068" s="2" t="s">
        <v>12929</v>
      </c>
      <c r="AY1068" s="2" t="s">
        <v>12930</v>
      </c>
      <c r="AZ1068" s="2" t="s">
        <v>12930</v>
      </c>
      <c r="BA1068" s="2" t="s">
        <v>12931</v>
      </c>
      <c r="BB1068" s="2" t="s">
        <v>21</v>
      </c>
      <c r="BE1068" s="2" t="s">
        <v>12932</v>
      </c>
      <c r="BF1068" s="2" t="s">
        <v>12933</v>
      </c>
    </row>
    <row r="1069" spans="1:58" ht="41.25" customHeight="1" x14ac:dyDescent="0.25">
      <c r="A1069" s="8" t="s">
        <v>5</v>
      </c>
      <c r="B1069" s="1" t="s">
        <v>0</v>
      </c>
      <c r="C1069" s="1" t="s">
        <v>1</v>
      </c>
      <c r="D1069" s="1" t="s">
        <v>12934</v>
      </c>
      <c r="E1069" s="1" t="s">
        <v>12935</v>
      </c>
      <c r="F1069" s="1" t="s">
        <v>12936</v>
      </c>
      <c r="H1069" s="2" t="s">
        <v>5</v>
      </c>
      <c r="I1069" s="2" t="s">
        <v>6</v>
      </c>
      <c r="J1069" s="2" t="s">
        <v>5</v>
      </c>
      <c r="K1069" s="2" t="s">
        <v>5</v>
      </c>
      <c r="L1069" s="2" t="s">
        <v>7</v>
      </c>
      <c r="M1069" s="1" t="s">
        <v>12937</v>
      </c>
      <c r="N1069" s="1" t="s">
        <v>12938</v>
      </c>
      <c r="O1069" s="2" t="s">
        <v>136</v>
      </c>
      <c r="Q1069" s="2" t="s">
        <v>11</v>
      </c>
      <c r="R1069" s="2" t="s">
        <v>78</v>
      </c>
      <c r="T1069" s="2" t="s">
        <v>520</v>
      </c>
      <c r="U1069" s="3">
        <v>4</v>
      </c>
      <c r="V1069" s="3">
        <v>4</v>
      </c>
      <c r="W1069" s="4" t="s">
        <v>12939</v>
      </c>
      <c r="X1069" s="4" t="s">
        <v>12939</v>
      </c>
      <c r="Y1069" s="4" t="s">
        <v>12940</v>
      </c>
      <c r="Z1069" s="4" t="s">
        <v>12940</v>
      </c>
      <c r="AA1069" s="3">
        <v>266</v>
      </c>
      <c r="AB1069" s="3">
        <v>203</v>
      </c>
      <c r="AC1069" s="3">
        <v>205</v>
      </c>
      <c r="AD1069" s="3">
        <v>2</v>
      </c>
      <c r="AE1069" s="3">
        <v>2</v>
      </c>
      <c r="AF1069" s="3">
        <v>5</v>
      </c>
      <c r="AG1069" s="3">
        <v>5</v>
      </c>
      <c r="AH1069" s="3">
        <v>1</v>
      </c>
      <c r="AI1069" s="3">
        <v>1</v>
      </c>
      <c r="AJ1069" s="3">
        <v>1</v>
      </c>
      <c r="AK1069" s="3">
        <v>1</v>
      </c>
      <c r="AL1069" s="3">
        <v>5</v>
      </c>
      <c r="AM1069" s="3">
        <v>5</v>
      </c>
      <c r="AN1069" s="3">
        <v>0</v>
      </c>
      <c r="AO1069" s="3">
        <v>0</v>
      </c>
      <c r="AP1069" s="3">
        <v>0</v>
      </c>
      <c r="AQ1069" s="3">
        <v>0</v>
      </c>
      <c r="AR1069" s="2" t="s">
        <v>5</v>
      </c>
      <c r="AS1069" s="2" t="s">
        <v>16</v>
      </c>
      <c r="AT1069" s="5" t="str">
        <f>HYPERLINK("http://catalog.hathitrust.org/Record/002443420","HathiTrust Record")</f>
        <v>HathiTrust Record</v>
      </c>
      <c r="AU1069" s="5" t="str">
        <f>HYPERLINK("https://creighton-primo.hosted.exlibrisgroup.com/primo-explore/search?tab=default_tab&amp;search_scope=EVERYTHING&amp;vid=01CRU&amp;lang=en_US&amp;offset=0&amp;query=any,contains,991001014689702656","Catalog Record")</f>
        <v>Catalog Record</v>
      </c>
      <c r="AV1069" s="5" t="str">
        <f>HYPERLINK("http://www.worldcat.org/oclc/22706137","WorldCat Record")</f>
        <v>WorldCat Record</v>
      </c>
      <c r="AW1069" s="2" t="s">
        <v>12941</v>
      </c>
      <c r="AX1069" s="2" t="s">
        <v>12942</v>
      </c>
      <c r="AY1069" s="2" t="s">
        <v>12943</v>
      </c>
      <c r="AZ1069" s="2" t="s">
        <v>12943</v>
      </c>
      <c r="BA1069" s="2" t="s">
        <v>12944</v>
      </c>
      <c r="BB1069" s="2" t="s">
        <v>21</v>
      </c>
      <c r="BD1069" s="2" t="s">
        <v>12945</v>
      </c>
      <c r="BE1069" s="2" t="s">
        <v>12946</v>
      </c>
      <c r="BF1069" s="2" t="s">
        <v>12947</v>
      </c>
    </row>
    <row r="1070" spans="1:58" ht="41.25" customHeight="1" x14ac:dyDescent="0.25">
      <c r="A1070" s="8" t="s">
        <v>5</v>
      </c>
      <c r="B1070" s="1" t="s">
        <v>0</v>
      </c>
      <c r="C1070" s="1" t="s">
        <v>1</v>
      </c>
      <c r="D1070" s="1" t="s">
        <v>12948</v>
      </c>
      <c r="E1070" s="1" t="s">
        <v>12949</v>
      </c>
      <c r="F1070" s="1" t="s">
        <v>12950</v>
      </c>
      <c r="H1070" s="2" t="s">
        <v>5</v>
      </c>
      <c r="I1070" s="2" t="s">
        <v>6</v>
      </c>
      <c r="J1070" s="2" t="s">
        <v>5</v>
      </c>
      <c r="K1070" s="2" t="s">
        <v>5</v>
      </c>
      <c r="L1070" s="2" t="s">
        <v>7</v>
      </c>
      <c r="N1070" s="1" t="s">
        <v>12951</v>
      </c>
      <c r="O1070" s="2" t="s">
        <v>939</v>
      </c>
      <c r="Q1070" s="2" t="s">
        <v>11</v>
      </c>
      <c r="R1070" s="2" t="s">
        <v>426</v>
      </c>
      <c r="T1070" s="2" t="s">
        <v>520</v>
      </c>
      <c r="U1070" s="3">
        <v>7</v>
      </c>
      <c r="V1070" s="3">
        <v>7</v>
      </c>
      <c r="W1070" s="4" t="s">
        <v>12952</v>
      </c>
      <c r="X1070" s="4" t="s">
        <v>12952</v>
      </c>
      <c r="Y1070" s="4" t="s">
        <v>1800</v>
      </c>
      <c r="Z1070" s="4" t="s">
        <v>1800</v>
      </c>
      <c r="AA1070" s="3">
        <v>182</v>
      </c>
      <c r="AB1070" s="3">
        <v>157</v>
      </c>
      <c r="AC1070" s="3">
        <v>161</v>
      </c>
      <c r="AD1070" s="3">
        <v>2</v>
      </c>
      <c r="AE1070" s="3">
        <v>2</v>
      </c>
      <c r="AF1070" s="3">
        <v>6</v>
      </c>
      <c r="AG1070" s="3">
        <v>6</v>
      </c>
      <c r="AH1070" s="3">
        <v>1</v>
      </c>
      <c r="AI1070" s="3">
        <v>1</v>
      </c>
      <c r="AJ1070" s="3">
        <v>2</v>
      </c>
      <c r="AK1070" s="3">
        <v>2</v>
      </c>
      <c r="AL1070" s="3">
        <v>4</v>
      </c>
      <c r="AM1070" s="3">
        <v>4</v>
      </c>
      <c r="AN1070" s="3">
        <v>1</v>
      </c>
      <c r="AO1070" s="3">
        <v>1</v>
      </c>
      <c r="AP1070" s="3">
        <v>0</v>
      </c>
      <c r="AQ1070" s="3">
        <v>0</v>
      </c>
      <c r="AR1070" s="2" t="s">
        <v>5</v>
      </c>
      <c r="AS1070" s="2" t="s">
        <v>16</v>
      </c>
      <c r="AT1070" s="5" t="str">
        <f>HYPERLINK("http://catalog.hathitrust.org/Record/000921303","HathiTrust Record")</f>
        <v>HathiTrust Record</v>
      </c>
      <c r="AU1070" s="5" t="str">
        <f>HYPERLINK("https://creighton-primo.hosted.exlibrisgroup.com/primo-explore/search?tab=default_tab&amp;search_scope=EVERYTHING&amp;vid=01CRU&amp;lang=en_US&amp;offset=0&amp;query=any,contains,991001248909702656","Catalog Record")</f>
        <v>Catalog Record</v>
      </c>
      <c r="AV1070" s="5" t="str">
        <f>HYPERLINK("http://www.worldcat.org/oclc/16950127","WorldCat Record")</f>
        <v>WorldCat Record</v>
      </c>
      <c r="AW1070" s="2" t="s">
        <v>12953</v>
      </c>
      <c r="AX1070" s="2" t="s">
        <v>12954</v>
      </c>
      <c r="AY1070" s="2" t="s">
        <v>12955</v>
      </c>
      <c r="AZ1070" s="2" t="s">
        <v>12955</v>
      </c>
      <c r="BA1070" s="2" t="s">
        <v>12956</v>
      </c>
      <c r="BB1070" s="2" t="s">
        <v>21</v>
      </c>
      <c r="BD1070" s="2" t="s">
        <v>12957</v>
      </c>
      <c r="BE1070" s="2" t="s">
        <v>12958</v>
      </c>
      <c r="BF1070" s="2" t="s">
        <v>12959</v>
      </c>
    </row>
    <row r="1071" spans="1:58" ht="41.25" customHeight="1" x14ac:dyDescent="0.25">
      <c r="A1071" s="8" t="s">
        <v>5</v>
      </c>
      <c r="B1071" s="1" t="s">
        <v>0</v>
      </c>
      <c r="C1071" s="1" t="s">
        <v>1</v>
      </c>
      <c r="D1071" s="1" t="s">
        <v>12960</v>
      </c>
      <c r="E1071" s="1" t="s">
        <v>12961</v>
      </c>
      <c r="F1071" s="1" t="s">
        <v>12962</v>
      </c>
      <c r="H1071" s="2" t="s">
        <v>5</v>
      </c>
      <c r="I1071" s="2" t="s">
        <v>6</v>
      </c>
      <c r="J1071" s="2" t="s">
        <v>5</v>
      </c>
      <c r="K1071" s="2" t="s">
        <v>5</v>
      </c>
      <c r="L1071" s="2" t="s">
        <v>7</v>
      </c>
      <c r="M1071" s="1" t="s">
        <v>12963</v>
      </c>
      <c r="N1071" s="1" t="s">
        <v>8079</v>
      </c>
      <c r="O1071" s="2" t="s">
        <v>1004</v>
      </c>
      <c r="P1071" s="1" t="s">
        <v>901</v>
      </c>
      <c r="Q1071" s="2" t="s">
        <v>11</v>
      </c>
      <c r="R1071" s="2" t="s">
        <v>31</v>
      </c>
      <c r="T1071" s="2" t="s">
        <v>520</v>
      </c>
      <c r="U1071" s="3">
        <v>4</v>
      </c>
      <c r="V1071" s="3">
        <v>4</v>
      </c>
      <c r="W1071" s="4" t="s">
        <v>12964</v>
      </c>
      <c r="X1071" s="4" t="s">
        <v>12964</v>
      </c>
      <c r="Y1071" s="4" t="s">
        <v>12965</v>
      </c>
      <c r="Z1071" s="4" t="s">
        <v>12965</v>
      </c>
      <c r="AA1071" s="3">
        <v>249</v>
      </c>
      <c r="AB1071" s="3">
        <v>202</v>
      </c>
      <c r="AC1071" s="3">
        <v>407</v>
      </c>
      <c r="AD1071" s="3">
        <v>3</v>
      </c>
      <c r="AE1071" s="3">
        <v>5</v>
      </c>
      <c r="AF1071" s="3">
        <v>10</v>
      </c>
      <c r="AG1071" s="3">
        <v>17</v>
      </c>
      <c r="AH1071" s="3">
        <v>3</v>
      </c>
      <c r="AI1071" s="3">
        <v>5</v>
      </c>
      <c r="AJ1071" s="3">
        <v>0</v>
      </c>
      <c r="AK1071" s="3">
        <v>1</v>
      </c>
      <c r="AL1071" s="3">
        <v>6</v>
      </c>
      <c r="AM1071" s="3">
        <v>12</v>
      </c>
      <c r="AN1071" s="3">
        <v>2</v>
      </c>
      <c r="AO1071" s="3">
        <v>3</v>
      </c>
      <c r="AP1071" s="3">
        <v>0</v>
      </c>
      <c r="AQ1071" s="3">
        <v>0</v>
      </c>
      <c r="AR1071" s="2" t="s">
        <v>5</v>
      </c>
      <c r="AS1071" s="2" t="s">
        <v>16</v>
      </c>
      <c r="AT1071" s="5" t="str">
        <f>HYPERLINK("http://catalog.hathitrust.org/Record/004017051","HathiTrust Record")</f>
        <v>HathiTrust Record</v>
      </c>
      <c r="AU1071" s="5" t="str">
        <f>HYPERLINK("https://creighton-primo.hosted.exlibrisgroup.com/primo-explore/search?tab=default_tab&amp;search_scope=EVERYTHING&amp;vid=01CRU&amp;lang=en_US&amp;offset=0&amp;query=any,contains,991000797689702656","Catalog Record")</f>
        <v>Catalog Record</v>
      </c>
      <c r="AV1071" s="5" t="str">
        <f>HYPERLINK("http://www.worldcat.org/oclc/40180621","WorldCat Record")</f>
        <v>WorldCat Record</v>
      </c>
      <c r="AW1071" s="2" t="s">
        <v>12966</v>
      </c>
      <c r="AX1071" s="2" t="s">
        <v>12967</v>
      </c>
      <c r="AY1071" s="2" t="s">
        <v>12968</v>
      </c>
      <c r="AZ1071" s="2" t="s">
        <v>12968</v>
      </c>
      <c r="BA1071" s="2" t="s">
        <v>12969</v>
      </c>
      <c r="BB1071" s="2" t="s">
        <v>21</v>
      </c>
      <c r="BD1071" s="2" t="s">
        <v>12970</v>
      </c>
      <c r="BE1071" s="2" t="s">
        <v>12971</v>
      </c>
      <c r="BF1071" s="2" t="s">
        <v>12972</v>
      </c>
    </row>
    <row r="1072" spans="1:58" ht="41.25" customHeight="1" x14ac:dyDescent="0.25">
      <c r="A1072" s="8" t="s">
        <v>5</v>
      </c>
      <c r="B1072" s="1" t="s">
        <v>0</v>
      </c>
      <c r="C1072" s="1" t="s">
        <v>1</v>
      </c>
      <c r="D1072" s="1" t="s">
        <v>12973</v>
      </c>
      <c r="E1072" s="1" t="s">
        <v>12974</v>
      </c>
      <c r="F1072" s="1" t="s">
        <v>12975</v>
      </c>
      <c r="G1072" s="2" t="s">
        <v>832</v>
      </c>
      <c r="H1072" s="2" t="s">
        <v>5</v>
      </c>
      <c r="I1072" s="2" t="s">
        <v>6</v>
      </c>
      <c r="J1072" s="2" t="s">
        <v>5</v>
      </c>
      <c r="K1072" s="2" t="s">
        <v>5</v>
      </c>
      <c r="L1072" s="2" t="s">
        <v>7</v>
      </c>
      <c r="N1072" s="1" t="s">
        <v>1139</v>
      </c>
      <c r="O1072" s="2" t="s">
        <v>136</v>
      </c>
      <c r="Q1072" s="2" t="s">
        <v>11</v>
      </c>
      <c r="R1072" s="2" t="s">
        <v>1140</v>
      </c>
      <c r="S1072" s="1" t="s">
        <v>12976</v>
      </c>
      <c r="T1072" s="2" t="s">
        <v>520</v>
      </c>
      <c r="U1072" s="3">
        <v>2</v>
      </c>
      <c r="V1072" s="3">
        <v>2</v>
      </c>
      <c r="W1072" s="4" t="s">
        <v>11547</v>
      </c>
      <c r="X1072" s="4" t="s">
        <v>11547</v>
      </c>
      <c r="Y1072" s="4" t="s">
        <v>10384</v>
      </c>
      <c r="Z1072" s="4" t="s">
        <v>10384</v>
      </c>
      <c r="AA1072" s="3">
        <v>225</v>
      </c>
      <c r="AB1072" s="3">
        <v>180</v>
      </c>
      <c r="AC1072" s="3">
        <v>185</v>
      </c>
      <c r="AD1072" s="3">
        <v>1</v>
      </c>
      <c r="AE1072" s="3">
        <v>1</v>
      </c>
      <c r="AF1072" s="3">
        <v>7</v>
      </c>
      <c r="AG1072" s="3">
        <v>7</v>
      </c>
      <c r="AH1072" s="3">
        <v>2</v>
      </c>
      <c r="AI1072" s="3">
        <v>2</v>
      </c>
      <c r="AJ1072" s="3">
        <v>2</v>
      </c>
      <c r="AK1072" s="3">
        <v>2</v>
      </c>
      <c r="AL1072" s="3">
        <v>6</v>
      </c>
      <c r="AM1072" s="3">
        <v>6</v>
      </c>
      <c r="AN1072" s="3">
        <v>0</v>
      </c>
      <c r="AO1072" s="3">
        <v>0</v>
      </c>
      <c r="AP1072" s="3">
        <v>0</v>
      </c>
      <c r="AQ1072" s="3">
        <v>0</v>
      </c>
      <c r="AR1072" s="2" t="s">
        <v>5</v>
      </c>
      <c r="AS1072" s="2" t="s">
        <v>5</v>
      </c>
      <c r="AU1072" s="5" t="str">
        <f>HYPERLINK("https://creighton-primo.hosted.exlibrisgroup.com/primo-explore/search?tab=default_tab&amp;search_scope=EVERYTHING&amp;vid=01CRU&amp;lang=en_US&amp;offset=0&amp;query=any,contains,991001470479702656","Catalog Record")</f>
        <v>Catalog Record</v>
      </c>
      <c r="AV1072" s="5" t="str">
        <f>HYPERLINK("http://www.worldcat.org/oclc/22956338","WorldCat Record")</f>
        <v>WorldCat Record</v>
      </c>
      <c r="AW1072" s="2" t="s">
        <v>12977</v>
      </c>
      <c r="AX1072" s="2" t="s">
        <v>12978</v>
      </c>
      <c r="AY1072" s="2" t="s">
        <v>12979</v>
      </c>
      <c r="AZ1072" s="2" t="s">
        <v>12979</v>
      </c>
      <c r="BA1072" s="2" t="s">
        <v>12980</v>
      </c>
      <c r="BB1072" s="2" t="s">
        <v>21</v>
      </c>
      <c r="BD1072" s="2" t="s">
        <v>12981</v>
      </c>
      <c r="BE1072" s="2" t="s">
        <v>12982</v>
      </c>
      <c r="BF1072" s="2" t="s">
        <v>12983</v>
      </c>
    </row>
    <row r="1073" spans="1:58" ht="41.25" customHeight="1" x14ac:dyDescent="0.25">
      <c r="A1073" s="8" t="s">
        <v>5</v>
      </c>
      <c r="B1073" s="1" t="s">
        <v>0</v>
      </c>
      <c r="C1073" s="1" t="s">
        <v>1</v>
      </c>
      <c r="D1073" s="1" t="s">
        <v>12984</v>
      </c>
      <c r="E1073" s="1" t="s">
        <v>12985</v>
      </c>
      <c r="F1073" s="1" t="s">
        <v>12986</v>
      </c>
      <c r="H1073" s="2" t="s">
        <v>5</v>
      </c>
      <c r="I1073" s="2" t="s">
        <v>6</v>
      </c>
      <c r="J1073" s="2" t="s">
        <v>5</v>
      </c>
      <c r="K1073" s="2" t="s">
        <v>5</v>
      </c>
      <c r="L1073" s="2" t="s">
        <v>7</v>
      </c>
      <c r="M1073" s="1" t="s">
        <v>12987</v>
      </c>
      <c r="N1073" s="1" t="s">
        <v>12988</v>
      </c>
      <c r="O1073" s="2" t="s">
        <v>734</v>
      </c>
      <c r="Q1073" s="2" t="s">
        <v>11</v>
      </c>
      <c r="R1073" s="2" t="s">
        <v>426</v>
      </c>
      <c r="T1073" s="2" t="s">
        <v>520</v>
      </c>
      <c r="U1073" s="3">
        <v>2</v>
      </c>
      <c r="V1073" s="3">
        <v>2</v>
      </c>
      <c r="W1073" s="4" t="s">
        <v>10520</v>
      </c>
      <c r="X1073" s="4" t="s">
        <v>10520</v>
      </c>
      <c r="Y1073" s="4" t="s">
        <v>197</v>
      </c>
      <c r="Z1073" s="4" t="s">
        <v>197</v>
      </c>
      <c r="AA1073" s="3">
        <v>87</v>
      </c>
      <c r="AB1073" s="3">
        <v>68</v>
      </c>
      <c r="AC1073" s="3">
        <v>75</v>
      </c>
      <c r="AD1073" s="3">
        <v>1</v>
      </c>
      <c r="AE1073" s="3">
        <v>1</v>
      </c>
      <c r="AF1073" s="3">
        <v>0</v>
      </c>
      <c r="AG1073" s="3">
        <v>1</v>
      </c>
      <c r="AH1073" s="3">
        <v>0</v>
      </c>
      <c r="AI1073" s="3">
        <v>0</v>
      </c>
      <c r="AJ1073" s="3">
        <v>0</v>
      </c>
      <c r="AK1073" s="3">
        <v>0</v>
      </c>
      <c r="AL1073" s="3">
        <v>0</v>
      </c>
      <c r="AM1073" s="3">
        <v>1</v>
      </c>
      <c r="AN1073" s="3">
        <v>0</v>
      </c>
      <c r="AO1073" s="3">
        <v>0</v>
      </c>
      <c r="AP1073" s="3">
        <v>0</v>
      </c>
      <c r="AQ1073" s="3">
        <v>0</v>
      </c>
      <c r="AR1073" s="2" t="s">
        <v>5</v>
      </c>
      <c r="AS1073" s="2" t="s">
        <v>5</v>
      </c>
      <c r="AU1073" s="5" t="str">
        <f>HYPERLINK("https://creighton-primo.hosted.exlibrisgroup.com/primo-explore/search?tab=default_tab&amp;search_scope=EVERYTHING&amp;vid=01CRU&amp;lang=en_US&amp;offset=0&amp;query=any,contains,991001150169702656","Catalog Record")</f>
        <v>Catalog Record</v>
      </c>
      <c r="AV1073" s="5" t="str">
        <f>HYPERLINK("http://www.worldcat.org/oclc/9154629","WorldCat Record")</f>
        <v>WorldCat Record</v>
      </c>
      <c r="AW1073" s="2" t="s">
        <v>12989</v>
      </c>
      <c r="AX1073" s="2" t="s">
        <v>12990</v>
      </c>
      <c r="AY1073" s="2" t="s">
        <v>12991</v>
      </c>
      <c r="AZ1073" s="2" t="s">
        <v>12991</v>
      </c>
      <c r="BA1073" s="2" t="s">
        <v>12992</v>
      </c>
      <c r="BB1073" s="2" t="s">
        <v>21</v>
      </c>
      <c r="BD1073" s="2" t="s">
        <v>12993</v>
      </c>
      <c r="BE1073" s="2" t="s">
        <v>12994</v>
      </c>
      <c r="BF1073" s="2" t="s">
        <v>12995</v>
      </c>
    </row>
    <row r="1074" spans="1:58" ht="41.25" customHeight="1" x14ac:dyDescent="0.25">
      <c r="A1074" s="8" t="s">
        <v>5</v>
      </c>
      <c r="B1074" s="1" t="s">
        <v>0</v>
      </c>
      <c r="C1074" s="1" t="s">
        <v>1</v>
      </c>
      <c r="D1074" s="1" t="s">
        <v>12996</v>
      </c>
      <c r="E1074" s="1" t="s">
        <v>12997</v>
      </c>
      <c r="F1074" s="1" t="s">
        <v>12998</v>
      </c>
      <c r="H1074" s="2" t="s">
        <v>5</v>
      </c>
      <c r="I1074" s="2" t="s">
        <v>6</v>
      </c>
      <c r="J1074" s="2" t="s">
        <v>5</v>
      </c>
      <c r="K1074" s="2" t="s">
        <v>5</v>
      </c>
      <c r="L1074" s="2" t="s">
        <v>7</v>
      </c>
      <c r="M1074" s="1" t="s">
        <v>12999</v>
      </c>
      <c r="N1074" s="1" t="s">
        <v>13000</v>
      </c>
      <c r="O1074" s="2" t="s">
        <v>228</v>
      </c>
      <c r="Q1074" s="2" t="s">
        <v>11</v>
      </c>
      <c r="R1074" s="2" t="s">
        <v>78</v>
      </c>
      <c r="T1074" s="2" t="s">
        <v>520</v>
      </c>
      <c r="U1074" s="3">
        <v>8</v>
      </c>
      <c r="V1074" s="3">
        <v>8</v>
      </c>
      <c r="W1074" s="4" t="s">
        <v>13001</v>
      </c>
      <c r="X1074" s="4" t="s">
        <v>13001</v>
      </c>
      <c r="Y1074" s="4" t="s">
        <v>197</v>
      </c>
      <c r="Z1074" s="4" t="s">
        <v>197</v>
      </c>
      <c r="AA1074" s="3">
        <v>56</v>
      </c>
      <c r="AB1074" s="3">
        <v>48</v>
      </c>
      <c r="AC1074" s="3">
        <v>48</v>
      </c>
      <c r="AD1074" s="3">
        <v>2</v>
      </c>
      <c r="AE1074" s="3">
        <v>2</v>
      </c>
      <c r="AF1074" s="3">
        <v>1</v>
      </c>
      <c r="AG1074" s="3">
        <v>1</v>
      </c>
      <c r="AH1074" s="3">
        <v>0</v>
      </c>
      <c r="AI1074" s="3">
        <v>0</v>
      </c>
      <c r="AJ1074" s="3">
        <v>0</v>
      </c>
      <c r="AK1074" s="3">
        <v>0</v>
      </c>
      <c r="AL1074" s="3">
        <v>1</v>
      </c>
      <c r="AM1074" s="3">
        <v>1</v>
      </c>
      <c r="AN1074" s="3">
        <v>0</v>
      </c>
      <c r="AO1074" s="3">
        <v>0</v>
      </c>
      <c r="AP1074" s="3">
        <v>0</v>
      </c>
      <c r="AQ1074" s="3">
        <v>0</v>
      </c>
      <c r="AR1074" s="2" t="s">
        <v>5</v>
      </c>
      <c r="AS1074" s="2" t="s">
        <v>5</v>
      </c>
      <c r="AU1074" s="5" t="str">
        <f>HYPERLINK("https://creighton-primo.hosted.exlibrisgroup.com/primo-explore/search?tab=default_tab&amp;search_scope=EVERYTHING&amp;vid=01CRU&amp;lang=en_US&amp;offset=0&amp;query=any,contains,991001150219702656","Catalog Record")</f>
        <v>Catalog Record</v>
      </c>
      <c r="AV1074" s="5" t="str">
        <f>HYPERLINK("http://www.worldcat.org/oclc/8424738","WorldCat Record")</f>
        <v>WorldCat Record</v>
      </c>
      <c r="AW1074" s="2" t="s">
        <v>13002</v>
      </c>
      <c r="AX1074" s="2" t="s">
        <v>13003</v>
      </c>
      <c r="AY1074" s="2" t="s">
        <v>13004</v>
      </c>
      <c r="AZ1074" s="2" t="s">
        <v>13004</v>
      </c>
      <c r="BA1074" s="2" t="s">
        <v>13005</v>
      </c>
      <c r="BB1074" s="2" t="s">
        <v>21</v>
      </c>
      <c r="BD1074" s="2" t="s">
        <v>13006</v>
      </c>
      <c r="BE1074" s="2" t="s">
        <v>13007</v>
      </c>
      <c r="BF1074" s="2" t="s">
        <v>13008</v>
      </c>
    </row>
    <row r="1075" spans="1:58" ht="41.25" customHeight="1" x14ac:dyDescent="0.25">
      <c r="A1075" s="8" t="s">
        <v>5</v>
      </c>
      <c r="B1075" s="1" t="s">
        <v>0</v>
      </c>
      <c r="C1075" s="1" t="s">
        <v>1</v>
      </c>
      <c r="D1075" s="1" t="s">
        <v>13009</v>
      </c>
      <c r="E1075" s="1" t="s">
        <v>13010</v>
      </c>
      <c r="F1075" s="1" t="s">
        <v>13011</v>
      </c>
      <c r="H1075" s="2" t="s">
        <v>5</v>
      </c>
      <c r="I1075" s="2" t="s">
        <v>6</v>
      </c>
      <c r="J1075" s="2" t="s">
        <v>5</v>
      </c>
      <c r="K1075" s="2" t="s">
        <v>16</v>
      </c>
      <c r="L1075" s="2" t="s">
        <v>7</v>
      </c>
      <c r="N1075" s="1" t="s">
        <v>13012</v>
      </c>
      <c r="O1075" s="2" t="s">
        <v>794</v>
      </c>
      <c r="Q1075" s="2" t="s">
        <v>11</v>
      </c>
      <c r="R1075" s="2" t="s">
        <v>78</v>
      </c>
      <c r="T1075" s="2" t="s">
        <v>520</v>
      </c>
      <c r="U1075" s="3">
        <v>6</v>
      </c>
      <c r="V1075" s="3">
        <v>6</v>
      </c>
      <c r="W1075" s="4" t="s">
        <v>13013</v>
      </c>
      <c r="X1075" s="4" t="s">
        <v>13013</v>
      </c>
      <c r="Y1075" s="4" t="s">
        <v>11773</v>
      </c>
      <c r="Z1075" s="4" t="s">
        <v>11773</v>
      </c>
      <c r="AA1075" s="3">
        <v>265</v>
      </c>
      <c r="AB1075" s="3">
        <v>214</v>
      </c>
      <c r="AC1075" s="3">
        <v>313</v>
      </c>
      <c r="AD1075" s="3">
        <v>4</v>
      </c>
      <c r="AE1075" s="3">
        <v>4</v>
      </c>
      <c r="AF1075" s="3">
        <v>11</v>
      </c>
      <c r="AG1075" s="3">
        <v>15</v>
      </c>
      <c r="AH1075" s="3">
        <v>6</v>
      </c>
      <c r="AI1075" s="3">
        <v>7</v>
      </c>
      <c r="AJ1075" s="3">
        <v>1</v>
      </c>
      <c r="AK1075" s="3">
        <v>1</v>
      </c>
      <c r="AL1075" s="3">
        <v>5</v>
      </c>
      <c r="AM1075" s="3">
        <v>8</v>
      </c>
      <c r="AN1075" s="3">
        <v>2</v>
      </c>
      <c r="AO1075" s="3">
        <v>2</v>
      </c>
      <c r="AP1075" s="3">
        <v>0</v>
      </c>
      <c r="AQ1075" s="3">
        <v>0</v>
      </c>
      <c r="AR1075" s="2" t="s">
        <v>5</v>
      </c>
      <c r="AS1075" s="2" t="s">
        <v>16</v>
      </c>
      <c r="AT1075" s="5" t="str">
        <f>HYPERLINK("http://catalog.hathitrust.org/Record/003071615","HathiTrust Record")</f>
        <v>HathiTrust Record</v>
      </c>
      <c r="AU1075" s="5" t="str">
        <f>HYPERLINK("https://creighton-primo.hosted.exlibrisgroup.com/primo-explore/search?tab=default_tab&amp;search_scope=EVERYTHING&amp;vid=01CRU&amp;lang=en_US&amp;offset=0&amp;query=any,contains,991000852769702656","Catalog Record")</f>
        <v>Catalog Record</v>
      </c>
      <c r="AV1075" s="5" t="str">
        <f>HYPERLINK("http://www.worldcat.org/oclc/34286737","WorldCat Record")</f>
        <v>WorldCat Record</v>
      </c>
      <c r="AW1075" s="2" t="s">
        <v>13014</v>
      </c>
      <c r="AX1075" s="2" t="s">
        <v>13015</v>
      </c>
      <c r="AY1075" s="2" t="s">
        <v>13016</v>
      </c>
      <c r="AZ1075" s="2" t="s">
        <v>13016</v>
      </c>
      <c r="BA1075" s="2" t="s">
        <v>13017</v>
      </c>
      <c r="BB1075" s="2" t="s">
        <v>21</v>
      </c>
      <c r="BD1075" s="2" t="s">
        <v>13018</v>
      </c>
      <c r="BE1075" s="2" t="s">
        <v>13019</v>
      </c>
      <c r="BF1075" s="2" t="s">
        <v>13020</v>
      </c>
    </row>
    <row r="1076" spans="1:58" ht="41.25" customHeight="1" x14ac:dyDescent="0.25">
      <c r="A1076" s="8" t="s">
        <v>5</v>
      </c>
      <c r="B1076" s="1" t="s">
        <v>0</v>
      </c>
      <c r="C1076" s="1" t="s">
        <v>1</v>
      </c>
      <c r="D1076" s="1" t="s">
        <v>13021</v>
      </c>
      <c r="E1076" s="1" t="s">
        <v>13022</v>
      </c>
      <c r="F1076" s="1" t="s">
        <v>13023</v>
      </c>
      <c r="H1076" s="2" t="s">
        <v>5</v>
      </c>
      <c r="I1076" s="2" t="s">
        <v>6</v>
      </c>
      <c r="J1076" s="2" t="s">
        <v>5</v>
      </c>
      <c r="K1076" s="2" t="s">
        <v>5</v>
      </c>
      <c r="L1076" s="2" t="s">
        <v>7</v>
      </c>
      <c r="N1076" s="1" t="s">
        <v>13024</v>
      </c>
      <c r="O1076" s="2" t="s">
        <v>8055</v>
      </c>
      <c r="P1076" s="1" t="s">
        <v>13025</v>
      </c>
      <c r="Q1076" s="2" t="s">
        <v>11</v>
      </c>
      <c r="R1076" s="2" t="s">
        <v>31</v>
      </c>
      <c r="T1076" s="2" t="s">
        <v>520</v>
      </c>
      <c r="U1076" s="3">
        <v>1</v>
      </c>
      <c r="V1076" s="3">
        <v>1</v>
      </c>
      <c r="W1076" s="4" t="s">
        <v>13026</v>
      </c>
      <c r="X1076" s="4" t="s">
        <v>13026</v>
      </c>
      <c r="Y1076" s="4" t="s">
        <v>13027</v>
      </c>
      <c r="Z1076" s="4" t="s">
        <v>13027</v>
      </c>
      <c r="AA1076" s="3">
        <v>338</v>
      </c>
      <c r="AB1076" s="3">
        <v>257</v>
      </c>
      <c r="AC1076" s="3">
        <v>952</v>
      </c>
      <c r="AD1076" s="3">
        <v>1</v>
      </c>
      <c r="AE1076" s="3">
        <v>5</v>
      </c>
      <c r="AF1076" s="3">
        <v>7</v>
      </c>
      <c r="AG1076" s="3">
        <v>26</v>
      </c>
      <c r="AH1076" s="3">
        <v>2</v>
      </c>
      <c r="AI1076" s="3">
        <v>8</v>
      </c>
      <c r="AJ1076" s="3">
        <v>1</v>
      </c>
      <c r="AK1076" s="3">
        <v>5</v>
      </c>
      <c r="AL1076" s="3">
        <v>5</v>
      </c>
      <c r="AM1076" s="3">
        <v>14</v>
      </c>
      <c r="AN1076" s="3">
        <v>0</v>
      </c>
      <c r="AO1076" s="3">
        <v>4</v>
      </c>
      <c r="AP1076" s="3">
        <v>0</v>
      </c>
      <c r="AQ1076" s="3">
        <v>0</v>
      </c>
      <c r="AR1076" s="2" t="s">
        <v>5</v>
      </c>
      <c r="AS1076" s="2" t="s">
        <v>16</v>
      </c>
      <c r="AT1076" s="5" t="str">
        <f>HYPERLINK("http://catalog.hathitrust.org/Record/005804195","HathiTrust Record")</f>
        <v>HathiTrust Record</v>
      </c>
      <c r="AU1076" s="5" t="str">
        <f>HYPERLINK("https://creighton-primo.hosted.exlibrisgroup.com/primo-explore/search?tab=default_tab&amp;search_scope=EVERYTHING&amp;vid=01CRU&amp;lang=en_US&amp;offset=0&amp;query=any,contains,991001756549702656","Catalog Record")</f>
        <v>Catalog Record</v>
      </c>
      <c r="AV1076" s="5" t="str">
        <f>HYPERLINK("http://www.worldcat.org/oclc/156812147","WorldCat Record")</f>
        <v>WorldCat Record</v>
      </c>
      <c r="AW1076" s="2" t="s">
        <v>13028</v>
      </c>
      <c r="AX1076" s="2" t="s">
        <v>13029</v>
      </c>
      <c r="AY1076" s="2" t="s">
        <v>13030</v>
      </c>
      <c r="AZ1076" s="2" t="s">
        <v>13030</v>
      </c>
      <c r="BA1076" s="2" t="s">
        <v>13031</v>
      </c>
      <c r="BB1076" s="2" t="s">
        <v>21</v>
      </c>
      <c r="BD1076" s="2" t="s">
        <v>13032</v>
      </c>
      <c r="BE1076" s="2" t="s">
        <v>13033</v>
      </c>
      <c r="BF1076" s="2" t="s">
        <v>13034</v>
      </c>
    </row>
    <row r="1077" spans="1:58" ht="41.25" customHeight="1" x14ac:dyDescent="0.25">
      <c r="A1077" s="8" t="s">
        <v>5</v>
      </c>
      <c r="B1077" s="1" t="s">
        <v>0</v>
      </c>
      <c r="C1077" s="1" t="s">
        <v>1</v>
      </c>
      <c r="D1077" s="1" t="s">
        <v>13035</v>
      </c>
      <c r="E1077" s="1" t="s">
        <v>13036</v>
      </c>
      <c r="F1077" s="1" t="s">
        <v>13037</v>
      </c>
      <c r="H1077" s="2" t="s">
        <v>5</v>
      </c>
      <c r="I1077" s="2" t="s">
        <v>6</v>
      </c>
      <c r="J1077" s="2" t="s">
        <v>5</v>
      </c>
      <c r="K1077" s="2" t="s">
        <v>5</v>
      </c>
      <c r="L1077" s="2" t="s">
        <v>7</v>
      </c>
      <c r="M1077" s="1" t="s">
        <v>13038</v>
      </c>
      <c r="N1077" s="1" t="s">
        <v>13039</v>
      </c>
      <c r="O1077" s="2" t="s">
        <v>872</v>
      </c>
      <c r="Q1077" s="2" t="s">
        <v>11</v>
      </c>
      <c r="R1077" s="2" t="s">
        <v>12</v>
      </c>
      <c r="T1077" s="2" t="s">
        <v>520</v>
      </c>
      <c r="U1077" s="3">
        <v>1</v>
      </c>
      <c r="V1077" s="3">
        <v>1</v>
      </c>
      <c r="W1077" s="4" t="s">
        <v>13040</v>
      </c>
      <c r="X1077" s="4" t="s">
        <v>13040</v>
      </c>
      <c r="Y1077" s="4" t="s">
        <v>13040</v>
      </c>
      <c r="Z1077" s="4" t="s">
        <v>13040</v>
      </c>
      <c r="AA1077" s="3">
        <v>56</v>
      </c>
      <c r="AB1077" s="3">
        <v>56</v>
      </c>
      <c r="AC1077" s="3">
        <v>81</v>
      </c>
      <c r="AD1077" s="3">
        <v>1</v>
      </c>
      <c r="AE1077" s="3">
        <v>1</v>
      </c>
      <c r="AF1077" s="3">
        <v>2</v>
      </c>
      <c r="AG1077" s="3">
        <v>2</v>
      </c>
      <c r="AH1077" s="3">
        <v>1</v>
      </c>
      <c r="AI1077" s="3">
        <v>1</v>
      </c>
      <c r="AJ1077" s="3">
        <v>0</v>
      </c>
      <c r="AK1077" s="3">
        <v>0</v>
      </c>
      <c r="AL1077" s="3">
        <v>1</v>
      </c>
      <c r="AM1077" s="3">
        <v>1</v>
      </c>
      <c r="AN1077" s="3">
        <v>0</v>
      </c>
      <c r="AO1077" s="3">
        <v>0</v>
      </c>
      <c r="AP1077" s="3">
        <v>0</v>
      </c>
      <c r="AQ1077" s="3">
        <v>0</v>
      </c>
      <c r="AR1077" s="2" t="s">
        <v>5</v>
      </c>
      <c r="AS1077" s="2" t="s">
        <v>16</v>
      </c>
      <c r="AT1077" s="5" t="str">
        <f>HYPERLINK("http://catalog.hathitrust.org/Record/002714027","HathiTrust Record")</f>
        <v>HathiTrust Record</v>
      </c>
      <c r="AU1077" s="5" t="str">
        <f>HYPERLINK("https://creighton-primo.hosted.exlibrisgroup.com/primo-explore/search?tab=default_tab&amp;search_scope=EVERYTHING&amp;vid=01CRU&amp;lang=en_US&amp;offset=0&amp;query=any,contains,991001447609702656","Catalog Record")</f>
        <v>Catalog Record</v>
      </c>
      <c r="AV1077" s="5" t="str">
        <f>HYPERLINK("http://www.worldcat.org/oclc/21278597","WorldCat Record")</f>
        <v>WorldCat Record</v>
      </c>
      <c r="AW1077" s="2" t="s">
        <v>13041</v>
      </c>
      <c r="AX1077" s="2" t="s">
        <v>13042</v>
      </c>
      <c r="AY1077" s="2" t="s">
        <v>13043</v>
      </c>
      <c r="AZ1077" s="2" t="s">
        <v>13043</v>
      </c>
      <c r="BA1077" s="2" t="s">
        <v>13044</v>
      </c>
      <c r="BB1077" s="2" t="s">
        <v>21</v>
      </c>
      <c r="BE1077" s="2" t="s">
        <v>13045</v>
      </c>
      <c r="BF1077" s="2" t="s">
        <v>13046</v>
      </c>
    </row>
    <row r="1078" spans="1:58" ht="41.25" customHeight="1" x14ac:dyDescent="0.25">
      <c r="A1078" s="8" t="s">
        <v>5</v>
      </c>
      <c r="B1078" s="1" t="s">
        <v>0</v>
      </c>
      <c r="C1078" s="1" t="s">
        <v>1</v>
      </c>
      <c r="D1078" s="1" t="s">
        <v>13047</v>
      </c>
      <c r="E1078" s="1" t="s">
        <v>13048</v>
      </c>
      <c r="F1078" s="1" t="s">
        <v>13049</v>
      </c>
      <c r="H1078" s="2" t="s">
        <v>5</v>
      </c>
      <c r="I1078" s="2" t="s">
        <v>6</v>
      </c>
      <c r="J1078" s="2" t="s">
        <v>5</v>
      </c>
      <c r="K1078" s="2" t="s">
        <v>16</v>
      </c>
      <c r="L1078" s="2" t="s">
        <v>7</v>
      </c>
      <c r="M1078" s="1" t="s">
        <v>13050</v>
      </c>
      <c r="N1078" s="1" t="s">
        <v>13051</v>
      </c>
      <c r="O1078" s="2" t="s">
        <v>1195</v>
      </c>
      <c r="P1078" s="1" t="s">
        <v>211</v>
      </c>
      <c r="Q1078" s="2" t="s">
        <v>11</v>
      </c>
      <c r="R1078" s="2" t="s">
        <v>78</v>
      </c>
      <c r="T1078" s="2" t="s">
        <v>520</v>
      </c>
      <c r="U1078" s="3">
        <v>6</v>
      </c>
      <c r="V1078" s="3">
        <v>6</v>
      </c>
      <c r="W1078" s="4" t="s">
        <v>8808</v>
      </c>
      <c r="X1078" s="4" t="s">
        <v>8808</v>
      </c>
      <c r="Y1078" s="4" t="s">
        <v>13052</v>
      </c>
      <c r="Z1078" s="4" t="s">
        <v>13052</v>
      </c>
      <c r="AA1078" s="3">
        <v>239</v>
      </c>
      <c r="AB1078" s="3">
        <v>176</v>
      </c>
      <c r="AC1078" s="3">
        <v>313</v>
      </c>
      <c r="AD1078" s="3">
        <v>1</v>
      </c>
      <c r="AE1078" s="3">
        <v>4</v>
      </c>
      <c r="AF1078" s="3">
        <v>7</v>
      </c>
      <c r="AG1078" s="3">
        <v>15</v>
      </c>
      <c r="AH1078" s="3">
        <v>3</v>
      </c>
      <c r="AI1078" s="3">
        <v>7</v>
      </c>
      <c r="AJ1078" s="3">
        <v>0</v>
      </c>
      <c r="AK1078" s="3">
        <v>1</v>
      </c>
      <c r="AL1078" s="3">
        <v>5</v>
      </c>
      <c r="AM1078" s="3">
        <v>8</v>
      </c>
      <c r="AN1078" s="3">
        <v>0</v>
      </c>
      <c r="AO1078" s="3">
        <v>2</v>
      </c>
      <c r="AP1078" s="3">
        <v>0</v>
      </c>
      <c r="AQ1078" s="3">
        <v>0</v>
      </c>
      <c r="AR1078" s="2" t="s">
        <v>5</v>
      </c>
      <c r="AS1078" s="2" t="s">
        <v>16</v>
      </c>
      <c r="AT1078" s="5" t="str">
        <f>HYPERLINK("http://catalog.hathitrust.org/Record/004122296","HathiTrust Record")</f>
        <v>HathiTrust Record</v>
      </c>
      <c r="AU1078" s="5" t="str">
        <f>HYPERLINK("https://creighton-primo.hosted.exlibrisgroup.com/primo-explore/search?tab=default_tab&amp;search_scope=EVERYTHING&amp;vid=01CRU&amp;lang=en_US&amp;offset=0&amp;query=any,contains,991001711089702656","Catalog Record")</f>
        <v>Catalog Record</v>
      </c>
      <c r="AV1078" s="5" t="str">
        <f>HYPERLINK("http://www.worldcat.org/oclc/43854107","WorldCat Record")</f>
        <v>WorldCat Record</v>
      </c>
      <c r="AW1078" s="2" t="s">
        <v>13014</v>
      </c>
      <c r="AX1078" s="2" t="s">
        <v>13053</v>
      </c>
      <c r="AY1078" s="2" t="s">
        <v>13054</v>
      </c>
      <c r="AZ1078" s="2" t="s">
        <v>13054</v>
      </c>
      <c r="BA1078" s="2" t="s">
        <v>13055</v>
      </c>
      <c r="BB1078" s="2" t="s">
        <v>21</v>
      </c>
      <c r="BD1078" s="2" t="s">
        <v>13056</v>
      </c>
      <c r="BE1078" s="2" t="s">
        <v>13057</v>
      </c>
      <c r="BF1078" s="2" t="s">
        <v>13058</v>
      </c>
    </row>
    <row r="1079" spans="1:58" ht="41.25" customHeight="1" x14ac:dyDescent="0.25">
      <c r="A1079" s="8" t="s">
        <v>5</v>
      </c>
      <c r="B1079" s="1" t="s">
        <v>0</v>
      </c>
      <c r="C1079" s="1" t="s">
        <v>1</v>
      </c>
      <c r="D1079" s="1" t="s">
        <v>13059</v>
      </c>
      <c r="E1079" s="1" t="s">
        <v>13060</v>
      </c>
      <c r="F1079" s="1" t="s">
        <v>13061</v>
      </c>
      <c r="H1079" s="2" t="s">
        <v>5</v>
      </c>
      <c r="I1079" s="2" t="s">
        <v>6</v>
      </c>
      <c r="J1079" s="2" t="s">
        <v>5</v>
      </c>
      <c r="K1079" s="2" t="s">
        <v>16</v>
      </c>
      <c r="L1079" s="2" t="s">
        <v>7</v>
      </c>
      <c r="M1079" s="1" t="s">
        <v>13050</v>
      </c>
      <c r="N1079" s="1" t="s">
        <v>13062</v>
      </c>
      <c r="O1079" s="2" t="s">
        <v>1060</v>
      </c>
      <c r="P1079" s="1" t="s">
        <v>901</v>
      </c>
      <c r="Q1079" s="2" t="s">
        <v>11</v>
      </c>
      <c r="R1079" s="2" t="s">
        <v>31</v>
      </c>
      <c r="T1079" s="2" t="s">
        <v>520</v>
      </c>
      <c r="U1079" s="3">
        <v>3</v>
      </c>
      <c r="V1079" s="3">
        <v>3</v>
      </c>
      <c r="W1079" s="4" t="s">
        <v>12683</v>
      </c>
      <c r="X1079" s="4" t="s">
        <v>12683</v>
      </c>
      <c r="Y1079" s="4" t="s">
        <v>13063</v>
      </c>
      <c r="Z1079" s="4" t="s">
        <v>13063</v>
      </c>
      <c r="AA1079" s="3">
        <v>350</v>
      </c>
      <c r="AB1079" s="3">
        <v>261</v>
      </c>
      <c r="AC1079" s="3">
        <v>549</v>
      </c>
      <c r="AD1079" s="3">
        <v>1</v>
      </c>
      <c r="AE1079" s="3">
        <v>3</v>
      </c>
      <c r="AF1079" s="3">
        <v>8</v>
      </c>
      <c r="AG1079" s="3">
        <v>25</v>
      </c>
      <c r="AH1079" s="3">
        <v>4</v>
      </c>
      <c r="AI1079" s="3">
        <v>9</v>
      </c>
      <c r="AJ1079" s="3">
        <v>1</v>
      </c>
      <c r="AK1079" s="3">
        <v>4</v>
      </c>
      <c r="AL1079" s="3">
        <v>5</v>
      </c>
      <c r="AM1079" s="3">
        <v>14</v>
      </c>
      <c r="AN1079" s="3">
        <v>0</v>
      </c>
      <c r="AO1079" s="3">
        <v>2</v>
      </c>
      <c r="AP1079" s="3">
        <v>0</v>
      </c>
      <c r="AQ1079" s="3">
        <v>1</v>
      </c>
      <c r="AR1079" s="2" t="s">
        <v>5</v>
      </c>
      <c r="AS1079" s="2" t="s">
        <v>5</v>
      </c>
      <c r="AU1079" s="5" t="str">
        <f>HYPERLINK("https://creighton-primo.hosted.exlibrisgroup.com/primo-explore/search?tab=default_tab&amp;search_scope=EVERYTHING&amp;vid=01CRU&amp;lang=en_US&amp;offset=0&amp;query=any,contains,991000422559702656","Catalog Record")</f>
        <v>Catalog Record</v>
      </c>
      <c r="AV1079" s="5" t="str">
        <f>HYPERLINK("http://www.worldcat.org/oclc/54686581","WorldCat Record")</f>
        <v>WorldCat Record</v>
      </c>
      <c r="AW1079" s="2" t="s">
        <v>13064</v>
      </c>
      <c r="AX1079" s="2" t="s">
        <v>13065</v>
      </c>
      <c r="AY1079" s="2" t="s">
        <v>13066</v>
      </c>
      <c r="AZ1079" s="2" t="s">
        <v>13066</v>
      </c>
      <c r="BA1079" s="2" t="s">
        <v>13067</v>
      </c>
      <c r="BB1079" s="2" t="s">
        <v>21</v>
      </c>
      <c r="BD1079" s="2" t="s">
        <v>13068</v>
      </c>
      <c r="BE1079" s="2" t="s">
        <v>13069</v>
      </c>
      <c r="BF1079" s="2" t="s">
        <v>13070</v>
      </c>
    </row>
    <row r="1080" spans="1:58" ht="41.25" customHeight="1" x14ac:dyDescent="0.25">
      <c r="A1080" s="8" t="s">
        <v>5</v>
      </c>
      <c r="B1080" s="1" t="s">
        <v>0</v>
      </c>
      <c r="C1080" s="1" t="s">
        <v>1</v>
      </c>
      <c r="D1080" s="1" t="s">
        <v>13071</v>
      </c>
      <c r="E1080" s="1" t="s">
        <v>13072</v>
      </c>
      <c r="F1080" s="1" t="s">
        <v>13073</v>
      </c>
      <c r="H1080" s="2" t="s">
        <v>5</v>
      </c>
      <c r="I1080" s="2" t="s">
        <v>6</v>
      </c>
      <c r="J1080" s="2" t="s">
        <v>5</v>
      </c>
      <c r="K1080" s="2" t="s">
        <v>5</v>
      </c>
      <c r="L1080" s="2" t="s">
        <v>7</v>
      </c>
      <c r="M1080" s="1" t="s">
        <v>13074</v>
      </c>
      <c r="N1080" s="1" t="s">
        <v>13075</v>
      </c>
      <c r="O1080" s="2" t="s">
        <v>1378</v>
      </c>
      <c r="Q1080" s="2" t="s">
        <v>11</v>
      </c>
      <c r="R1080" s="2" t="s">
        <v>12</v>
      </c>
      <c r="T1080" s="2" t="s">
        <v>520</v>
      </c>
      <c r="U1080" s="3">
        <v>2</v>
      </c>
      <c r="V1080" s="3">
        <v>2</v>
      </c>
      <c r="W1080" s="4" t="s">
        <v>12272</v>
      </c>
      <c r="X1080" s="4" t="s">
        <v>12272</v>
      </c>
      <c r="Y1080" s="4" t="s">
        <v>1604</v>
      </c>
      <c r="Z1080" s="4" t="s">
        <v>1604</v>
      </c>
      <c r="AA1080" s="3">
        <v>272</v>
      </c>
      <c r="AB1080" s="3">
        <v>231</v>
      </c>
      <c r="AC1080" s="3">
        <v>233</v>
      </c>
      <c r="AD1080" s="3">
        <v>1</v>
      </c>
      <c r="AE1080" s="3">
        <v>1</v>
      </c>
      <c r="AF1080" s="3">
        <v>16</v>
      </c>
      <c r="AG1080" s="3">
        <v>16</v>
      </c>
      <c r="AH1080" s="3">
        <v>6</v>
      </c>
      <c r="AI1080" s="3">
        <v>6</v>
      </c>
      <c r="AJ1080" s="3">
        <v>4</v>
      </c>
      <c r="AK1080" s="3">
        <v>4</v>
      </c>
      <c r="AL1080" s="3">
        <v>9</v>
      </c>
      <c r="AM1080" s="3">
        <v>9</v>
      </c>
      <c r="AN1080" s="3">
        <v>0</v>
      </c>
      <c r="AO1080" s="3">
        <v>0</v>
      </c>
      <c r="AP1080" s="3">
        <v>0</v>
      </c>
      <c r="AQ1080" s="3">
        <v>0</v>
      </c>
      <c r="AR1080" s="2" t="s">
        <v>5</v>
      </c>
      <c r="AS1080" s="2" t="s">
        <v>16</v>
      </c>
      <c r="AT1080" s="5" t="str">
        <f>HYPERLINK("http://catalog.hathitrust.org/Record/003242302","HathiTrust Record")</f>
        <v>HathiTrust Record</v>
      </c>
      <c r="AU1080" s="5" t="str">
        <f>HYPERLINK("https://creighton-primo.hosted.exlibrisgroup.com/primo-explore/search?tab=default_tab&amp;search_scope=EVERYTHING&amp;vid=01CRU&amp;lang=en_US&amp;offset=0&amp;query=any,contains,991000901029702656","Catalog Record")</f>
        <v>Catalog Record</v>
      </c>
      <c r="AV1080" s="5" t="str">
        <f>HYPERLINK("http://www.worldcat.org/oclc/37179497","WorldCat Record")</f>
        <v>WorldCat Record</v>
      </c>
      <c r="AW1080" s="2" t="s">
        <v>13076</v>
      </c>
      <c r="AX1080" s="2" t="s">
        <v>13077</v>
      </c>
      <c r="AY1080" s="2" t="s">
        <v>13078</v>
      </c>
      <c r="AZ1080" s="2" t="s">
        <v>13078</v>
      </c>
      <c r="BA1080" s="2" t="s">
        <v>13079</v>
      </c>
      <c r="BB1080" s="2" t="s">
        <v>21</v>
      </c>
      <c r="BD1080" s="2" t="s">
        <v>13080</v>
      </c>
      <c r="BE1080" s="2" t="s">
        <v>13081</v>
      </c>
      <c r="BF1080" s="2" t="s">
        <v>13082</v>
      </c>
    </row>
    <row r="1081" spans="1:58" ht="41.25" customHeight="1" x14ac:dyDescent="0.25">
      <c r="A1081" s="8" t="s">
        <v>5</v>
      </c>
      <c r="B1081" s="1" t="s">
        <v>0</v>
      </c>
      <c r="C1081" s="1" t="s">
        <v>1</v>
      </c>
      <c r="D1081" s="1" t="s">
        <v>13083</v>
      </c>
      <c r="E1081" s="1" t="s">
        <v>13084</v>
      </c>
      <c r="F1081" s="1" t="s">
        <v>13085</v>
      </c>
      <c r="H1081" s="2" t="s">
        <v>5</v>
      </c>
      <c r="I1081" s="2" t="s">
        <v>6</v>
      </c>
      <c r="J1081" s="2" t="s">
        <v>5</v>
      </c>
      <c r="K1081" s="2" t="s">
        <v>5</v>
      </c>
      <c r="L1081" s="2" t="s">
        <v>7</v>
      </c>
      <c r="M1081" s="1" t="s">
        <v>13086</v>
      </c>
      <c r="N1081" s="1" t="s">
        <v>13087</v>
      </c>
      <c r="O1081" s="2" t="s">
        <v>228</v>
      </c>
      <c r="Q1081" s="2" t="s">
        <v>11</v>
      </c>
      <c r="R1081" s="2" t="s">
        <v>271</v>
      </c>
      <c r="T1081" s="2" t="s">
        <v>520</v>
      </c>
      <c r="U1081" s="3">
        <v>2</v>
      </c>
      <c r="V1081" s="3">
        <v>2</v>
      </c>
      <c r="W1081" s="4" t="s">
        <v>13088</v>
      </c>
      <c r="X1081" s="4" t="s">
        <v>13088</v>
      </c>
      <c r="Y1081" s="4" t="s">
        <v>329</v>
      </c>
      <c r="Z1081" s="4" t="s">
        <v>329</v>
      </c>
      <c r="AA1081" s="3">
        <v>186</v>
      </c>
      <c r="AB1081" s="3">
        <v>154</v>
      </c>
      <c r="AC1081" s="3">
        <v>158</v>
      </c>
      <c r="AD1081" s="3">
        <v>2</v>
      </c>
      <c r="AE1081" s="3">
        <v>2</v>
      </c>
      <c r="AF1081" s="3">
        <v>6</v>
      </c>
      <c r="AG1081" s="3">
        <v>6</v>
      </c>
      <c r="AH1081" s="3">
        <v>2</v>
      </c>
      <c r="AI1081" s="3">
        <v>2</v>
      </c>
      <c r="AJ1081" s="3">
        <v>2</v>
      </c>
      <c r="AK1081" s="3">
        <v>2</v>
      </c>
      <c r="AL1081" s="3">
        <v>3</v>
      </c>
      <c r="AM1081" s="3">
        <v>3</v>
      </c>
      <c r="AN1081" s="3">
        <v>0</v>
      </c>
      <c r="AO1081" s="3">
        <v>0</v>
      </c>
      <c r="AP1081" s="3">
        <v>0</v>
      </c>
      <c r="AQ1081" s="3">
        <v>0</v>
      </c>
      <c r="AR1081" s="2" t="s">
        <v>5</v>
      </c>
      <c r="AS1081" s="2" t="s">
        <v>16</v>
      </c>
      <c r="AT1081" s="5" t="str">
        <f>HYPERLINK("http://catalog.hathitrust.org/Record/000277453","HathiTrust Record")</f>
        <v>HathiTrust Record</v>
      </c>
      <c r="AU1081" s="5" t="str">
        <f>HYPERLINK("https://creighton-primo.hosted.exlibrisgroup.com/primo-explore/search?tab=default_tab&amp;search_scope=EVERYTHING&amp;vid=01CRU&amp;lang=en_US&amp;offset=0&amp;query=any,contains,991000736859702656","Catalog Record")</f>
        <v>Catalog Record</v>
      </c>
      <c r="AV1081" s="5" t="str">
        <f>HYPERLINK("http://www.worldcat.org/oclc/8501222","WorldCat Record")</f>
        <v>WorldCat Record</v>
      </c>
      <c r="AW1081" s="2" t="s">
        <v>13089</v>
      </c>
      <c r="AX1081" s="2" t="s">
        <v>13090</v>
      </c>
      <c r="AY1081" s="2" t="s">
        <v>13091</v>
      </c>
      <c r="AZ1081" s="2" t="s">
        <v>13091</v>
      </c>
      <c r="BA1081" s="2" t="s">
        <v>13092</v>
      </c>
      <c r="BB1081" s="2" t="s">
        <v>21</v>
      </c>
      <c r="BE1081" s="2" t="s">
        <v>13093</v>
      </c>
      <c r="BF1081" s="2" t="s">
        <v>13094</v>
      </c>
    </row>
    <row r="1082" spans="1:58" ht="41.25" customHeight="1" x14ac:dyDescent="0.25">
      <c r="A1082" s="8" t="s">
        <v>5</v>
      </c>
      <c r="B1082" s="1" t="s">
        <v>0</v>
      </c>
      <c r="C1082" s="1" t="s">
        <v>1</v>
      </c>
      <c r="D1082" s="1" t="s">
        <v>13095</v>
      </c>
      <c r="E1082" s="1" t="s">
        <v>13096</v>
      </c>
      <c r="F1082" s="1" t="s">
        <v>13097</v>
      </c>
      <c r="H1082" s="2" t="s">
        <v>5</v>
      </c>
      <c r="I1082" s="2" t="s">
        <v>6</v>
      </c>
      <c r="J1082" s="2" t="s">
        <v>5</v>
      </c>
      <c r="K1082" s="2" t="s">
        <v>5</v>
      </c>
      <c r="L1082" s="2" t="s">
        <v>7</v>
      </c>
      <c r="N1082" s="1" t="s">
        <v>13098</v>
      </c>
      <c r="O1082" s="2" t="s">
        <v>1378</v>
      </c>
      <c r="Q1082" s="2" t="s">
        <v>11</v>
      </c>
      <c r="R1082" s="2" t="s">
        <v>5245</v>
      </c>
      <c r="T1082" s="2" t="s">
        <v>520</v>
      </c>
      <c r="U1082" s="3">
        <v>3</v>
      </c>
      <c r="V1082" s="3">
        <v>3</v>
      </c>
      <c r="W1082" s="4" t="s">
        <v>4259</v>
      </c>
      <c r="X1082" s="4" t="s">
        <v>4259</v>
      </c>
      <c r="Y1082" s="4" t="s">
        <v>7443</v>
      </c>
      <c r="Z1082" s="4" t="s">
        <v>7443</v>
      </c>
      <c r="AA1082" s="3">
        <v>177</v>
      </c>
      <c r="AB1082" s="3">
        <v>163</v>
      </c>
      <c r="AC1082" s="3">
        <v>165</v>
      </c>
      <c r="AD1082" s="3">
        <v>1</v>
      </c>
      <c r="AE1082" s="3">
        <v>1</v>
      </c>
      <c r="AF1082" s="3">
        <v>9</v>
      </c>
      <c r="AG1082" s="3">
        <v>9</v>
      </c>
      <c r="AH1082" s="3">
        <v>2</v>
      </c>
      <c r="AI1082" s="3">
        <v>2</v>
      </c>
      <c r="AJ1082" s="3">
        <v>2</v>
      </c>
      <c r="AK1082" s="3">
        <v>2</v>
      </c>
      <c r="AL1082" s="3">
        <v>2</v>
      </c>
      <c r="AM1082" s="3">
        <v>2</v>
      </c>
      <c r="AN1082" s="3">
        <v>0</v>
      </c>
      <c r="AO1082" s="3">
        <v>0</v>
      </c>
      <c r="AP1082" s="3">
        <v>5</v>
      </c>
      <c r="AQ1082" s="3">
        <v>5</v>
      </c>
      <c r="AR1082" s="2" t="s">
        <v>5</v>
      </c>
      <c r="AS1082" s="2" t="s">
        <v>16</v>
      </c>
      <c r="AT1082" s="5" t="str">
        <f>HYPERLINK("http://catalog.hathitrust.org/Record/003968770","HathiTrust Record")</f>
        <v>HathiTrust Record</v>
      </c>
      <c r="AU1082" s="5" t="str">
        <f>HYPERLINK("https://creighton-primo.hosted.exlibrisgroup.com/primo-explore/search?tab=default_tab&amp;search_scope=EVERYTHING&amp;vid=01CRU&amp;lang=en_US&amp;offset=0&amp;query=any,contains,991001338379702656","Catalog Record")</f>
        <v>Catalog Record</v>
      </c>
      <c r="AV1082" s="5" t="str">
        <f>HYPERLINK("http://www.worldcat.org/oclc/38016685","WorldCat Record")</f>
        <v>WorldCat Record</v>
      </c>
      <c r="AW1082" s="2" t="s">
        <v>13099</v>
      </c>
      <c r="AX1082" s="2" t="s">
        <v>13100</v>
      </c>
      <c r="AY1082" s="2" t="s">
        <v>13101</v>
      </c>
      <c r="AZ1082" s="2" t="s">
        <v>13101</v>
      </c>
      <c r="BA1082" s="2" t="s">
        <v>13102</v>
      </c>
      <c r="BB1082" s="2" t="s">
        <v>21</v>
      </c>
      <c r="BD1082" s="2" t="s">
        <v>13103</v>
      </c>
      <c r="BE1082" s="2" t="s">
        <v>13104</v>
      </c>
      <c r="BF1082" s="2" t="s">
        <v>13105</v>
      </c>
    </row>
    <row r="1083" spans="1:58" ht="41.25" customHeight="1" x14ac:dyDescent="0.25">
      <c r="A1083" s="8" t="s">
        <v>5</v>
      </c>
      <c r="B1083" s="1" t="s">
        <v>0</v>
      </c>
      <c r="C1083" s="1" t="s">
        <v>1</v>
      </c>
      <c r="D1083" s="1" t="s">
        <v>13106</v>
      </c>
      <c r="E1083" s="1" t="s">
        <v>13107</v>
      </c>
      <c r="F1083" s="1" t="s">
        <v>13108</v>
      </c>
      <c r="H1083" s="2" t="s">
        <v>5</v>
      </c>
      <c r="I1083" s="2" t="s">
        <v>6</v>
      </c>
      <c r="J1083" s="2" t="s">
        <v>5</v>
      </c>
      <c r="K1083" s="2" t="s">
        <v>5</v>
      </c>
      <c r="L1083" s="2" t="s">
        <v>7</v>
      </c>
      <c r="M1083" s="1" t="s">
        <v>13109</v>
      </c>
      <c r="N1083" s="1" t="s">
        <v>13110</v>
      </c>
      <c r="O1083" s="2" t="s">
        <v>1339</v>
      </c>
      <c r="Q1083" s="2" t="s">
        <v>11</v>
      </c>
      <c r="R1083" s="2" t="s">
        <v>78</v>
      </c>
      <c r="S1083" s="1" t="s">
        <v>13111</v>
      </c>
      <c r="T1083" s="2" t="s">
        <v>520</v>
      </c>
      <c r="U1083" s="3">
        <v>2</v>
      </c>
      <c r="V1083" s="3">
        <v>2</v>
      </c>
      <c r="W1083" s="4" t="s">
        <v>2690</v>
      </c>
      <c r="X1083" s="4" t="s">
        <v>2690</v>
      </c>
      <c r="Y1083" s="4" t="s">
        <v>124</v>
      </c>
      <c r="Z1083" s="4" t="s">
        <v>124</v>
      </c>
      <c r="AA1083" s="3">
        <v>141</v>
      </c>
      <c r="AB1083" s="3">
        <v>112</v>
      </c>
      <c r="AC1083" s="3">
        <v>116</v>
      </c>
      <c r="AD1083" s="3">
        <v>1</v>
      </c>
      <c r="AE1083" s="3">
        <v>1</v>
      </c>
      <c r="AF1083" s="3">
        <v>2</v>
      </c>
      <c r="AG1083" s="3">
        <v>2</v>
      </c>
      <c r="AH1083" s="3">
        <v>1</v>
      </c>
      <c r="AI1083" s="3">
        <v>1</v>
      </c>
      <c r="AJ1083" s="3">
        <v>0</v>
      </c>
      <c r="AK1083" s="3">
        <v>0</v>
      </c>
      <c r="AL1083" s="3">
        <v>1</v>
      </c>
      <c r="AM1083" s="3">
        <v>1</v>
      </c>
      <c r="AN1083" s="3">
        <v>0</v>
      </c>
      <c r="AO1083" s="3">
        <v>0</v>
      </c>
      <c r="AP1083" s="3">
        <v>0</v>
      </c>
      <c r="AQ1083" s="3">
        <v>0</v>
      </c>
      <c r="AR1083" s="2" t="s">
        <v>5</v>
      </c>
      <c r="AS1083" s="2" t="s">
        <v>16</v>
      </c>
      <c r="AT1083" s="5" t="str">
        <f>HYPERLINK("http://catalog.hathitrust.org/Record/000845952","HathiTrust Record")</f>
        <v>HathiTrust Record</v>
      </c>
      <c r="AU1083" s="5" t="str">
        <f>HYPERLINK("https://creighton-primo.hosted.exlibrisgroup.com/primo-explore/search?tab=default_tab&amp;search_scope=EVERYTHING&amp;vid=01CRU&amp;lang=en_US&amp;offset=0&amp;query=any,contains,991001527629702656","Catalog Record")</f>
        <v>Catalog Record</v>
      </c>
      <c r="AV1083" s="5" t="str">
        <f>HYPERLINK("http://www.worldcat.org/oclc/16016659","WorldCat Record")</f>
        <v>WorldCat Record</v>
      </c>
      <c r="AW1083" s="2" t="s">
        <v>13112</v>
      </c>
      <c r="AX1083" s="2" t="s">
        <v>13113</v>
      </c>
      <c r="AY1083" s="2" t="s">
        <v>13114</v>
      </c>
      <c r="AZ1083" s="2" t="s">
        <v>13114</v>
      </c>
      <c r="BA1083" s="2" t="s">
        <v>13115</v>
      </c>
      <c r="BB1083" s="2" t="s">
        <v>21</v>
      </c>
      <c r="BD1083" s="2" t="s">
        <v>13116</v>
      </c>
      <c r="BE1083" s="2" t="s">
        <v>13117</v>
      </c>
      <c r="BF1083" s="2" t="s">
        <v>13118</v>
      </c>
    </row>
    <row r="1084" spans="1:58" ht="41.25" customHeight="1" x14ac:dyDescent="0.25">
      <c r="A1084" s="8" t="s">
        <v>5</v>
      </c>
      <c r="B1084" s="1" t="s">
        <v>0</v>
      </c>
      <c r="C1084" s="1" t="s">
        <v>1</v>
      </c>
      <c r="D1084" s="1" t="s">
        <v>13119</v>
      </c>
      <c r="E1084" s="1" t="s">
        <v>13120</v>
      </c>
      <c r="F1084" s="1" t="s">
        <v>13121</v>
      </c>
      <c r="H1084" s="2" t="s">
        <v>5</v>
      </c>
      <c r="I1084" s="2" t="s">
        <v>6</v>
      </c>
      <c r="J1084" s="2" t="s">
        <v>5</v>
      </c>
      <c r="K1084" s="2" t="s">
        <v>5</v>
      </c>
      <c r="L1084" s="2" t="s">
        <v>7</v>
      </c>
      <c r="M1084" s="1" t="s">
        <v>13122</v>
      </c>
      <c r="N1084" s="1" t="s">
        <v>13123</v>
      </c>
      <c r="O1084" s="2" t="s">
        <v>285</v>
      </c>
      <c r="P1084" s="1" t="s">
        <v>2397</v>
      </c>
      <c r="Q1084" s="2" t="s">
        <v>11</v>
      </c>
      <c r="R1084" s="2" t="s">
        <v>31</v>
      </c>
      <c r="T1084" s="2" t="s">
        <v>520</v>
      </c>
      <c r="U1084" s="3">
        <v>3</v>
      </c>
      <c r="V1084" s="3">
        <v>3</v>
      </c>
      <c r="W1084" s="4" t="s">
        <v>13124</v>
      </c>
      <c r="X1084" s="4" t="s">
        <v>13124</v>
      </c>
      <c r="Y1084" s="4" t="s">
        <v>329</v>
      </c>
      <c r="Z1084" s="4" t="s">
        <v>329</v>
      </c>
      <c r="AA1084" s="3">
        <v>244</v>
      </c>
      <c r="AB1084" s="3">
        <v>184</v>
      </c>
      <c r="AC1084" s="3">
        <v>280</v>
      </c>
      <c r="AD1084" s="3">
        <v>2</v>
      </c>
      <c r="AE1084" s="3">
        <v>2</v>
      </c>
      <c r="AF1084" s="3">
        <v>6</v>
      </c>
      <c r="AG1084" s="3">
        <v>10</v>
      </c>
      <c r="AH1084" s="3">
        <v>3</v>
      </c>
      <c r="AI1084" s="3">
        <v>4</v>
      </c>
      <c r="AJ1084" s="3">
        <v>1</v>
      </c>
      <c r="AK1084" s="3">
        <v>1</v>
      </c>
      <c r="AL1084" s="3">
        <v>3</v>
      </c>
      <c r="AM1084" s="3">
        <v>6</v>
      </c>
      <c r="AN1084" s="3">
        <v>1</v>
      </c>
      <c r="AO1084" s="3">
        <v>1</v>
      </c>
      <c r="AP1084" s="3">
        <v>0</v>
      </c>
      <c r="AQ1084" s="3">
        <v>0</v>
      </c>
      <c r="AR1084" s="2" t="s">
        <v>5</v>
      </c>
      <c r="AS1084" s="2" t="s">
        <v>16</v>
      </c>
      <c r="AT1084" s="5" t="str">
        <f>HYPERLINK("http://catalog.hathitrust.org/Record/000725764","HathiTrust Record")</f>
        <v>HathiTrust Record</v>
      </c>
      <c r="AU1084" s="5" t="str">
        <f>HYPERLINK("https://creighton-primo.hosted.exlibrisgroup.com/primo-explore/search?tab=default_tab&amp;search_scope=EVERYTHING&amp;vid=01CRU&amp;lang=en_US&amp;offset=0&amp;query=any,contains,991000736899702656","Catalog Record")</f>
        <v>Catalog Record</v>
      </c>
      <c r="AV1084" s="5" t="str">
        <f>HYPERLINK("http://www.worldcat.org/oclc/4591624","WorldCat Record")</f>
        <v>WorldCat Record</v>
      </c>
      <c r="AW1084" s="2" t="s">
        <v>13125</v>
      </c>
      <c r="AX1084" s="2" t="s">
        <v>13126</v>
      </c>
      <c r="AY1084" s="2" t="s">
        <v>13127</v>
      </c>
      <c r="AZ1084" s="2" t="s">
        <v>13127</v>
      </c>
      <c r="BA1084" s="2" t="s">
        <v>13128</v>
      </c>
      <c r="BB1084" s="2" t="s">
        <v>21</v>
      </c>
      <c r="BD1084" s="2" t="s">
        <v>13129</v>
      </c>
      <c r="BE1084" s="2" t="s">
        <v>13130</v>
      </c>
      <c r="BF1084" s="2" t="s">
        <v>13131</v>
      </c>
    </row>
    <row r="1085" spans="1:58" ht="41.25" customHeight="1" x14ac:dyDescent="0.25">
      <c r="A1085" s="8" t="s">
        <v>5</v>
      </c>
      <c r="B1085" s="1" t="s">
        <v>0</v>
      </c>
      <c r="C1085" s="1" t="s">
        <v>1</v>
      </c>
      <c r="D1085" s="1" t="s">
        <v>13132</v>
      </c>
      <c r="E1085" s="1" t="s">
        <v>13133</v>
      </c>
      <c r="F1085" s="1" t="s">
        <v>13134</v>
      </c>
      <c r="H1085" s="2" t="s">
        <v>5</v>
      </c>
      <c r="I1085" s="2" t="s">
        <v>6</v>
      </c>
      <c r="J1085" s="2" t="s">
        <v>5</v>
      </c>
      <c r="K1085" s="2" t="s">
        <v>5</v>
      </c>
      <c r="L1085" s="2" t="s">
        <v>7</v>
      </c>
      <c r="M1085" s="1" t="s">
        <v>3943</v>
      </c>
      <c r="N1085" s="1" t="s">
        <v>3205</v>
      </c>
      <c r="O1085" s="2" t="s">
        <v>414</v>
      </c>
      <c r="Q1085" s="2" t="s">
        <v>11</v>
      </c>
      <c r="R1085" s="2" t="s">
        <v>93</v>
      </c>
      <c r="S1085" s="1" t="s">
        <v>13135</v>
      </c>
      <c r="T1085" s="2" t="s">
        <v>520</v>
      </c>
      <c r="U1085" s="3">
        <v>1</v>
      </c>
      <c r="V1085" s="3">
        <v>1</v>
      </c>
      <c r="W1085" s="4" t="s">
        <v>1826</v>
      </c>
      <c r="X1085" s="4" t="s">
        <v>1826</v>
      </c>
      <c r="Y1085" s="4" t="s">
        <v>1827</v>
      </c>
      <c r="Z1085" s="4" t="s">
        <v>1827</v>
      </c>
      <c r="AA1085" s="3">
        <v>44</v>
      </c>
      <c r="AB1085" s="3">
        <v>38</v>
      </c>
      <c r="AC1085" s="3">
        <v>38</v>
      </c>
      <c r="AD1085" s="3">
        <v>1</v>
      </c>
      <c r="AE1085" s="3">
        <v>1</v>
      </c>
      <c r="AF1085" s="3">
        <v>1</v>
      </c>
      <c r="AG1085" s="3">
        <v>1</v>
      </c>
      <c r="AH1085" s="3">
        <v>0</v>
      </c>
      <c r="AI1085" s="3">
        <v>0</v>
      </c>
      <c r="AJ1085" s="3">
        <v>0</v>
      </c>
      <c r="AK1085" s="3">
        <v>0</v>
      </c>
      <c r="AL1085" s="3">
        <v>1</v>
      </c>
      <c r="AM1085" s="3">
        <v>1</v>
      </c>
      <c r="AN1085" s="3">
        <v>0</v>
      </c>
      <c r="AO1085" s="3">
        <v>0</v>
      </c>
      <c r="AP1085" s="3">
        <v>0</v>
      </c>
      <c r="AQ1085" s="3">
        <v>0</v>
      </c>
      <c r="AR1085" s="2" t="s">
        <v>5</v>
      </c>
      <c r="AS1085" s="2" t="s">
        <v>5</v>
      </c>
      <c r="AU1085" s="5" t="str">
        <f>HYPERLINK("https://creighton-primo.hosted.exlibrisgroup.com/primo-explore/search?tab=default_tab&amp;search_scope=EVERYTHING&amp;vid=01CRU&amp;lang=en_US&amp;offset=0&amp;query=any,contains,991001367919702656","Catalog Record")</f>
        <v>Catalog Record</v>
      </c>
      <c r="AV1085" s="5" t="str">
        <f>HYPERLINK("http://www.worldcat.org/oclc/432784","WorldCat Record")</f>
        <v>WorldCat Record</v>
      </c>
      <c r="AW1085" s="2" t="s">
        <v>13136</v>
      </c>
      <c r="AX1085" s="2" t="s">
        <v>13137</v>
      </c>
      <c r="AY1085" s="2" t="s">
        <v>13138</v>
      </c>
      <c r="AZ1085" s="2" t="s">
        <v>13138</v>
      </c>
      <c r="BA1085" s="2" t="s">
        <v>13139</v>
      </c>
      <c r="BB1085" s="2" t="s">
        <v>21</v>
      </c>
      <c r="BE1085" s="2" t="s">
        <v>13140</v>
      </c>
      <c r="BF1085" s="2" t="s">
        <v>13141</v>
      </c>
    </row>
    <row r="1086" spans="1:58" ht="41.25" customHeight="1" x14ac:dyDescent="0.25">
      <c r="A1086" s="8" t="s">
        <v>5</v>
      </c>
      <c r="B1086" s="1" t="s">
        <v>0</v>
      </c>
      <c r="C1086" s="1" t="s">
        <v>1</v>
      </c>
      <c r="D1086" s="1" t="s">
        <v>13142</v>
      </c>
      <c r="E1086" s="1" t="s">
        <v>13143</v>
      </c>
      <c r="F1086" s="1" t="s">
        <v>13144</v>
      </c>
      <c r="H1086" s="2" t="s">
        <v>5</v>
      </c>
      <c r="I1086" s="2" t="s">
        <v>6</v>
      </c>
      <c r="J1086" s="2" t="s">
        <v>5</v>
      </c>
      <c r="K1086" s="2" t="s">
        <v>5</v>
      </c>
      <c r="L1086" s="2" t="s">
        <v>7</v>
      </c>
      <c r="N1086" s="1" t="s">
        <v>871</v>
      </c>
      <c r="O1086" s="2" t="s">
        <v>872</v>
      </c>
      <c r="Q1086" s="2" t="s">
        <v>11</v>
      </c>
      <c r="R1086" s="2" t="s">
        <v>12</v>
      </c>
      <c r="S1086" s="1" t="s">
        <v>13145</v>
      </c>
      <c r="T1086" s="2" t="s">
        <v>520</v>
      </c>
      <c r="U1086" s="3">
        <v>6</v>
      </c>
      <c r="V1086" s="3">
        <v>6</v>
      </c>
      <c r="W1086" s="4" t="s">
        <v>13146</v>
      </c>
      <c r="X1086" s="4" t="s">
        <v>13146</v>
      </c>
      <c r="Y1086" s="4" t="s">
        <v>4575</v>
      </c>
      <c r="Z1086" s="4" t="s">
        <v>4575</v>
      </c>
      <c r="AA1086" s="3">
        <v>220</v>
      </c>
      <c r="AB1086" s="3">
        <v>193</v>
      </c>
      <c r="AC1086" s="3">
        <v>200</v>
      </c>
      <c r="AD1086" s="3">
        <v>2</v>
      </c>
      <c r="AE1086" s="3">
        <v>2</v>
      </c>
      <c r="AF1086" s="3">
        <v>11</v>
      </c>
      <c r="AG1086" s="3">
        <v>11</v>
      </c>
      <c r="AH1086" s="3">
        <v>7</v>
      </c>
      <c r="AI1086" s="3">
        <v>7</v>
      </c>
      <c r="AJ1086" s="3">
        <v>1</v>
      </c>
      <c r="AK1086" s="3">
        <v>1</v>
      </c>
      <c r="AL1086" s="3">
        <v>7</v>
      </c>
      <c r="AM1086" s="3">
        <v>7</v>
      </c>
      <c r="AN1086" s="3">
        <v>0</v>
      </c>
      <c r="AO1086" s="3">
        <v>0</v>
      </c>
      <c r="AP1086" s="3">
        <v>0</v>
      </c>
      <c r="AQ1086" s="3">
        <v>0</v>
      </c>
      <c r="AR1086" s="2" t="s">
        <v>5</v>
      </c>
      <c r="AS1086" s="2" t="s">
        <v>16</v>
      </c>
      <c r="AT1086" s="5" t="str">
        <f>HYPERLINK("http://catalog.hathitrust.org/Record/002506881","HathiTrust Record")</f>
        <v>HathiTrust Record</v>
      </c>
      <c r="AU1086" s="5" t="str">
        <f>HYPERLINK("https://creighton-primo.hosted.exlibrisgroup.com/primo-explore/search?tab=default_tab&amp;search_scope=EVERYTHING&amp;vid=01CRU&amp;lang=en_US&amp;offset=0&amp;query=any,contains,991001386309702656","Catalog Record")</f>
        <v>Catalog Record</v>
      </c>
      <c r="AV1086" s="5" t="str">
        <f>HYPERLINK("http://www.worldcat.org/oclc/22546762","WorldCat Record")</f>
        <v>WorldCat Record</v>
      </c>
      <c r="AW1086" s="2" t="s">
        <v>13147</v>
      </c>
      <c r="AX1086" s="2" t="s">
        <v>13148</v>
      </c>
      <c r="AY1086" s="2" t="s">
        <v>13149</v>
      </c>
      <c r="AZ1086" s="2" t="s">
        <v>13149</v>
      </c>
      <c r="BA1086" s="2" t="s">
        <v>13150</v>
      </c>
      <c r="BB1086" s="2" t="s">
        <v>21</v>
      </c>
      <c r="BD1086" s="2" t="s">
        <v>13151</v>
      </c>
      <c r="BE1086" s="2" t="s">
        <v>13152</v>
      </c>
      <c r="BF1086" s="2" t="s">
        <v>13153</v>
      </c>
    </row>
    <row r="1087" spans="1:58" ht="41.25" customHeight="1" x14ac:dyDescent="0.25">
      <c r="A1087" s="8" t="s">
        <v>5</v>
      </c>
      <c r="B1087" s="1" t="s">
        <v>0</v>
      </c>
      <c r="C1087" s="1" t="s">
        <v>1</v>
      </c>
      <c r="D1087" s="1" t="s">
        <v>13154</v>
      </c>
      <c r="E1087" s="1" t="s">
        <v>13155</v>
      </c>
      <c r="F1087" s="1" t="s">
        <v>13156</v>
      </c>
      <c r="H1087" s="2" t="s">
        <v>5</v>
      </c>
      <c r="I1087" s="2" t="s">
        <v>6</v>
      </c>
      <c r="J1087" s="2" t="s">
        <v>5</v>
      </c>
      <c r="K1087" s="2" t="s">
        <v>5</v>
      </c>
      <c r="L1087" s="2" t="s">
        <v>7</v>
      </c>
      <c r="N1087" s="1" t="s">
        <v>9725</v>
      </c>
      <c r="O1087" s="2" t="s">
        <v>228</v>
      </c>
      <c r="Q1087" s="2" t="s">
        <v>11</v>
      </c>
      <c r="R1087" s="2" t="s">
        <v>426</v>
      </c>
      <c r="T1087" s="2" t="s">
        <v>520</v>
      </c>
      <c r="U1087" s="3">
        <v>1</v>
      </c>
      <c r="V1087" s="3">
        <v>1</v>
      </c>
      <c r="W1087" s="4" t="s">
        <v>7428</v>
      </c>
      <c r="X1087" s="4" t="s">
        <v>7428</v>
      </c>
      <c r="Y1087" s="4" t="s">
        <v>197</v>
      </c>
      <c r="Z1087" s="4" t="s">
        <v>197</v>
      </c>
      <c r="AA1087" s="3">
        <v>142</v>
      </c>
      <c r="AB1087" s="3">
        <v>121</v>
      </c>
      <c r="AC1087" s="3">
        <v>121</v>
      </c>
      <c r="AD1087" s="3">
        <v>1</v>
      </c>
      <c r="AE1087" s="3">
        <v>1</v>
      </c>
      <c r="AF1087" s="3">
        <v>6</v>
      </c>
      <c r="AG1087" s="3">
        <v>6</v>
      </c>
      <c r="AH1087" s="3">
        <v>1</v>
      </c>
      <c r="AI1087" s="3">
        <v>1</v>
      </c>
      <c r="AJ1087" s="3">
        <v>4</v>
      </c>
      <c r="AK1087" s="3">
        <v>4</v>
      </c>
      <c r="AL1087" s="3">
        <v>2</v>
      </c>
      <c r="AM1087" s="3">
        <v>2</v>
      </c>
      <c r="AN1087" s="3">
        <v>0</v>
      </c>
      <c r="AO1087" s="3">
        <v>0</v>
      </c>
      <c r="AP1087" s="3">
        <v>0</v>
      </c>
      <c r="AQ1087" s="3">
        <v>0</v>
      </c>
      <c r="AR1087" s="2" t="s">
        <v>5</v>
      </c>
      <c r="AS1087" s="2" t="s">
        <v>5</v>
      </c>
      <c r="AU1087" s="5" t="str">
        <f>HYPERLINK("https://creighton-primo.hosted.exlibrisgroup.com/primo-explore/search?tab=default_tab&amp;search_scope=EVERYTHING&amp;vid=01CRU&amp;lang=en_US&amp;offset=0&amp;query=any,contains,991001150439702656","Catalog Record")</f>
        <v>Catalog Record</v>
      </c>
      <c r="AV1087" s="5" t="str">
        <f>HYPERLINK("http://www.worldcat.org/oclc/8052882","WorldCat Record")</f>
        <v>WorldCat Record</v>
      </c>
      <c r="AW1087" s="2" t="s">
        <v>13157</v>
      </c>
      <c r="AX1087" s="2" t="s">
        <v>13158</v>
      </c>
      <c r="AY1087" s="2" t="s">
        <v>13159</v>
      </c>
      <c r="AZ1087" s="2" t="s">
        <v>13159</v>
      </c>
      <c r="BA1087" s="2" t="s">
        <v>13160</v>
      </c>
      <c r="BB1087" s="2" t="s">
        <v>21</v>
      </c>
      <c r="BD1087" s="2" t="s">
        <v>13161</v>
      </c>
      <c r="BE1087" s="2" t="s">
        <v>13162</v>
      </c>
      <c r="BF1087" s="2" t="s">
        <v>13163</v>
      </c>
    </row>
    <row r="1088" spans="1:58" ht="41.25" customHeight="1" x14ac:dyDescent="0.25">
      <c r="A1088" s="8" t="s">
        <v>5</v>
      </c>
      <c r="B1088" s="1" t="s">
        <v>0</v>
      </c>
      <c r="C1088" s="1" t="s">
        <v>1</v>
      </c>
      <c r="D1088" s="1" t="s">
        <v>13164</v>
      </c>
      <c r="E1088" s="1" t="s">
        <v>13165</v>
      </c>
      <c r="F1088" s="1" t="s">
        <v>13166</v>
      </c>
      <c r="H1088" s="2" t="s">
        <v>5</v>
      </c>
      <c r="I1088" s="2" t="s">
        <v>6</v>
      </c>
      <c r="J1088" s="2" t="s">
        <v>5</v>
      </c>
      <c r="K1088" s="2" t="s">
        <v>5</v>
      </c>
      <c r="L1088" s="2" t="s">
        <v>7</v>
      </c>
      <c r="N1088" s="1" t="s">
        <v>9810</v>
      </c>
      <c r="O1088" s="2" t="s">
        <v>393</v>
      </c>
      <c r="Q1088" s="2" t="s">
        <v>11</v>
      </c>
      <c r="R1088" s="2" t="s">
        <v>426</v>
      </c>
      <c r="T1088" s="2" t="s">
        <v>520</v>
      </c>
      <c r="U1088" s="3">
        <v>1</v>
      </c>
      <c r="V1088" s="3">
        <v>1</v>
      </c>
      <c r="W1088" s="4" t="s">
        <v>7428</v>
      </c>
      <c r="X1088" s="4" t="s">
        <v>7428</v>
      </c>
      <c r="Y1088" s="4" t="s">
        <v>197</v>
      </c>
      <c r="Z1088" s="4" t="s">
        <v>197</v>
      </c>
      <c r="AA1088" s="3">
        <v>127</v>
      </c>
      <c r="AB1088" s="3">
        <v>97</v>
      </c>
      <c r="AC1088" s="3">
        <v>99</v>
      </c>
      <c r="AD1088" s="3">
        <v>1</v>
      </c>
      <c r="AE1088" s="3">
        <v>1</v>
      </c>
      <c r="AF1088" s="3">
        <v>1</v>
      </c>
      <c r="AG1088" s="3">
        <v>1</v>
      </c>
      <c r="AH1088" s="3">
        <v>0</v>
      </c>
      <c r="AI1088" s="3">
        <v>0</v>
      </c>
      <c r="AJ1088" s="3">
        <v>0</v>
      </c>
      <c r="AK1088" s="3">
        <v>0</v>
      </c>
      <c r="AL1088" s="3">
        <v>1</v>
      </c>
      <c r="AM1088" s="3">
        <v>1</v>
      </c>
      <c r="AN1088" s="3">
        <v>0</v>
      </c>
      <c r="AO1088" s="3">
        <v>0</v>
      </c>
      <c r="AP1088" s="3">
        <v>0</v>
      </c>
      <c r="AQ1088" s="3">
        <v>0</v>
      </c>
      <c r="AR1088" s="2" t="s">
        <v>5</v>
      </c>
      <c r="AS1088" s="2" t="s">
        <v>16</v>
      </c>
      <c r="AT1088" s="5" t="str">
        <f>HYPERLINK("http://catalog.hathitrust.org/Record/000185698","HathiTrust Record")</f>
        <v>HathiTrust Record</v>
      </c>
      <c r="AU1088" s="5" t="str">
        <f>HYPERLINK("https://creighton-primo.hosted.exlibrisgroup.com/primo-explore/search?tab=default_tab&amp;search_scope=EVERYTHING&amp;vid=01CRU&amp;lang=en_US&amp;offset=0&amp;query=any,contains,991001150499702656","Catalog Record")</f>
        <v>Catalog Record</v>
      </c>
      <c r="AV1088" s="5" t="str">
        <f>HYPERLINK("http://www.worldcat.org/oclc/7462527","WorldCat Record")</f>
        <v>WorldCat Record</v>
      </c>
      <c r="AW1088" s="2" t="s">
        <v>13167</v>
      </c>
      <c r="AX1088" s="2" t="s">
        <v>13168</v>
      </c>
      <c r="AY1088" s="2" t="s">
        <v>13169</v>
      </c>
      <c r="AZ1088" s="2" t="s">
        <v>13169</v>
      </c>
      <c r="BA1088" s="2" t="s">
        <v>13170</v>
      </c>
      <c r="BB1088" s="2" t="s">
        <v>21</v>
      </c>
      <c r="BD1088" s="2" t="s">
        <v>13171</v>
      </c>
      <c r="BE1088" s="2" t="s">
        <v>13172</v>
      </c>
      <c r="BF1088" s="2" t="s">
        <v>13173</v>
      </c>
    </row>
    <row r="1089" spans="1:58" ht="41.25" customHeight="1" x14ac:dyDescent="0.25">
      <c r="A1089" s="8" t="s">
        <v>5</v>
      </c>
      <c r="B1089" s="1" t="s">
        <v>0</v>
      </c>
      <c r="C1089" s="1" t="s">
        <v>1</v>
      </c>
      <c r="D1089" s="1" t="s">
        <v>13174</v>
      </c>
      <c r="E1089" s="1" t="s">
        <v>13175</v>
      </c>
      <c r="F1089" s="1" t="s">
        <v>13176</v>
      </c>
      <c r="H1089" s="2" t="s">
        <v>5</v>
      </c>
      <c r="I1089" s="2" t="s">
        <v>6</v>
      </c>
      <c r="J1089" s="2" t="s">
        <v>5</v>
      </c>
      <c r="K1089" s="2" t="s">
        <v>5</v>
      </c>
      <c r="L1089" s="2" t="s">
        <v>7</v>
      </c>
      <c r="M1089" s="1" t="s">
        <v>2283</v>
      </c>
      <c r="N1089" s="1" t="s">
        <v>13177</v>
      </c>
      <c r="O1089" s="2" t="s">
        <v>872</v>
      </c>
      <c r="Q1089" s="2" t="s">
        <v>11</v>
      </c>
      <c r="R1089" s="2" t="s">
        <v>31</v>
      </c>
      <c r="S1089" s="1" t="s">
        <v>13178</v>
      </c>
      <c r="T1089" s="2" t="s">
        <v>520</v>
      </c>
      <c r="U1089" s="3">
        <v>1</v>
      </c>
      <c r="V1089" s="3">
        <v>1</v>
      </c>
      <c r="W1089" s="4" t="s">
        <v>123</v>
      </c>
      <c r="X1089" s="4" t="s">
        <v>123</v>
      </c>
      <c r="Y1089" s="4" t="s">
        <v>604</v>
      </c>
      <c r="Z1089" s="4" t="s">
        <v>604</v>
      </c>
      <c r="AA1089" s="3">
        <v>138</v>
      </c>
      <c r="AB1089" s="3">
        <v>117</v>
      </c>
      <c r="AC1089" s="3">
        <v>128</v>
      </c>
      <c r="AD1089" s="3">
        <v>2</v>
      </c>
      <c r="AE1089" s="3">
        <v>2</v>
      </c>
      <c r="AF1089" s="3">
        <v>6</v>
      </c>
      <c r="AG1089" s="3">
        <v>6</v>
      </c>
      <c r="AH1089" s="3">
        <v>3</v>
      </c>
      <c r="AI1089" s="3">
        <v>3</v>
      </c>
      <c r="AJ1089" s="3">
        <v>0</v>
      </c>
      <c r="AK1089" s="3">
        <v>0</v>
      </c>
      <c r="AL1089" s="3">
        <v>4</v>
      </c>
      <c r="AM1089" s="3">
        <v>4</v>
      </c>
      <c r="AN1089" s="3">
        <v>0</v>
      </c>
      <c r="AO1089" s="3">
        <v>0</v>
      </c>
      <c r="AP1089" s="3">
        <v>0</v>
      </c>
      <c r="AQ1089" s="3">
        <v>0</v>
      </c>
      <c r="AR1089" s="2" t="s">
        <v>5</v>
      </c>
      <c r="AS1089" s="2" t="s">
        <v>16</v>
      </c>
      <c r="AT1089" s="5" t="str">
        <f>HYPERLINK("http://catalog.hathitrust.org/Record/002231634","HathiTrust Record")</f>
        <v>HathiTrust Record</v>
      </c>
      <c r="AU1089" s="5" t="str">
        <f>HYPERLINK("https://creighton-primo.hosted.exlibrisgroup.com/primo-explore/search?tab=default_tab&amp;search_scope=EVERYTHING&amp;vid=01CRU&amp;lang=en_US&amp;offset=0&amp;query=any,contains,991000217869702656","Catalog Record")</f>
        <v>Catalog Record</v>
      </c>
      <c r="AV1089" s="5" t="str">
        <f>HYPERLINK("http://www.worldcat.org/oclc/19869358","WorldCat Record")</f>
        <v>WorldCat Record</v>
      </c>
      <c r="AW1089" s="2" t="s">
        <v>13179</v>
      </c>
      <c r="AX1089" s="2" t="s">
        <v>13180</v>
      </c>
      <c r="AY1089" s="2" t="s">
        <v>13181</v>
      </c>
      <c r="AZ1089" s="2" t="s">
        <v>13181</v>
      </c>
      <c r="BA1089" s="2" t="s">
        <v>13182</v>
      </c>
      <c r="BB1089" s="2" t="s">
        <v>21</v>
      </c>
      <c r="BE1089" s="2" t="s">
        <v>13183</v>
      </c>
      <c r="BF1089" s="2" t="s">
        <v>13184</v>
      </c>
    </row>
    <row r="1090" spans="1:58" ht="41.25" customHeight="1" x14ac:dyDescent="0.25">
      <c r="A1090" s="8" t="s">
        <v>5</v>
      </c>
      <c r="B1090" s="1" t="s">
        <v>0</v>
      </c>
      <c r="C1090" s="1" t="s">
        <v>1</v>
      </c>
      <c r="D1090" s="1" t="s">
        <v>13185</v>
      </c>
      <c r="E1090" s="1" t="s">
        <v>13186</v>
      </c>
      <c r="F1090" s="1" t="s">
        <v>13187</v>
      </c>
      <c r="H1090" s="2" t="s">
        <v>5</v>
      </c>
      <c r="I1090" s="2" t="s">
        <v>6</v>
      </c>
      <c r="J1090" s="2" t="s">
        <v>5</v>
      </c>
      <c r="K1090" s="2" t="s">
        <v>5</v>
      </c>
      <c r="L1090" s="2" t="s">
        <v>7</v>
      </c>
      <c r="M1090" s="1" t="s">
        <v>13188</v>
      </c>
      <c r="N1090" s="1" t="s">
        <v>13189</v>
      </c>
      <c r="O1090" s="2" t="s">
        <v>354</v>
      </c>
      <c r="Q1090" s="2" t="s">
        <v>11</v>
      </c>
      <c r="R1090" s="2" t="s">
        <v>1140</v>
      </c>
      <c r="S1090" s="1" t="s">
        <v>13190</v>
      </c>
      <c r="T1090" s="2" t="s">
        <v>520</v>
      </c>
      <c r="U1090" s="3">
        <v>3</v>
      </c>
      <c r="V1090" s="3">
        <v>3</v>
      </c>
      <c r="W1090" s="4" t="s">
        <v>7428</v>
      </c>
      <c r="X1090" s="4" t="s">
        <v>7428</v>
      </c>
      <c r="Y1090" s="4" t="s">
        <v>197</v>
      </c>
      <c r="Z1090" s="4" t="s">
        <v>197</v>
      </c>
      <c r="AA1090" s="3">
        <v>289</v>
      </c>
      <c r="AB1090" s="3">
        <v>255</v>
      </c>
      <c r="AC1090" s="3">
        <v>257</v>
      </c>
      <c r="AD1090" s="3">
        <v>1</v>
      </c>
      <c r="AE1090" s="3">
        <v>1</v>
      </c>
      <c r="AF1090" s="3">
        <v>7</v>
      </c>
      <c r="AG1090" s="3">
        <v>7</v>
      </c>
      <c r="AH1090" s="3">
        <v>3</v>
      </c>
      <c r="AI1090" s="3">
        <v>3</v>
      </c>
      <c r="AJ1090" s="3">
        <v>1</v>
      </c>
      <c r="AK1090" s="3">
        <v>1</v>
      </c>
      <c r="AL1090" s="3">
        <v>6</v>
      </c>
      <c r="AM1090" s="3">
        <v>6</v>
      </c>
      <c r="AN1090" s="3">
        <v>0</v>
      </c>
      <c r="AO1090" s="3">
        <v>0</v>
      </c>
      <c r="AP1090" s="3">
        <v>0</v>
      </c>
      <c r="AQ1090" s="3">
        <v>0</v>
      </c>
      <c r="AR1090" s="2" t="s">
        <v>5</v>
      </c>
      <c r="AS1090" s="2" t="s">
        <v>16</v>
      </c>
      <c r="AT1090" s="5" t="str">
        <f>HYPERLINK("http://catalog.hathitrust.org/Record/000745820","HathiTrust Record")</f>
        <v>HathiTrust Record</v>
      </c>
      <c r="AU1090" s="5" t="str">
        <f>HYPERLINK("https://creighton-primo.hosted.exlibrisgroup.com/primo-explore/search?tab=default_tab&amp;search_scope=EVERYTHING&amp;vid=01CRU&amp;lang=en_US&amp;offset=0&amp;query=any,contains,991001150629702656","Catalog Record")</f>
        <v>Catalog Record</v>
      </c>
      <c r="AV1090" s="5" t="str">
        <f>HYPERLINK("http://www.worldcat.org/oclc/5942846","WorldCat Record")</f>
        <v>WorldCat Record</v>
      </c>
      <c r="AW1090" s="2" t="s">
        <v>13191</v>
      </c>
      <c r="AX1090" s="2" t="s">
        <v>13192</v>
      </c>
      <c r="AY1090" s="2" t="s">
        <v>13193</v>
      </c>
      <c r="AZ1090" s="2" t="s">
        <v>13193</v>
      </c>
      <c r="BA1090" s="2" t="s">
        <v>13194</v>
      </c>
      <c r="BB1090" s="2" t="s">
        <v>21</v>
      </c>
      <c r="BD1090" s="2" t="s">
        <v>13195</v>
      </c>
      <c r="BE1090" s="2" t="s">
        <v>13196</v>
      </c>
      <c r="BF1090" s="2" t="s">
        <v>13197</v>
      </c>
    </row>
    <row r="1091" spans="1:58" ht="41.25" customHeight="1" x14ac:dyDescent="0.25">
      <c r="A1091" s="8" t="s">
        <v>5</v>
      </c>
      <c r="B1091" s="1" t="s">
        <v>0</v>
      </c>
      <c r="C1091" s="1" t="s">
        <v>1</v>
      </c>
      <c r="D1091" s="1" t="s">
        <v>13198</v>
      </c>
      <c r="E1091" s="1" t="s">
        <v>13199</v>
      </c>
      <c r="F1091" s="1" t="s">
        <v>13200</v>
      </c>
      <c r="H1091" s="2" t="s">
        <v>5</v>
      </c>
      <c r="I1091" s="2" t="s">
        <v>6</v>
      </c>
      <c r="J1091" s="2" t="s">
        <v>5</v>
      </c>
      <c r="K1091" s="2" t="s">
        <v>5</v>
      </c>
      <c r="L1091" s="2" t="s">
        <v>7</v>
      </c>
      <c r="M1091" s="1" t="s">
        <v>13201</v>
      </c>
      <c r="N1091" s="1" t="s">
        <v>6227</v>
      </c>
      <c r="O1091" s="2" t="s">
        <v>136</v>
      </c>
      <c r="Q1091" s="2" t="s">
        <v>11</v>
      </c>
      <c r="R1091" s="2" t="s">
        <v>1140</v>
      </c>
      <c r="S1091" s="1" t="s">
        <v>13202</v>
      </c>
      <c r="T1091" s="2" t="s">
        <v>520</v>
      </c>
      <c r="U1091" s="3">
        <v>2</v>
      </c>
      <c r="V1091" s="3">
        <v>2</v>
      </c>
      <c r="W1091" s="4" t="s">
        <v>13203</v>
      </c>
      <c r="X1091" s="4" t="s">
        <v>13203</v>
      </c>
      <c r="Y1091" s="4" t="s">
        <v>6806</v>
      </c>
      <c r="Z1091" s="4" t="s">
        <v>6806</v>
      </c>
      <c r="AA1091" s="3">
        <v>33</v>
      </c>
      <c r="AB1091" s="3">
        <v>28</v>
      </c>
      <c r="AC1091" s="3">
        <v>28</v>
      </c>
      <c r="AD1091" s="3">
        <v>1</v>
      </c>
      <c r="AE1091" s="3">
        <v>1</v>
      </c>
      <c r="AF1091" s="3">
        <v>1</v>
      </c>
      <c r="AG1091" s="3">
        <v>1</v>
      </c>
      <c r="AH1091" s="3">
        <v>1</v>
      </c>
      <c r="AI1091" s="3">
        <v>1</v>
      </c>
      <c r="AJ1091" s="3">
        <v>0</v>
      </c>
      <c r="AK1091" s="3">
        <v>0</v>
      </c>
      <c r="AL1091" s="3">
        <v>1</v>
      </c>
      <c r="AM1091" s="3">
        <v>1</v>
      </c>
      <c r="AN1091" s="3">
        <v>0</v>
      </c>
      <c r="AO1091" s="3">
        <v>0</v>
      </c>
      <c r="AP1091" s="3">
        <v>0</v>
      </c>
      <c r="AQ1091" s="3">
        <v>0</v>
      </c>
      <c r="AR1091" s="2" t="s">
        <v>5</v>
      </c>
      <c r="AS1091" s="2" t="s">
        <v>5</v>
      </c>
      <c r="AU1091" s="5" t="str">
        <f>HYPERLINK("https://creighton-primo.hosted.exlibrisgroup.com/primo-explore/search?tab=default_tab&amp;search_scope=EVERYTHING&amp;vid=01CRU&amp;lang=en_US&amp;offset=0&amp;query=any,contains,991001035199702656","Catalog Record")</f>
        <v>Catalog Record</v>
      </c>
      <c r="AV1091" s="5" t="str">
        <f>HYPERLINK("http://www.worldcat.org/oclc/23136319","WorldCat Record")</f>
        <v>WorldCat Record</v>
      </c>
      <c r="AW1091" s="2" t="s">
        <v>13204</v>
      </c>
      <c r="AX1091" s="2" t="s">
        <v>13205</v>
      </c>
      <c r="AY1091" s="2" t="s">
        <v>13206</v>
      </c>
      <c r="AZ1091" s="2" t="s">
        <v>13206</v>
      </c>
      <c r="BA1091" s="2" t="s">
        <v>13207</v>
      </c>
      <c r="BB1091" s="2" t="s">
        <v>21</v>
      </c>
      <c r="BD1091" s="2" t="s">
        <v>13208</v>
      </c>
      <c r="BE1091" s="2" t="s">
        <v>13209</v>
      </c>
      <c r="BF1091" s="2" t="s">
        <v>13210</v>
      </c>
    </row>
    <row r="1092" spans="1:58" ht="41.25" customHeight="1" x14ac:dyDescent="0.25">
      <c r="A1092" s="8" t="s">
        <v>5</v>
      </c>
      <c r="B1092" s="1" t="s">
        <v>0</v>
      </c>
      <c r="C1092" s="1" t="s">
        <v>1</v>
      </c>
      <c r="D1092" s="1" t="s">
        <v>13211</v>
      </c>
      <c r="E1092" s="1" t="s">
        <v>13212</v>
      </c>
      <c r="F1092" s="1" t="s">
        <v>13213</v>
      </c>
      <c r="H1092" s="2" t="s">
        <v>5</v>
      </c>
      <c r="I1092" s="2" t="s">
        <v>6</v>
      </c>
      <c r="J1092" s="2" t="s">
        <v>5</v>
      </c>
      <c r="K1092" s="2" t="s">
        <v>5</v>
      </c>
      <c r="L1092" s="2" t="s">
        <v>7</v>
      </c>
      <c r="M1092" s="1" t="s">
        <v>13214</v>
      </c>
      <c r="N1092" s="1" t="s">
        <v>13215</v>
      </c>
      <c r="O1092" s="2" t="s">
        <v>989</v>
      </c>
      <c r="Q1092" s="2" t="s">
        <v>11</v>
      </c>
      <c r="R1092" s="2" t="s">
        <v>426</v>
      </c>
      <c r="T1092" s="2" t="s">
        <v>520</v>
      </c>
      <c r="U1092" s="3">
        <v>6</v>
      </c>
      <c r="V1092" s="3">
        <v>6</v>
      </c>
      <c r="W1092" s="4" t="s">
        <v>13216</v>
      </c>
      <c r="X1092" s="4" t="s">
        <v>13216</v>
      </c>
      <c r="Y1092" s="4" t="s">
        <v>13217</v>
      </c>
      <c r="Z1092" s="4" t="s">
        <v>13217</v>
      </c>
      <c r="AA1092" s="3">
        <v>193</v>
      </c>
      <c r="AB1092" s="3">
        <v>157</v>
      </c>
      <c r="AC1092" s="3">
        <v>159</v>
      </c>
      <c r="AD1092" s="3">
        <v>1</v>
      </c>
      <c r="AE1092" s="3">
        <v>1</v>
      </c>
      <c r="AF1092" s="3">
        <v>7</v>
      </c>
      <c r="AG1092" s="3">
        <v>7</v>
      </c>
      <c r="AH1092" s="3">
        <v>4</v>
      </c>
      <c r="AI1092" s="3">
        <v>4</v>
      </c>
      <c r="AJ1092" s="3">
        <v>1</v>
      </c>
      <c r="AK1092" s="3">
        <v>1</v>
      </c>
      <c r="AL1092" s="3">
        <v>4</v>
      </c>
      <c r="AM1092" s="3">
        <v>4</v>
      </c>
      <c r="AN1092" s="3">
        <v>0</v>
      </c>
      <c r="AO1092" s="3">
        <v>0</v>
      </c>
      <c r="AP1092" s="3">
        <v>0</v>
      </c>
      <c r="AQ1092" s="3">
        <v>0</v>
      </c>
      <c r="AR1092" s="2" t="s">
        <v>5</v>
      </c>
      <c r="AS1092" s="2" t="s">
        <v>16</v>
      </c>
      <c r="AT1092" s="5" t="str">
        <f>HYPERLINK("http://catalog.hathitrust.org/Record/002551277","HathiTrust Record")</f>
        <v>HathiTrust Record</v>
      </c>
      <c r="AU1092" s="5" t="str">
        <f>HYPERLINK("https://creighton-primo.hosted.exlibrisgroup.com/primo-explore/search?tab=default_tab&amp;search_scope=EVERYTHING&amp;vid=01CRU&amp;lang=en_US&amp;offset=0&amp;query=any,contains,991000780419702656","Catalog Record")</f>
        <v>Catalog Record</v>
      </c>
      <c r="AV1092" s="5" t="str">
        <f>HYPERLINK("http://www.worldcat.org/oclc/21442886","WorldCat Record")</f>
        <v>WorldCat Record</v>
      </c>
      <c r="AW1092" s="2" t="s">
        <v>13218</v>
      </c>
      <c r="AX1092" s="2" t="s">
        <v>13219</v>
      </c>
      <c r="AY1092" s="2" t="s">
        <v>13220</v>
      </c>
      <c r="AZ1092" s="2" t="s">
        <v>13220</v>
      </c>
      <c r="BA1092" s="2" t="s">
        <v>13221</v>
      </c>
      <c r="BB1092" s="2" t="s">
        <v>21</v>
      </c>
      <c r="BD1092" s="2" t="s">
        <v>13222</v>
      </c>
      <c r="BE1092" s="2" t="s">
        <v>13223</v>
      </c>
      <c r="BF1092" s="2" t="s">
        <v>13224</v>
      </c>
    </row>
    <row r="1093" spans="1:58" ht="41.25" customHeight="1" x14ac:dyDescent="0.25">
      <c r="A1093" s="8" t="s">
        <v>5</v>
      </c>
      <c r="B1093" s="1" t="s">
        <v>0</v>
      </c>
      <c r="C1093" s="1" t="s">
        <v>1</v>
      </c>
      <c r="D1093" s="1" t="s">
        <v>13225</v>
      </c>
      <c r="E1093" s="1" t="s">
        <v>13226</v>
      </c>
      <c r="F1093" s="1" t="s">
        <v>13227</v>
      </c>
      <c r="H1093" s="2" t="s">
        <v>5</v>
      </c>
      <c r="I1093" s="2" t="s">
        <v>6</v>
      </c>
      <c r="J1093" s="2" t="s">
        <v>5</v>
      </c>
      <c r="K1093" s="2" t="s">
        <v>5</v>
      </c>
      <c r="L1093" s="2" t="s">
        <v>7</v>
      </c>
      <c r="M1093" s="1" t="s">
        <v>13228</v>
      </c>
      <c r="N1093" s="1" t="s">
        <v>13229</v>
      </c>
      <c r="O1093" s="2" t="s">
        <v>151</v>
      </c>
      <c r="Q1093" s="2" t="s">
        <v>11</v>
      </c>
      <c r="R1093" s="2" t="s">
        <v>31</v>
      </c>
      <c r="T1093" s="2" t="s">
        <v>520</v>
      </c>
      <c r="U1093" s="3">
        <v>69</v>
      </c>
      <c r="V1093" s="3">
        <v>69</v>
      </c>
      <c r="W1093" s="4" t="s">
        <v>13230</v>
      </c>
      <c r="X1093" s="4" t="s">
        <v>13230</v>
      </c>
      <c r="Y1093" s="4" t="s">
        <v>2828</v>
      </c>
      <c r="Z1093" s="4" t="s">
        <v>2828</v>
      </c>
      <c r="AA1093" s="3">
        <v>268</v>
      </c>
      <c r="AB1093" s="3">
        <v>192</v>
      </c>
      <c r="AC1093" s="3">
        <v>194</v>
      </c>
      <c r="AD1093" s="3">
        <v>4</v>
      </c>
      <c r="AE1093" s="3">
        <v>4</v>
      </c>
      <c r="AF1093" s="3">
        <v>8</v>
      </c>
      <c r="AG1093" s="3">
        <v>8</v>
      </c>
      <c r="AH1093" s="3">
        <v>1</v>
      </c>
      <c r="AI1093" s="3">
        <v>1</v>
      </c>
      <c r="AJ1093" s="3">
        <v>1</v>
      </c>
      <c r="AK1093" s="3">
        <v>1</v>
      </c>
      <c r="AL1093" s="3">
        <v>5</v>
      </c>
      <c r="AM1093" s="3">
        <v>5</v>
      </c>
      <c r="AN1093" s="3">
        <v>2</v>
      </c>
      <c r="AO1093" s="3">
        <v>2</v>
      </c>
      <c r="AP1093" s="3">
        <v>0</v>
      </c>
      <c r="AQ1093" s="3">
        <v>0</v>
      </c>
      <c r="AR1093" s="2" t="s">
        <v>5</v>
      </c>
      <c r="AS1093" s="2" t="s">
        <v>16</v>
      </c>
      <c r="AT1093" s="5" t="str">
        <f>HYPERLINK("http://catalog.hathitrust.org/Record/000032970","HathiTrust Record")</f>
        <v>HathiTrust Record</v>
      </c>
      <c r="AU1093" s="5" t="str">
        <f>HYPERLINK("https://creighton-primo.hosted.exlibrisgroup.com/primo-explore/search?tab=default_tab&amp;search_scope=EVERYTHING&amp;vid=01CRU&amp;lang=en_US&amp;offset=0&amp;query=any,contains,991000486189702656","Catalog Record")</f>
        <v>Catalog Record</v>
      </c>
      <c r="AV1093" s="5" t="str">
        <f>HYPERLINK("http://www.worldcat.org/oclc/1104290","WorldCat Record")</f>
        <v>WorldCat Record</v>
      </c>
      <c r="AW1093" s="2" t="s">
        <v>13231</v>
      </c>
      <c r="AX1093" s="2" t="s">
        <v>13232</v>
      </c>
      <c r="AY1093" s="2" t="s">
        <v>13233</v>
      </c>
      <c r="AZ1093" s="2" t="s">
        <v>13233</v>
      </c>
      <c r="BA1093" s="2" t="s">
        <v>13234</v>
      </c>
      <c r="BB1093" s="2" t="s">
        <v>21</v>
      </c>
      <c r="BD1093" s="2" t="s">
        <v>13235</v>
      </c>
      <c r="BE1093" s="2" t="s">
        <v>13236</v>
      </c>
      <c r="BF1093" s="2" t="s">
        <v>13237</v>
      </c>
    </row>
    <row r="1094" spans="1:58" ht="41.25" customHeight="1" x14ac:dyDescent="0.25">
      <c r="A1094" s="8" t="s">
        <v>5</v>
      </c>
      <c r="B1094" s="1" t="s">
        <v>0</v>
      </c>
      <c r="C1094" s="1" t="s">
        <v>1</v>
      </c>
      <c r="D1094" s="1" t="s">
        <v>13238</v>
      </c>
      <c r="E1094" s="1" t="s">
        <v>13239</v>
      </c>
      <c r="F1094" s="1" t="s">
        <v>13240</v>
      </c>
      <c r="H1094" s="2" t="s">
        <v>5</v>
      </c>
      <c r="I1094" s="2" t="s">
        <v>6</v>
      </c>
      <c r="J1094" s="2" t="s">
        <v>5</v>
      </c>
      <c r="K1094" s="2" t="s">
        <v>5</v>
      </c>
      <c r="L1094" s="2" t="s">
        <v>7</v>
      </c>
      <c r="M1094" s="1" t="s">
        <v>8912</v>
      </c>
      <c r="N1094" s="1" t="s">
        <v>3451</v>
      </c>
      <c r="O1094" s="2" t="s">
        <v>872</v>
      </c>
      <c r="Q1094" s="2" t="s">
        <v>11</v>
      </c>
      <c r="R1094" s="2" t="s">
        <v>426</v>
      </c>
      <c r="T1094" s="2" t="s">
        <v>520</v>
      </c>
      <c r="U1094" s="3">
        <v>3</v>
      </c>
      <c r="V1094" s="3">
        <v>3</v>
      </c>
      <c r="W1094" s="4" t="s">
        <v>13241</v>
      </c>
      <c r="X1094" s="4" t="s">
        <v>13241</v>
      </c>
      <c r="Y1094" s="4" t="s">
        <v>6470</v>
      </c>
      <c r="Z1094" s="4" t="s">
        <v>6470</v>
      </c>
      <c r="AA1094" s="3">
        <v>213</v>
      </c>
      <c r="AB1094" s="3">
        <v>186</v>
      </c>
      <c r="AC1094" s="3">
        <v>188</v>
      </c>
      <c r="AD1094" s="3">
        <v>2</v>
      </c>
      <c r="AE1094" s="3">
        <v>2</v>
      </c>
      <c r="AF1094" s="3">
        <v>11</v>
      </c>
      <c r="AG1094" s="3">
        <v>11</v>
      </c>
      <c r="AH1094" s="3">
        <v>4</v>
      </c>
      <c r="AI1094" s="3">
        <v>4</v>
      </c>
      <c r="AJ1094" s="3">
        <v>3</v>
      </c>
      <c r="AK1094" s="3">
        <v>3</v>
      </c>
      <c r="AL1094" s="3">
        <v>6</v>
      </c>
      <c r="AM1094" s="3">
        <v>6</v>
      </c>
      <c r="AN1094" s="3">
        <v>1</v>
      </c>
      <c r="AO1094" s="3">
        <v>1</v>
      </c>
      <c r="AP1094" s="3">
        <v>0</v>
      </c>
      <c r="AQ1094" s="3">
        <v>0</v>
      </c>
      <c r="AR1094" s="2" t="s">
        <v>5</v>
      </c>
      <c r="AS1094" s="2" t="s">
        <v>16</v>
      </c>
      <c r="AT1094" s="5" t="str">
        <f>HYPERLINK("http://catalog.hathitrust.org/Record/001080563","HathiTrust Record")</f>
        <v>HathiTrust Record</v>
      </c>
      <c r="AU1094" s="5" t="str">
        <f>HYPERLINK("https://creighton-primo.hosted.exlibrisgroup.com/primo-explore/search?tab=default_tab&amp;search_scope=EVERYTHING&amp;vid=01CRU&amp;lang=en_US&amp;offset=0&amp;query=any,contains,991001310619702656","Catalog Record")</f>
        <v>Catalog Record</v>
      </c>
      <c r="AV1094" s="5" t="str">
        <f>HYPERLINK("http://www.worldcat.org/oclc/18521939","WorldCat Record")</f>
        <v>WorldCat Record</v>
      </c>
      <c r="AW1094" s="2" t="s">
        <v>13242</v>
      </c>
      <c r="AX1094" s="2" t="s">
        <v>13243</v>
      </c>
      <c r="AY1094" s="2" t="s">
        <v>13244</v>
      </c>
      <c r="AZ1094" s="2" t="s">
        <v>13244</v>
      </c>
      <c r="BA1094" s="2" t="s">
        <v>13245</v>
      </c>
      <c r="BB1094" s="2" t="s">
        <v>21</v>
      </c>
      <c r="BD1094" s="2" t="s">
        <v>13246</v>
      </c>
      <c r="BE1094" s="2" t="s">
        <v>13247</v>
      </c>
      <c r="BF1094" s="2" t="s">
        <v>13248</v>
      </c>
    </row>
    <row r="1095" spans="1:58" ht="41.25" customHeight="1" x14ac:dyDescent="0.25">
      <c r="A1095" s="8" t="s">
        <v>5</v>
      </c>
      <c r="B1095" s="1" t="s">
        <v>0</v>
      </c>
      <c r="C1095" s="1" t="s">
        <v>1</v>
      </c>
      <c r="D1095" s="1" t="s">
        <v>13249</v>
      </c>
      <c r="E1095" s="1" t="s">
        <v>13250</v>
      </c>
      <c r="F1095" s="1" t="s">
        <v>13251</v>
      </c>
      <c r="H1095" s="2" t="s">
        <v>5</v>
      </c>
      <c r="I1095" s="2" t="s">
        <v>6</v>
      </c>
      <c r="J1095" s="2" t="s">
        <v>5</v>
      </c>
      <c r="K1095" s="2" t="s">
        <v>5</v>
      </c>
      <c r="L1095" s="2" t="s">
        <v>7</v>
      </c>
      <c r="M1095" s="1" t="s">
        <v>13252</v>
      </c>
      <c r="N1095" s="1" t="s">
        <v>13253</v>
      </c>
      <c r="O1095" s="2" t="s">
        <v>210</v>
      </c>
      <c r="Q1095" s="2" t="s">
        <v>11</v>
      </c>
      <c r="R1095" s="2" t="s">
        <v>212</v>
      </c>
      <c r="T1095" s="2" t="s">
        <v>520</v>
      </c>
      <c r="U1095" s="3">
        <v>5</v>
      </c>
      <c r="V1095" s="3">
        <v>5</v>
      </c>
      <c r="W1095" s="4" t="s">
        <v>2801</v>
      </c>
      <c r="X1095" s="4" t="s">
        <v>2801</v>
      </c>
      <c r="Y1095" s="4" t="s">
        <v>2802</v>
      </c>
      <c r="Z1095" s="4" t="s">
        <v>2802</v>
      </c>
      <c r="AA1095" s="3">
        <v>87</v>
      </c>
      <c r="AB1095" s="3">
        <v>67</v>
      </c>
      <c r="AC1095" s="3">
        <v>72</v>
      </c>
      <c r="AD1095" s="3">
        <v>1</v>
      </c>
      <c r="AE1095" s="3">
        <v>1</v>
      </c>
      <c r="AF1095" s="3">
        <v>2</v>
      </c>
      <c r="AG1095" s="3">
        <v>2</v>
      </c>
      <c r="AH1095" s="3">
        <v>1</v>
      </c>
      <c r="AI1095" s="3">
        <v>1</v>
      </c>
      <c r="AJ1095" s="3">
        <v>0</v>
      </c>
      <c r="AK1095" s="3">
        <v>0</v>
      </c>
      <c r="AL1095" s="3">
        <v>1</v>
      </c>
      <c r="AM1095" s="3">
        <v>1</v>
      </c>
      <c r="AN1095" s="3">
        <v>0</v>
      </c>
      <c r="AO1095" s="3">
        <v>0</v>
      </c>
      <c r="AP1095" s="3">
        <v>0</v>
      </c>
      <c r="AQ1095" s="3">
        <v>0</v>
      </c>
      <c r="AR1095" s="2" t="s">
        <v>5</v>
      </c>
      <c r="AS1095" s="2" t="s">
        <v>5</v>
      </c>
      <c r="AU1095" s="5" t="str">
        <f>HYPERLINK("https://creighton-primo.hosted.exlibrisgroup.com/primo-explore/search?tab=default_tab&amp;search_scope=EVERYTHING&amp;vid=01CRU&amp;lang=en_US&amp;offset=0&amp;query=any,contains,991001349829702656","Catalog Record")</f>
        <v>Catalog Record</v>
      </c>
      <c r="AV1095" s="5" t="str">
        <f>HYPERLINK("http://www.worldcat.org/oclc/24468178","WorldCat Record")</f>
        <v>WorldCat Record</v>
      </c>
      <c r="AW1095" s="2" t="s">
        <v>13254</v>
      </c>
      <c r="AX1095" s="2" t="s">
        <v>13255</v>
      </c>
      <c r="AY1095" s="2" t="s">
        <v>13256</v>
      </c>
      <c r="AZ1095" s="2" t="s">
        <v>13256</v>
      </c>
      <c r="BA1095" s="2" t="s">
        <v>13257</v>
      </c>
      <c r="BB1095" s="2" t="s">
        <v>21</v>
      </c>
      <c r="BD1095" s="2" t="s">
        <v>13258</v>
      </c>
      <c r="BE1095" s="2" t="s">
        <v>13259</v>
      </c>
      <c r="BF1095" s="2" t="s">
        <v>13260</v>
      </c>
    </row>
    <row r="1096" spans="1:58" ht="41.25" customHeight="1" x14ac:dyDescent="0.25">
      <c r="A1096" s="8" t="s">
        <v>5</v>
      </c>
      <c r="B1096" s="1" t="s">
        <v>0</v>
      </c>
      <c r="C1096" s="1" t="s">
        <v>1</v>
      </c>
      <c r="D1096" s="1" t="s">
        <v>13261</v>
      </c>
      <c r="E1096" s="1" t="s">
        <v>13262</v>
      </c>
      <c r="F1096" s="1" t="s">
        <v>13263</v>
      </c>
      <c r="H1096" s="2" t="s">
        <v>5</v>
      </c>
      <c r="I1096" s="2" t="s">
        <v>6</v>
      </c>
      <c r="J1096" s="2" t="s">
        <v>5</v>
      </c>
      <c r="K1096" s="2" t="s">
        <v>5</v>
      </c>
      <c r="L1096" s="2" t="s">
        <v>7</v>
      </c>
      <c r="M1096" s="1" t="s">
        <v>13264</v>
      </c>
      <c r="N1096" s="1" t="s">
        <v>8637</v>
      </c>
      <c r="O1096" s="2" t="s">
        <v>393</v>
      </c>
      <c r="Q1096" s="2" t="s">
        <v>11</v>
      </c>
      <c r="R1096" s="2" t="s">
        <v>426</v>
      </c>
      <c r="T1096" s="2" t="s">
        <v>520</v>
      </c>
      <c r="U1096" s="3">
        <v>2</v>
      </c>
      <c r="V1096" s="3">
        <v>2</v>
      </c>
      <c r="W1096" s="4" t="s">
        <v>13265</v>
      </c>
      <c r="X1096" s="4" t="s">
        <v>13265</v>
      </c>
      <c r="Y1096" s="4" t="s">
        <v>197</v>
      </c>
      <c r="Z1096" s="4" t="s">
        <v>197</v>
      </c>
      <c r="AA1096" s="3">
        <v>235</v>
      </c>
      <c r="AB1096" s="3">
        <v>189</v>
      </c>
      <c r="AC1096" s="3">
        <v>196</v>
      </c>
      <c r="AD1096" s="3">
        <v>1</v>
      </c>
      <c r="AE1096" s="3">
        <v>1</v>
      </c>
      <c r="AF1096" s="3">
        <v>5</v>
      </c>
      <c r="AG1096" s="3">
        <v>5</v>
      </c>
      <c r="AH1096" s="3">
        <v>1</v>
      </c>
      <c r="AI1096" s="3">
        <v>1</v>
      </c>
      <c r="AJ1096" s="3">
        <v>1</v>
      </c>
      <c r="AK1096" s="3">
        <v>1</v>
      </c>
      <c r="AL1096" s="3">
        <v>3</v>
      </c>
      <c r="AM1096" s="3">
        <v>3</v>
      </c>
      <c r="AN1096" s="3">
        <v>0</v>
      </c>
      <c r="AO1096" s="3">
        <v>0</v>
      </c>
      <c r="AP1096" s="3">
        <v>0</v>
      </c>
      <c r="AQ1096" s="3">
        <v>0</v>
      </c>
      <c r="AR1096" s="2" t="s">
        <v>5</v>
      </c>
      <c r="AS1096" s="2" t="s">
        <v>16</v>
      </c>
      <c r="AT1096" s="5" t="str">
        <f>HYPERLINK("http://catalog.hathitrust.org/Record/000185549","HathiTrust Record")</f>
        <v>HathiTrust Record</v>
      </c>
      <c r="AU1096" s="5" t="str">
        <f>HYPERLINK("https://creighton-primo.hosted.exlibrisgroup.com/primo-explore/search?tab=default_tab&amp;search_scope=EVERYTHING&amp;vid=01CRU&amp;lang=en_US&amp;offset=0&amp;query=any,contains,991001150829702656","Catalog Record")</f>
        <v>Catalog Record</v>
      </c>
      <c r="AV1096" s="5" t="str">
        <f>HYPERLINK("http://www.worldcat.org/oclc/6707692","WorldCat Record")</f>
        <v>WorldCat Record</v>
      </c>
      <c r="AW1096" s="2" t="s">
        <v>13266</v>
      </c>
      <c r="AX1096" s="2" t="s">
        <v>13267</v>
      </c>
      <c r="AY1096" s="2" t="s">
        <v>13268</v>
      </c>
      <c r="AZ1096" s="2" t="s">
        <v>13268</v>
      </c>
      <c r="BA1096" s="2" t="s">
        <v>13269</v>
      </c>
      <c r="BB1096" s="2" t="s">
        <v>21</v>
      </c>
      <c r="BD1096" s="2" t="s">
        <v>13270</v>
      </c>
      <c r="BE1096" s="2" t="s">
        <v>13271</v>
      </c>
      <c r="BF1096" s="2" t="s">
        <v>13272</v>
      </c>
    </row>
    <row r="1097" spans="1:58" ht="41.25" customHeight="1" x14ac:dyDescent="0.25">
      <c r="A1097" s="8" t="s">
        <v>5</v>
      </c>
      <c r="B1097" s="1" t="s">
        <v>0</v>
      </c>
      <c r="C1097" s="1" t="s">
        <v>1</v>
      </c>
      <c r="D1097" s="1" t="s">
        <v>13273</v>
      </c>
      <c r="E1097" s="1" t="s">
        <v>13274</v>
      </c>
      <c r="F1097" s="1" t="s">
        <v>13275</v>
      </c>
      <c r="H1097" s="2" t="s">
        <v>5</v>
      </c>
      <c r="I1097" s="2" t="s">
        <v>6</v>
      </c>
      <c r="J1097" s="2" t="s">
        <v>5</v>
      </c>
      <c r="K1097" s="2" t="s">
        <v>5</v>
      </c>
      <c r="L1097" s="2" t="s">
        <v>7</v>
      </c>
      <c r="N1097" s="1" t="s">
        <v>988</v>
      </c>
      <c r="O1097" s="2" t="s">
        <v>989</v>
      </c>
      <c r="Q1097" s="2" t="s">
        <v>11</v>
      </c>
      <c r="R1097" s="2" t="s">
        <v>31</v>
      </c>
      <c r="T1097" s="2" t="s">
        <v>520</v>
      </c>
      <c r="U1097" s="3">
        <v>6</v>
      </c>
      <c r="V1097" s="3">
        <v>6</v>
      </c>
      <c r="W1097" s="4" t="s">
        <v>12272</v>
      </c>
      <c r="X1097" s="4" t="s">
        <v>12272</v>
      </c>
      <c r="Y1097" s="4" t="s">
        <v>11712</v>
      </c>
      <c r="Z1097" s="4" t="s">
        <v>11712</v>
      </c>
      <c r="AA1097" s="3">
        <v>293</v>
      </c>
      <c r="AB1097" s="3">
        <v>213</v>
      </c>
      <c r="AC1097" s="3">
        <v>215</v>
      </c>
      <c r="AD1097" s="3">
        <v>1</v>
      </c>
      <c r="AE1097" s="3">
        <v>1</v>
      </c>
      <c r="AF1097" s="3">
        <v>8</v>
      </c>
      <c r="AG1097" s="3">
        <v>8</v>
      </c>
      <c r="AH1097" s="3">
        <v>3</v>
      </c>
      <c r="AI1097" s="3">
        <v>3</v>
      </c>
      <c r="AJ1097" s="3">
        <v>2</v>
      </c>
      <c r="AK1097" s="3">
        <v>2</v>
      </c>
      <c r="AL1097" s="3">
        <v>5</v>
      </c>
      <c r="AM1097" s="3">
        <v>5</v>
      </c>
      <c r="AN1097" s="3">
        <v>0</v>
      </c>
      <c r="AO1097" s="3">
        <v>0</v>
      </c>
      <c r="AP1097" s="3">
        <v>0</v>
      </c>
      <c r="AQ1097" s="3">
        <v>0</v>
      </c>
      <c r="AR1097" s="2" t="s">
        <v>5</v>
      </c>
      <c r="AS1097" s="2" t="s">
        <v>16</v>
      </c>
      <c r="AT1097" s="5" t="str">
        <f>HYPERLINK("http://catalog.hathitrust.org/Record/002164855","HathiTrust Record")</f>
        <v>HathiTrust Record</v>
      </c>
      <c r="AU1097" s="5" t="str">
        <f>HYPERLINK("https://creighton-primo.hosted.exlibrisgroup.com/primo-explore/search?tab=default_tab&amp;search_scope=EVERYTHING&amp;vid=01CRU&amp;lang=en_US&amp;offset=0&amp;query=any,contains,991001451369702656","Catalog Record")</f>
        <v>Catalog Record</v>
      </c>
      <c r="AV1097" s="5" t="str">
        <f>HYPERLINK("http://www.worldcat.org/oclc/20594079","WorldCat Record")</f>
        <v>WorldCat Record</v>
      </c>
      <c r="AW1097" s="2" t="s">
        <v>13276</v>
      </c>
      <c r="AX1097" s="2" t="s">
        <v>13277</v>
      </c>
      <c r="AY1097" s="2" t="s">
        <v>13278</v>
      </c>
      <c r="AZ1097" s="2" t="s">
        <v>13278</v>
      </c>
      <c r="BA1097" s="2" t="s">
        <v>13279</v>
      </c>
      <c r="BB1097" s="2" t="s">
        <v>21</v>
      </c>
      <c r="BD1097" s="2" t="s">
        <v>13280</v>
      </c>
      <c r="BE1097" s="2" t="s">
        <v>13281</v>
      </c>
      <c r="BF1097" s="2" t="s">
        <v>13282</v>
      </c>
    </row>
    <row r="1098" spans="1:58" ht="41.25" customHeight="1" x14ac:dyDescent="0.25">
      <c r="A1098" s="8" t="s">
        <v>5</v>
      </c>
      <c r="B1098" s="1" t="s">
        <v>0</v>
      </c>
      <c r="C1098" s="1" t="s">
        <v>1</v>
      </c>
      <c r="D1098" s="1" t="s">
        <v>13283</v>
      </c>
      <c r="E1098" s="1" t="s">
        <v>13284</v>
      </c>
      <c r="F1098" s="1" t="s">
        <v>13285</v>
      </c>
      <c r="H1098" s="2" t="s">
        <v>5</v>
      </c>
      <c r="I1098" s="2" t="s">
        <v>6</v>
      </c>
      <c r="J1098" s="2" t="s">
        <v>5</v>
      </c>
      <c r="K1098" s="2" t="s">
        <v>5</v>
      </c>
      <c r="L1098" s="2" t="s">
        <v>7</v>
      </c>
      <c r="N1098" s="1" t="s">
        <v>13286</v>
      </c>
      <c r="O1098" s="2" t="s">
        <v>872</v>
      </c>
      <c r="Q1098" s="2" t="s">
        <v>11</v>
      </c>
      <c r="R1098" s="2" t="s">
        <v>426</v>
      </c>
      <c r="S1098" s="1" t="s">
        <v>13287</v>
      </c>
      <c r="T1098" s="2" t="s">
        <v>520</v>
      </c>
      <c r="U1098" s="3">
        <v>6</v>
      </c>
      <c r="V1098" s="3">
        <v>6</v>
      </c>
      <c r="W1098" s="4" t="s">
        <v>13288</v>
      </c>
      <c r="X1098" s="4" t="s">
        <v>13288</v>
      </c>
      <c r="Y1098" s="4" t="s">
        <v>9606</v>
      </c>
      <c r="Z1098" s="4" t="s">
        <v>9606</v>
      </c>
      <c r="AA1098" s="3">
        <v>66</v>
      </c>
      <c r="AB1098" s="3">
        <v>52</v>
      </c>
      <c r="AC1098" s="3">
        <v>52</v>
      </c>
      <c r="AD1098" s="3">
        <v>1</v>
      </c>
      <c r="AE1098" s="3">
        <v>1</v>
      </c>
      <c r="AF1098" s="3">
        <v>2</v>
      </c>
      <c r="AG1098" s="3">
        <v>2</v>
      </c>
      <c r="AH1098" s="3">
        <v>0</v>
      </c>
      <c r="AI1098" s="3">
        <v>0</v>
      </c>
      <c r="AJ1098" s="3">
        <v>1</v>
      </c>
      <c r="AK1098" s="3">
        <v>1</v>
      </c>
      <c r="AL1098" s="3">
        <v>1</v>
      </c>
      <c r="AM1098" s="3">
        <v>1</v>
      </c>
      <c r="AN1098" s="3">
        <v>0</v>
      </c>
      <c r="AO1098" s="3">
        <v>0</v>
      </c>
      <c r="AP1098" s="3">
        <v>0</v>
      </c>
      <c r="AQ1098" s="3">
        <v>0</v>
      </c>
      <c r="AR1098" s="2" t="s">
        <v>5</v>
      </c>
      <c r="AS1098" s="2" t="s">
        <v>5</v>
      </c>
      <c r="AU1098" s="5" t="str">
        <f>HYPERLINK("https://creighton-primo.hosted.exlibrisgroup.com/primo-explore/search?tab=default_tab&amp;search_scope=EVERYTHING&amp;vid=01CRU&amp;lang=en_US&amp;offset=0&amp;query=any,contains,991001454029702656","Catalog Record")</f>
        <v>Catalog Record</v>
      </c>
      <c r="AV1098" s="5" t="str">
        <f>HYPERLINK("http://www.worldcat.org/oclc/20897257","WorldCat Record")</f>
        <v>WorldCat Record</v>
      </c>
      <c r="AW1098" s="2" t="s">
        <v>13289</v>
      </c>
      <c r="AX1098" s="2" t="s">
        <v>13290</v>
      </c>
      <c r="AY1098" s="2" t="s">
        <v>13291</v>
      </c>
      <c r="AZ1098" s="2" t="s">
        <v>13291</v>
      </c>
      <c r="BA1098" s="2" t="s">
        <v>13292</v>
      </c>
      <c r="BB1098" s="2" t="s">
        <v>21</v>
      </c>
      <c r="BD1098" s="2" t="s">
        <v>13293</v>
      </c>
      <c r="BE1098" s="2" t="s">
        <v>13294</v>
      </c>
      <c r="BF1098" s="2" t="s">
        <v>13295</v>
      </c>
    </row>
    <row r="1099" spans="1:58" ht="41.25" customHeight="1" x14ac:dyDescent="0.25">
      <c r="A1099" s="8" t="s">
        <v>5</v>
      </c>
      <c r="B1099" s="1" t="s">
        <v>0</v>
      </c>
      <c r="C1099" s="1" t="s">
        <v>1</v>
      </c>
      <c r="D1099" s="1" t="s">
        <v>13296</v>
      </c>
      <c r="E1099" s="1" t="s">
        <v>13297</v>
      </c>
      <c r="F1099" s="1" t="s">
        <v>13298</v>
      </c>
      <c r="H1099" s="2" t="s">
        <v>5</v>
      </c>
      <c r="I1099" s="2" t="s">
        <v>6</v>
      </c>
      <c r="J1099" s="2" t="s">
        <v>5</v>
      </c>
      <c r="K1099" s="2" t="s">
        <v>16</v>
      </c>
      <c r="L1099" s="2" t="s">
        <v>7</v>
      </c>
      <c r="M1099" s="1" t="s">
        <v>2813</v>
      </c>
      <c r="N1099" s="1" t="s">
        <v>13299</v>
      </c>
      <c r="O1099" s="2" t="s">
        <v>546</v>
      </c>
      <c r="P1099" s="1" t="s">
        <v>901</v>
      </c>
      <c r="Q1099" s="2" t="s">
        <v>11</v>
      </c>
      <c r="R1099" s="2" t="s">
        <v>12</v>
      </c>
      <c r="S1099" s="1" t="s">
        <v>13300</v>
      </c>
      <c r="T1099" s="2" t="s">
        <v>520</v>
      </c>
      <c r="U1099" s="3">
        <v>4</v>
      </c>
      <c r="V1099" s="3">
        <v>4</v>
      </c>
      <c r="W1099" s="4" t="s">
        <v>13301</v>
      </c>
      <c r="X1099" s="4" t="s">
        <v>13301</v>
      </c>
      <c r="Y1099" s="4" t="s">
        <v>1429</v>
      </c>
      <c r="Z1099" s="4" t="s">
        <v>1429</v>
      </c>
      <c r="AA1099" s="3">
        <v>208</v>
      </c>
      <c r="AB1099" s="3">
        <v>166</v>
      </c>
      <c r="AC1099" s="3">
        <v>348</v>
      </c>
      <c r="AD1099" s="3">
        <v>1</v>
      </c>
      <c r="AE1099" s="3">
        <v>2</v>
      </c>
      <c r="AF1099" s="3">
        <v>8</v>
      </c>
      <c r="AG1099" s="3">
        <v>14</v>
      </c>
      <c r="AH1099" s="3">
        <v>3</v>
      </c>
      <c r="AI1099" s="3">
        <v>5</v>
      </c>
      <c r="AJ1099" s="3">
        <v>3</v>
      </c>
      <c r="AK1099" s="3">
        <v>4</v>
      </c>
      <c r="AL1099" s="3">
        <v>5</v>
      </c>
      <c r="AM1099" s="3">
        <v>7</v>
      </c>
      <c r="AN1099" s="3">
        <v>0</v>
      </c>
      <c r="AO1099" s="3">
        <v>1</v>
      </c>
      <c r="AP1099" s="3">
        <v>0</v>
      </c>
      <c r="AQ1099" s="3">
        <v>0</v>
      </c>
      <c r="AR1099" s="2" t="s">
        <v>5</v>
      </c>
      <c r="AS1099" s="2" t="s">
        <v>16</v>
      </c>
      <c r="AT1099" s="5" t="str">
        <f>HYPERLINK("http://catalog.hathitrust.org/Record/002867079","HathiTrust Record")</f>
        <v>HathiTrust Record</v>
      </c>
      <c r="AU1099" s="5" t="str">
        <f>HYPERLINK("https://creighton-primo.hosted.exlibrisgroup.com/primo-explore/search?tab=default_tab&amp;search_scope=EVERYTHING&amp;vid=01CRU&amp;lang=en_US&amp;offset=0&amp;query=any,contains,991000677269702656","Catalog Record")</f>
        <v>Catalog Record</v>
      </c>
      <c r="AV1099" s="5" t="str">
        <f>HYPERLINK("http://www.worldcat.org/oclc/29847018","WorldCat Record")</f>
        <v>WorldCat Record</v>
      </c>
      <c r="AW1099" s="2" t="s">
        <v>13302</v>
      </c>
      <c r="AX1099" s="2" t="s">
        <v>13303</v>
      </c>
      <c r="AY1099" s="2" t="s">
        <v>13304</v>
      </c>
      <c r="AZ1099" s="2" t="s">
        <v>13304</v>
      </c>
      <c r="BA1099" s="2" t="s">
        <v>13305</v>
      </c>
      <c r="BB1099" s="2" t="s">
        <v>21</v>
      </c>
      <c r="BD1099" s="2" t="s">
        <v>13306</v>
      </c>
      <c r="BE1099" s="2" t="s">
        <v>13307</v>
      </c>
      <c r="BF1099" s="2" t="s">
        <v>13308</v>
      </c>
    </row>
    <row r="1100" spans="1:58" ht="41.25" customHeight="1" x14ac:dyDescent="0.25">
      <c r="A1100" s="8" t="s">
        <v>5</v>
      </c>
      <c r="B1100" s="1" t="s">
        <v>0</v>
      </c>
      <c r="C1100" s="1" t="s">
        <v>1</v>
      </c>
      <c r="D1100" s="1" t="s">
        <v>13309</v>
      </c>
      <c r="E1100" s="1" t="s">
        <v>13310</v>
      </c>
      <c r="F1100" s="1" t="s">
        <v>13311</v>
      </c>
      <c r="H1100" s="2" t="s">
        <v>5</v>
      </c>
      <c r="I1100" s="2" t="s">
        <v>6</v>
      </c>
      <c r="J1100" s="2" t="s">
        <v>5</v>
      </c>
      <c r="K1100" s="2" t="s">
        <v>16</v>
      </c>
      <c r="L1100" s="2" t="s">
        <v>7</v>
      </c>
      <c r="N1100" s="1" t="s">
        <v>13312</v>
      </c>
      <c r="O1100" s="2" t="s">
        <v>228</v>
      </c>
      <c r="P1100" s="1" t="s">
        <v>355</v>
      </c>
      <c r="Q1100" s="2" t="s">
        <v>11</v>
      </c>
      <c r="R1100" s="2" t="s">
        <v>271</v>
      </c>
      <c r="T1100" s="2" t="s">
        <v>520</v>
      </c>
      <c r="U1100" s="3">
        <v>1</v>
      </c>
      <c r="V1100" s="3">
        <v>1</v>
      </c>
      <c r="W1100" s="4" t="s">
        <v>13313</v>
      </c>
      <c r="X1100" s="4" t="s">
        <v>13313</v>
      </c>
      <c r="Y1100" s="4" t="s">
        <v>329</v>
      </c>
      <c r="Z1100" s="4" t="s">
        <v>329</v>
      </c>
      <c r="AA1100" s="3">
        <v>120</v>
      </c>
      <c r="AB1100" s="3">
        <v>105</v>
      </c>
      <c r="AC1100" s="3">
        <v>458</v>
      </c>
      <c r="AD1100" s="3">
        <v>1</v>
      </c>
      <c r="AE1100" s="3">
        <v>7</v>
      </c>
      <c r="AF1100" s="3">
        <v>3</v>
      </c>
      <c r="AG1100" s="3">
        <v>18</v>
      </c>
      <c r="AH1100" s="3">
        <v>1</v>
      </c>
      <c r="AI1100" s="3">
        <v>8</v>
      </c>
      <c r="AJ1100" s="3">
        <v>0</v>
      </c>
      <c r="AK1100" s="3">
        <v>0</v>
      </c>
      <c r="AL1100" s="3">
        <v>2</v>
      </c>
      <c r="AM1100" s="3">
        <v>8</v>
      </c>
      <c r="AN1100" s="3">
        <v>0</v>
      </c>
      <c r="AO1100" s="3">
        <v>5</v>
      </c>
      <c r="AP1100" s="3">
        <v>0</v>
      </c>
      <c r="AQ1100" s="3">
        <v>0</v>
      </c>
      <c r="AR1100" s="2" t="s">
        <v>5</v>
      </c>
      <c r="AS1100" s="2" t="s">
        <v>16</v>
      </c>
      <c r="AT1100" s="5" t="str">
        <f>HYPERLINK("http://catalog.hathitrust.org/Record/000155703","HathiTrust Record")</f>
        <v>HathiTrust Record</v>
      </c>
      <c r="AU1100" s="5" t="str">
        <f>HYPERLINK("https://creighton-primo.hosted.exlibrisgroup.com/primo-explore/search?tab=default_tab&amp;search_scope=EVERYTHING&amp;vid=01CRU&amp;lang=en_US&amp;offset=0&amp;query=any,contains,991000736669702656","Catalog Record")</f>
        <v>Catalog Record</v>
      </c>
      <c r="AV1100" s="5" t="str">
        <f>HYPERLINK("http://www.worldcat.org/oclc/9008103","WorldCat Record")</f>
        <v>WorldCat Record</v>
      </c>
      <c r="AW1100" s="2" t="s">
        <v>13314</v>
      </c>
      <c r="AX1100" s="2" t="s">
        <v>13315</v>
      </c>
      <c r="AY1100" s="2" t="s">
        <v>13316</v>
      </c>
      <c r="AZ1100" s="2" t="s">
        <v>13316</v>
      </c>
      <c r="BA1100" s="2" t="s">
        <v>13317</v>
      </c>
      <c r="BB1100" s="2" t="s">
        <v>21</v>
      </c>
      <c r="BD1100" s="2" t="s">
        <v>13318</v>
      </c>
      <c r="BE1100" s="2" t="s">
        <v>13319</v>
      </c>
      <c r="BF1100" s="2" t="s">
        <v>13320</v>
      </c>
    </row>
    <row r="1101" spans="1:58" ht="41.25" customHeight="1" x14ac:dyDescent="0.25">
      <c r="A1101" s="8" t="s">
        <v>5</v>
      </c>
      <c r="B1101" s="1" t="s">
        <v>0</v>
      </c>
      <c r="C1101" s="1" t="s">
        <v>1</v>
      </c>
      <c r="D1101" s="1" t="s">
        <v>13321</v>
      </c>
      <c r="E1101" s="1" t="s">
        <v>13322</v>
      </c>
      <c r="F1101" s="1" t="s">
        <v>13323</v>
      </c>
      <c r="H1101" s="2" t="s">
        <v>5</v>
      </c>
      <c r="I1101" s="2" t="s">
        <v>6</v>
      </c>
      <c r="J1101" s="2" t="s">
        <v>5</v>
      </c>
      <c r="K1101" s="2" t="s">
        <v>5</v>
      </c>
      <c r="L1101" s="2" t="s">
        <v>7</v>
      </c>
      <c r="N1101" s="1" t="s">
        <v>4756</v>
      </c>
      <c r="O1101" s="2" t="s">
        <v>939</v>
      </c>
      <c r="Q1101" s="2" t="s">
        <v>11</v>
      </c>
      <c r="R1101" s="2" t="s">
        <v>426</v>
      </c>
      <c r="T1101" s="2" t="s">
        <v>520</v>
      </c>
      <c r="U1101" s="3">
        <v>8</v>
      </c>
      <c r="V1101" s="3">
        <v>8</v>
      </c>
      <c r="W1101" s="4" t="s">
        <v>13324</v>
      </c>
      <c r="X1101" s="4" t="s">
        <v>13324</v>
      </c>
      <c r="Y1101" s="4" t="s">
        <v>8457</v>
      </c>
      <c r="Z1101" s="4" t="s">
        <v>8457</v>
      </c>
      <c r="AA1101" s="3">
        <v>161</v>
      </c>
      <c r="AB1101" s="3">
        <v>145</v>
      </c>
      <c r="AC1101" s="3">
        <v>148</v>
      </c>
      <c r="AD1101" s="3">
        <v>1</v>
      </c>
      <c r="AE1101" s="3">
        <v>1</v>
      </c>
      <c r="AF1101" s="3">
        <v>6</v>
      </c>
      <c r="AG1101" s="3">
        <v>6</v>
      </c>
      <c r="AH1101" s="3">
        <v>2</v>
      </c>
      <c r="AI1101" s="3">
        <v>2</v>
      </c>
      <c r="AJ1101" s="3">
        <v>1</v>
      </c>
      <c r="AK1101" s="3">
        <v>1</v>
      </c>
      <c r="AL1101" s="3">
        <v>4</v>
      </c>
      <c r="AM1101" s="3">
        <v>4</v>
      </c>
      <c r="AN1101" s="3">
        <v>0</v>
      </c>
      <c r="AO1101" s="3">
        <v>0</v>
      </c>
      <c r="AP1101" s="3">
        <v>0</v>
      </c>
      <c r="AQ1101" s="3">
        <v>0</v>
      </c>
      <c r="AR1101" s="2" t="s">
        <v>5</v>
      </c>
      <c r="AS1101" s="2" t="s">
        <v>16</v>
      </c>
      <c r="AT1101" s="5" t="str">
        <f>HYPERLINK("http://catalog.hathitrust.org/Record/000877320","HathiTrust Record")</f>
        <v>HathiTrust Record</v>
      </c>
      <c r="AU1101" s="5" t="str">
        <f>HYPERLINK("https://creighton-primo.hosted.exlibrisgroup.com/primo-explore/search?tab=default_tab&amp;search_scope=EVERYTHING&amp;vid=01CRU&amp;lang=en_US&amp;offset=0&amp;query=any,contains,991001177339702656","Catalog Record")</f>
        <v>Catalog Record</v>
      </c>
      <c r="AV1101" s="5" t="str">
        <f>HYPERLINK("http://www.worldcat.org/oclc/16525150","WorldCat Record")</f>
        <v>WorldCat Record</v>
      </c>
      <c r="AW1101" s="2" t="s">
        <v>13325</v>
      </c>
      <c r="AX1101" s="2" t="s">
        <v>13326</v>
      </c>
      <c r="AY1101" s="2" t="s">
        <v>13327</v>
      </c>
      <c r="AZ1101" s="2" t="s">
        <v>13327</v>
      </c>
      <c r="BA1101" s="2" t="s">
        <v>13328</v>
      </c>
      <c r="BB1101" s="2" t="s">
        <v>21</v>
      </c>
      <c r="BD1101" s="2" t="s">
        <v>13329</v>
      </c>
      <c r="BE1101" s="2" t="s">
        <v>13330</v>
      </c>
      <c r="BF1101" s="2" t="s">
        <v>13331</v>
      </c>
    </row>
    <row r="1102" spans="1:58" ht="41.25" customHeight="1" x14ac:dyDescent="0.25">
      <c r="A1102" s="8" t="s">
        <v>5</v>
      </c>
      <c r="B1102" s="1" t="s">
        <v>0</v>
      </c>
      <c r="C1102" s="1" t="s">
        <v>1</v>
      </c>
      <c r="D1102" s="1" t="s">
        <v>13332</v>
      </c>
      <c r="E1102" s="1" t="s">
        <v>13333</v>
      </c>
      <c r="F1102" s="1" t="s">
        <v>13334</v>
      </c>
      <c r="H1102" s="2" t="s">
        <v>5</v>
      </c>
      <c r="I1102" s="2" t="s">
        <v>6</v>
      </c>
      <c r="J1102" s="2" t="s">
        <v>5</v>
      </c>
      <c r="K1102" s="2" t="s">
        <v>5</v>
      </c>
      <c r="L1102" s="2" t="s">
        <v>7</v>
      </c>
      <c r="N1102" s="1" t="s">
        <v>1440</v>
      </c>
      <c r="O1102" s="2" t="s">
        <v>1246</v>
      </c>
      <c r="Q1102" s="2" t="s">
        <v>11</v>
      </c>
      <c r="R1102" s="2" t="s">
        <v>12</v>
      </c>
      <c r="S1102" s="1" t="s">
        <v>13335</v>
      </c>
      <c r="T1102" s="2" t="s">
        <v>520</v>
      </c>
      <c r="U1102" s="3">
        <v>1</v>
      </c>
      <c r="V1102" s="3">
        <v>1</v>
      </c>
      <c r="W1102" s="4" t="s">
        <v>3514</v>
      </c>
      <c r="X1102" s="4" t="s">
        <v>3514</v>
      </c>
      <c r="Y1102" s="4" t="s">
        <v>1444</v>
      </c>
      <c r="Z1102" s="4" t="s">
        <v>1444</v>
      </c>
      <c r="AA1102" s="3">
        <v>75</v>
      </c>
      <c r="AB1102" s="3">
        <v>65</v>
      </c>
      <c r="AC1102" s="3">
        <v>68</v>
      </c>
      <c r="AD1102" s="3">
        <v>3</v>
      </c>
      <c r="AE1102" s="3">
        <v>3</v>
      </c>
      <c r="AF1102" s="3">
        <v>3</v>
      </c>
      <c r="AG1102" s="3">
        <v>3</v>
      </c>
      <c r="AH1102" s="3">
        <v>0</v>
      </c>
      <c r="AI1102" s="3">
        <v>0</v>
      </c>
      <c r="AJ1102" s="3">
        <v>0</v>
      </c>
      <c r="AK1102" s="3">
        <v>0</v>
      </c>
      <c r="AL1102" s="3">
        <v>2</v>
      </c>
      <c r="AM1102" s="3">
        <v>2</v>
      </c>
      <c r="AN1102" s="3">
        <v>1</v>
      </c>
      <c r="AO1102" s="3">
        <v>1</v>
      </c>
      <c r="AP1102" s="3">
        <v>0</v>
      </c>
      <c r="AQ1102" s="3">
        <v>0</v>
      </c>
      <c r="AR1102" s="2" t="s">
        <v>5</v>
      </c>
      <c r="AS1102" s="2" t="s">
        <v>16</v>
      </c>
      <c r="AT1102" s="5" t="str">
        <f>HYPERLINK("http://catalog.hathitrust.org/Record/001574054","HathiTrust Record")</f>
        <v>HathiTrust Record</v>
      </c>
      <c r="AU1102" s="5" t="str">
        <f>HYPERLINK("https://creighton-primo.hosted.exlibrisgroup.com/primo-explore/search?tab=default_tab&amp;search_scope=EVERYTHING&amp;vid=01CRU&amp;lang=en_US&amp;offset=0&amp;query=any,contains,991001516099702656","Catalog Record")</f>
        <v>Catalog Record</v>
      </c>
      <c r="AV1102" s="5" t="str">
        <f>HYPERLINK("http://www.worldcat.org/oclc/1365543","WorldCat Record")</f>
        <v>WorldCat Record</v>
      </c>
      <c r="AW1102" s="2" t="s">
        <v>13336</v>
      </c>
      <c r="AX1102" s="2" t="s">
        <v>13337</v>
      </c>
      <c r="AY1102" s="2" t="s">
        <v>13338</v>
      </c>
      <c r="AZ1102" s="2" t="s">
        <v>13338</v>
      </c>
      <c r="BA1102" s="2" t="s">
        <v>13339</v>
      </c>
      <c r="BB1102" s="2" t="s">
        <v>21</v>
      </c>
      <c r="BE1102" s="2" t="s">
        <v>13340</v>
      </c>
      <c r="BF1102" s="2" t="s">
        <v>13341</v>
      </c>
    </row>
    <row r="1103" spans="1:58" ht="41.25" customHeight="1" x14ac:dyDescent="0.25">
      <c r="A1103" s="8" t="s">
        <v>5</v>
      </c>
      <c r="B1103" s="1" t="s">
        <v>0</v>
      </c>
      <c r="C1103" s="1" t="s">
        <v>1</v>
      </c>
      <c r="D1103" s="1" t="s">
        <v>13342</v>
      </c>
      <c r="E1103" s="1" t="s">
        <v>13343</v>
      </c>
      <c r="F1103" s="1" t="s">
        <v>13344</v>
      </c>
      <c r="H1103" s="2" t="s">
        <v>5</v>
      </c>
      <c r="I1103" s="2" t="s">
        <v>6</v>
      </c>
      <c r="J1103" s="2" t="s">
        <v>5</v>
      </c>
      <c r="K1103" s="2" t="s">
        <v>5</v>
      </c>
      <c r="L1103" s="2" t="s">
        <v>7</v>
      </c>
      <c r="N1103" s="1" t="s">
        <v>13345</v>
      </c>
      <c r="O1103" s="2" t="s">
        <v>872</v>
      </c>
      <c r="Q1103" s="2" t="s">
        <v>11</v>
      </c>
      <c r="R1103" s="2" t="s">
        <v>426</v>
      </c>
      <c r="T1103" s="2" t="s">
        <v>520</v>
      </c>
      <c r="U1103" s="3">
        <v>3</v>
      </c>
      <c r="V1103" s="3">
        <v>3</v>
      </c>
      <c r="W1103" s="4" t="s">
        <v>13346</v>
      </c>
      <c r="X1103" s="4" t="s">
        <v>13346</v>
      </c>
      <c r="Y1103" s="4" t="s">
        <v>2470</v>
      </c>
      <c r="Z1103" s="4" t="s">
        <v>2470</v>
      </c>
      <c r="AA1103" s="3">
        <v>228</v>
      </c>
      <c r="AB1103" s="3">
        <v>180</v>
      </c>
      <c r="AC1103" s="3">
        <v>185</v>
      </c>
      <c r="AD1103" s="3">
        <v>2</v>
      </c>
      <c r="AE1103" s="3">
        <v>2</v>
      </c>
      <c r="AF1103" s="3">
        <v>11</v>
      </c>
      <c r="AG1103" s="3">
        <v>11</v>
      </c>
      <c r="AH1103" s="3">
        <v>3</v>
      </c>
      <c r="AI1103" s="3">
        <v>3</v>
      </c>
      <c r="AJ1103" s="3">
        <v>3</v>
      </c>
      <c r="AK1103" s="3">
        <v>3</v>
      </c>
      <c r="AL1103" s="3">
        <v>7</v>
      </c>
      <c r="AM1103" s="3">
        <v>7</v>
      </c>
      <c r="AN1103" s="3">
        <v>1</v>
      </c>
      <c r="AO1103" s="3">
        <v>1</v>
      </c>
      <c r="AP1103" s="3">
        <v>0</v>
      </c>
      <c r="AQ1103" s="3">
        <v>0</v>
      </c>
      <c r="AR1103" s="2" t="s">
        <v>5</v>
      </c>
      <c r="AS1103" s="2" t="s">
        <v>5</v>
      </c>
      <c r="AU1103" s="5" t="str">
        <f>HYPERLINK("https://creighton-primo.hosted.exlibrisgroup.com/primo-explore/search?tab=default_tab&amp;search_scope=EVERYTHING&amp;vid=01CRU&amp;lang=en_US&amp;offset=0&amp;query=any,contains,991001250439702656","Catalog Record")</f>
        <v>Catalog Record</v>
      </c>
      <c r="AV1103" s="5" t="str">
        <f>HYPERLINK("http://www.worldcat.org/oclc/18413580","WorldCat Record")</f>
        <v>WorldCat Record</v>
      </c>
      <c r="AW1103" s="2" t="s">
        <v>13347</v>
      </c>
      <c r="AX1103" s="2" t="s">
        <v>13348</v>
      </c>
      <c r="AY1103" s="2" t="s">
        <v>13349</v>
      </c>
      <c r="AZ1103" s="2" t="s">
        <v>13349</v>
      </c>
      <c r="BA1103" s="2" t="s">
        <v>13350</v>
      </c>
      <c r="BB1103" s="2" t="s">
        <v>21</v>
      </c>
      <c r="BD1103" s="2" t="s">
        <v>13351</v>
      </c>
      <c r="BE1103" s="2" t="s">
        <v>13352</v>
      </c>
      <c r="BF1103" s="2" t="s">
        <v>13353</v>
      </c>
    </row>
    <row r="1104" spans="1:58" ht="41.25" customHeight="1" x14ac:dyDescent="0.25">
      <c r="A1104" s="8" t="s">
        <v>5</v>
      </c>
      <c r="B1104" s="1" t="s">
        <v>0</v>
      </c>
      <c r="C1104" s="1" t="s">
        <v>1</v>
      </c>
      <c r="D1104" s="1" t="s">
        <v>13354</v>
      </c>
      <c r="E1104" s="1" t="s">
        <v>13355</v>
      </c>
      <c r="F1104" s="1" t="s">
        <v>13356</v>
      </c>
      <c r="H1104" s="2" t="s">
        <v>5</v>
      </c>
      <c r="I1104" s="2" t="s">
        <v>6</v>
      </c>
      <c r="J1104" s="2" t="s">
        <v>5</v>
      </c>
      <c r="K1104" s="2" t="s">
        <v>16</v>
      </c>
      <c r="L1104" s="2" t="s">
        <v>7</v>
      </c>
      <c r="M1104" s="1" t="s">
        <v>13357</v>
      </c>
      <c r="N1104" s="1" t="s">
        <v>11747</v>
      </c>
      <c r="O1104" s="2" t="s">
        <v>210</v>
      </c>
      <c r="P1104" s="1" t="s">
        <v>1208</v>
      </c>
      <c r="Q1104" s="2" t="s">
        <v>11</v>
      </c>
      <c r="R1104" s="2" t="s">
        <v>6660</v>
      </c>
      <c r="T1104" s="2" t="s">
        <v>520</v>
      </c>
      <c r="U1104" s="3">
        <v>3</v>
      </c>
      <c r="V1104" s="3">
        <v>3</v>
      </c>
      <c r="W1104" s="4" t="s">
        <v>13358</v>
      </c>
      <c r="X1104" s="4" t="s">
        <v>13358</v>
      </c>
      <c r="Y1104" s="4" t="s">
        <v>13359</v>
      </c>
      <c r="Z1104" s="4" t="s">
        <v>13359</v>
      </c>
      <c r="AA1104" s="3">
        <v>399</v>
      </c>
      <c r="AB1104" s="3">
        <v>315</v>
      </c>
      <c r="AC1104" s="3">
        <v>736</v>
      </c>
      <c r="AD1104" s="3">
        <v>2</v>
      </c>
      <c r="AE1104" s="3">
        <v>4</v>
      </c>
      <c r="AF1104" s="3">
        <v>7</v>
      </c>
      <c r="AG1104" s="3">
        <v>20</v>
      </c>
      <c r="AH1104" s="3">
        <v>3</v>
      </c>
      <c r="AI1104" s="3">
        <v>11</v>
      </c>
      <c r="AJ1104" s="3">
        <v>2</v>
      </c>
      <c r="AK1104" s="3">
        <v>3</v>
      </c>
      <c r="AL1104" s="3">
        <v>4</v>
      </c>
      <c r="AM1104" s="3">
        <v>9</v>
      </c>
      <c r="AN1104" s="3">
        <v>0</v>
      </c>
      <c r="AO1104" s="3">
        <v>1</v>
      </c>
      <c r="AP1104" s="3">
        <v>0</v>
      </c>
      <c r="AQ1104" s="3">
        <v>0</v>
      </c>
      <c r="AR1104" s="2" t="s">
        <v>5</v>
      </c>
      <c r="AS1104" s="2" t="s">
        <v>16</v>
      </c>
      <c r="AT1104" s="5" t="str">
        <f>HYPERLINK("http://catalog.hathitrust.org/Record/002496156","HathiTrust Record")</f>
        <v>HathiTrust Record</v>
      </c>
      <c r="AU1104" s="5" t="str">
        <f>HYPERLINK("https://creighton-primo.hosted.exlibrisgroup.com/primo-explore/search?tab=default_tab&amp;search_scope=EVERYTHING&amp;vid=01CRU&amp;lang=en_US&amp;offset=0&amp;query=any,contains,991001033269702656","Catalog Record")</f>
        <v>Catalog Record</v>
      </c>
      <c r="AV1104" s="5" t="str">
        <f>HYPERLINK("http://www.worldcat.org/oclc/23651135","WorldCat Record")</f>
        <v>WorldCat Record</v>
      </c>
      <c r="AW1104" s="2" t="s">
        <v>13360</v>
      </c>
      <c r="AX1104" s="2" t="s">
        <v>13361</v>
      </c>
      <c r="AY1104" s="2" t="s">
        <v>13362</v>
      </c>
      <c r="AZ1104" s="2" t="s">
        <v>13362</v>
      </c>
      <c r="BA1104" s="2" t="s">
        <v>13363</v>
      </c>
      <c r="BB1104" s="2" t="s">
        <v>21</v>
      </c>
      <c r="BD1104" s="2" t="s">
        <v>13364</v>
      </c>
      <c r="BE1104" s="2" t="s">
        <v>13365</v>
      </c>
      <c r="BF1104" s="2" t="s">
        <v>13366</v>
      </c>
    </row>
    <row r="1105" spans="1:58" ht="41.25" customHeight="1" x14ac:dyDescent="0.25">
      <c r="A1105" s="8" t="s">
        <v>5</v>
      </c>
      <c r="B1105" s="1" t="s">
        <v>0</v>
      </c>
      <c r="C1105" s="1" t="s">
        <v>1</v>
      </c>
      <c r="D1105" s="1" t="s">
        <v>13367</v>
      </c>
      <c r="E1105" s="1" t="s">
        <v>13368</v>
      </c>
      <c r="F1105" s="1" t="s">
        <v>13369</v>
      </c>
      <c r="H1105" s="2" t="s">
        <v>5</v>
      </c>
      <c r="I1105" s="2" t="s">
        <v>6</v>
      </c>
      <c r="J1105" s="2" t="s">
        <v>5</v>
      </c>
      <c r="K1105" s="2" t="s">
        <v>5</v>
      </c>
      <c r="L1105" s="2" t="s">
        <v>7</v>
      </c>
      <c r="N1105" s="1" t="s">
        <v>1220</v>
      </c>
      <c r="O1105" s="2" t="s">
        <v>62</v>
      </c>
      <c r="Q1105" s="2" t="s">
        <v>11</v>
      </c>
      <c r="R1105" s="2" t="s">
        <v>12</v>
      </c>
      <c r="S1105" s="1" t="s">
        <v>13370</v>
      </c>
      <c r="T1105" s="2" t="s">
        <v>520</v>
      </c>
      <c r="U1105" s="3">
        <v>2</v>
      </c>
      <c r="V1105" s="3">
        <v>2</v>
      </c>
      <c r="W1105" s="4" t="s">
        <v>2659</v>
      </c>
      <c r="X1105" s="4" t="s">
        <v>2659</v>
      </c>
      <c r="Y1105" s="4" t="s">
        <v>1249</v>
      </c>
      <c r="Z1105" s="4" t="s">
        <v>1249</v>
      </c>
      <c r="AA1105" s="3">
        <v>80</v>
      </c>
      <c r="AB1105" s="3">
        <v>73</v>
      </c>
      <c r="AC1105" s="3">
        <v>73</v>
      </c>
      <c r="AD1105" s="3">
        <v>1</v>
      </c>
      <c r="AE1105" s="3">
        <v>1</v>
      </c>
      <c r="AF1105" s="3">
        <v>5</v>
      </c>
      <c r="AG1105" s="3">
        <v>5</v>
      </c>
      <c r="AH1105" s="3">
        <v>1</v>
      </c>
      <c r="AI1105" s="3">
        <v>1</v>
      </c>
      <c r="AJ1105" s="3">
        <v>1</v>
      </c>
      <c r="AK1105" s="3">
        <v>1</v>
      </c>
      <c r="AL1105" s="3">
        <v>4</v>
      </c>
      <c r="AM1105" s="3">
        <v>4</v>
      </c>
      <c r="AN1105" s="3">
        <v>0</v>
      </c>
      <c r="AO1105" s="3">
        <v>0</v>
      </c>
      <c r="AP1105" s="3">
        <v>0</v>
      </c>
      <c r="AQ1105" s="3">
        <v>0</v>
      </c>
      <c r="AR1105" s="2" t="s">
        <v>5</v>
      </c>
      <c r="AS1105" s="2" t="s">
        <v>5</v>
      </c>
      <c r="AU1105" s="5" t="str">
        <f>HYPERLINK("https://creighton-primo.hosted.exlibrisgroup.com/primo-explore/search?tab=default_tab&amp;search_scope=EVERYTHING&amp;vid=01CRU&amp;lang=en_US&amp;offset=0&amp;query=any,contains,991001386869702656","Catalog Record")</f>
        <v>Catalog Record</v>
      </c>
      <c r="AV1105" s="5" t="str">
        <f>HYPERLINK("http://www.worldcat.org/oclc/5196575","WorldCat Record")</f>
        <v>WorldCat Record</v>
      </c>
      <c r="AW1105" s="2" t="s">
        <v>13371</v>
      </c>
      <c r="AX1105" s="2" t="s">
        <v>13372</v>
      </c>
      <c r="AY1105" s="2" t="s">
        <v>13373</v>
      </c>
      <c r="AZ1105" s="2" t="s">
        <v>13373</v>
      </c>
      <c r="BA1105" s="2" t="s">
        <v>13374</v>
      </c>
      <c r="BB1105" s="2" t="s">
        <v>21</v>
      </c>
      <c r="BE1105" s="2" t="s">
        <v>13375</v>
      </c>
      <c r="BF1105" s="2" t="s">
        <v>13376</v>
      </c>
    </row>
    <row r="1106" spans="1:58" ht="41.25" customHeight="1" x14ac:dyDescent="0.25">
      <c r="A1106" s="8" t="s">
        <v>5</v>
      </c>
      <c r="B1106" s="1" t="s">
        <v>0</v>
      </c>
      <c r="C1106" s="1" t="s">
        <v>1</v>
      </c>
      <c r="D1106" s="1" t="s">
        <v>13377</v>
      </c>
      <c r="E1106" s="1" t="s">
        <v>13378</v>
      </c>
      <c r="F1106" s="1" t="s">
        <v>13379</v>
      </c>
      <c r="H1106" s="2" t="s">
        <v>5</v>
      </c>
      <c r="I1106" s="2" t="s">
        <v>6</v>
      </c>
      <c r="J1106" s="2" t="s">
        <v>5</v>
      </c>
      <c r="K1106" s="2" t="s">
        <v>5</v>
      </c>
      <c r="L1106" s="2" t="s">
        <v>7</v>
      </c>
      <c r="N1106" s="1" t="s">
        <v>13380</v>
      </c>
      <c r="O1106" s="2" t="s">
        <v>210</v>
      </c>
      <c r="P1106" s="1" t="s">
        <v>901</v>
      </c>
      <c r="Q1106" s="2" t="s">
        <v>11</v>
      </c>
      <c r="R1106" s="2" t="s">
        <v>1019</v>
      </c>
      <c r="T1106" s="2" t="s">
        <v>520</v>
      </c>
      <c r="U1106" s="3">
        <v>46</v>
      </c>
      <c r="V1106" s="3">
        <v>46</v>
      </c>
      <c r="W1106" s="4" t="s">
        <v>2139</v>
      </c>
      <c r="X1106" s="4" t="s">
        <v>2139</v>
      </c>
      <c r="Y1106" s="4" t="s">
        <v>13381</v>
      </c>
      <c r="Z1106" s="4" t="s">
        <v>13381</v>
      </c>
      <c r="AA1106" s="3">
        <v>219</v>
      </c>
      <c r="AB1106" s="3">
        <v>169</v>
      </c>
      <c r="AC1106" s="3">
        <v>434</v>
      </c>
      <c r="AD1106" s="3">
        <v>2</v>
      </c>
      <c r="AE1106" s="3">
        <v>3</v>
      </c>
      <c r="AF1106" s="3">
        <v>8</v>
      </c>
      <c r="AG1106" s="3">
        <v>15</v>
      </c>
      <c r="AH1106" s="3">
        <v>2</v>
      </c>
      <c r="AI1106" s="3">
        <v>4</v>
      </c>
      <c r="AJ1106" s="3">
        <v>4</v>
      </c>
      <c r="AK1106" s="3">
        <v>5</v>
      </c>
      <c r="AL1106" s="3">
        <v>2</v>
      </c>
      <c r="AM1106" s="3">
        <v>6</v>
      </c>
      <c r="AN1106" s="3">
        <v>1</v>
      </c>
      <c r="AO1106" s="3">
        <v>2</v>
      </c>
      <c r="AP1106" s="3">
        <v>0</v>
      </c>
      <c r="AQ1106" s="3">
        <v>0</v>
      </c>
      <c r="AR1106" s="2" t="s">
        <v>5</v>
      </c>
      <c r="AS1106" s="2" t="s">
        <v>16</v>
      </c>
      <c r="AT1106" s="5" t="str">
        <f>HYPERLINK("http://catalog.hathitrust.org/Record/002514612","HathiTrust Record")</f>
        <v>HathiTrust Record</v>
      </c>
      <c r="AU1106" s="5" t="str">
        <f>HYPERLINK("https://creighton-primo.hosted.exlibrisgroup.com/primo-explore/search?tab=default_tab&amp;search_scope=EVERYTHING&amp;vid=01CRU&amp;lang=en_US&amp;offset=0&amp;query=any,contains,991001338759702656","Catalog Record")</f>
        <v>Catalog Record</v>
      </c>
      <c r="AV1106" s="5" t="str">
        <f>HYPERLINK("http://www.worldcat.org/oclc/24247161","WorldCat Record")</f>
        <v>WorldCat Record</v>
      </c>
      <c r="AW1106" s="2" t="s">
        <v>13382</v>
      </c>
      <c r="AX1106" s="2" t="s">
        <v>13383</v>
      </c>
      <c r="AY1106" s="2" t="s">
        <v>13384</v>
      </c>
      <c r="AZ1106" s="2" t="s">
        <v>13384</v>
      </c>
      <c r="BA1106" s="2" t="s">
        <v>13385</v>
      </c>
      <c r="BB1106" s="2" t="s">
        <v>21</v>
      </c>
      <c r="BD1106" s="2" t="s">
        <v>13386</v>
      </c>
      <c r="BE1106" s="2" t="s">
        <v>13387</v>
      </c>
      <c r="BF1106" s="2" t="s">
        <v>13388</v>
      </c>
    </row>
    <row r="1107" spans="1:58" ht="41.25" customHeight="1" x14ac:dyDescent="0.25">
      <c r="A1107" s="8" t="s">
        <v>5</v>
      </c>
      <c r="B1107" s="1" t="s">
        <v>0</v>
      </c>
      <c r="C1107" s="1" t="s">
        <v>1</v>
      </c>
      <c r="D1107" s="1" t="s">
        <v>13389</v>
      </c>
      <c r="E1107" s="1" t="s">
        <v>13390</v>
      </c>
      <c r="F1107" s="1" t="s">
        <v>13391</v>
      </c>
      <c r="H1107" s="2" t="s">
        <v>5</v>
      </c>
      <c r="I1107" s="2" t="s">
        <v>6</v>
      </c>
      <c r="J1107" s="2" t="s">
        <v>5</v>
      </c>
      <c r="K1107" s="2" t="s">
        <v>5</v>
      </c>
      <c r="L1107" s="2" t="s">
        <v>7</v>
      </c>
      <c r="M1107" s="1" t="s">
        <v>13392</v>
      </c>
      <c r="N1107" s="1" t="s">
        <v>8320</v>
      </c>
      <c r="O1107" s="2" t="s">
        <v>888</v>
      </c>
      <c r="P1107" s="1" t="s">
        <v>13393</v>
      </c>
      <c r="Q1107" s="2" t="s">
        <v>11</v>
      </c>
      <c r="R1107" s="2" t="s">
        <v>12</v>
      </c>
      <c r="S1107" s="1" t="s">
        <v>13394</v>
      </c>
      <c r="T1107" s="2" t="s">
        <v>520</v>
      </c>
      <c r="U1107" s="3">
        <v>3</v>
      </c>
      <c r="V1107" s="3">
        <v>3</v>
      </c>
      <c r="W1107" s="4" t="s">
        <v>13395</v>
      </c>
      <c r="X1107" s="4" t="s">
        <v>13395</v>
      </c>
      <c r="Y1107" s="4" t="s">
        <v>197</v>
      </c>
      <c r="Z1107" s="4" t="s">
        <v>197</v>
      </c>
      <c r="AA1107" s="3">
        <v>98</v>
      </c>
      <c r="AB1107" s="3">
        <v>86</v>
      </c>
      <c r="AC1107" s="3">
        <v>90</v>
      </c>
      <c r="AD1107" s="3">
        <v>1</v>
      </c>
      <c r="AE1107" s="3">
        <v>1</v>
      </c>
      <c r="AF1107" s="3">
        <v>2</v>
      </c>
      <c r="AG1107" s="3">
        <v>3</v>
      </c>
      <c r="AH1107" s="3">
        <v>0</v>
      </c>
      <c r="AI1107" s="3">
        <v>1</v>
      </c>
      <c r="AJ1107" s="3">
        <v>2</v>
      </c>
      <c r="AK1107" s="3">
        <v>2</v>
      </c>
      <c r="AL1107" s="3">
        <v>2</v>
      </c>
      <c r="AM1107" s="3">
        <v>3</v>
      </c>
      <c r="AN1107" s="3">
        <v>0</v>
      </c>
      <c r="AO1107" s="3">
        <v>0</v>
      </c>
      <c r="AP1107" s="3">
        <v>0</v>
      </c>
      <c r="AQ1107" s="3">
        <v>0</v>
      </c>
      <c r="AR1107" s="2" t="s">
        <v>5</v>
      </c>
      <c r="AS1107" s="2" t="s">
        <v>5</v>
      </c>
      <c r="AU1107" s="5" t="str">
        <f>HYPERLINK("https://creighton-primo.hosted.exlibrisgroup.com/primo-explore/search?tab=default_tab&amp;search_scope=EVERYTHING&amp;vid=01CRU&amp;lang=en_US&amp;offset=0&amp;query=any,contains,991001151089702656","Catalog Record")</f>
        <v>Catalog Record</v>
      </c>
      <c r="AV1107" s="5" t="str">
        <f>HYPERLINK("http://www.worldcat.org/oclc/10700351","WorldCat Record")</f>
        <v>WorldCat Record</v>
      </c>
      <c r="AW1107" s="2" t="s">
        <v>13396</v>
      </c>
      <c r="AX1107" s="2" t="s">
        <v>13397</v>
      </c>
      <c r="AY1107" s="2" t="s">
        <v>13398</v>
      </c>
      <c r="AZ1107" s="2" t="s">
        <v>13398</v>
      </c>
      <c r="BA1107" s="2" t="s">
        <v>13399</v>
      </c>
      <c r="BB1107" s="2" t="s">
        <v>21</v>
      </c>
      <c r="BD1107" s="2" t="s">
        <v>13400</v>
      </c>
      <c r="BE1107" s="2" t="s">
        <v>13401</v>
      </c>
      <c r="BF1107" s="2" t="s">
        <v>13402</v>
      </c>
    </row>
    <row r="1108" spans="1:58" ht="41.25" customHeight="1" x14ac:dyDescent="0.25">
      <c r="A1108" s="8" t="s">
        <v>5</v>
      </c>
      <c r="B1108" s="1" t="s">
        <v>0</v>
      </c>
      <c r="C1108" s="1" t="s">
        <v>1</v>
      </c>
      <c r="D1108" s="1" t="s">
        <v>13403</v>
      </c>
      <c r="E1108" s="1" t="s">
        <v>13404</v>
      </c>
      <c r="F1108" s="1" t="s">
        <v>13405</v>
      </c>
      <c r="H1108" s="2" t="s">
        <v>5</v>
      </c>
      <c r="I1108" s="2" t="s">
        <v>6</v>
      </c>
      <c r="J1108" s="2" t="s">
        <v>5</v>
      </c>
      <c r="K1108" s="2" t="s">
        <v>5</v>
      </c>
      <c r="L1108" s="2" t="s">
        <v>7</v>
      </c>
      <c r="N1108" s="1" t="s">
        <v>1403</v>
      </c>
      <c r="O1108" s="2" t="s">
        <v>62</v>
      </c>
      <c r="Q1108" s="2" t="s">
        <v>11</v>
      </c>
      <c r="R1108" s="2" t="s">
        <v>12</v>
      </c>
      <c r="S1108" s="1" t="s">
        <v>13406</v>
      </c>
      <c r="T1108" s="2" t="s">
        <v>520</v>
      </c>
      <c r="U1108" s="3">
        <v>1</v>
      </c>
      <c r="V1108" s="3">
        <v>1</v>
      </c>
      <c r="W1108" s="4" t="s">
        <v>2775</v>
      </c>
      <c r="X1108" s="4" t="s">
        <v>2775</v>
      </c>
      <c r="Y1108" s="4" t="s">
        <v>1444</v>
      </c>
      <c r="Z1108" s="4" t="s">
        <v>1444</v>
      </c>
      <c r="AA1108" s="3">
        <v>79</v>
      </c>
      <c r="AB1108" s="3">
        <v>72</v>
      </c>
      <c r="AC1108" s="3">
        <v>74</v>
      </c>
      <c r="AD1108" s="3">
        <v>1</v>
      </c>
      <c r="AE1108" s="3">
        <v>1</v>
      </c>
      <c r="AF1108" s="3">
        <v>2</v>
      </c>
      <c r="AG1108" s="3">
        <v>2</v>
      </c>
      <c r="AH1108" s="3">
        <v>1</v>
      </c>
      <c r="AI1108" s="3">
        <v>1</v>
      </c>
      <c r="AJ1108" s="3">
        <v>0</v>
      </c>
      <c r="AK1108" s="3">
        <v>0</v>
      </c>
      <c r="AL1108" s="3">
        <v>1</v>
      </c>
      <c r="AM1108" s="3">
        <v>1</v>
      </c>
      <c r="AN1108" s="3">
        <v>0</v>
      </c>
      <c r="AO1108" s="3">
        <v>0</v>
      </c>
      <c r="AP1108" s="3">
        <v>0</v>
      </c>
      <c r="AQ1108" s="3">
        <v>0</v>
      </c>
      <c r="AR1108" s="2" t="s">
        <v>5</v>
      </c>
      <c r="AS1108" s="2" t="s">
        <v>16</v>
      </c>
      <c r="AT1108" s="5" t="str">
        <f>HYPERLINK("http://catalog.hathitrust.org/Record/000718842","HathiTrust Record")</f>
        <v>HathiTrust Record</v>
      </c>
      <c r="AU1108" s="5" t="str">
        <f>HYPERLINK("https://creighton-primo.hosted.exlibrisgroup.com/primo-explore/search?tab=default_tab&amp;search_scope=EVERYTHING&amp;vid=01CRU&amp;lang=en_US&amp;offset=0&amp;query=any,contains,991001517409702656","Catalog Record")</f>
        <v>Catalog Record</v>
      </c>
      <c r="AV1108" s="5" t="str">
        <f>HYPERLINK("http://www.worldcat.org/oclc/5863650","WorldCat Record")</f>
        <v>WorldCat Record</v>
      </c>
      <c r="AW1108" s="2" t="s">
        <v>13407</v>
      </c>
      <c r="AX1108" s="2" t="s">
        <v>13408</v>
      </c>
      <c r="AY1108" s="2" t="s">
        <v>13409</v>
      </c>
      <c r="AZ1108" s="2" t="s">
        <v>13409</v>
      </c>
      <c r="BA1108" s="2" t="s">
        <v>13410</v>
      </c>
      <c r="BB1108" s="2" t="s">
        <v>21</v>
      </c>
      <c r="BE1108" s="2" t="s">
        <v>13411</v>
      </c>
      <c r="BF1108" s="2" t="s">
        <v>13412</v>
      </c>
    </row>
    <row r="1109" spans="1:58" ht="41.25" customHeight="1" x14ac:dyDescent="0.25">
      <c r="A1109" s="8" t="s">
        <v>5</v>
      </c>
      <c r="B1109" s="1" t="s">
        <v>0</v>
      </c>
      <c r="C1109" s="1" t="s">
        <v>1</v>
      </c>
      <c r="D1109" s="1" t="s">
        <v>13413</v>
      </c>
      <c r="E1109" s="1" t="s">
        <v>13414</v>
      </c>
      <c r="F1109" s="1" t="s">
        <v>13415</v>
      </c>
      <c r="H1109" s="2" t="s">
        <v>5</v>
      </c>
      <c r="I1109" s="2" t="s">
        <v>6</v>
      </c>
      <c r="J1109" s="2" t="s">
        <v>5</v>
      </c>
      <c r="K1109" s="2" t="s">
        <v>16</v>
      </c>
      <c r="L1109" s="2" t="s">
        <v>7</v>
      </c>
      <c r="M1109" s="1" t="s">
        <v>13416</v>
      </c>
      <c r="N1109" s="1" t="s">
        <v>13417</v>
      </c>
      <c r="O1109" s="2" t="s">
        <v>1046</v>
      </c>
      <c r="P1109" s="1" t="s">
        <v>901</v>
      </c>
      <c r="Q1109" s="2" t="s">
        <v>11</v>
      </c>
      <c r="R1109" s="2" t="s">
        <v>229</v>
      </c>
      <c r="T1109" s="2" t="s">
        <v>520</v>
      </c>
      <c r="U1109" s="3">
        <v>0</v>
      </c>
      <c r="V1109" s="3">
        <v>0</v>
      </c>
      <c r="W1109" s="4" t="s">
        <v>6571</v>
      </c>
      <c r="X1109" s="4" t="s">
        <v>6571</v>
      </c>
      <c r="Y1109" s="4" t="s">
        <v>6571</v>
      </c>
      <c r="Z1109" s="4" t="s">
        <v>6571</v>
      </c>
      <c r="AA1109" s="3">
        <v>463</v>
      </c>
      <c r="AB1109" s="3">
        <v>350</v>
      </c>
      <c r="AC1109" s="3">
        <v>698</v>
      </c>
      <c r="AD1109" s="3">
        <v>2</v>
      </c>
      <c r="AE1109" s="3">
        <v>3</v>
      </c>
      <c r="AF1109" s="3">
        <v>13</v>
      </c>
      <c r="AG1109" s="3">
        <v>28</v>
      </c>
      <c r="AH1109" s="3">
        <v>6</v>
      </c>
      <c r="AI1109" s="3">
        <v>12</v>
      </c>
      <c r="AJ1109" s="3">
        <v>2</v>
      </c>
      <c r="AK1109" s="3">
        <v>6</v>
      </c>
      <c r="AL1109" s="3">
        <v>6</v>
      </c>
      <c r="AM1109" s="3">
        <v>15</v>
      </c>
      <c r="AN1109" s="3">
        <v>1</v>
      </c>
      <c r="AO1109" s="3">
        <v>2</v>
      </c>
      <c r="AP1109" s="3">
        <v>0</v>
      </c>
      <c r="AQ1109" s="3">
        <v>0</v>
      </c>
      <c r="AR1109" s="2" t="s">
        <v>5</v>
      </c>
      <c r="AS1109" s="2" t="s">
        <v>16</v>
      </c>
      <c r="AT1109" s="5" t="str">
        <f>HYPERLINK("http://catalog.hathitrust.org/Record/004270214","HathiTrust Record")</f>
        <v>HathiTrust Record</v>
      </c>
      <c r="AU1109" s="5" t="str">
        <f>HYPERLINK("https://creighton-primo.hosted.exlibrisgroup.com/primo-explore/search?tab=default_tab&amp;search_scope=EVERYTHING&amp;vid=01CRU&amp;lang=en_US&amp;offset=0&amp;query=any,contains,991001723099702656","Catalog Record")</f>
        <v>Catalog Record</v>
      </c>
      <c r="AV1109" s="5" t="str">
        <f>HYPERLINK("http://www.worldcat.org/oclc/48773783","WorldCat Record")</f>
        <v>WorldCat Record</v>
      </c>
      <c r="AW1109" s="2" t="s">
        <v>13418</v>
      </c>
      <c r="AX1109" s="2" t="s">
        <v>13419</v>
      </c>
      <c r="AY1109" s="2" t="s">
        <v>13420</v>
      </c>
      <c r="AZ1109" s="2" t="s">
        <v>13420</v>
      </c>
      <c r="BA1109" s="2" t="s">
        <v>13421</v>
      </c>
      <c r="BB1109" s="2" t="s">
        <v>21</v>
      </c>
      <c r="BD1109" s="2" t="s">
        <v>13422</v>
      </c>
      <c r="BE1109" s="2" t="s">
        <v>13423</v>
      </c>
      <c r="BF1109" s="2" t="s">
        <v>13424</v>
      </c>
    </row>
    <row r="1110" spans="1:58" ht="41.25" customHeight="1" x14ac:dyDescent="0.25">
      <c r="A1110" s="8" t="s">
        <v>5</v>
      </c>
      <c r="B1110" s="1" t="s">
        <v>0</v>
      </c>
      <c r="C1110" s="1" t="s">
        <v>1</v>
      </c>
      <c r="D1110" s="1" t="s">
        <v>13425</v>
      </c>
      <c r="E1110" s="1" t="s">
        <v>13426</v>
      </c>
      <c r="F1110" s="1" t="s">
        <v>13427</v>
      </c>
      <c r="H1110" s="2" t="s">
        <v>5</v>
      </c>
      <c r="I1110" s="2" t="s">
        <v>6</v>
      </c>
      <c r="J1110" s="2" t="s">
        <v>5</v>
      </c>
      <c r="K1110" s="2" t="s">
        <v>16</v>
      </c>
      <c r="L1110" s="2" t="s">
        <v>7</v>
      </c>
      <c r="M1110" s="1" t="s">
        <v>13428</v>
      </c>
      <c r="N1110" s="1" t="s">
        <v>13429</v>
      </c>
      <c r="O1110" s="2" t="s">
        <v>1060</v>
      </c>
      <c r="P1110" s="1" t="s">
        <v>211</v>
      </c>
      <c r="Q1110" s="2" t="s">
        <v>11</v>
      </c>
      <c r="R1110" s="2" t="s">
        <v>78</v>
      </c>
      <c r="T1110" s="2" t="s">
        <v>520</v>
      </c>
      <c r="U1110" s="3">
        <v>1</v>
      </c>
      <c r="V1110" s="3">
        <v>1</v>
      </c>
      <c r="W1110" s="4" t="s">
        <v>13430</v>
      </c>
      <c r="X1110" s="4" t="s">
        <v>13430</v>
      </c>
      <c r="Y1110" s="4" t="s">
        <v>13431</v>
      </c>
      <c r="Z1110" s="4" t="s">
        <v>13431</v>
      </c>
      <c r="AA1110" s="3">
        <v>269</v>
      </c>
      <c r="AB1110" s="3">
        <v>207</v>
      </c>
      <c r="AC1110" s="3">
        <v>1138</v>
      </c>
      <c r="AD1110" s="3">
        <v>3</v>
      </c>
      <c r="AE1110" s="3">
        <v>33</v>
      </c>
      <c r="AF1110" s="3">
        <v>8</v>
      </c>
      <c r="AG1110" s="3">
        <v>51</v>
      </c>
      <c r="AH1110" s="3">
        <v>4</v>
      </c>
      <c r="AI1110" s="3">
        <v>18</v>
      </c>
      <c r="AJ1110" s="3">
        <v>0</v>
      </c>
      <c r="AK1110" s="3">
        <v>8</v>
      </c>
      <c r="AL1110" s="3">
        <v>4</v>
      </c>
      <c r="AM1110" s="3">
        <v>15</v>
      </c>
      <c r="AN1110" s="3">
        <v>2</v>
      </c>
      <c r="AO1110" s="3">
        <v>16</v>
      </c>
      <c r="AP1110" s="3">
        <v>0</v>
      </c>
      <c r="AQ1110" s="3">
        <v>1</v>
      </c>
      <c r="AR1110" s="2" t="s">
        <v>5</v>
      </c>
      <c r="AS1110" s="2" t="s">
        <v>5</v>
      </c>
      <c r="AU1110" s="5" t="str">
        <f>HYPERLINK("https://creighton-primo.hosted.exlibrisgroup.com/primo-explore/search?tab=default_tab&amp;search_scope=EVERYTHING&amp;vid=01CRU&amp;lang=en_US&amp;offset=0&amp;query=any,contains,991000444819702656","Catalog Record")</f>
        <v>Catalog Record</v>
      </c>
      <c r="AV1110" s="5" t="str">
        <f>HYPERLINK("http://www.worldcat.org/oclc/57682434","WorldCat Record")</f>
        <v>WorldCat Record</v>
      </c>
      <c r="AW1110" s="2" t="s">
        <v>13432</v>
      </c>
      <c r="AX1110" s="2" t="s">
        <v>13433</v>
      </c>
      <c r="AY1110" s="2" t="s">
        <v>13434</v>
      </c>
      <c r="AZ1110" s="2" t="s">
        <v>13434</v>
      </c>
      <c r="BA1110" s="2" t="s">
        <v>13435</v>
      </c>
      <c r="BB1110" s="2" t="s">
        <v>21</v>
      </c>
      <c r="BD1110" s="2" t="s">
        <v>13436</v>
      </c>
      <c r="BE1110" s="2" t="s">
        <v>13437</v>
      </c>
      <c r="BF1110" s="2" t="s">
        <v>13438</v>
      </c>
    </row>
    <row r="1111" spans="1:58" ht="41.25" customHeight="1" x14ac:dyDescent="0.25">
      <c r="A1111" s="8" t="s">
        <v>5</v>
      </c>
      <c r="B1111" s="1" t="s">
        <v>0</v>
      </c>
      <c r="C1111" s="1" t="s">
        <v>1</v>
      </c>
      <c r="D1111" s="1" t="s">
        <v>13439</v>
      </c>
      <c r="E1111" s="1" t="s">
        <v>13440</v>
      </c>
      <c r="F1111" s="1" t="s">
        <v>13441</v>
      </c>
      <c r="H1111" s="2" t="s">
        <v>5</v>
      </c>
      <c r="I1111" s="2" t="s">
        <v>6</v>
      </c>
      <c r="J1111" s="2" t="s">
        <v>5</v>
      </c>
      <c r="K1111" s="2" t="s">
        <v>5</v>
      </c>
      <c r="L1111" s="2" t="s">
        <v>7</v>
      </c>
      <c r="N1111" s="1" t="s">
        <v>13442</v>
      </c>
      <c r="O1111" s="2" t="s">
        <v>10</v>
      </c>
      <c r="Q1111" s="2" t="s">
        <v>11</v>
      </c>
      <c r="R1111" s="2" t="s">
        <v>1427</v>
      </c>
      <c r="T1111" s="2" t="s">
        <v>520</v>
      </c>
      <c r="U1111" s="3">
        <v>2</v>
      </c>
      <c r="V1111" s="3">
        <v>2</v>
      </c>
      <c r="W1111" s="4" t="s">
        <v>13301</v>
      </c>
      <c r="X1111" s="4" t="s">
        <v>13301</v>
      </c>
      <c r="Y1111" s="4" t="s">
        <v>197</v>
      </c>
      <c r="Z1111" s="4" t="s">
        <v>197</v>
      </c>
      <c r="AA1111" s="3">
        <v>114</v>
      </c>
      <c r="AB1111" s="3">
        <v>62</v>
      </c>
      <c r="AC1111" s="3">
        <v>62</v>
      </c>
      <c r="AD1111" s="3">
        <v>2</v>
      </c>
      <c r="AE1111" s="3">
        <v>2</v>
      </c>
      <c r="AF1111" s="3">
        <v>1</v>
      </c>
      <c r="AG1111" s="3">
        <v>1</v>
      </c>
      <c r="AH1111" s="3">
        <v>0</v>
      </c>
      <c r="AI1111" s="3">
        <v>0</v>
      </c>
      <c r="AJ1111" s="3">
        <v>0</v>
      </c>
      <c r="AK1111" s="3">
        <v>0</v>
      </c>
      <c r="AL1111" s="3">
        <v>0</v>
      </c>
      <c r="AM1111" s="3">
        <v>0</v>
      </c>
      <c r="AN1111" s="3">
        <v>1</v>
      </c>
      <c r="AO1111" s="3">
        <v>1</v>
      </c>
      <c r="AP1111" s="3">
        <v>0</v>
      </c>
      <c r="AQ1111" s="3">
        <v>0</v>
      </c>
      <c r="AR1111" s="2" t="s">
        <v>5</v>
      </c>
      <c r="AS1111" s="2" t="s">
        <v>5</v>
      </c>
      <c r="AU1111" s="5" t="str">
        <f>HYPERLINK("https://creighton-primo.hosted.exlibrisgroup.com/primo-explore/search?tab=default_tab&amp;search_scope=EVERYTHING&amp;vid=01CRU&amp;lang=en_US&amp;offset=0&amp;query=any,contains,991001151279702656","Catalog Record")</f>
        <v>Catalog Record</v>
      </c>
      <c r="AV1111" s="5" t="str">
        <f>HYPERLINK("http://www.worldcat.org/oclc/3687180","WorldCat Record")</f>
        <v>WorldCat Record</v>
      </c>
      <c r="AW1111" s="2" t="s">
        <v>13443</v>
      </c>
      <c r="AX1111" s="2" t="s">
        <v>13444</v>
      </c>
      <c r="AY1111" s="2" t="s">
        <v>13445</v>
      </c>
      <c r="AZ1111" s="2" t="s">
        <v>13445</v>
      </c>
      <c r="BA1111" s="2" t="s">
        <v>13446</v>
      </c>
      <c r="BB1111" s="2" t="s">
        <v>21</v>
      </c>
      <c r="BD1111" s="2" t="s">
        <v>13447</v>
      </c>
      <c r="BE1111" s="2" t="s">
        <v>13448</v>
      </c>
      <c r="BF1111" s="2" t="s">
        <v>13449</v>
      </c>
    </row>
    <row r="1112" spans="1:58" ht="41.25" customHeight="1" x14ac:dyDescent="0.25">
      <c r="A1112" s="8" t="s">
        <v>5</v>
      </c>
      <c r="B1112" s="1" t="s">
        <v>0</v>
      </c>
      <c r="C1112" s="1" t="s">
        <v>1</v>
      </c>
      <c r="D1112" s="1" t="s">
        <v>13450</v>
      </c>
      <c r="E1112" s="1" t="s">
        <v>13451</v>
      </c>
      <c r="F1112" s="1" t="s">
        <v>13415</v>
      </c>
      <c r="H1112" s="2" t="s">
        <v>5</v>
      </c>
      <c r="I1112" s="2" t="s">
        <v>6</v>
      </c>
      <c r="J1112" s="2" t="s">
        <v>5</v>
      </c>
      <c r="K1112" s="2" t="s">
        <v>16</v>
      </c>
      <c r="L1112" s="2" t="s">
        <v>7</v>
      </c>
      <c r="M1112" s="1" t="s">
        <v>13416</v>
      </c>
      <c r="N1112" s="1" t="s">
        <v>7347</v>
      </c>
      <c r="O1112" s="2" t="s">
        <v>1283</v>
      </c>
      <c r="P1112" s="1" t="s">
        <v>211</v>
      </c>
      <c r="Q1112" s="2" t="s">
        <v>11</v>
      </c>
      <c r="R1112" s="2" t="s">
        <v>3356</v>
      </c>
      <c r="T1112" s="2" t="s">
        <v>520</v>
      </c>
      <c r="U1112" s="3">
        <v>7</v>
      </c>
      <c r="V1112" s="3">
        <v>7</v>
      </c>
      <c r="W1112" s="4" t="s">
        <v>13452</v>
      </c>
      <c r="X1112" s="4" t="s">
        <v>13452</v>
      </c>
      <c r="Y1112" s="4" t="s">
        <v>5219</v>
      </c>
      <c r="Z1112" s="4" t="s">
        <v>5219</v>
      </c>
      <c r="AA1112" s="3">
        <v>299</v>
      </c>
      <c r="AB1112" s="3">
        <v>237</v>
      </c>
      <c r="AC1112" s="3">
        <v>698</v>
      </c>
      <c r="AD1112" s="3">
        <v>1</v>
      </c>
      <c r="AE1112" s="3">
        <v>3</v>
      </c>
      <c r="AF1112" s="3">
        <v>12</v>
      </c>
      <c r="AG1112" s="3">
        <v>28</v>
      </c>
      <c r="AH1112" s="3">
        <v>5</v>
      </c>
      <c r="AI1112" s="3">
        <v>12</v>
      </c>
      <c r="AJ1112" s="3">
        <v>1</v>
      </c>
      <c r="AK1112" s="3">
        <v>6</v>
      </c>
      <c r="AL1112" s="3">
        <v>7</v>
      </c>
      <c r="AM1112" s="3">
        <v>15</v>
      </c>
      <c r="AN1112" s="3">
        <v>0</v>
      </c>
      <c r="AO1112" s="3">
        <v>2</v>
      </c>
      <c r="AP1112" s="3">
        <v>0</v>
      </c>
      <c r="AQ1112" s="3">
        <v>0</v>
      </c>
      <c r="AR1112" s="2" t="s">
        <v>5</v>
      </c>
      <c r="AS1112" s="2" t="s">
        <v>16</v>
      </c>
      <c r="AT1112" s="5" t="str">
        <f>HYPERLINK("http://catalog.hathitrust.org/Record/003115872","HathiTrust Record")</f>
        <v>HathiTrust Record</v>
      </c>
      <c r="AU1112" s="5" t="str">
        <f>HYPERLINK("https://creighton-primo.hosted.exlibrisgroup.com/primo-explore/search?tab=default_tab&amp;search_scope=EVERYTHING&amp;vid=01CRU&amp;lang=en_US&amp;offset=0&amp;query=any,contains,991000784159702656","Catalog Record")</f>
        <v>Catalog Record</v>
      </c>
      <c r="AV1112" s="5" t="str">
        <f>HYPERLINK("http://www.worldcat.org/oclc/35159234","WorldCat Record")</f>
        <v>WorldCat Record</v>
      </c>
      <c r="AW1112" s="2" t="s">
        <v>13418</v>
      </c>
      <c r="AX1112" s="2" t="s">
        <v>13453</v>
      </c>
      <c r="AY1112" s="2" t="s">
        <v>13454</v>
      </c>
      <c r="AZ1112" s="2" t="s">
        <v>13454</v>
      </c>
      <c r="BA1112" s="2" t="s">
        <v>13455</v>
      </c>
      <c r="BB1112" s="2" t="s">
        <v>21</v>
      </c>
      <c r="BD1112" s="2" t="s">
        <v>13456</v>
      </c>
      <c r="BE1112" s="2" t="s">
        <v>13457</v>
      </c>
      <c r="BF1112" s="2" t="s">
        <v>13458</v>
      </c>
    </row>
    <row r="1113" spans="1:58" ht="41.25" customHeight="1" x14ac:dyDescent="0.25">
      <c r="A1113" s="8" t="s">
        <v>5</v>
      </c>
      <c r="B1113" s="1" t="s">
        <v>0</v>
      </c>
      <c r="C1113" s="1" t="s">
        <v>1</v>
      </c>
      <c r="D1113" s="1" t="s">
        <v>13459</v>
      </c>
      <c r="E1113" s="1" t="s">
        <v>13460</v>
      </c>
      <c r="F1113" s="1" t="s">
        <v>13461</v>
      </c>
      <c r="H1113" s="2" t="s">
        <v>5</v>
      </c>
      <c r="I1113" s="2" t="s">
        <v>6</v>
      </c>
      <c r="J1113" s="2" t="s">
        <v>5</v>
      </c>
      <c r="K1113" s="2" t="s">
        <v>5</v>
      </c>
      <c r="L1113" s="2" t="s">
        <v>7</v>
      </c>
      <c r="M1113" s="1" t="s">
        <v>13462</v>
      </c>
      <c r="N1113" s="1" t="s">
        <v>13463</v>
      </c>
      <c r="O1113" s="2" t="s">
        <v>1391</v>
      </c>
      <c r="P1113" s="1" t="s">
        <v>901</v>
      </c>
      <c r="Q1113" s="2" t="s">
        <v>11</v>
      </c>
      <c r="R1113" s="2" t="s">
        <v>271</v>
      </c>
      <c r="T1113" s="2" t="s">
        <v>520</v>
      </c>
      <c r="U1113" s="3">
        <v>1</v>
      </c>
      <c r="V1113" s="3">
        <v>1</v>
      </c>
      <c r="W1113" s="4" t="s">
        <v>7416</v>
      </c>
      <c r="X1113" s="4" t="s">
        <v>7416</v>
      </c>
      <c r="Y1113" s="4" t="s">
        <v>7416</v>
      </c>
      <c r="Z1113" s="4" t="s">
        <v>7416</v>
      </c>
      <c r="AA1113" s="3">
        <v>354</v>
      </c>
      <c r="AB1113" s="3">
        <v>308</v>
      </c>
      <c r="AC1113" s="3">
        <v>630</v>
      </c>
      <c r="AD1113" s="3">
        <v>3</v>
      </c>
      <c r="AE1113" s="3">
        <v>4</v>
      </c>
      <c r="AF1113" s="3">
        <v>14</v>
      </c>
      <c r="AG1113" s="3">
        <v>27</v>
      </c>
      <c r="AH1113" s="3">
        <v>7</v>
      </c>
      <c r="AI1113" s="3">
        <v>11</v>
      </c>
      <c r="AJ1113" s="3">
        <v>1</v>
      </c>
      <c r="AK1113" s="3">
        <v>6</v>
      </c>
      <c r="AL1113" s="3">
        <v>6</v>
      </c>
      <c r="AM1113" s="3">
        <v>14</v>
      </c>
      <c r="AN1113" s="3">
        <v>2</v>
      </c>
      <c r="AO1113" s="3">
        <v>3</v>
      </c>
      <c r="AP1113" s="3">
        <v>0</v>
      </c>
      <c r="AQ1113" s="3">
        <v>0</v>
      </c>
      <c r="AR1113" s="2" t="s">
        <v>5</v>
      </c>
      <c r="AS1113" s="2" t="s">
        <v>16</v>
      </c>
      <c r="AT1113" s="5" t="str">
        <f>HYPERLINK("http://catalog.hathitrust.org/Record/004373540","HathiTrust Record")</f>
        <v>HathiTrust Record</v>
      </c>
      <c r="AU1113" s="5" t="str">
        <f>HYPERLINK("https://creighton-primo.hosted.exlibrisgroup.com/primo-explore/search?tab=default_tab&amp;search_scope=EVERYTHING&amp;vid=01CRU&amp;lang=en_US&amp;offset=0&amp;query=any,contains,991001729659702656","Catalog Record")</f>
        <v>Catalog Record</v>
      </c>
      <c r="AV1113" s="5" t="str">
        <f>HYPERLINK("http://www.worldcat.org/oclc/53179028","WorldCat Record")</f>
        <v>WorldCat Record</v>
      </c>
      <c r="AW1113" s="2" t="s">
        <v>13464</v>
      </c>
      <c r="AX1113" s="2" t="s">
        <v>13465</v>
      </c>
      <c r="AY1113" s="2" t="s">
        <v>13466</v>
      </c>
      <c r="AZ1113" s="2" t="s">
        <v>13466</v>
      </c>
      <c r="BA1113" s="2" t="s">
        <v>13467</v>
      </c>
      <c r="BB1113" s="2" t="s">
        <v>21</v>
      </c>
      <c r="BD1113" s="2" t="s">
        <v>13468</v>
      </c>
      <c r="BE1113" s="2" t="s">
        <v>13469</v>
      </c>
      <c r="BF1113" s="2" t="s">
        <v>13470</v>
      </c>
    </row>
    <row r="1114" spans="1:58" ht="41.25" customHeight="1" x14ac:dyDescent="0.25">
      <c r="A1114" s="8" t="s">
        <v>5</v>
      </c>
      <c r="B1114" s="1" t="s">
        <v>0</v>
      </c>
      <c r="C1114" s="1" t="s">
        <v>1</v>
      </c>
      <c r="D1114" s="1" t="s">
        <v>13471</v>
      </c>
      <c r="E1114" s="1" t="s">
        <v>13472</v>
      </c>
      <c r="F1114" s="1" t="s">
        <v>13473</v>
      </c>
      <c r="H1114" s="2" t="s">
        <v>5</v>
      </c>
      <c r="I1114" s="2" t="s">
        <v>6</v>
      </c>
      <c r="J1114" s="2" t="s">
        <v>5</v>
      </c>
      <c r="K1114" s="2" t="s">
        <v>5</v>
      </c>
      <c r="L1114" s="2" t="s">
        <v>7</v>
      </c>
      <c r="N1114" s="1" t="s">
        <v>13474</v>
      </c>
      <c r="O1114" s="2" t="s">
        <v>748</v>
      </c>
      <c r="Q1114" s="2" t="s">
        <v>11</v>
      </c>
      <c r="R1114" s="2" t="s">
        <v>12</v>
      </c>
      <c r="T1114" s="2" t="s">
        <v>520</v>
      </c>
      <c r="U1114" s="3">
        <v>1</v>
      </c>
      <c r="V1114" s="3">
        <v>1</v>
      </c>
      <c r="W1114" s="4" t="s">
        <v>2225</v>
      </c>
      <c r="X1114" s="4" t="s">
        <v>2225</v>
      </c>
      <c r="Y1114" s="4" t="s">
        <v>2226</v>
      </c>
      <c r="Z1114" s="4" t="s">
        <v>2226</v>
      </c>
      <c r="AA1114" s="3">
        <v>72</v>
      </c>
      <c r="AB1114" s="3">
        <v>63</v>
      </c>
      <c r="AC1114" s="3">
        <v>70</v>
      </c>
      <c r="AD1114" s="3">
        <v>1</v>
      </c>
      <c r="AE1114" s="3">
        <v>1</v>
      </c>
      <c r="AF1114" s="3">
        <v>3</v>
      </c>
      <c r="AG1114" s="3">
        <v>3</v>
      </c>
      <c r="AH1114" s="3">
        <v>1</v>
      </c>
      <c r="AI1114" s="3">
        <v>1</v>
      </c>
      <c r="AJ1114" s="3">
        <v>1</v>
      </c>
      <c r="AK1114" s="3">
        <v>1</v>
      </c>
      <c r="AL1114" s="3">
        <v>1</v>
      </c>
      <c r="AM1114" s="3">
        <v>1</v>
      </c>
      <c r="AN1114" s="3">
        <v>0</v>
      </c>
      <c r="AO1114" s="3">
        <v>0</v>
      </c>
      <c r="AP1114" s="3">
        <v>0</v>
      </c>
      <c r="AQ1114" s="3">
        <v>0</v>
      </c>
      <c r="AR1114" s="2" t="s">
        <v>16</v>
      </c>
      <c r="AS1114" s="2" t="s">
        <v>5</v>
      </c>
      <c r="AT1114" s="5" t="str">
        <f>HYPERLINK("http://catalog.hathitrust.org/Record/001574812","HathiTrust Record")</f>
        <v>HathiTrust Record</v>
      </c>
      <c r="AU1114" s="5" t="str">
        <f>HYPERLINK("https://creighton-primo.hosted.exlibrisgroup.com/primo-explore/search?tab=default_tab&amp;search_scope=EVERYTHING&amp;vid=01CRU&amp;lang=en_US&amp;offset=0&amp;query=any,contains,991001517979702656","Catalog Record")</f>
        <v>Catalog Record</v>
      </c>
      <c r="AV1114" s="5" t="str">
        <f>HYPERLINK("http://www.worldcat.org/oclc/2560478","WorldCat Record")</f>
        <v>WorldCat Record</v>
      </c>
      <c r="AW1114" s="2" t="s">
        <v>13475</v>
      </c>
      <c r="AX1114" s="2" t="s">
        <v>13476</v>
      </c>
      <c r="AY1114" s="2" t="s">
        <v>13477</v>
      </c>
      <c r="AZ1114" s="2" t="s">
        <v>13477</v>
      </c>
      <c r="BA1114" s="2" t="s">
        <v>13478</v>
      </c>
      <c r="BB1114" s="2" t="s">
        <v>21</v>
      </c>
      <c r="BE1114" s="2" t="s">
        <v>13479</v>
      </c>
      <c r="BF1114" s="2" t="s">
        <v>13480</v>
      </c>
    </row>
    <row r="1115" spans="1:58" ht="41.25" customHeight="1" x14ac:dyDescent="0.25">
      <c r="A1115" s="8" t="s">
        <v>5</v>
      </c>
      <c r="B1115" s="1" t="s">
        <v>0</v>
      </c>
      <c r="C1115" s="1" t="s">
        <v>1</v>
      </c>
      <c r="D1115" s="1" t="s">
        <v>13481</v>
      </c>
      <c r="E1115" s="1" t="s">
        <v>13482</v>
      </c>
      <c r="F1115" s="1" t="s">
        <v>13483</v>
      </c>
      <c r="H1115" s="2" t="s">
        <v>5</v>
      </c>
      <c r="I1115" s="2" t="s">
        <v>6</v>
      </c>
      <c r="J1115" s="2" t="s">
        <v>5</v>
      </c>
      <c r="K1115" s="2" t="s">
        <v>5</v>
      </c>
      <c r="L1115" s="2" t="s">
        <v>7</v>
      </c>
      <c r="M1115" s="1" t="s">
        <v>13484</v>
      </c>
      <c r="N1115" s="1" t="s">
        <v>13485</v>
      </c>
      <c r="O1115" s="2" t="s">
        <v>1339</v>
      </c>
      <c r="P1115" s="1" t="s">
        <v>211</v>
      </c>
      <c r="Q1115" s="2" t="s">
        <v>11</v>
      </c>
      <c r="R1115" s="2" t="s">
        <v>426</v>
      </c>
      <c r="T1115" s="2" t="s">
        <v>520</v>
      </c>
      <c r="U1115" s="3">
        <v>13</v>
      </c>
      <c r="V1115" s="3">
        <v>13</v>
      </c>
      <c r="W1115" s="4" t="s">
        <v>7428</v>
      </c>
      <c r="X1115" s="4" t="s">
        <v>7428</v>
      </c>
      <c r="Y1115" s="4" t="s">
        <v>13486</v>
      </c>
      <c r="Z1115" s="4" t="s">
        <v>13486</v>
      </c>
      <c r="AA1115" s="3">
        <v>161</v>
      </c>
      <c r="AB1115" s="3">
        <v>130</v>
      </c>
      <c r="AC1115" s="3">
        <v>178</v>
      </c>
      <c r="AD1115" s="3">
        <v>1</v>
      </c>
      <c r="AE1115" s="3">
        <v>1</v>
      </c>
      <c r="AF1115" s="3">
        <v>4</v>
      </c>
      <c r="AG1115" s="3">
        <v>7</v>
      </c>
      <c r="AH1115" s="3">
        <v>1</v>
      </c>
      <c r="AI1115" s="3">
        <v>1</v>
      </c>
      <c r="AJ1115" s="3">
        <v>0</v>
      </c>
      <c r="AK1115" s="3">
        <v>3</v>
      </c>
      <c r="AL1115" s="3">
        <v>4</v>
      </c>
      <c r="AM1115" s="3">
        <v>5</v>
      </c>
      <c r="AN1115" s="3">
        <v>0</v>
      </c>
      <c r="AO1115" s="3">
        <v>0</v>
      </c>
      <c r="AP1115" s="3">
        <v>0</v>
      </c>
      <c r="AQ1115" s="3">
        <v>0</v>
      </c>
      <c r="AR1115" s="2" t="s">
        <v>5</v>
      </c>
      <c r="AS1115" s="2" t="s">
        <v>16</v>
      </c>
      <c r="AT1115" s="5" t="str">
        <f>HYPERLINK("http://catalog.hathitrust.org/Record/000820886","HathiTrust Record")</f>
        <v>HathiTrust Record</v>
      </c>
      <c r="AU1115" s="5" t="str">
        <f>HYPERLINK("https://creighton-primo.hosted.exlibrisgroup.com/primo-explore/search?tab=default_tab&amp;search_scope=EVERYTHING&amp;vid=01CRU&amp;lang=en_US&amp;offset=0&amp;query=any,contains,991001264779702656","Catalog Record")</f>
        <v>Catalog Record</v>
      </c>
      <c r="AV1115" s="5" t="str">
        <f>HYPERLINK("http://www.worldcat.org/oclc/14128081","WorldCat Record")</f>
        <v>WorldCat Record</v>
      </c>
      <c r="AW1115" s="2" t="s">
        <v>13487</v>
      </c>
      <c r="AX1115" s="2" t="s">
        <v>13488</v>
      </c>
      <c r="AY1115" s="2" t="s">
        <v>13489</v>
      </c>
      <c r="AZ1115" s="2" t="s">
        <v>13489</v>
      </c>
      <c r="BA1115" s="2" t="s">
        <v>13490</v>
      </c>
      <c r="BB1115" s="2" t="s">
        <v>21</v>
      </c>
      <c r="BD1115" s="2" t="s">
        <v>13491</v>
      </c>
      <c r="BE1115" s="2" t="s">
        <v>13492</v>
      </c>
      <c r="BF1115" s="2" t="s">
        <v>13493</v>
      </c>
    </row>
    <row r="1116" spans="1:58" ht="41.25" customHeight="1" x14ac:dyDescent="0.25">
      <c r="A1116" s="8" t="s">
        <v>5</v>
      </c>
      <c r="B1116" s="1" t="s">
        <v>0</v>
      </c>
      <c r="C1116" s="1" t="s">
        <v>1</v>
      </c>
      <c r="D1116" s="1" t="s">
        <v>13494</v>
      </c>
      <c r="E1116" s="1" t="s">
        <v>13495</v>
      </c>
      <c r="F1116" s="1" t="s">
        <v>13496</v>
      </c>
      <c r="H1116" s="2" t="s">
        <v>5</v>
      </c>
      <c r="I1116" s="2" t="s">
        <v>6</v>
      </c>
      <c r="J1116" s="2" t="s">
        <v>5</v>
      </c>
      <c r="K1116" s="2" t="s">
        <v>5</v>
      </c>
      <c r="L1116" s="2" t="s">
        <v>7</v>
      </c>
      <c r="N1116" s="1" t="s">
        <v>1403</v>
      </c>
      <c r="O1116" s="2" t="s">
        <v>62</v>
      </c>
      <c r="Q1116" s="2" t="s">
        <v>11</v>
      </c>
      <c r="R1116" s="2" t="s">
        <v>12</v>
      </c>
      <c r="S1116" s="1" t="s">
        <v>13497</v>
      </c>
      <c r="T1116" s="2" t="s">
        <v>520</v>
      </c>
      <c r="U1116" s="3">
        <v>4</v>
      </c>
      <c r="V1116" s="3">
        <v>4</v>
      </c>
      <c r="W1116" s="4" t="s">
        <v>2775</v>
      </c>
      <c r="X1116" s="4" t="s">
        <v>2775</v>
      </c>
      <c r="Y1116" s="4" t="s">
        <v>1444</v>
      </c>
      <c r="Z1116" s="4" t="s">
        <v>1444</v>
      </c>
      <c r="AA1116" s="3">
        <v>90</v>
      </c>
      <c r="AB1116" s="3">
        <v>80</v>
      </c>
      <c r="AC1116" s="3">
        <v>82</v>
      </c>
      <c r="AD1116" s="3">
        <v>2</v>
      </c>
      <c r="AE1116" s="3">
        <v>2</v>
      </c>
      <c r="AF1116" s="3">
        <v>3</v>
      </c>
      <c r="AG1116" s="3">
        <v>3</v>
      </c>
      <c r="AH1116" s="3">
        <v>0</v>
      </c>
      <c r="AI1116" s="3">
        <v>0</v>
      </c>
      <c r="AJ1116" s="3">
        <v>0</v>
      </c>
      <c r="AK1116" s="3">
        <v>0</v>
      </c>
      <c r="AL1116" s="3">
        <v>2</v>
      </c>
      <c r="AM1116" s="3">
        <v>2</v>
      </c>
      <c r="AN1116" s="3">
        <v>1</v>
      </c>
      <c r="AO1116" s="3">
        <v>1</v>
      </c>
      <c r="AP1116" s="3">
        <v>0</v>
      </c>
      <c r="AQ1116" s="3">
        <v>0</v>
      </c>
      <c r="AR1116" s="2" t="s">
        <v>5</v>
      </c>
      <c r="AS1116" s="2" t="s">
        <v>16</v>
      </c>
      <c r="AT1116" s="5" t="str">
        <f>HYPERLINK("http://catalog.hathitrust.org/Record/000717816","HathiTrust Record")</f>
        <v>HathiTrust Record</v>
      </c>
      <c r="AU1116" s="5" t="str">
        <f>HYPERLINK("https://creighton-primo.hosted.exlibrisgroup.com/primo-explore/search?tab=default_tab&amp;search_scope=EVERYTHING&amp;vid=01CRU&amp;lang=en_US&amp;offset=0&amp;query=any,contains,991001517219702656","Catalog Record")</f>
        <v>Catalog Record</v>
      </c>
      <c r="AV1116" s="5" t="str">
        <f>HYPERLINK("http://www.worldcat.org/oclc/5863666","WorldCat Record")</f>
        <v>WorldCat Record</v>
      </c>
      <c r="AW1116" s="2" t="s">
        <v>13498</v>
      </c>
      <c r="AX1116" s="2" t="s">
        <v>13499</v>
      </c>
      <c r="AY1116" s="2" t="s">
        <v>13500</v>
      </c>
      <c r="AZ1116" s="2" t="s">
        <v>13500</v>
      </c>
      <c r="BA1116" s="2" t="s">
        <v>13501</v>
      </c>
      <c r="BB1116" s="2" t="s">
        <v>21</v>
      </c>
      <c r="BE1116" s="2" t="s">
        <v>13502</v>
      </c>
      <c r="BF1116" s="2" t="s">
        <v>13503</v>
      </c>
    </row>
    <row r="1117" spans="1:58" ht="41.25" customHeight="1" x14ac:dyDescent="0.25">
      <c r="A1117" s="8" t="s">
        <v>5</v>
      </c>
      <c r="B1117" s="1" t="s">
        <v>0</v>
      </c>
      <c r="C1117" s="1" t="s">
        <v>1</v>
      </c>
      <c r="D1117" s="1" t="s">
        <v>13504</v>
      </c>
      <c r="E1117" s="1" t="s">
        <v>13505</v>
      </c>
      <c r="F1117" s="1" t="s">
        <v>13506</v>
      </c>
      <c r="H1117" s="2" t="s">
        <v>5</v>
      </c>
      <c r="I1117" s="2" t="s">
        <v>6</v>
      </c>
      <c r="J1117" s="2" t="s">
        <v>5</v>
      </c>
      <c r="K1117" s="2" t="s">
        <v>5</v>
      </c>
      <c r="L1117" s="2" t="s">
        <v>7</v>
      </c>
      <c r="M1117" s="1" t="s">
        <v>13507</v>
      </c>
      <c r="N1117" s="1" t="s">
        <v>13508</v>
      </c>
      <c r="O1117" s="2" t="s">
        <v>989</v>
      </c>
      <c r="Q1117" s="2" t="s">
        <v>11</v>
      </c>
      <c r="R1117" s="2" t="s">
        <v>426</v>
      </c>
      <c r="T1117" s="2" t="s">
        <v>520</v>
      </c>
      <c r="U1117" s="3">
        <v>4</v>
      </c>
      <c r="V1117" s="3">
        <v>4</v>
      </c>
      <c r="W1117" s="4" t="s">
        <v>13509</v>
      </c>
      <c r="X1117" s="4" t="s">
        <v>13509</v>
      </c>
      <c r="Y1117" s="4" t="s">
        <v>11712</v>
      </c>
      <c r="Z1117" s="4" t="s">
        <v>11712</v>
      </c>
      <c r="AA1117" s="3">
        <v>197</v>
      </c>
      <c r="AB1117" s="3">
        <v>174</v>
      </c>
      <c r="AC1117" s="3">
        <v>181</v>
      </c>
      <c r="AD1117" s="3">
        <v>1</v>
      </c>
      <c r="AE1117" s="3">
        <v>1</v>
      </c>
      <c r="AF1117" s="3">
        <v>10</v>
      </c>
      <c r="AG1117" s="3">
        <v>10</v>
      </c>
      <c r="AH1117" s="3">
        <v>2</v>
      </c>
      <c r="AI1117" s="3">
        <v>2</v>
      </c>
      <c r="AJ1117" s="3">
        <v>4</v>
      </c>
      <c r="AK1117" s="3">
        <v>4</v>
      </c>
      <c r="AL1117" s="3">
        <v>6</v>
      </c>
      <c r="AM1117" s="3">
        <v>6</v>
      </c>
      <c r="AN1117" s="3">
        <v>0</v>
      </c>
      <c r="AO1117" s="3">
        <v>0</v>
      </c>
      <c r="AP1117" s="3">
        <v>0</v>
      </c>
      <c r="AQ1117" s="3">
        <v>0</v>
      </c>
      <c r="AR1117" s="2" t="s">
        <v>5</v>
      </c>
      <c r="AS1117" s="2" t="s">
        <v>16</v>
      </c>
      <c r="AT1117" s="5" t="str">
        <f>HYPERLINK("http://catalog.hathitrust.org/Record/001838374","HathiTrust Record")</f>
        <v>HathiTrust Record</v>
      </c>
      <c r="AU1117" s="5" t="str">
        <f>HYPERLINK("https://creighton-primo.hosted.exlibrisgroup.com/primo-explore/search?tab=default_tab&amp;search_scope=EVERYTHING&amp;vid=01CRU&amp;lang=en_US&amp;offset=0&amp;query=any,contains,991001451329702656","Catalog Record")</f>
        <v>Catalog Record</v>
      </c>
      <c r="AV1117" s="5" t="str">
        <f>HYPERLINK("http://www.worldcat.org/oclc/20169714","WorldCat Record")</f>
        <v>WorldCat Record</v>
      </c>
      <c r="AW1117" s="2" t="s">
        <v>13510</v>
      </c>
      <c r="AX1117" s="2" t="s">
        <v>13511</v>
      </c>
      <c r="AY1117" s="2" t="s">
        <v>13512</v>
      </c>
      <c r="AZ1117" s="2" t="s">
        <v>13512</v>
      </c>
      <c r="BA1117" s="2" t="s">
        <v>13513</v>
      </c>
      <c r="BB1117" s="2" t="s">
        <v>21</v>
      </c>
      <c r="BD1117" s="2" t="s">
        <v>13514</v>
      </c>
      <c r="BE1117" s="2" t="s">
        <v>13515</v>
      </c>
      <c r="BF1117" s="2" t="s">
        <v>13516</v>
      </c>
    </row>
    <row r="1118" spans="1:58" ht="41.25" customHeight="1" x14ac:dyDescent="0.25">
      <c r="A1118" s="8" t="s">
        <v>5</v>
      </c>
      <c r="B1118" s="1" t="s">
        <v>0</v>
      </c>
      <c r="C1118" s="1" t="s">
        <v>1</v>
      </c>
      <c r="D1118" s="1" t="s">
        <v>13517</v>
      </c>
      <c r="E1118" s="1" t="s">
        <v>13518</v>
      </c>
      <c r="F1118" s="1" t="s">
        <v>13519</v>
      </c>
      <c r="H1118" s="2" t="s">
        <v>5</v>
      </c>
      <c r="I1118" s="2" t="s">
        <v>6</v>
      </c>
      <c r="J1118" s="2" t="s">
        <v>5</v>
      </c>
      <c r="K1118" s="2" t="s">
        <v>5</v>
      </c>
      <c r="L1118" s="2" t="s">
        <v>7</v>
      </c>
      <c r="N1118" s="1" t="s">
        <v>1985</v>
      </c>
      <c r="O1118" s="2" t="s">
        <v>151</v>
      </c>
      <c r="Q1118" s="2" t="s">
        <v>11</v>
      </c>
      <c r="R1118" s="2" t="s">
        <v>12</v>
      </c>
      <c r="S1118" s="1" t="s">
        <v>13520</v>
      </c>
      <c r="T1118" s="2" t="s">
        <v>520</v>
      </c>
      <c r="U1118" s="3">
        <v>4</v>
      </c>
      <c r="V1118" s="3">
        <v>4</v>
      </c>
      <c r="W1118" s="4" t="s">
        <v>5313</v>
      </c>
      <c r="X1118" s="4" t="s">
        <v>5313</v>
      </c>
      <c r="Y1118" s="4" t="s">
        <v>2425</v>
      </c>
      <c r="Z1118" s="4" t="s">
        <v>2425</v>
      </c>
      <c r="AA1118" s="3">
        <v>126</v>
      </c>
      <c r="AB1118" s="3">
        <v>116</v>
      </c>
      <c r="AC1118" s="3">
        <v>118</v>
      </c>
      <c r="AD1118" s="3">
        <v>2</v>
      </c>
      <c r="AE1118" s="3">
        <v>2</v>
      </c>
      <c r="AF1118" s="3">
        <v>5</v>
      </c>
      <c r="AG1118" s="3">
        <v>5</v>
      </c>
      <c r="AH1118" s="3">
        <v>0</v>
      </c>
      <c r="AI1118" s="3">
        <v>0</v>
      </c>
      <c r="AJ1118" s="3">
        <v>1</v>
      </c>
      <c r="AK1118" s="3">
        <v>1</v>
      </c>
      <c r="AL1118" s="3">
        <v>3</v>
      </c>
      <c r="AM1118" s="3">
        <v>3</v>
      </c>
      <c r="AN1118" s="3">
        <v>1</v>
      </c>
      <c r="AO1118" s="3">
        <v>1</v>
      </c>
      <c r="AP1118" s="3">
        <v>1</v>
      </c>
      <c r="AQ1118" s="3">
        <v>1</v>
      </c>
      <c r="AR1118" s="2" t="s">
        <v>5</v>
      </c>
      <c r="AS1118" s="2" t="s">
        <v>16</v>
      </c>
      <c r="AT1118" s="5" t="str">
        <f>HYPERLINK("http://catalog.hathitrust.org/Record/000741261","HathiTrust Record")</f>
        <v>HathiTrust Record</v>
      </c>
      <c r="AU1118" s="5" t="str">
        <f>HYPERLINK("https://creighton-primo.hosted.exlibrisgroup.com/primo-explore/search?tab=default_tab&amp;search_scope=EVERYTHING&amp;vid=01CRU&amp;lang=en_US&amp;offset=0&amp;query=any,contains,991001370069702656","Catalog Record")</f>
        <v>Catalog Record</v>
      </c>
      <c r="AV1118" s="5" t="str">
        <f>HYPERLINK("http://www.worldcat.org/oclc/2913613","WorldCat Record")</f>
        <v>WorldCat Record</v>
      </c>
      <c r="AW1118" s="2" t="s">
        <v>13521</v>
      </c>
      <c r="AX1118" s="2" t="s">
        <v>13522</v>
      </c>
      <c r="AY1118" s="2" t="s">
        <v>13523</v>
      </c>
      <c r="AZ1118" s="2" t="s">
        <v>13523</v>
      </c>
      <c r="BA1118" s="2" t="s">
        <v>13524</v>
      </c>
      <c r="BB1118" s="2" t="s">
        <v>21</v>
      </c>
      <c r="BE1118" s="2" t="s">
        <v>13525</v>
      </c>
      <c r="BF1118" s="2" t="s">
        <v>13526</v>
      </c>
    </row>
    <row r="1119" spans="1:58" ht="41.25" customHeight="1" x14ac:dyDescent="0.25">
      <c r="A1119" s="8" t="s">
        <v>5</v>
      </c>
      <c r="B1119" s="1" t="s">
        <v>0</v>
      </c>
      <c r="C1119" s="1" t="s">
        <v>1</v>
      </c>
      <c r="D1119" s="1" t="s">
        <v>13527</v>
      </c>
      <c r="E1119" s="1" t="s">
        <v>13528</v>
      </c>
      <c r="F1119" s="1" t="s">
        <v>13529</v>
      </c>
      <c r="H1119" s="2" t="s">
        <v>5</v>
      </c>
      <c r="I1119" s="2" t="s">
        <v>6</v>
      </c>
      <c r="J1119" s="2" t="s">
        <v>5</v>
      </c>
      <c r="K1119" s="2" t="s">
        <v>16</v>
      </c>
      <c r="L1119" s="2" t="s">
        <v>7</v>
      </c>
      <c r="N1119" s="1" t="s">
        <v>8689</v>
      </c>
      <c r="O1119" s="2" t="s">
        <v>601</v>
      </c>
      <c r="P1119" s="1" t="s">
        <v>355</v>
      </c>
      <c r="Q1119" s="2" t="s">
        <v>11</v>
      </c>
      <c r="R1119" s="2" t="s">
        <v>31</v>
      </c>
      <c r="T1119" s="2" t="s">
        <v>520</v>
      </c>
      <c r="U1119" s="3">
        <v>74</v>
      </c>
      <c r="V1119" s="3">
        <v>74</v>
      </c>
      <c r="W1119" s="4" t="s">
        <v>13301</v>
      </c>
      <c r="X1119" s="4" t="s">
        <v>13301</v>
      </c>
      <c r="Y1119" s="4" t="s">
        <v>8977</v>
      </c>
      <c r="Z1119" s="4" t="s">
        <v>8977</v>
      </c>
      <c r="AA1119" s="3">
        <v>221</v>
      </c>
      <c r="AB1119" s="3">
        <v>171</v>
      </c>
      <c r="AC1119" s="3">
        <v>737</v>
      </c>
      <c r="AD1119" s="3">
        <v>3</v>
      </c>
      <c r="AE1119" s="3">
        <v>4</v>
      </c>
      <c r="AF1119" s="3">
        <v>4</v>
      </c>
      <c r="AG1119" s="3">
        <v>28</v>
      </c>
      <c r="AH1119" s="3">
        <v>1</v>
      </c>
      <c r="AI1119" s="3">
        <v>11</v>
      </c>
      <c r="AJ1119" s="3">
        <v>0</v>
      </c>
      <c r="AK1119" s="3">
        <v>6</v>
      </c>
      <c r="AL1119" s="3">
        <v>3</v>
      </c>
      <c r="AM1119" s="3">
        <v>14</v>
      </c>
      <c r="AN1119" s="3">
        <v>1</v>
      </c>
      <c r="AO1119" s="3">
        <v>2</v>
      </c>
      <c r="AP1119" s="3">
        <v>0</v>
      </c>
      <c r="AQ1119" s="3">
        <v>0</v>
      </c>
      <c r="AR1119" s="2" t="s">
        <v>5</v>
      </c>
      <c r="AS1119" s="2" t="s">
        <v>16</v>
      </c>
      <c r="AT1119" s="5" t="str">
        <f>HYPERLINK("http://catalog.hathitrust.org/Record/002916539","HathiTrust Record")</f>
        <v>HathiTrust Record</v>
      </c>
      <c r="AU1119" s="5" t="str">
        <f>HYPERLINK("https://creighton-primo.hosted.exlibrisgroup.com/primo-explore/search?tab=default_tab&amp;search_scope=EVERYTHING&amp;vid=01CRU&amp;lang=en_US&amp;offset=0&amp;query=any,contains,991001403829702656","Catalog Record")</f>
        <v>Catalog Record</v>
      </c>
      <c r="AV1119" s="5" t="str">
        <f>HYPERLINK("http://www.worldcat.org/oclc/31288496","WorldCat Record")</f>
        <v>WorldCat Record</v>
      </c>
      <c r="AW1119" s="2" t="s">
        <v>13530</v>
      </c>
      <c r="AX1119" s="2" t="s">
        <v>13531</v>
      </c>
      <c r="AY1119" s="2" t="s">
        <v>13532</v>
      </c>
      <c r="AZ1119" s="2" t="s">
        <v>13532</v>
      </c>
      <c r="BA1119" s="2" t="s">
        <v>13533</v>
      </c>
      <c r="BB1119" s="2" t="s">
        <v>21</v>
      </c>
      <c r="BD1119" s="2" t="s">
        <v>13534</v>
      </c>
      <c r="BE1119" s="2" t="s">
        <v>13535</v>
      </c>
      <c r="BF1119" s="2" t="s">
        <v>13536</v>
      </c>
    </row>
    <row r="1120" spans="1:58" ht="41.25" customHeight="1" x14ac:dyDescent="0.25">
      <c r="A1120" s="8" t="s">
        <v>5</v>
      </c>
      <c r="B1120" s="1" t="s">
        <v>0</v>
      </c>
      <c r="C1120" s="1" t="s">
        <v>1</v>
      </c>
      <c r="D1120" s="1" t="s">
        <v>13537</v>
      </c>
      <c r="E1120" s="1" t="s">
        <v>13538</v>
      </c>
      <c r="F1120" s="1" t="s">
        <v>13539</v>
      </c>
      <c r="H1120" s="2" t="s">
        <v>5</v>
      </c>
      <c r="I1120" s="2" t="s">
        <v>6</v>
      </c>
      <c r="J1120" s="2" t="s">
        <v>5</v>
      </c>
      <c r="K1120" s="2" t="s">
        <v>16</v>
      </c>
      <c r="L1120" s="2" t="s">
        <v>7</v>
      </c>
      <c r="N1120" s="1" t="s">
        <v>13540</v>
      </c>
      <c r="O1120" s="2" t="s">
        <v>1004</v>
      </c>
      <c r="P1120" s="1" t="s">
        <v>211</v>
      </c>
      <c r="Q1120" s="2" t="s">
        <v>11</v>
      </c>
      <c r="R1120" s="2" t="s">
        <v>31</v>
      </c>
      <c r="T1120" s="2" t="s">
        <v>520</v>
      </c>
      <c r="U1120" s="3">
        <v>13</v>
      </c>
      <c r="V1120" s="3">
        <v>13</v>
      </c>
      <c r="W1120" s="4" t="s">
        <v>13541</v>
      </c>
      <c r="X1120" s="4" t="s">
        <v>13541</v>
      </c>
      <c r="Y1120" s="4" t="s">
        <v>13542</v>
      </c>
      <c r="Z1120" s="4" t="s">
        <v>13542</v>
      </c>
      <c r="AA1120" s="3">
        <v>248</v>
      </c>
      <c r="AB1120" s="3">
        <v>173</v>
      </c>
      <c r="AC1120" s="3">
        <v>737</v>
      </c>
      <c r="AD1120" s="3">
        <v>1</v>
      </c>
      <c r="AE1120" s="3">
        <v>4</v>
      </c>
      <c r="AF1120" s="3">
        <v>6</v>
      </c>
      <c r="AG1120" s="3">
        <v>28</v>
      </c>
      <c r="AH1120" s="3">
        <v>2</v>
      </c>
      <c r="AI1120" s="3">
        <v>11</v>
      </c>
      <c r="AJ1120" s="3">
        <v>2</v>
      </c>
      <c r="AK1120" s="3">
        <v>6</v>
      </c>
      <c r="AL1120" s="3">
        <v>3</v>
      </c>
      <c r="AM1120" s="3">
        <v>14</v>
      </c>
      <c r="AN1120" s="3">
        <v>0</v>
      </c>
      <c r="AO1120" s="3">
        <v>2</v>
      </c>
      <c r="AP1120" s="3">
        <v>0</v>
      </c>
      <c r="AQ1120" s="3">
        <v>0</v>
      </c>
      <c r="AR1120" s="2" t="s">
        <v>5</v>
      </c>
      <c r="AS1120" s="2" t="s">
        <v>16</v>
      </c>
      <c r="AT1120" s="5" t="str">
        <f>HYPERLINK("http://catalog.hathitrust.org/Record/004006438","HathiTrust Record")</f>
        <v>HathiTrust Record</v>
      </c>
      <c r="AU1120" s="5" t="str">
        <f>HYPERLINK("https://creighton-primo.hosted.exlibrisgroup.com/primo-explore/search?tab=default_tab&amp;search_scope=EVERYTHING&amp;vid=01CRU&amp;lang=en_US&amp;offset=0&amp;query=any,contains,991000784929702656","Catalog Record")</f>
        <v>Catalog Record</v>
      </c>
      <c r="AV1120" s="5" t="str">
        <f>HYPERLINK("http://www.worldcat.org/oclc/39539848","WorldCat Record")</f>
        <v>WorldCat Record</v>
      </c>
      <c r="AW1120" s="2" t="s">
        <v>13530</v>
      </c>
      <c r="AX1120" s="2" t="s">
        <v>13543</v>
      </c>
      <c r="AY1120" s="2" t="s">
        <v>13544</v>
      </c>
      <c r="AZ1120" s="2" t="s">
        <v>13544</v>
      </c>
      <c r="BA1120" s="2" t="s">
        <v>13545</v>
      </c>
      <c r="BB1120" s="2" t="s">
        <v>21</v>
      </c>
      <c r="BD1120" s="2" t="s">
        <v>13546</v>
      </c>
      <c r="BE1120" s="2" t="s">
        <v>13547</v>
      </c>
      <c r="BF1120" s="2" t="s">
        <v>13548</v>
      </c>
    </row>
    <row r="1121" spans="1:58" ht="41.25" customHeight="1" x14ac:dyDescent="0.25">
      <c r="A1121" s="8" t="s">
        <v>5</v>
      </c>
      <c r="B1121" s="1" t="s">
        <v>0</v>
      </c>
      <c r="C1121" s="1" t="s">
        <v>1</v>
      </c>
      <c r="D1121" s="1" t="s">
        <v>13549</v>
      </c>
      <c r="E1121" s="1" t="s">
        <v>13550</v>
      </c>
      <c r="F1121" s="1" t="s">
        <v>13551</v>
      </c>
      <c r="H1121" s="2" t="s">
        <v>5</v>
      </c>
      <c r="I1121" s="2" t="s">
        <v>6</v>
      </c>
      <c r="J1121" s="2" t="s">
        <v>5</v>
      </c>
      <c r="K1121" s="2" t="s">
        <v>5</v>
      </c>
      <c r="L1121" s="2" t="s">
        <v>7</v>
      </c>
      <c r="N1121" s="1" t="s">
        <v>10318</v>
      </c>
      <c r="O1121" s="2" t="s">
        <v>285</v>
      </c>
      <c r="Q1121" s="2" t="s">
        <v>11</v>
      </c>
      <c r="R1121" s="2" t="s">
        <v>93</v>
      </c>
      <c r="S1121" s="1" t="s">
        <v>13552</v>
      </c>
      <c r="T1121" s="2" t="s">
        <v>520</v>
      </c>
      <c r="U1121" s="3">
        <v>1</v>
      </c>
      <c r="V1121" s="3">
        <v>1</v>
      </c>
      <c r="W1121" s="4" t="s">
        <v>13553</v>
      </c>
      <c r="X1121" s="4" t="s">
        <v>13553</v>
      </c>
      <c r="Y1121" s="4" t="s">
        <v>329</v>
      </c>
      <c r="Z1121" s="4" t="s">
        <v>329</v>
      </c>
      <c r="AA1121" s="3">
        <v>189</v>
      </c>
      <c r="AB1121" s="3">
        <v>166</v>
      </c>
      <c r="AC1121" s="3">
        <v>166</v>
      </c>
      <c r="AD1121" s="3">
        <v>3</v>
      </c>
      <c r="AE1121" s="3">
        <v>3</v>
      </c>
      <c r="AF1121" s="3">
        <v>6</v>
      </c>
      <c r="AG1121" s="3">
        <v>6</v>
      </c>
      <c r="AH1121" s="3">
        <v>1</v>
      </c>
      <c r="AI1121" s="3">
        <v>1</v>
      </c>
      <c r="AJ1121" s="3">
        <v>1</v>
      </c>
      <c r="AK1121" s="3">
        <v>1</v>
      </c>
      <c r="AL1121" s="3">
        <v>3</v>
      </c>
      <c r="AM1121" s="3">
        <v>3</v>
      </c>
      <c r="AN1121" s="3">
        <v>2</v>
      </c>
      <c r="AO1121" s="3">
        <v>2</v>
      </c>
      <c r="AP1121" s="3">
        <v>0</v>
      </c>
      <c r="AQ1121" s="3">
        <v>0</v>
      </c>
      <c r="AR1121" s="2" t="s">
        <v>5</v>
      </c>
      <c r="AS1121" s="2" t="s">
        <v>5</v>
      </c>
      <c r="AU1121" s="5" t="str">
        <f>HYPERLINK("https://creighton-primo.hosted.exlibrisgroup.com/primo-explore/search?tab=default_tab&amp;search_scope=EVERYTHING&amp;vid=01CRU&amp;lang=en_US&amp;offset=0&amp;query=any,contains,991000736479702656","Catalog Record")</f>
        <v>Catalog Record</v>
      </c>
      <c r="AV1121" s="5" t="str">
        <f>HYPERLINK("http://www.worldcat.org/oclc/5781817","WorldCat Record")</f>
        <v>WorldCat Record</v>
      </c>
      <c r="AW1121" s="2" t="s">
        <v>13554</v>
      </c>
      <c r="AX1121" s="2" t="s">
        <v>13555</v>
      </c>
      <c r="AY1121" s="2" t="s">
        <v>13556</v>
      </c>
      <c r="AZ1121" s="2" t="s">
        <v>13556</v>
      </c>
      <c r="BA1121" s="2" t="s">
        <v>13557</v>
      </c>
      <c r="BB1121" s="2" t="s">
        <v>21</v>
      </c>
      <c r="BD1121" s="2" t="s">
        <v>13558</v>
      </c>
      <c r="BE1121" s="2" t="s">
        <v>13559</v>
      </c>
      <c r="BF1121" s="2" t="s">
        <v>13560</v>
      </c>
    </row>
    <row r="1122" spans="1:58" ht="41.25" customHeight="1" x14ac:dyDescent="0.25">
      <c r="A1122" s="8" t="s">
        <v>5</v>
      </c>
      <c r="B1122" s="1" t="s">
        <v>0</v>
      </c>
      <c r="C1122" s="1" t="s">
        <v>1</v>
      </c>
      <c r="D1122" s="1" t="s">
        <v>13561</v>
      </c>
      <c r="E1122" s="1" t="s">
        <v>13562</v>
      </c>
      <c r="F1122" s="1" t="s">
        <v>13539</v>
      </c>
      <c r="H1122" s="2" t="s">
        <v>5</v>
      </c>
      <c r="I1122" s="2" t="s">
        <v>6</v>
      </c>
      <c r="J1122" s="2" t="s">
        <v>5</v>
      </c>
      <c r="K1122" s="2" t="s">
        <v>16</v>
      </c>
      <c r="L1122" s="2" t="s">
        <v>7</v>
      </c>
      <c r="N1122" s="1" t="s">
        <v>10652</v>
      </c>
      <c r="O1122" s="2" t="s">
        <v>1046</v>
      </c>
      <c r="P1122" s="1" t="s">
        <v>901</v>
      </c>
      <c r="Q1122" s="2" t="s">
        <v>11</v>
      </c>
      <c r="R1122" s="2" t="s">
        <v>31</v>
      </c>
      <c r="T1122" s="2" t="s">
        <v>520</v>
      </c>
      <c r="U1122" s="3">
        <v>1</v>
      </c>
      <c r="V1122" s="3">
        <v>1</v>
      </c>
      <c r="W1122" s="4" t="s">
        <v>13563</v>
      </c>
      <c r="X1122" s="4" t="s">
        <v>13563</v>
      </c>
      <c r="Y1122" s="4" t="s">
        <v>13564</v>
      </c>
      <c r="Z1122" s="4" t="s">
        <v>13564</v>
      </c>
      <c r="AA1122" s="3">
        <v>349</v>
      </c>
      <c r="AB1122" s="3">
        <v>249</v>
      </c>
      <c r="AC1122" s="3">
        <v>737</v>
      </c>
      <c r="AD1122" s="3">
        <v>2</v>
      </c>
      <c r="AE1122" s="3">
        <v>4</v>
      </c>
      <c r="AF1122" s="3">
        <v>12</v>
      </c>
      <c r="AG1122" s="3">
        <v>28</v>
      </c>
      <c r="AH1122" s="3">
        <v>4</v>
      </c>
      <c r="AI1122" s="3">
        <v>11</v>
      </c>
      <c r="AJ1122" s="3">
        <v>2</v>
      </c>
      <c r="AK1122" s="3">
        <v>6</v>
      </c>
      <c r="AL1122" s="3">
        <v>6</v>
      </c>
      <c r="AM1122" s="3">
        <v>14</v>
      </c>
      <c r="AN1122" s="3">
        <v>1</v>
      </c>
      <c r="AO1122" s="3">
        <v>2</v>
      </c>
      <c r="AP1122" s="3">
        <v>0</v>
      </c>
      <c r="AQ1122" s="3">
        <v>0</v>
      </c>
      <c r="AR1122" s="2" t="s">
        <v>5</v>
      </c>
      <c r="AS1122" s="2" t="s">
        <v>16</v>
      </c>
      <c r="AT1122" s="5" t="str">
        <f>HYPERLINK("http://catalog.hathitrust.org/Record/004297407","HathiTrust Record")</f>
        <v>HathiTrust Record</v>
      </c>
      <c r="AU1122" s="5" t="str">
        <f>HYPERLINK("https://creighton-primo.hosted.exlibrisgroup.com/primo-explore/search?tab=default_tab&amp;search_scope=EVERYTHING&amp;vid=01CRU&amp;lang=en_US&amp;offset=0&amp;query=any,contains,991000337549702656","Catalog Record")</f>
        <v>Catalog Record</v>
      </c>
      <c r="AV1122" s="5" t="str">
        <f>HYPERLINK("http://www.worldcat.org/oclc/50518951","WorldCat Record")</f>
        <v>WorldCat Record</v>
      </c>
      <c r="AW1122" s="2" t="s">
        <v>13530</v>
      </c>
      <c r="AX1122" s="2" t="s">
        <v>13565</v>
      </c>
      <c r="AY1122" s="2" t="s">
        <v>13566</v>
      </c>
      <c r="AZ1122" s="2" t="s">
        <v>13566</v>
      </c>
      <c r="BA1122" s="2" t="s">
        <v>13567</v>
      </c>
      <c r="BB1122" s="2" t="s">
        <v>21</v>
      </c>
      <c r="BD1122" s="2" t="s">
        <v>13568</v>
      </c>
      <c r="BE1122" s="2" t="s">
        <v>13569</v>
      </c>
      <c r="BF1122" s="2" t="s">
        <v>13570</v>
      </c>
    </row>
    <row r="1123" spans="1:58" ht="41.25" customHeight="1" x14ac:dyDescent="0.25">
      <c r="A1123" s="8" t="s">
        <v>5</v>
      </c>
      <c r="B1123" s="1" t="s">
        <v>0</v>
      </c>
      <c r="C1123" s="1" t="s">
        <v>1</v>
      </c>
      <c r="D1123" s="1" t="s">
        <v>13571</v>
      </c>
      <c r="E1123" s="1" t="s">
        <v>13572</v>
      </c>
      <c r="F1123" s="1" t="s">
        <v>13573</v>
      </c>
      <c r="H1123" s="2" t="s">
        <v>5</v>
      </c>
      <c r="I1123" s="2" t="s">
        <v>6</v>
      </c>
      <c r="J1123" s="2" t="s">
        <v>5</v>
      </c>
      <c r="K1123" s="2" t="s">
        <v>5</v>
      </c>
      <c r="L1123" s="2" t="s">
        <v>7</v>
      </c>
      <c r="M1123" s="1" t="s">
        <v>13574</v>
      </c>
      <c r="N1123" s="1" t="s">
        <v>13575</v>
      </c>
      <c r="O1123" s="2" t="s">
        <v>92</v>
      </c>
      <c r="P1123" s="1" t="s">
        <v>211</v>
      </c>
      <c r="Q1123" s="2" t="s">
        <v>11</v>
      </c>
      <c r="R1123" s="2" t="s">
        <v>9894</v>
      </c>
      <c r="S1123" s="1" t="s">
        <v>9895</v>
      </c>
      <c r="T1123" s="2" t="s">
        <v>520</v>
      </c>
      <c r="U1123" s="3">
        <v>1</v>
      </c>
      <c r="V1123" s="3">
        <v>1</v>
      </c>
      <c r="W1123" s="4" t="s">
        <v>12272</v>
      </c>
      <c r="X1123" s="4" t="s">
        <v>12272</v>
      </c>
      <c r="Y1123" s="4" t="s">
        <v>197</v>
      </c>
      <c r="Z1123" s="4" t="s">
        <v>197</v>
      </c>
      <c r="AA1123" s="3">
        <v>104</v>
      </c>
      <c r="AB1123" s="3">
        <v>81</v>
      </c>
      <c r="AC1123" s="3">
        <v>150</v>
      </c>
      <c r="AD1123" s="3">
        <v>2</v>
      </c>
      <c r="AE1123" s="3">
        <v>2</v>
      </c>
      <c r="AF1123" s="3">
        <v>2</v>
      </c>
      <c r="AG1123" s="3">
        <v>5</v>
      </c>
      <c r="AH1123" s="3">
        <v>0</v>
      </c>
      <c r="AI1123" s="3">
        <v>1</v>
      </c>
      <c r="AJ1123" s="3">
        <v>0</v>
      </c>
      <c r="AK1123" s="3">
        <v>1</v>
      </c>
      <c r="AL1123" s="3">
        <v>1</v>
      </c>
      <c r="AM1123" s="3">
        <v>2</v>
      </c>
      <c r="AN1123" s="3">
        <v>1</v>
      </c>
      <c r="AO1123" s="3">
        <v>1</v>
      </c>
      <c r="AP1123" s="3">
        <v>0</v>
      </c>
      <c r="AQ1123" s="3">
        <v>0</v>
      </c>
      <c r="AR1123" s="2" t="s">
        <v>5</v>
      </c>
      <c r="AS1123" s="2" t="s">
        <v>16</v>
      </c>
      <c r="AT1123" s="5" t="str">
        <f>HYPERLINK("http://catalog.hathitrust.org/Record/000742655","HathiTrust Record")</f>
        <v>HathiTrust Record</v>
      </c>
      <c r="AU1123" s="5" t="str">
        <f>HYPERLINK("https://creighton-primo.hosted.exlibrisgroup.com/primo-explore/search?tab=default_tab&amp;search_scope=EVERYTHING&amp;vid=01CRU&amp;lang=en_US&amp;offset=0&amp;query=any,contains,991001151439702656","Catalog Record")</f>
        <v>Catalog Record</v>
      </c>
      <c r="AV1123" s="5" t="str">
        <f>HYPERLINK("http://www.worldcat.org/oclc/2398107","WorldCat Record")</f>
        <v>WorldCat Record</v>
      </c>
      <c r="AW1123" s="2" t="s">
        <v>13576</v>
      </c>
      <c r="AX1123" s="2" t="s">
        <v>13577</v>
      </c>
      <c r="AY1123" s="2" t="s">
        <v>13578</v>
      </c>
      <c r="AZ1123" s="2" t="s">
        <v>13578</v>
      </c>
      <c r="BA1123" s="2" t="s">
        <v>13579</v>
      </c>
      <c r="BB1123" s="2" t="s">
        <v>21</v>
      </c>
      <c r="BD1123" s="2" t="s">
        <v>13580</v>
      </c>
      <c r="BE1123" s="2" t="s">
        <v>13581</v>
      </c>
      <c r="BF1123" s="2" t="s">
        <v>13582</v>
      </c>
    </row>
    <row r="1124" spans="1:58" ht="41.25" customHeight="1" x14ac:dyDescent="0.25">
      <c r="A1124" s="8" t="s">
        <v>5</v>
      </c>
      <c r="B1124" s="1" t="s">
        <v>0</v>
      </c>
      <c r="C1124" s="1" t="s">
        <v>1</v>
      </c>
      <c r="D1124" s="1" t="s">
        <v>13583</v>
      </c>
      <c r="E1124" s="1" t="s">
        <v>13584</v>
      </c>
      <c r="F1124" s="1" t="s">
        <v>13585</v>
      </c>
      <c r="H1124" s="2" t="s">
        <v>5</v>
      </c>
      <c r="I1124" s="2" t="s">
        <v>6</v>
      </c>
      <c r="J1124" s="2" t="s">
        <v>5</v>
      </c>
      <c r="K1124" s="2" t="s">
        <v>5</v>
      </c>
      <c r="L1124" s="2" t="s">
        <v>7</v>
      </c>
      <c r="M1124" s="1" t="s">
        <v>5838</v>
      </c>
      <c r="N1124" s="1" t="s">
        <v>13586</v>
      </c>
      <c r="O1124" s="2" t="s">
        <v>1102</v>
      </c>
      <c r="Q1124" s="2" t="s">
        <v>11</v>
      </c>
      <c r="R1124" s="2" t="s">
        <v>31</v>
      </c>
      <c r="S1124" s="1" t="s">
        <v>13587</v>
      </c>
      <c r="T1124" s="2" t="s">
        <v>520</v>
      </c>
      <c r="U1124" s="3">
        <v>3</v>
      </c>
      <c r="V1124" s="3">
        <v>3</v>
      </c>
      <c r="W1124" s="4" t="s">
        <v>13588</v>
      </c>
      <c r="X1124" s="4" t="s">
        <v>13588</v>
      </c>
      <c r="Y1124" s="4" t="s">
        <v>13589</v>
      </c>
      <c r="Z1124" s="4" t="s">
        <v>13589</v>
      </c>
      <c r="AA1124" s="3">
        <v>29</v>
      </c>
      <c r="AB1124" s="3">
        <v>29</v>
      </c>
      <c r="AC1124" s="3">
        <v>29</v>
      </c>
      <c r="AD1124" s="3">
        <v>2</v>
      </c>
      <c r="AE1124" s="3">
        <v>2</v>
      </c>
      <c r="AF1124" s="3">
        <v>0</v>
      </c>
      <c r="AG1124" s="3">
        <v>0</v>
      </c>
      <c r="AH1124" s="3">
        <v>0</v>
      </c>
      <c r="AI1124" s="3">
        <v>0</v>
      </c>
      <c r="AJ1124" s="3">
        <v>0</v>
      </c>
      <c r="AK1124" s="3">
        <v>0</v>
      </c>
      <c r="AL1124" s="3">
        <v>0</v>
      </c>
      <c r="AM1124" s="3">
        <v>0</v>
      </c>
      <c r="AN1124" s="3">
        <v>0</v>
      </c>
      <c r="AO1124" s="3">
        <v>0</v>
      </c>
      <c r="AP1124" s="3">
        <v>0</v>
      </c>
      <c r="AQ1124" s="3">
        <v>0</v>
      </c>
      <c r="AR1124" s="2" t="s">
        <v>5</v>
      </c>
      <c r="AS1124" s="2" t="s">
        <v>5</v>
      </c>
      <c r="AU1124" s="5" t="str">
        <f>HYPERLINK("https://creighton-primo.hosted.exlibrisgroup.com/primo-explore/search?tab=default_tab&amp;search_scope=EVERYTHING&amp;vid=01CRU&amp;lang=en_US&amp;offset=0&amp;query=any,contains,991001520019702656","Catalog Record")</f>
        <v>Catalog Record</v>
      </c>
      <c r="AV1124" s="5" t="str">
        <f>HYPERLINK("http://www.worldcat.org/oclc/13777900","WorldCat Record")</f>
        <v>WorldCat Record</v>
      </c>
      <c r="AW1124" s="2" t="s">
        <v>13590</v>
      </c>
      <c r="AX1124" s="2" t="s">
        <v>13591</v>
      </c>
      <c r="AY1124" s="2" t="s">
        <v>13592</v>
      </c>
      <c r="AZ1124" s="2" t="s">
        <v>13592</v>
      </c>
      <c r="BA1124" s="2" t="s">
        <v>13593</v>
      </c>
      <c r="BB1124" s="2" t="s">
        <v>21</v>
      </c>
      <c r="BE1124" s="2" t="s">
        <v>13594</v>
      </c>
      <c r="BF1124" s="2" t="s">
        <v>13595</v>
      </c>
    </row>
    <row r="1125" spans="1:58" ht="41.25" customHeight="1" x14ac:dyDescent="0.25">
      <c r="A1125" s="8" t="s">
        <v>5</v>
      </c>
      <c r="B1125" s="1" t="s">
        <v>0</v>
      </c>
      <c r="C1125" s="1" t="s">
        <v>1</v>
      </c>
      <c r="D1125" s="1" t="s">
        <v>13596</v>
      </c>
      <c r="E1125" s="1" t="s">
        <v>13597</v>
      </c>
      <c r="F1125" s="1" t="s">
        <v>13598</v>
      </c>
      <c r="H1125" s="2" t="s">
        <v>5</v>
      </c>
      <c r="I1125" s="2" t="s">
        <v>6</v>
      </c>
      <c r="J1125" s="2" t="s">
        <v>5</v>
      </c>
      <c r="K1125" s="2" t="s">
        <v>5</v>
      </c>
      <c r="L1125" s="2" t="s">
        <v>7</v>
      </c>
      <c r="M1125" s="1" t="s">
        <v>13599</v>
      </c>
      <c r="N1125" s="1" t="s">
        <v>13123</v>
      </c>
      <c r="O1125" s="2" t="s">
        <v>285</v>
      </c>
      <c r="Q1125" s="2" t="s">
        <v>11</v>
      </c>
      <c r="R1125" s="2" t="s">
        <v>31</v>
      </c>
      <c r="T1125" s="2" t="s">
        <v>520</v>
      </c>
      <c r="U1125" s="3">
        <v>4</v>
      </c>
      <c r="V1125" s="3">
        <v>4</v>
      </c>
      <c r="W1125" s="4" t="s">
        <v>13600</v>
      </c>
      <c r="X1125" s="4" t="s">
        <v>13600</v>
      </c>
      <c r="Y1125" s="4" t="s">
        <v>197</v>
      </c>
      <c r="Z1125" s="4" t="s">
        <v>197</v>
      </c>
      <c r="AA1125" s="3">
        <v>212</v>
      </c>
      <c r="AB1125" s="3">
        <v>169</v>
      </c>
      <c r="AC1125" s="3">
        <v>171</v>
      </c>
      <c r="AD1125" s="3">
        <v>3</v>
      </c>
      <c r="AE1125" s="3">
        <v>3</v>
      </c>
      <c r="AF1125" s="3">
        <v>6</v>
      </c>
      <c r="AG1125" s="3">
        <v>6</v>
      </c>
      <c r="AH1125" s="3">
        <v>1</v>
      </c>
      <c r="AI1125" s="3">
        <v>1</v>
      </c>
      <c r="AJ1125" s="3">
        <v>0</v>
      </c>
      <c r="AK1125" s="3">
        <v>0</v>
      </c>
      <c r="AL1125" s="3">
        <v>3</v>
      </c>
      <c r="AM1125" s="3">
        <v>3</v>
      </c>
      <c r="AN1125" s="3">
        <v>2</v>
      </c>
      <c r="AO1125" s="3">
        <v>2</v>
      </c>
      <c r="AP1125" s="3">
        <v>0</v>
      </c>
      <c r="AQ1125" s="3">
        <v>0</v>
      </c>
      <c r="AR1125" s="2" t="s">
        <v>5</v>
      </c>
      <c r="AS1125" s="2" t="s">
        <v>16</v>
      </c>
      <c r="AT1125" s="5" t="str">
        <f>HYPERLINK("http://catalog.hathitrust.org/Record/004928568","HathiTrust Record")</f>
        <v>HathiTrust Record</v>
      </c>
      <c r="AU1125" s="5" t="str">
        <f>HYPERLINK("https://creighton-primo.hosted.exlibrisgroup.com/primo-explore/search?tab=default_tab&amp;search_scope=EVERYTHING&amp;vid=01CRU&amp;lang=en_US&amp;offset=0&amp;query=any,contains,991001151489702656","Catalog Record")</f>
        <v>Catalog Record</v>
      </c>
      <c r="AV1125" s="5" t="str">
        <f>HYPERLINK("http://www.worldcat.org/oclc/4549564","WorldCat Record")</f>
        <v>WorldCat Record</v>
      </c>
      <c r="AW1125" s="2" t="s">
        <v>13601</v>
      </c>
      <c r="AX1125" s="2" t="s">
        <v>13602</v>
      </c>
      <c r="AY1125" s="2" t="s">
        <v>13603</v>
      </c>
      <c r="AZ1125" s="2" t="s">
        <v>13603</v>
      </c>
      <c r="BA1125" s="2" t="s">
        <v>13604</v>
      </c>
      <c r="BB1125" s="2" t="s">
        <v>21</v>
      </c>
      <c r="BD1125" s="2" t="s">
        <v>13605</v>
      </c>
      <c r="BE1125" s="2" t="s">
        <v>13606</v>
      </c>
      <c r="BF1125" s="2" t="s">
        <v>13607</v>
      </c>
    </row>
    <row r="1126" spans="1:58" ht="41.25" customHeight="1" x14ac:dyDescent="0.25">
      <c r="A1126" s="8" t="s">
        <v>5</v>
      </c>
      <c r="B1126" s="1" t="s">
        <v>0</v>
      </c>
      <c r="C1126" s="1" t="s">
        <v>1</v>
      </c>
      <c r="D1126" s="1" t="s">
        <v>13608</v>
      </c>
      <c r="E1126" s="1" t="s">
        <v>13609</v>
      </c>
      <c r="F1126" s="1" t="s">
        <v>13610</v>
      </c>
      <c r="H1126" s="2" t="s">
        <v>5</v>
      </c>
      <c r="I1126" s="2" t="s">
        <v>6</v>
      </c>
      <c r="J1126" s="2" t="s">
        <v>5</v>
      </c>
      <c r="K1126" s="2" t="s">
        <v>5</v>
      </c>
      <c r="L1126" s="2" t="s">
        <v>7</v>
      </c>
      <c r="M1126" s="1" t="s">
        <v>13611</v>
      </c>
      <c r="N1126" s="1" t="s">
        <v>13612</v>
      </c>
      <c r="O1126" s="2" t="s">
        <v>888</v>
      </c>
      <c r="Q1126" s="2" t="s">
        <v>11</v>
      </c>
      <c r="R1126" s="2" t="s">
        <v>12</v>
      </c>
      <c r="S1126" s="1" t="s">
        <v>3264</v>
      </c>
      <c r="T1126" s="2" t="s">
        <v>520</v>
      </c>
      <c r="U1126" s="3">
        <v>2</v>
      </c>
      <c r="V1126" s="3">
        <v>2</v>
      </c>
      <c r="W1126" s="4" t="s">
        <v>7428</v>
      </c>
      <c r="X1126" s="4" t="s">
        <v>7428</v>
      </c>
      <c r="Y1126" s="4" t="s">
        <v>197</v>
      </c>
      <c r="Z1126" s="4" t="s">
        <v>197</v>
      </c>
      <c r="AA1126" s="3">
        <v>353</v>
      </c>
      <c r="AB1126" s="3">
        <v>276</v>
      </c>
      <c r="AC1126" s="3">
        <v>283</v>
      </c>
      <c r="AD1126" s="3">
        <v>1</v>
      </c>
      <c r="AE1126" s="3">
        <v>1</v>
      </c>
      <c r="AF1126" s="3">
        <v>10</v>
      </c>
      <c r="AG1126" s="3">
        <v>10</v>
      </c>
      <c r="AH1126" s="3">
        <v>6</v>
      </c>
      <c r="AI1126" s="3">
        <v>6</v>
      </c>
      <c r="AJ1126" s="3">
        <v>2</v>
      </c>
      <c r="AK1126" s="3">
        <v>2</v>
      </c>
      <c r="AL1126" s="3">
        <v>3</v>
      </c>
      <c r="AM1126" s="3">
        <v>3</v>
      </c>
      <c r="AN1126" s="3">
        <v>0</v>
      </c>
      <c r="AO1126" s="3">
        <v>0</v>
      </c>
      <c r="AP1126" s="3">
        <v>0</v>
      </c>
      <c r="AQ1126" s="3">
        <v>0</v>
      </c>
      <c r="AR1126" s="2" t="s">
        <v>5</v>
      </c>
      <c r="AS1126" s="2" t="s">
        <v>16</v>
      </c>
      <c r="AT1126" s="5" t="str">
        <f>HYPERLINK("http://catalog.hathitrust.org/Record/000284762","HathiTrust Record")</f>
        <v>HathiTrust Record</v>
      </c>
      <c r="AU1126" s="5" t="str">
        <f>HYPERLINK("https://creighton-primo.hosted.exlibrisgroup.com/primo-explore/search?tab=default_tab&amp;search_scope=EVERYTHING&amp;vid=01CRU&amp;lang=en_US&amp;offset=0&amp;query=any,contains,991001151519702656","Catalog Record")</f>
        <v>Catalog Record</v>
      </c>
      <c r="AV1126" s="5" t="str">
        <f>HYPERLINK("http://www.worldcat.org/oclc/9894587","WorldCat Record")</f>
        <v>WorldCat Record</v>
      </c>
      <c r="AW1126" s="2" t="s">
        <v>13613</v>
      </c>
      <c r="AX1126" s="2" t="s">
        <v>13614</v>
      </c>
      <c r="AY1126" s="2" t="s">
        <v>13615</v>
      </c>
      <c r="AZ1126" s="2" t="s">
        <v>13615</v>
      </c>
      <c r="BA1126" s="2" t="s">
        <v>13616</v>
      </c>
      <c r="BB1126" s="2" t="s">
        <v>21</v>
      </c>
      <c r="BD1126" s="2" t="s">
        <v>13617</v>
      </c>
      <c r="BE1126" s="2" t="s">
        <v>13618</v>
      </c>
      <c r="BF1126" s="2" t="s">
        <v>13619</v>
      </c>
    </row>
    <row r="1127" spans="1:58" ht="41.25" customHeight="1" x14ac:dyDescent="0.25">
      <c r="A1127" s="8" t="s">
        <v>5</v>
      </c>
      <c r="B1127" s="1" t="s">
        <v>0</v>
      </c>
      <c r="C1127" s="1" t="s">
        <v>1</v>
      </c>
      <c r="D1127" s="1" t="s">
        <v>13620</v>
      </c>
      <c r="E1127" s="1" t="s">
        <v>13621</v>
      </c>
      <c r="F1127" s="1" t="s">
        <v>13622</v>
      </c>
      <c r="H1127" s="2" t="s">
        <v>5</v>
      </c>
      <c r="I1127" s="2" t="s">
        <v>6</v>
      </c>
      <c r="J1127" s="2" t="s">
        <v>5</v>
      </c>
      <c r="K1127" s="2" t="s">
        <v>5</v>
      </c>
      <c r="L1127" s="2" t="s">
        <v>7</v>
      </c>
      <c r="N1127" s="1" t="s">
        <v>1403</v>
      </c>
      <c r="O1127" s="2" t="s">
        <v>10</v>
      </c>
      <c r="Q1127" s="2" t="s">
        <v>11</v>
      </c>
      <c r="R1127" s="2" t="s">
        <v>12</v>
      </c>
      <c r="S1127" s="1" t="s">
        <v>13623</v>
      </c>
      <c r="T1127" s="2" t="s">
        <v>520</v>
      </c>
      <c r="U1127" s="3">
        <v>1</v>
      </c>
      <c r="V1127" s="3">
        <v>1</v>
      </c>
      <c r="W1127" s="4" t="s">
        <v>2189</v>
      </c>
      <c r="X1127" s="4" t="s">
        <v>2189</v>
      </c>
      <c r="Y1127" s="4" t="s">
        <v>1444</v>
      </c>
      <c r="Z1127" s="4" t="s">
        <v>1444</v>
      </c>
      <c r="AA1127" s="3">
        <v>81</v>
      </c>
      <c r="AB1127" s="3">
        <v>71</v>
      </c>
      <c r="AC1127" s="3">
        <v>71</v>
      </c>
      <c r="AD1127" s="3">
        <v>1</v>
      </c>
      <c r="AE1127" s="3">
        <v>1</v>
      </c>
      <c r="AF1127" s="3">
        <v>4</v>
      </c>
      <c r="AG1127" s="3">
        <v>4</v>
      </c>
      <c r="AH1127" s="3">
        <v>2</v>
      </c>
      <c r="AI1127" s="3">
        <v>2</v>
      </c>
      <c r="AJ1127" s="3">
        <v>0</v>
      </c>
      <c r="AK1127" s="3">
        <v>0</v>
      </c>
      <c r="AL1127" s="3">
        <v>2</v>
      </c>
      <c r="AM1127" s="3">
        <v>2</v>
      </c>
      <c r="AN1127" s="3">
        <v>0</v>
      </c>
      <c r="AO1127" s="3">
        <v>0</v>
      </c>
      <c r="AP1127" s="3">
        <v>0</v>
      </c>
      <c r="AQ1127" s="3">
        <v>0</v>
      </c>
      <c r="AR1127" s="2" t="s">
        <v>5</v>
      </c>
      <c r="AS1127" s="2" t="s">
        <v>5</v>
      </c>
      <c r="AU1127" s="5" t="str">
        <f>HYPERLINK("https://creighton-primo.hosted.exlibrisgroup.com/primo-explore/search?tab=default_tab&amp;search_scope=EVERYTHING&amp;vid=01CRU&amp;lang=en_US&amp;offset=0&amp;query=any,contains,991001517129702656","Catalog Record")</f>
        <v>Catalog Record</v>
      </c>
      <c r="AV1127" s="5" t="str">
        <f>HYPERLINK("http://www.worldcat.org/oclc/5709523","WorldCat Record")</f>
        <v>WorldCat Record</v>
      </c>
      <c r="AW1127" s="2" t="s">
        <v>13624</v>
      </c>
      <c r="AX1127" s="2" t="s">
        <v>13625</v>
      </c>
      <c r="AY1127" s="2" t="s">
        <v>13626</v>
      </c>
      <c r="AZ1127" s="2" t="s">
        <v>13626</v>
      </c>
      <c r="BA1127" s="2" t="s">
        <v>13627</v>
      </c>
      <c r="BB1127" s="2" t="s">
        <v>21</v>
      </c>
      <c r="BE1127" s="2" t="s">
        <v>13628</v>
      </c>
      <c r="BF1127" s="2" t="s">
        <v>13629</v>
      </c>
    </row>
    <row r="1128" spans="1:58" ht="41.25" customHeight="1" x14ac:dyDescent="0.25">
      <c r="A1128" s="8" t="s">
        <v>5</v>
      </c>
      <c r="B1128" s="1" t="s">
        <v>0</v>
      </c>
      <c r="C1128" s="1" t="s">
        <v>1</v>
      </c>
      <c r="D1128" s="1" t="s">
        <v>13630</v>
      </c>
      <c r="E1128" s="1" t="s">
        <v>13631</v>
      </c>
      <c r="F1128" s="1" t="s">
        <v>13632</v>
      </c>
      <c r="H1128" s="2" t="s">
        <v>5</v>
      </c>
      <c r="I1128" s="2" t="s">
        <v>6</v>
      </c>
      <c r="J1128" s="2" t="s">
        <v>5</v>
      </c>
      <c r="K1128" s="2" t="s">
        <v>5</v>
      </c>
      <c r="L1128" s="2" t="s">
        <v>7</v>
      </c>
      <c r="N1128" s="1" t="s">
        <v>1911</v>
      </c>
      <c r="O1128" s="2" t="s">
        <v>734</v>
      </c>
      <c r="Q1128" s="2" t="s">
        <v>11</v>
      </c>
      <c r="R1128" s="2" t="s">
        <v>426</v>
      </c>
      <c r="T1128" s="2" t="s">
        <v>520</v>
      </c>
      <c r="U1128" s="3">
        <v>4</v>
      </c>
      <c r="V1128" s="3">
        <v>4</v>
      </c>
      <c r="W1128" s="4" t="s">
        <v>13633</v>
      </c>
      <c r="X1128" s="4" t="s">
        <v>13633</v>
      </c>
      <c r="Y1128" s="4" t="s">
        <v>197</v>
      </c>
      <c r="Z1128" s="4" t="s">
        <v>197</v>
      </c>
      <c r="AA1128" s="3">
        <v>203</v>
      </c>
      <c r="AB1128" s="3">
        <v>182</v>
      </c>
      <c r="AC1128" s="3">
        <v>189</v>
      </c>
      <c r="AD1128" s="3">
        <v>2</v>
      </c>
      <c r="AE1128" s="3">
        <v>2</v>
      </c>
      <c r="AF1128" s="3">
        <v>5</v>
      </c>
      <c r="AG1128" s="3">
        <v>5</v>
      </c>
      <c r="AH1128" s="3">
        <v>1</v>
      </c>
      <c r="AI1128" s="3">
        <v>1</v>
      </c>
      <c r="AJ1128" s="3">
        <v>1</v>
      </c>
      <c r="AK1128" s="3">
        <v>1</v>
      </c>
      <c r="AL1128" s="3">
        <v>2</v>
      </c>
      <c r="AM1128" s="3">
        <v>2</v>
      </c>
      <c r="AN1128" s="3">
        <v>1</v>
      </c>
      <c r="AO1128" s="3">
        <v>1</v>
      </c>
      <c r="AP1128" s="3">
        <v>0</v>
      </c>
      <c r="AQ1128" s="3">
        <v>0</v>
      </c>
      <c r="AR1128" s="2" t="s">
        <v>5</v>
      </c>
      <c r="AS1128" s="2" t="s">
        <v>16</v>
      </c>
      <c r="AT1128" s="5" t="str">
        <f>HYPERLINK("http://catalog.hathitrust.org/Record/000118530","HathiTrust Record")</f>
        <v>HathiTrust Record</v>
      </c>
      <c r="AU1128" s="5" t="str">
        <f>HYPERLINK("https://creighton-primo.hosted.exlibrisgroup.com/primo-explore/search?tab=default_tab&amp;search_scope=EVERYTHING&amp;vid=01CRU&amp;lang=en_US&amp;offset=0&amp;query=any,contains,991001151749702656","Catalog Record")</f>
        <v>Catalog Record</v>
      </c>
      <c r="AV1128" s="5" t="str">
        <f>HYPERLINK("http://www.worldcat.org/oclc/9442426","WorldCat Record")</f>
        <v>WorldCat Record</v>
      </c>
      <c r="AW1128" s="2" t="s">
        <v>13634</v>
      </c>
      <c r="AX1128" s="2" t="s">
        <v>13635</v>
      </c>
      <c r="AY1128" s="2" t="s">
        <v>13636</v>
      </c>
      <c r="AZ1128" s="2" t="s">
        <v>13636</v>
      </c>
      <c r="BA1128" s="2" t="s">
        <v>13637</v>
      </c>
      <c r="BB1128" s="2" t="s">
        <v>21</v>
      </c>
      <c r="BD1128" s="2" t="s">
        <v>13638</v>
      </c>
      <c r="BE1128" s="2" t="s">
        <v>13639</v>
      </c>
      <c r="BF1128" s="2" t="s">
        <v>13640</v>
      </c>
    </row>
    <row r="1129" spans="1:58" ht="41.25" customHeight="1" x14ac:dyDescent="0.25">
      <c r="A1129" s="8" t="s">
        <v>5</v>
      </c>
      <c r="B1129" s="1" t="s">
        <v>0</v>
      </c>
      <c r="C1129" s="1" t="s">
        <v>1</v>
      </c>
      <c r="D1129" s="1" t="s">
        <v>13641</v>
      </c>
      <c r="E1129" s="1" t="s">
        <v>13642</v>
      </c>
      <c r="F1129" s="1" t="s">
        <v>13643</v>
      </c>
      <c r="H1129" s="2" t="s">
        <v>5</v>
      </c>
      <c r="I1129" s="2" t="s">
        <v>6</v>
      </c>
      <c r="J1129" s="2" t="s">
        <v>5</v>
      </c>
      <c r="K1129" s="2" t="s">
        <v>5</v>
      </c>
      <c r="L1129" s="2" t="s">
        <v>7</v>
      </c>
      <c r="M1129" s="1" t="s">
        <v>13644</v>
      </c>
      <c r="N1129" s="1" t="s">
        <v>6349</v>
      </c>
      <c r="O1129" s="2" t="s">
        <v>107</v>
      </c>
      <c r="P1129" s="1" t="s">
        <v>1284</v>
      </c>
      <c r="Q1129" s="2" t="s">
        <v>11</v>
      </c>
      <c r="R1129" s="2" t="s">
        <v>78</v>
      </c>
      <c r="T1129" s="2" t="s">
        <v>520</v>
      </c>
      <c r="U1129" s="3">
        <v>3</v>
      </c>
      <c r="V1129" s="3">
        <v>3</v>
      </c>
      <c r="W1129" s="4" t="s">
        <v>13645</v>
      </c>
      <c r="X1129" s="4" t="s">
        <v>13645</v>
      </c>
      <c r="Y1129" s="4" t="s">
        <v>5171</v>
      </c>
      <c r="Z1129" s="4" t="s">
        <v>5171</v>
      </c>
      <c r="AA1129" s="3">
        <v>389</v>
      </c>
      <c r="AB1129" s="3">
        <v>239</v>
      </c>
      <c r="AC1129" s="3">
        <v>1053</v>
      </c>
      <c r="AD1129" s="3">
        <v>2</v>
      </c>
      <c r="AE1129" s="3">
        <v>7</v>
      </c>
      <c r="AF1129" s="3">
        <v>10</v>
      </c>
      <c r="AG1129" s="3">
        <v>35</v>
      </c>
      <c r="AH1129" s="3">
        <v>3</v>
      </c>
      <c r="AI1129" s="3">
        <v>13</v>
      </c>
      <c r="AJ1129" s="3">
        <v>1</v>
      </c>
      <c r="AK1129" s="3">
        <v>7</v>
      </c>
      <c r="AL1129" s="3">
        <v>7</v>
      </c>
      <c r="AM1129" s="3">
        <v>16</v>
      </c>
      <c r="AN1129" s="3">
        <v>1</v>
      </c>
      <c r="AO1129" s="3">
        <v>5</v>
      </c>
      <c r="AP1129" s="3">
        <v>0</v>
      </c>
      <c r="AQ1129" s="3">
        <v>0</v>
      </c>
      <c r="AR1129" s="2" t="s">
        <v>5</v>
      </c>
      <c r="AS1129" s="2" t="s">
        <v>5</v>
      </c>
      <c r="AU1129" s="5" t="str">
        <f>HYPERLINK("https://creighton-primo.hosted.exlibrisgroup.com/primo-explore/search?tab=default_tab&amp;search_scope=EVERYTHING&amp;vid=01CRU&amp;lang=en_US&amp;offset=0&amp;query=any,contains,991001747499702656","Catalog Record")</f>
        <v>Catalog Record</v>
      </c>
      <c r="AV1129" s="5" t="str">
        <f>HYPERLINK("http://www.worldcat.org/oclc/56956477","WorldCat Record")</f>
        <v>WorldCat Record</v>
      </c>
      <c r="AW1129" s="2" t="s">
        <v>13646</v>
      </c>
      <c r="AX1129" s="2" t="s">
        <v>13647</v>
      </c>
      <c r="AY1129" s="2" t="s">
        <v>13648</v>
      </c>
      <c r="AZ1129" s="2" t="s">
        <v>13648</v>
      </c>
      <c r="BA1129" s="2" t="s">
        <v>13649</v>
      </c>
      <c r="BB1129" s="2" t="s">
        <v>21</v>
      </c>
      <c r="BD1129" s="2" t="s">
        <v>13650</v>
      </c>
      <c r="BE1129" s="2" t="s">
        <v>13651</v>
      </c>
      <c r="BF1129" s="2" t="s">
        <v>13652</v>
      </c>
    </row>
    <row r="1130" spans="1:58" ht="41.25" customHeight="1" x14ac:dyDescent="0.25">
      <c r="A1130" s="8" t="s">
        <v>5</v>
      </c>
      <c r="B1130" s="1" t="s">
        <v>0</v>
      </c>
      <c r="C1130" s="1" t="s">
        <v>1</v>
      </c>
      <c r="D1130" s="1" t="s">
        <v>13653</v>
      </c>
      <c r="E1130" s="1" t="s">
        <v>13654</v>
      </c>
      <c r="F1130" s="1" t="s">
        <v>13655</v>
      </c>
      <c r="H1130" s="2" t="s">
        <v>5</v>
      </c>
      <c r="I1130" s="2" t="s">
        <v>6</v>
      </c>
      <c r="J1130" s="2" t="s">
        <v>5</v>
      </c>
      <c r="K1130" s="2" t="s">
        <v>5</v>
      </c>
      <c r="L1130" s="2" t="s">
        <v>7</v>
      </c>
      <c r="M1130" s="1" t="s">
        <v>8159</v>
      </c>
      <c r="N1130" s="1" t="s">
        <v>1282</v>
      </c>
      <c r="O1130" s="2" t="s">
        <v>1283</v>
      </c>
      <c r="P1130" s="1" t="s">
        <v>211</v>
      </c>
      <c r="Q1130" s="2" t="s">
        <v>11</v>
      </c>
      <c r="R1130" s="2" t="s">
        <v>31</v>
      </c>
      <c r="T1130" s="2" t="s">
        <v>520</v>
      </c>
      <c r="U1130" s="3">
        <v>4</v>
      </c>
      <c r="V1130" s="3">
        <v>4</v>
      </c>
      <c r="W1130" s="4" t="s">
        <v>13541</v>
      </c>
      <c r="X1130" s="4" t="s">
        <v>13541</v>
      </c>
      <c r="Y1130" s="4" t="s">
        <v>5219</v>
      </c>
      <c r="Z1130" s="4" t="s">
        <v>5219</v>
      </c>
      <c r="AA1130" s="3">
        <v>209</v>
      </c>
      <c r="AB1130" s="3">
        <v>154</v>
      </c>
      <c r="AC1130" s="3">
        <v>440</v>
      </c>
      <c r="AD1130" s="3">
        <v>1</v>
      </c>
      <c r="AE1130" s="3">
        <v>2</v>
      </c>
      <c r="AF1130" s="3">
        <v>7</v>
      </c>
      <c r="AG1130" s="3">
        <v>19</v>
      </c>
      <c r="AH1130" s="3">
        <v>4</v>
      </c>
      <c r="AI1130" s="3">
        <v>9</v>
      </c>
      <c r="AJ1130" s="3">
        <v>1</v>
      </c>
      <c r="AK1130" s="3">
        <v>4</v>
      </c>
      <c r="AL1130" s="3">
        <v>5</v>
      </c>
      <c r="AM1130" s="3">
        <v>10</v>
      </c>
      <c r="AN1130" s="3">
        <v>0</v>
      </c>
      <c r="AO1130" s="3">
        <v>1</v>
      </c>
      <c r="AP1130" s="3">
        <v>0</v>
      </c>
      <c r="AQ1130" s="3">
        <v>0</v>
      </c>
      <c r="AR1130" s="2" t="s">
        <v>5</v>
      </c>
      <c r="AS1130" s="2" t="s">
        <v>16</v>
      </c>
      <c r="AT1130" s="5" t="str">
        <f>HYPERLINK("http://catalog.hathitrust.org/Record/003126696","HathiTrust Record")</f>
        <v>HathiTrust Record</v>
      </c>
      <c r="AU1130" s="5" t="str">
        <f>HYPERLINK("https://creighton-primo.hosted.exlibrisgroup.com/primo-explore/search?tab=default_tab&amp;search_scope=EVERYTHING&amp;vid=01CRU&amp;lang=en_US&amp;offset=0&amp;query=any,contains,991000784089702656","Catalog Record")</f>
        <v>Catalog Record</v>
      </c>
      <c r="AV1130" s="5" t="str">
        <f>HYPERLINK("http://www.worldcat.org/oclc/36008442","WorldCat Record")</f>
        <v>WorldCat Record</v>
      </c>
      <c r="AW1130" s="2" t="s">
        <v>13656</v>
      </c>
      <c r="AX1130" s="2" t="s">
        <v>13657</v>
      </c>
      <c r="AY1130" s="2" t="s">
        <v>13658</v>
      </c>
      <c r="AZ1130" s="2" t="s">
        <v>13658</v>
      </c>
      <c r="BA1130" s="2" t="s">
        <v>13659</v>
      </c>
      <c r="BB1130" s="2" t="s">
        <v>21</v>
      </c>
      <c r="BD1130" s="2" t="s">
        <v>13660</v>
      </c>
      <c r="BE1130" s="2" t="s">
        <v>13661</v>
      </c>
      <c r="BF1130" s="2" t="s">
        <v>13662</v>
      </c>
    </row>
    <row r="1131" spans="1:58" ht="41.25" customHeight="1" x14ac:dyDescent="0.25">
      <c r="A1131" s="8" t="s">
        <v>5</v>
      </c>
      <c r="B1131" s="1" t="s">
        <v>0</v>
      </c>
      <c r="C1131" s="1" t="s">
        <v>1</v>
      </c>
      <c r="D1131" s="1" t="s">
        <v>13663</v>
      </c>
      <c r="E1131" s="1" t="s">
        <v>13664</v>
      </c>
      <c r="F1131" s="1" t="s">
        <v>13665</v>
      </c>
      <c r="H1131" s="2" t="s">
        <v>5</v>
      </c>
      <c r="I1131" s="2" t="s">
        <v>6</v>
      </c>
      <c r="J1131" s="2" t="s">
        <v>5</v>
      </c>
      <c r="K1131" s="2" t="s">
        <v>5</v>
      </c>
      <c r="L1131" s="2" t="s">
        <v>7</v>
      </c>
      <c r="M1131" s="1" t="s">
        <v>13666</v>
      </c>
      <c r="N1131" s="1" t="s">
        <v>6646</v>
      </c>
      <c r="O1131" s="2" t="s">
        <v>939</v>
      </c>
      <c r="P1131" s="1" t="s">
        <v>901</v>
      </c>
      <c r="Q1131" s="2" t="s">
        <v>11</v>
      </c>
      <c r="R1131" s="2" t="s">
        <v>31</v>
      </c>
      <c r="T1131" s="2" t="s">
        <v>520</v>
      </c>
      <c r="U1131" s="3">
        <v>12</v>
      </c>
      <c r="V1131" s="3">
        <v>12</v>
      </c>
      <c r="W1131" s="4" t="s">
        <v>4695</v>
      </c>
      <c r="X1131" s="4" t="s">
        <v>4695</v>
      </c>
      <c r="Y1131" s="4" t="s">
        <v>3668</v>
      </c>
      <c r="Z1131" s="4" t="s">
        <v>3668</v>
      </c>
      <c r="AA1131" s="3">
        <v>310</v>
      </c>
      <c r="AB1131" s="3">
        <v>240</v>
      </c>
      <c r="AC1131" s="3">
        <v>491</v>
      </c>
      <c r="AD1131" s="3">
        <v>1</v>
      </c>
      <c r="AE1131" s="3">
        <v>1</v>
      </c>
      <c r="AF1131" s="3">
        <v>7</v>
      </c>
      <c r="AG1131" s="3">
        <v>14</v>
      </c>
      <c r="AH1131" s="3">
        <v>3</v>
      </c>
      <c r="AI1131" s="3">
        <v>7</v>
      </c>
      <c r="AJ1131" s="3">
        <v>1</v>
      </c>
      <c r="AK1131" s="3">
        <v>3</v>
      </c>
      <c r="AL1131" s="3">
        <v>4</v>
      </c>
      <c r="AM1131" s="3">
        <v>8</v>
      </c>
      <c r="AN1131" s="3">
        <v>0</v>
      </c>
      <c r="AO1131" s="3">
        <v>0</v>
      </c>
      <c r="AP1131" s="3">
        <v>0</v>
      </c>
      <c r="AQ1131" s="3">
        <v>0</v>
      </c>
      <c r="AR1131" s="2" t="s">
        <v>5</v>
      </c>
      <c r="AS1131" s="2" t="s">
        <v>16</v>
      </c>
      <c r="AT1131" s="5" t="str">
        <f>HYPERLINK("http://catalog.hathitrust.org/Record/000839900","HathiTrust Record")</f>
        <v>HathiTrust Record</v>
      </c>
      <c r="AU1131" s="5" t="str">
        <f>HYPERLINK("https://creighton-primo.hosted.exlibrisgroup.com/primo-explore/search?tab=default_tab&amp;search_scope=EVERYTHING&amp;vid=01CRU&amp;lang=en_US&amp;offset=0&amp;query=any,contains,991001346689702656","Catalog Record")</f>
        <v>Catalog Record</v>
      </c>
      <c r="AV1131" s="5" t="str">
        <f>HYPERLINK("http://www.worldcat.org/oclc/15661352","WorldCat Record")</f>
        <v>WorldCat Record</v>
      </c>
      <c r="AW1131" s="2" t="s">
        <v>13667</v>
      </c>
      <c r="AX1131" s="2" t="s">
        <v>13668</v>
      </c>
      <c r="AY1131" s="2" t="s">
        <v>13669</v>
      </c>
      <c r="AZ1131" s="2" t="s">
        <v>13669</v>
      </c>
      <c r="BA1131" s="2" t="s">
        <v>13670</v>
      </c>
      <c r="BB1131" s="2" t="s">
        <v>21</v>
      </c>
      <c r="BD1131" s="2" t="s">
        <v>13671</v>
      </c>
      <c r="BE1131" s="2" t="s">
        <v>13672</v>
      </c>
      <c r="BF1131" s="2" t="s">
        <v>13673</v>
      </c>
    </row>
    <row r="1132" spans="1:58" ht="41.25" customHeight="1" x14ac:dyDescent="0.25">
      <c r="A1132" s="8" t="s">
        <v>5</v>
      </c>
      <c r="B1132" s="1" t="s">
        <v>0</v>
      </c>
      <c r="C1132" s="1" t="s">
        <v>1</v>
      </c>
      <c r="D1132" s="1" t="s">
        <v>13674</v>
      </c>
      <c r="E1132" s="1" t="s">
        <v>13675</v>
      </c>
      <c r="F1132" s="1" t="s">
        <v>13676</v>
      </c>
      <c r="H1132" s="2" t="s">
        <v>5</v>
      </c>
      <c r="I1132" s="2" t="s">
        <v>6</v>
      </c>
      <c r="J1132" s="2" t="s">
        <v>5</v>
      </c>
      <c r="K1132" s="2" t="s">
        <v>16</v>
      </c>
      <c r="L1132" s="2" t="s">
        <v>7</v>
      </c>
      <c r="M1132" s="1" t="s">
        <v>13666</v>
      </c>
      <c r="N1132" s="1" t="s">
        <v>11783</v>
      </c>
      <c r="O1132" s="2" t="s">
        <v>1195</v>
      </c>
      <c r="P1132" s="1" t="s">
        <v>63</v>
      </c>
      <c r="Q1132" s="2" t="s">
        <v>11</v>
      </c>
      <c r="R1132" s="2" t="s">
        <v>31</v>
      </c>
      <c r="T1132" s="2" t="s">
        <v>520</v>
      </c>
      <c r="U1132" s="3">
        <v>5</v>
      </c>
      <c r="V1132" s="3">
        <v>5</v>
      </c>
      <c r="W1132" s="4" t="s">
        <v>13452</v>
      </c>
      <c r="X1132" s="4" t="s">
        <v>13452</v>
      </c>
      <c r="Y1132" s="4" t="s">
        <v>5057</v>
      </c>
      <c r="Z1132" s="4" t="s">
        <v>5057</v>
      </c>
      <c r="AA1132" s="3">
        <v>432</v>
      </c>
      <c r="AB1132" s="3">
        <v>313</v>
      </c>
      <c r="AC1132" s="3">
        <v>866</v>
      </c>
      <c r="AD1132" s="3">
        <v>1</v>
      </c>
      <c r="AE1132" s="3">
        <v>4</v>
      </c>
      <c r="AF1132" s="3">
        <v>9</v>
      </c>
      <c r="AG1132" s="3">
        <v>32</v>
      </c>
      <c r="AH1132" s="3">
        <v>4</v>
      </c>
      <c r="AI1132" s="3">
        <v>13</v>
      </c>
      <c r="AJ1132" s="3">
        <v>3</v>
      </c>
      <c r="AK1132" s="3">
        <v>7</v>
      </c>
      <c r="AL1132" s="3">
        <v>3</v>
      </c>
      <c r="AM1132" s="3">
        <v>16</v>
      </c>
      <c r="AN1132" s="3">
        <v>0</v>
      </c>
      <c r="AO1132" s="3">
        <v>2</v>
      </c>
      <c r="AP1132" s="3">
        <v>0</v>
      </c>
      <c r="AQ1132" s="3">
        <v>0</v>
      </c>
      <c r="AR1132" s="2" t="s">
        <v>5</v>
      </c>
      <c r="AS1132" s="2" t="s">
        <v>16</v>
      </c>
      <c r="AT1132" s="5" t="str">
        <f>HYPERLINK("http://catalog.hathitrust.org/Record/004093022","HathiTrust Record")</f>
        <v>HathiTrust Record</v>
      </c>
      <c r="AU1132" s="5" t="str">
        <f>HYPERLINK("https://creighton-primo.hosted.exlibrisgroup.com/primo-explore/search?tab=default_tab&amp;search_scope=EVERYTHING&amp;vid=01CRU&amp;lang=en_US&amp;offset=0&amp;query=any,contains,991000277569702656","Catalog Record")</f>
        <v>Catalog Record</v>
      </c>
      <c r="AV1132" s="5" t="str">
        <f>HYPERLINK("http://www.worldcat.org/oclc/43441718","WorldCat Record")</f>
        <v>WorldCat Record</v>
      </c>
      <c r="AW1132" s="2" t="s">
        <v>13677</v>
      </c>
      <c r="AX1132" s="2" t="s">
        <v>13678</v>
      </c>
      <c r="AY1132" s="2" t="s">
        <v>13679</v>
      </c>
      <c r="AZ1132" s="2" t="s">
        <v>13679</v>
      </c>
      <c r="BA1132" s="2" t="s">
        <v>13680</v>
      </c>
      <c r="BB1132" s="2" t="s">
        <v>21</v>
      </c>
      <c r="BD1132" s="2" t="s">
        <v>13681</v>
      </c>
      <c r="BE1132" s="2" t="s">
        <v>13682</v>
      </c>
      <c r="BF1132" s="2" t="s">
        <v>13683</v>
      </c>
    </row>
    <row r="1133" spans="1:58" ht="41.25" customHeight="1" x14ac:dyDescent="0.25">
      <c r="A1133" s="8" t="s">
        <v>5</v>
      </c>
      <c r="B1133" s="1" t="s">
        <v>0</v>
      </c>
      <c r="C1133" s="1" t="s">
        <v>1</v>
      </c>
      <c r="D1133" s="1" t="s">
        <v>13684</v>
      </c>
      <c r="E1133" s="1" t="s">
        <v>13685</v>
      </c>
      <c r="F1133" s="1" t="s">
        <v>13676</v>
      </c>
      <c r="H1133" s="2" t="s">
        <v>5</v>
      </c>
      <c r="I1133" s="2" t="s">
        <v>6</v>
      </c>
      <c r="J1133" s="2" t="s">
        <v>5</v>
      </c>
      <c r="K1133" s="2" t="s">
        <v>16</v>
      </c>
      <c r="L1133" s="2" t="s">
        <v>7</v>
      </c>
      <c r="M1133" s="1" t="s">
        <v>13666</v>
      </c>
      <c r="N1133" s="1" t="s">
        <v>8962</v>
      </c>
      <c r="O1133" s="2" t="s">
        <v>1391</v>
      </c>
      <c r="P1133" s="1" t="s">
        <v>108</v>
      </c>
      <c r="Q1133" s="2" t="s">
        <v>11</v>
      </c>
      <c r="R1133" s="2" t="s">
        <v>31</v>
      </c>
      <c r="T1133" s="2" t="s">
        <v>520</v>
      </c>
      <c r="U1133" s="3">
        <v>2</v>
      </c>
      <c r="V1133" s="3">
        <v>2</v>
      </c>
      <c r="W1133" s="4" t="s">
        <v>13686</v>
      </c>
      <c r="X1133" s="4" t="s">
        <v>13686</v>
      </c>
      <c r="Y1133" s="4" t="s">
        <v>10787</v>
      </c>
      <c r="Z1133" s="4" t="s">
        <v>10787</v>
      </c>
      <c r="AA1133" s="3">
        <v>449</v>
      </c>
      <c r="AB1133" s="3">
        <v>304</v>
      </c>
      <c r="AC1133" s="3">
        <v>866</v>
      </c>
      <c r="AD1133" s="3">
        <v>1</v>
      </c>
      <c r="AE1133" s="3">
        <v>4</v>
      </c>
      <c r="AF1133" s="3">
        <v>8</v>
      </c>
      <c r="AG1133" s="3">
        <v>32</v>
      </c>
      <c r="AH1133" s="3">
        <v>3</v>
      </c>
      <c r="AI1133" s="3">
        <v>13</v>
      </c>
      <c r="AJ1133" s="3">
        <v>2</v>
      </c>
      <c r="AK1133" s="3">
        <v>7</v>
      </c>
      <c r="AL1133" s="3">
        <v>5</v>
      </c>
      <c r="AM1133" s="3">
        <v>16</v>
      </c>
      <c r="AN1133" s="3">
        <v>0</v>
      </c>
      <c r="AO1133" s="3">
        <v>2</v>
      </c>
      <c r="AP1133" s="3">
        <v>0</v>
      </c>
      <c r="AQ1133" s="3">
        <v>0</v>
      </c>
      <c r="AR1133" s="2" t="s">
        <v>5</v>
      </c>
      <c r="AS1133" s="2" t="s">
        <v>16</v>
      </c>
      <c r="AT1133" s="5" t="str">
        <f>HYPERLINK("http://catalog.hathitrust.org/Record/004377889","HathiTrust Record")</f>
        <v>HathiTrust Record</v>
      </c>
      <c r="AU1133" s="5" t="str">
        <f>HYPERLINK("https://creighton-primo.hosted.exlibrisgroup.com/primo-explore/search?tab=default_tab&amp;search_scope=EVERYTHING&amp;vid=01CRU&amp;lang=en_US&amp;offset=0&amp;query=any,contains,991001729739702656","Catalog Record")</f>
        <v>Catalog Record</v>
      </c>
      <c r="AV1133" s="5" t="str">
        <f>HYPERLINK("http://www.worldcat.org/oclc/53139570","WorldCat Record")</f>
        <v>WorldCat Record</v>
      </c>
      <c r="AW1133" s="2" t="s">
        <v>13677</v>
      </c>
      <c r="AX1133" s="2" t="s">
        <v>13687</v>
      </c>
      <c r="AY1133" s="2" t="s">
        <v>13688</v>
      </c>
      <c r="AZ1133" s="2" t="s">
        <v>13688</v>
      </c>
      <c r="BA1133" s="2" t="s">
        <v>13689</v>
      </c>
      <c r="BB1133" s="2" t="s">
        <v>21</v>
      </c>
      <c r="BD1133" s="2" t="s">
        <v>13690</v>
      </c>
      <c r="BE1133" s="2" t="s">
        <v>13691</v>
      </c>
      <c r="BF1133" s="2" t="s">
        <v>13692</v>
      </c>
    </row>
    <row r="1134" spans="1:58" ht="41.25" customHeight="1" x14ac:dyDescent="0.25">
      <c r="A1134" s="8" t="s">
        <v>5</v>
      </c>
      <c r="B1134" s="1" t="s">
        <v>0</v>
      </c>
      <c r="C1134" s="1" t="s">
        <v>1</v>
      </c>
      <c r="D1134" s="1" t="s">
        <v>13693</v>
      </c>
      <c r="E1134" s="1" t="s">
        <v>13694</v>
      </c>
      <c r="F1134" s="1" t="s">
        <v>13695</v>
      </c>
      <c r="H1134" s="2" t="s">
        <v>5</v>
      </c>
      <c r="I1134" s="2" t="s">
        <v>6</v>
      </c>
      <c r="J1134" s="2" t="s">
        <v>5</v>
      </c>
      <c r="K1134" s="2" t="s">
        <v>5</v>
      </c>
      <c r="L1134" s="2" t="s">
        <v>7</v>
      </c>
      <c r="M1134" s="1" t="s">
        <v>13696</v>
      </c>
      <c r="N1134" s="1" t="s">
        <v>13697</v>
      </c>
      <c r="O1134" s="2" t="s">
        <v>228</v>
      </c>
      <c r="Q1134" s="2" t="s">
        <v>11</v>
      </c>
      <c r="R1134" s="2" t="s">
        <v>1140</v>
      </c>
      <c r="T1134" s="2" t="s">
        <v>520</v>
      </c>
      <c r="U1134" s="3">
        <v>4</v>
      </c>
      <c r="V1134" s="3">
        <v>4</v>
      </c>
      <c r="W1134" s="4" t="s">
        <v>13698</v>
      </c>
      <c r="X1134" s="4" t="s">
        <v>13698</v>
      </c>
      <c r="Y1134" s="4" t="s">
        <v>197</v>
      </c>
      <c r="Z1134" s="4" t="s">
        <v>197</v>
      </c>
      <c r="AA1134" s="3">
        <v>148</v>
      </c>
      <c r="AB1134" s="3">
        <v>122</v>
      </c>
      <c r="AC1134" s="3">
        <v>122</v>
      </c>
      <c r="AD1134" s="3">
        <v>1</v>
      </c>
      <c r="AE1134" s="3">
        <v>1</v>
      </c>
      <c r="AF1134" s="3">
        <v>2</v>
      </c>
      <c r="AG1134" s="3">
        <v>2</v>
      </c>
      <c r="AH1134" s="3">
        <v>2</v>
      </c>
      <c r="AI1134" s="3">
        <v>2</v>
      </c>
      <c r="AJ1134" s="3">
        <v>0</v>
      </c>
      <c r="AK1134" s="3">
        <v>0</v>
      </c>
      <c r="AL1134" s="3">
        <v>1</v>
      </c>
      <c r="AM1134" s="3">
        <v>1</v>
      </c>
      <c r="AN1134" s="3">
        <v>0</v>
      </c>
      <c r="AO1134" s="3">
        <v>0</v>
      </c>
      <c r="AP1134" s="3">
        <v>0</v>
      </c>
      <c r="AQ1134" s="3">
        <v>0</v>
      </c>
      <c r="AR1134" s="2" t="s">
        <v>5</v>
      </c>
      <c r="AS1134" s="2" t="s">
        <v>5</v>
      </c>
      <c r="AU1134" s="5" t="str">
        <f>HYPERLINK("https://creighton-primo.hosted.exlibrisgroup.com/primo-explore/search?tab=default_tab&amp;search_scope=EVERYTHING&amp;vid=01CRU&amp;lang=en_US&amp;offset=0&amp;query=any,contains,991001151599702656","Catalog Record")</f>
        <v>Catalog Record</v>
      </c>
      <c r="AV1134" s="5" t="str">
        <f>HYPERLINK("http://www.worldcat.org/oclc/7837753","WorldCat Record")</f>
        <v>WorldCat Record</v>
      </c>
      <c r="AW1134" s="2" t="s">
        <v>13699</v>
      </c>
      <c r="AX1134" s="2" t="s">
        <v>13700</v>
      </c>
      <c r="AY1134" s="2" t="s">
        <v>13701</v>
      </c>
      <c r="AZ1134" s="2" t="s">
        <v>13701</v>
      </c>
      <c r="BA1134" s="2" t="s">
        <v>13702</v>
      </c>
      <c r="BB1134" s="2" t="s">
        <v>21</v>
      </c>
      <c r="BD1134" s="2" t="s">
        <v>13703</v>
      </c>
      <c r="BE1134" s="2" t="s">
        <v>13704</v>
      </c>
      <c r="BF1134" s="2" t="s">
        <v>13705</v>
      </c>
    </row>
    <row r="1135" spans="1:58" ht="41.25" customHeight="1" x14ac:dyDescent="0.25">
      <c r="A1135" s="8" t="s">
        <v>5</v>
      </c>
      <c r="B1135" s="1" t="s">
        <v>0</v>
      </c>
      <c r="C1135" s="1" t="s">
        <v>1</v>
      </c>
      <c r="D1135" s="1" t="s">
        <v>13706</v>
      </c>
      <c r="E1135" s="1" t="s">
        <v>13707</v>
      </c>
      <c r="F1135" s="1" t="s">
        <v>13708</v>
      </c>
      <c r="H1135" s="2" t="s">
        <v>5</v>
      </c>
      <c r="I1135" s="2" t="s">
        <v>6</v>
      </c>
      <c r="J1135" s="2" t="s">
        <v>5</v>
      </c>
      <c r="K1135" s="2" t="s">
        <v>5</v>
      </c>
      <c r="L1135" s="2" t="s">
        <v>7</v>
      </c>
      <c r="N1135" s="1" t="s">
        <v>13709</v>
      </c>
      <c r="O1135" s="2" t="s">
        <v>92</v>
      </c>
      <c r="P1135" s="1" t="s">
        <v>2397</v>
      </c>
      <c r="Q1135" s="2" t="s">
        <v>11</v>
      </c>
      <c r="R1135" s="2" t="s">
        <v>271</v>
      </c>
      <c r="S1135" s="1" t="s">
        <v>13710</v>
      </c>
      <c r="T1135" s="2" t="s">
        <v>520</v>
      </c>
      <c r="U1135" s="3">
        <v>1</v>
      </c>
      <c r="V1135" s="3">
        <v>1</v>
      </c>
      <c r="W1135" s="4" t="s">
        <v>13711</v>
      </c>
      <c r="X1135" s="4" t="s">
        <v>13711</v>
      </c>
      <c r="Y1135" s="4" t="s">
        <v>197</v>
      </c>
      <c r="Z1135" s="4" t="s">
        <v>197</v>
      </c>
      <c r="AA1135" s="3">
        <v>94</v>
      </c>
      <c r="AB1135" s="3">
        <v>79</v>
      </c>
      <c r="AC1135" s="3">
        <v>81</v>
      </c>
      <c r="AD1135" s="3">
        <v>2</v>
      </c>
      <c r="AE1135" s="3">
        <v>2</v>
      </c>
      <c r="AF1135" s="3">
        <v>6</v>
      </c>
      <c r="AG1135" s="3">
        <v>6</v>
      </c>
      <c r="AH1135" s="3">
        <v>1</v>
      </c>
      <c r="AI1135" s="3">
        <v>1</v>
      </c>
      <c r="AJ1135" s="3">
        <v>2</v>
      </c>
      <c r="AK1135" s="3">
        <v>2</v>
      </c>
      <c r="AL1135" s="3">
        <v>2</v>
      </c>
      <c r="AM1135" s="3">
        <v>2</v>
      </c>
      <c r="AN1135" s="3">
        <v>1</v>
      </c>
      <c r="AO1135" s="3">
        <v>1</v>
      </c>
      <c r="AP1135" s="3">
        <v>0</v>
      </c>
      <c r="AQ1135" s="3">
        <v>0</v>
      </c>
      <c r="AR1135" s="2" t="s">
        <v>5</v>
      </c>
      <c r="AS1135" s="2" t="s">
        <v>16</v>
      </c>
      <c r="AT1135" s="5" t="str">
        <f>HYPERLINK("http://catalog.hathitrust.org/Record/000170577","HathiTrust Record")</f>
        <v>HathiTrust Record</v>
      </c>
      <c r="AU1135" s="5" t="str">
        <f>HYPERLINK("https://creighton-primo.hosted.exlibrisgroup.com/primo-explore/search?tab=default_tab&amp;search_scope=EVERYTHING&amp;vid=01CRU&amp;lang=en_US&amp;offset=0&amp;query=any,contains,991001151819702656","Catalog Record")</f>
        <v>Catalog Record</v>
      </c>
      <c r="AV1135" s="5" t="str">
        <f>HYPERLINK("http://www.worldcat.org/oclc/2684568","WorldCat Record")</f>
        <v>WorldCat Record</v>
      </c>
      <c r="AW1135" s="2" t="s">
        <v>13712</v>
      </c>
      <c r="AX1135" s="2" t="s">
        <v>13713</v>
      </c>
      <c r="AY1135" s="2" t="s">
        <v>13714</v>
      </c>
      <c r="AZ1135" s="2" t="s">
        <v>13714</v>
      </c>
      <c r="BA1135" s="2" t="s">
        <v>13715</v>
      </c>
      <c r="BB1135" s="2" t="s">
        <v>21</v>
      </c>
      <c r="BD1135" s="2" t="s">
        <v>13716</v>
      </c>
      <c r="BE1135" s="2" t="s">
        <v>13717</v>
      </c>
      <c r="BF1135" s="2" t="s">
        <v>13718</v>
      </c>
    </row>
    <row r="1136" spans="1:58" ht="41.25" customHeight="1" x14ac:dyDescent="0.25">
      <c r="A1136" s="8" t="s">
        <v>5</v>
      </c>
      <c r="B1136" s="1" t="s">
        <v>0</v>
      </c>
      <c r="C1136" s="1" t="s">
        <v>1</v>
      </c>
      <c r="D1136" s="1" t="s">
        <v>13719</v>
      </c>
      <c r="E1136" s="1" t="s">
        <v>13720</v>
      </c>
      <c r="F1136" s="1" t="s">
        <v>13721</v>
      </c>
      <c r="H1136" s="2" t="s">
        <v>5</v>
      </c>
      <c r="I1136" s="2" t="s">
        <v>6</v>
      </c>
      <c r="J1136" s="2" t="s">
        <v>5</v>
      </c>
      <c r="K1136" s="2" t="s">
        <v>5</v>
      </c>
      <c r="L1136" s="2" t="s">
        <v>7</v>
      </c>
      <c r="M1136" s="1" t="s">
        <v>13722</v>
      </c>
      <c r="N1136" s="1" t="s">
        <v>13723</v>
      </c>
      <c r="O1136" s="2" t="s">
        <v>4990</v>
      </c>
      <c r="Q1136" s="2" t="s">
        <v>11</v>
      </c>
      <c r="R1136" s="2" t="s">
        <v>1325</v>
      </c>
      <c r="S1136" s="1" t="s">
        <v>13724</v>
      </c>
      <c r="T1136" s="2" t="s">
        <v>520</v>
      </c>
      <c r="U1136" s="3">
        <v>0</v>
      </c>
      <c r="V1136" s="3">
        <v>0</v>
      </c>
      <c r="W1136" s="4" t="s">
        <v>9354</v>
      </c>
      <c r="X1136" s="4" t="s">
        <v>9354</v>
      </c>
      <c r="Y1136" s="4" t="s">
        <v>13725</v>
      </c>
      <c r="Z1136" s="4" t="s">
        <v>13725</v>
      </c>
      <c r="AA1136" s="3">
        <v>137</v>
      </c>
      <c r="AB1136" s="3">
        <v>135</v>
      </c>
      <c r="AC1136" s="3">
        <v>137</v>
      </c>
      <c r="AD1136" s="3">
        <v>2</v>
      </c>
      <c r="AE1136" s="3">
        <v>2</v>
      </c>
      <c r="AF1136" s="3">
        <v>5</v>
      </c>
      <c r="AG1136" s="3">
        <v>5</v>
      </c>
      <c r="AH1136" s="3">
        <v>2</v>
      </c>
      <c r="AI1136" s="3">
        <v>2</v>
      </c>
      <c r="AJ1136" s="3">
        <v>1</v>
      </c>
      <c r="AK1136" s="3">
        <v>1</v>
      </c>
      <c r="AL1136" s="3">
        <v>3</v>
      </c>
      <c r="AM1136" s="3">
        <v>3</v>
      </c>
      <c r="AN1136" s="3">
        <v>0</v>
      </c>
      <c r="AO1136" s="3">
        <v>0</v>
      </c>
      <c r="AP1136" s="3">
        <v>0</v>
      </c>
      <c r="AQ1136" s="3">
        <v>0</v>
      </c>
      <c r="AR1136" s="2" t="s">
        <v>5</v>
      </c>
      <c r="AS1136" s="2" t="s">
        <v>16</v>
      </c>
      <c r="AT1136" s="5" t="str">
        <f>HYPERLINK("http://catalog.hathitrust.org/Record/003847320","HathiTrust Record")</f>
        <v>HathiTrust Record</v>
      </c>
      <c r="AU1136" s="5" t="str">
        <f>HYPERLINK("https://creighton-primo.hosted.exlibrisgroup.com/primo-explore/search?tab=default_tab&amp;search_scope=EVERYTHING&amp;vid=01CRU&amp;lang=en_US&amp;offset=0&amp;query=any,contains,991000345309702656","Catalog Record")</f>
        <v>Catalog Record</v>
      </c>
      <c r="AV1136" s="5" t="str">
        <f>HYPERLINK("http://www.worldcat.org/oclc/50554794","WorldCat Record")</f>
        <v>WorldCat Record</v>
      </c>
      <c r="AW1136" s="2" t="s">
        <v>13726</v>
      </c>
      <c r="AX1136" s="2" t="s">
        <v>13727</v>
      </c>
      <c r="AY1136" s="2" t="s">
        <v>13728</v>
      </c>
      <c r="AZ1136" s="2" t="s">
        <v>13728</v>
      </c>
      <c r="BA1136" s="2" t="s">
        <v>13729</v>
      </c>
      <c r="BB1136" s="2" t="s">
        <v>21</v>
      </c>
      <c r="BD1136" s="2" t="s">
        <v>13730</v>
      </c>
      <c r="BE1136" s="2" t="s">
        <v>13731</v>
      </c>
      <c r="BF1136" s="2" t="s">
        <v>13732</v>
      </c>
    </row>
    <row r="1137" spans="1:58" ht="41.25" customHeight="1" x14ac:dyDescent="0.25">
      <c r="A1137" s="8" t="s">
        <v>5</v>
      </c>
      <c r="B1137" s="1" t="s">
        <v>0</v>
      </c>
      <c r="C1137" s="1" t="s">
        <v>1</v>
      </c>
      <c r="D1137" s="1" t="s">
        <v>13733</v>
      </c>
      <c r="E1137" s="1" t="s">
        <v>13734</v>
      </c>
      <c r="F1137" s="1" t="s">
        <v>13735</v>
      </c>
      <c r="H1137" s="2" t="s">
        <v>5</v>
      </c>
      <c r="I1137" s="2" t="s">
        <v>6</v>
      </c>
      <c r="J1137" s="2" t="s">
        <v>5</v>
      </c>
      <c r="K1137" s="2" t="s">
        <v>16</v>
      </c>
      <c r="L1137" s="2" t="s">
        <v>7</v>
      </c>
      <c r="N1137" s="1" t="s">
        <v>13736</v>
      </c>
      <c r="O1137" s="2" t="s">
        <v>354</v>
      </c>
      <c r="Q1137" s="2" t="s">
        <v>11</v>
      </c>
      <c r="R1137" s="2" t="s">
        <v>1140</v>
      </c>
      <c r="T1137" s="2" t="s">
        <v>520</v>
      </c>
      <c r="U1137" s="3">
        <v>1</v>
      </c>
      <c r="V1137" s="3">
        <v>1</v>
      </c>
      <c r="W1137" s="4" t="s">
        <v>13737</v>
      </c>
      <c r="X1137" s="4" t="s">
        <v>13737</v>
      </c>
      <c r="Y1137" s="4" t="s">
        <v>197</v>
      </c>
      <c r="Z1137" s="4" t="s">
        <v>197</v>
      </c>
      <c r="AA1137" s="3">
        <v>222</v>
      </c>
      <c r="AB1137" s="3">
        <v>193</v>
      </c>
      <c r="AC1137" s="3">
        <v>549</v>
      </c>
      <c r="AD1137" s="3">
        <v>1</v>
      </c>
      <c r="AE1137" s="3">
        <v>2</v>
      </c>
      <c r="AF1137" s="3">
        <v>6</v>
      </c>
      <c r="AG1137" s="3">
        <v>16</v>
      </c>
      <c r="AH1137" s="3">
        <v>2</v>
      </c>
      <c r="AI1137" s="3">
        <v>9</v>
      </c>
      <c r="AJ1137" s="3">
        <v>0</v>
      </c>
      <c r="AK1137" s="3">
        <v>3</v>
      </c>
      <c r="AL1137" s="3">
        <v>4</v>
      </c>
      <c r="AM1137" s="3">
        <v>8</v>
      </c>
      <c r="AN1137" s="3">
        <v>0</v>
      </c>
      <c r="AO1137" s="3">
        <v>0</v>
      </c>
      <c r="AP1137" s="3">
        <v>0</v>
      </c>
      <c r="AQ1137" s="3">
        <v>0</v>
      </c>
      <c r="AR1137" s="2" t="s">
        <v>5</v>
      </c>
      <c r="AS1137" s="2" t="s">
        <v>16</v>
      </c>
      <c r="AT1137" s="5" t="str">
        <f>HYPERLINK("http://catalog.hathitrust.org/Record/000099645","HathiTrust Record")</f>
        <v>HathiTrust Record</v>
      </c>
      <c r="AU1137" s="5" t="str">
        <f>HYPERLINK("https://creighton-primo.hosted.exlibrisgroup.com/primo-explore/search?tab=default_tab&amp;search_scope=EVERYTHING&amp;vid=01CRU&amp;lang=en_US&amp;offset=0&amp;query=any,contains,991001151839702656","Catalog Record")</f>
        <v>Catalog Record</v>
      </c>
      <c r="AV1137" s="5" t="str">
        <f>HYPERLINK("http://www.worldcat.org/oclc/6086344","WorldCat Record")</f>
        <v>WorldCat Record</v>
      </c>
      <c r="AW1137" s="2" t="s">
        <v>13738</v>
      </c>
      <c r="AX1137" s="2" t="s">
        <v>13739</v>
      </c>
      <c r="AY1137" s="2" t="s">
        <v>13740</v>
      </c>
      <c r="AZ1137" s="2" t="s">
        <v>13740</v>
      </c>
      <c r="BA1137" s="2" t="s">
        <v>13741</v>
      </c>
      <c r="BB1137" s="2" t="s">
        <v>21</v>
      </c>
      <c r="BD1137" s="2" t="s">
        <v>13742</v>
      </c>
      <c r="BE1137" s="2" t="s">
        <v>13743</v>
      </c>
      <c r="BF1137" s="2" t="s">
        <v>13744</v>
      </c>
    </row>
    <row r="1138" spans="1:58" ht="41.25" customHeight="1" x14ac:dyDescent="0.25">
      <c r="A1138" s="8" t="s">
        <v>5</v>
      </c>
      <c r="B1138" s="1" t="s">
        <v>0</v>
      </c>
      <c r="C1138" s="1" t="s">
        <v>1</v>
      </c>
      <c r="D1138" s="1" t="s">
        <v>13745</v>
      </c>
      <c r="E1138" s="1" t="s">
        <v>13746</v>
      </c>
      <c r="F1138" s="1" t="s">
        <v>13747</v>
      </c>
      <c r="H1138" s="2" t="s">
        <v>5</v>
      </c>
      <c r="I1138" s="2" t="s">
        <v>6</v>
      </c>
      <c r="J1138" s="2" t="s">
        <v>5</v>
      </c>
      <c r="K1138" s="2" t="s">
        <v>16</v>
      </c>
      <c r="L1138" s="2" t="s">
        <v>7</v>
      </c>
      <c r="N1138" s="1" t="s">
        <v>2175</v>
      </c>
      <c r="O1138" s="2" t="s">
        <v>382</v>
      </c>
      <c r="P1138" s="1" t="s">
        <v>211</v>
      </c>
      <c r="Q1138" s="2" t="s">
        <v>11</v>
      </c>
      <c r="R1138" s="2" t="s">
        <v>426</v>
      </c>
      <c r="T1138" s="2" t="s">
        <v>520</v>
      </c>
      <c r="U1138" s="3">
        <v>6</v>
      </c>
      <c r="V1138" s="3">
        <v>6</v>
      </c>
      <c r="W1138" s="4" t="s">
        <v>13737</v>
      </c>
      <c r="X1138" s="4" t="s">
        <v>13737</v>
      </c>
      <c r="Y1138" s="4" t="s">
        <v>80</v>
      </c>
      <c r="Z1138" s="4" t="s">
        <v>80</v>
      </c>
      <c r="AA1138" s="3">
        <v>219</v>
      </c>
      <c r="AB1138" s="3">
        <v>192</v>
      </c>
      <c r="AC1138" s="3">
        <v>549</v>
      </c>
      <c r="AD1138" s="3">
        <v>2</v>
      </c>
      <c r="AE1138" s="3">
        <v>2</v>
      </c>
      <c r="AF1138" s="3">
        <v>8</v>
      </c>
      <c r="AG1138" s="3">
        <v>16</v>
      </c>
      <c r="AH1138" s="3">
        <v>3</v>
      </c>
      <c r="AI1138" s="3">
        <v>9</v>
      </c>
      <c r="AJ1138" s="3">
        <v>1</v>
      </c>
      <c r="AK1138" s="3">
        <v>3</v>
      </c>
      <c r="AL1138" s="3">
        <v>4</v>
      </c>
      <c r="AM1138" s="3">
        <v>8</v>
      </c>
      <c r="AN1138" s="3">
        <v>0</v>
      </c>
      <c r="AO1138" s="3">
        <v>0</v>
      </c>
      <c r="AP1138" s="3">
        <v>0</v>
      </c>
      <c r="AQ1138" s="3">
        <v>0</v>
      </c>
      <c r="AR1138" s="2" t="s">
        <v>5</v>
      </c>
      <c r="AS1138" s="2" t="s">
        <v>16</v>
      </c>
      <c r="AT1138" s="5" t="str">
        <f>HYPERLINK("http://catalog.hathitrust.org/Record/000471640","HathiTrust Record")</f>
        <v>HathiTrust Record</v>
      </c>
      <c r="AU1138" s="5" t="str">
        <f>HYPERLINK("https://creighton-primo.hosted.exlibrisgroup.com/primo-explore/search?tab=default_tab&amp;search_scope=EVERYTHING&amp;vid=01CRU&amp;lang=en_US&amp;offset=0&amp;query=any,contains,991001151879702656","Catalog Record")</f>
        <v>Catalog Record</v>
      </c>
      <c r="AV1138" s="5" t="str">
        <f>HYPERLINK("http://www.worldcat.org/oclc/12724876","WorldCat Record")</f>
        <v>WorldCat Record</v>
      </c>
      <c r="AW1138" s="2" t="s">
        <v>13738</v>
      </c>
      <c r="AX1138" s="2" t="s">
        <v>13748</v>
      </c>
      <c r="AY1138" s="2" t="s">
        <v>13749</v>
      </c>
      <c r="AZ1138" s="2" t="s">
        <v>13749</v>
      </c>
      <c r="BA1138" s="2" t="s">
        <v>13750</v>
      </c>
      <c r="BB1138" s="2" t="s">
        <v>21</v>
      </c>
      <c r="BD1138" s="2" t="s">
        <v>13751</v>
      </c>
      <c r="BE1138" s="2" t="s">
        <v>13752</v>
      </c>
      <c r="BF1138" s="2" t="s">
        <v>13753</v>
      </c>
    </row>
    <row r="1139" spans="1:58" ht="41.25" customHeight="1" x14ac:dyDescent="0.25">
      <c r="A1139" s="8" t="s">
        <v>5</v>
      </c>
      <c r="B1139" s="1" t="s">
        <v>0</v>
      </c>
      <c r="C1139" s="1" t="s">
        <v>1</v>
      </c>
      <c r="D1139" s="1" t="s">
        <v>13754</v>
      </c>
      <c r="E1139" s="1" t="s">
        <v>13755</v>
      </c>
      <c r="F1139" s="1" t="s">
        <v>13756</v>
      </c>
      <c r="H1139" s="2" t="s">
        <v>5</v>
      </c>
      <c r="I1139" s="2" t="s">
        <v>6</v>
      </c>
      <c r="J1139" s="2" t="s">
        <v>5</v>
      </c>
      <c r="K1139" s="2" t="s">
        <v>5</v>
      </c>
      <c r="L1139" s="2" t="s">
        <v>7</v>
      </c>
      <c r="N1139" s="1" t="s">
        <v>8612</v>
      </c>
      <c r="O1139" s="2" t="s">
        <v>939</v>
      </c>
      <c r="Q1139" s="2" t="s">
        <v>11</v>
      </c>
      <c r="R1139" s="2" t="s">
        <v>31</v>
      </c>
      <c r="T1139" s="2" t="s">
        <v>520</v>
      </c>
      <c r="U1139" s="3">
        <v>5</v>
      </c>
      <c r="V1139" s="3">
        <v>5</v>
      </c>
      <c r="W1139" s="4" t="s">
        <v>13757</v>
      </c>
      <c r="X1139" s="4" t="s">
        <v>13757</v>
      </c>
      <c r="Y1139" s="4" t="s">
        <v>8614</v>
      </c>
      <c r="Z1139" s="4" t="s">
        <v>8614</v>
      </c>
      <c r="AA1139" s="3">
        <v>101</v>
      </c>
      <c r="AB1139" s="3">
        <v>96</v>
      </c>
      <c r="AC1139" s="3">
        <v>104</v>
      </c>
      <c r="AD1139" s="3">
        <v>1</v>
      </c>
      <c r="AE1139" s="3">
        <v>1</v>
      </c>
      <c r="AF1139" s="3">
        <v>5</v>
      </c>
      <c r="AG1139" s="3">
        <v>5</v>
      </c>
      <c r="AH1139" s="3">
        <v>1</v>
      </c>
      <c r="AI1139" s="3">
        <v>1</v>
      </c>
      <c r="AJ1139" s="3">
        <v>0</v>
      </c>
      <c r="AK1139" s="3">
        <v>0</v>
      </c>
      <c r="AL1139" s="3">
        <v>4</v>
      </c>
      <c r="AM1139" s="3">
        <v>4</v>
      </c>
      <c r="AN1139" s="3">
        <v>0</v>
      </c>
      <c r="AO1139" s="3">
        <v>0</v>
      </c>
      <c r="AP1139" s="3">
        <v>0</v>
      </c>
      <c r="AQ1139" s="3">
        <v>0</v>
      </c>
      <c r="AR1139" s="2" t="s">
        <v>5</v>
      </c>
      <c r="AS1139" s="2" t="s">
        <v>16</v>
      </c>
      <c r="AT1139" s="5" t="str">
        <f>HYPERLINK("http://catalog.hathitrust.org/Record/001077955","HathiTrust Record")</f>
        <v>HathiTrust Record</v>
      </c>
      <c r="AU1139" s="5" t="str">
        <f>HYPERLINK("https://creighton-primo.hosted.exlibrisgroup.com/primo-explore/search?tab=default_tab&amp;search_scope=EVERYTHING&amp;vid=01CRU&amp;lang=en_US&amp;offset=0&amp;query=any,contains,991000759999702656","Catalog Record")</f>
        <v>Catalog Record</v>
      </c>
      <c r="AV1139" s="5" t="str">
        <f>HYPERLINK("http://www.worldcat.org/oclc/23901795","WorldCat Record")</f>
        <v>WorldCat Record</v>
      </c>
      <c r="AW1139" s="2" t="s">
        <v>13758</v>
      </c>
      <c r="AX1139" s="2" t="s">
        <v>13759</v>
      </c>
      <c r="AY1139" s="2" t="s">
        <v>13760</v>
      </c>
      <c r="AZ1139" s="2" t="s">
        <v>13760</v>
      </c>
      <c r="BA1139" s="2" t="s">
        <v>13761</v>
      </c>
      <c r="BB1139" s="2" t="s">
        <v>21</v>
      </c>
      <c r="BE1139" s="2" t="s">
        <v>13762</v>
      </c>
      <c r="BF1139" s="2" t="s">
        <v>13763</v>
      </c>
    </row>
    <row r="1140" spans="1:58" ht="41.25" customHeight="1" x14ac:dyDescent="0.25">
      <c r="A1140" s="8" t="s">
        <v>5</v>
      </c>
      <c r="B1140" s="1" t="s">
        <v>0</v>
      </c>
      <c r="C1140" s="1" t="s">
        <v>1</v>
      </c>
      <c r="D1140" s="1" t="s">
        <v>13764</v>
      </c>
      <c r="E1140" s="1" t="s">
        <v>13765</v>
      </c>
      <c r="F1140" s="1" t="s">
        <v>13766</v>
      </c>
      <c r="H1140" s="2" t="s">
        <v>5</v>
      </c>
      <c r="I1140" s="2" t="s">
        <v>6</v>
      </c>
      <c r="J1140" s="2" t="s">
        <v>5</v>
      </c>
      <c r="K1140" s="2" t="s">
        <v>5</v>
      </c>
      <c r="L1140" s="2" t="s">
        <v>7</v>
      </c>
      <c r="N1140" s="1" t="s">
        <v>1220</v>
      </c>
      <c r="O1140" s="2" t="s">
        <v>62</v>
      </c>
      <c r="Q1140" s="2" t="s">
        <v>11</v>
      </c>
      <c r="R1140" s="2" t="s">
        <v>426</v>
      </c>
      <c r="S1140" s="1" t="s">
        <v>13767</v>
      </c>
      <c r="T1140" s="2" t="s">
        <v>520</v>
      </c>
      <c r="U1140" s="3">
        <v>1</v>
      </c>
      <c r="V1140" s="3">
        <v>1</v>
      </c>
      <c r="W1140" s="4" t="s">
        <v>7129</v>
      </c>
      <c r="X1140" s="4" t="s">
        <v>7129</v>
      </c>
      <c r="Y1140" s="4" t="s">
        <v>1249</v>
      </c>
      <c r="Z1140" s="4" t="s">
        <v>1249</v>
      </c>
      <c r="AA1140" s="3">
        <v>90</v>
      </c>
      <c r="AB1140" s="3">
        <v>78</v>
      </c>
      <c r="AC1140" s="3">
        <v>80</v>
      </c>
      <c r="AD1140" s="3">
        <v>2</v>
      </c>
      <c r="AE1140" s="3">
        <v>2</v>
      </c>
      <c r="AF1140" s="3">
        <v>4</v>
      </c>
      <c r="AG1140" s="3">
        <v>4</v>
      </c>
      <c r="AH1140" s="3">
        <v>1</v>
      </c>
      <c r="AI1140" s="3">
        <v>1</v>
      </c>
      <c r="AJ1140" s="3">
        <v>1</v>
      </c>
      <c r="AK1140" s="3">
        <v>1</v>
      </c>
      <c r="AL1140" s="3">
        <v>3</v>
      </c>
      <c r="AM1140" s="3">
        <v>3</v>
      </c>
      <c r="AN1140" s="3">
        <v>0</v>
      </c>
      <c r="AO1140" s="3">
        <v>0</v>
      </c>
      <c r="AP1140" s="3">
        <v>0</v>
      </c>
      <c r="AQ1140" s="3">
        <v>0</v>
      </c>
      <c r="AR1140" s="2" t="s">
        <v>5</v>
      </c>
      <c r="AS1140" s="2" t="s">
        <v>16</v>
      </c>
      <c r="AT1140" s="5" t="str">
        <f>HYPERLINK("http://catalog.hathitrust.org/Record/000217849","HathiTrust Record")</f>
        <v>HathiTrust Record</v>
      </c>
      <c r="AU1140" s="5" t="str">
        <f>HYPERLINK("https://creighton-primo.hosted.exlibrisgroup.com/primo-explore/search?tab=default_tab&amp;search_scope=EVERYTHING&amp;vid=01CRU&amp;lang=en_US&amp;offset=0&amp;query=any,contains,991001385109702656","Catalog Record")</f>
        <v>Catalog Record</v>
      </c>
      <c r="AV1140" s="5" t="str">
        <f>HYPERLINK("http://www.worldcat.org/oclc/5051586","WorldCat Record")</f>
        <v>WorldCat Record</v>
      </c>
      <c r="AW1140" s="2" t="s">
        <v>13768</v>
      </c>
      <c r="AX1140" s="2" t="s">
        <v>13769</v>
      </c>
      <c r="AY1140" s="2" t="s">
        <v>13770</v>
      </c>
      <c r="AZ1140" s="2" t="s">
        <v>13770</v>
      </c>
      <c r="BA1140" s="2" t="s">
        <v>13771</v>
      </c>
      <c r="BB1140" s="2" t="s">
        <v>21</v>
      </c>
      <c r="BE1140" s="2" t="s">
        <v>13772</v>
      </c>
      <c r="BF1140" s="2" t="s">
        <v>13773</v>
      </c>
    </row>
    <row r="1141" spans="1:58" ht="41.25" customHeight="1" x14ac:dyDescent="0.25">
      <c r="A1141" s="8" t="s">
        <v>5</v>
      </c>
      <c r="B1141" s="1" t="s">
        <v>0</v>
      </c>
      <c r="C1141" s="1" t="s">
        <v>1</v>
      </c>
      <c r="D1141" s="1" t="s">
        <v>13774</v>
      </c>
      <c r="E1141" s="1" t="s">
        <v>13775</v>
      </c>
      <c r="F1141" s="1" t="s">
        <v>13776</v>
      </c>
      <c r="H1141" s="2" t="s">
        <v>5</v>
      </c>
      <c r="I1141" s="2" t="s">
        <v>6</v>
      </c>
      <c r="J1141" s="2" t="s">
        <v>5</v>
      </c>
      <c r="K1141" s="2" t="s">
        <v>5</v>
      </c>
      <c r="L1141" s="2" t="s">
        <v>7</v>
      </c>
      <c r="N1141" s="1" t="s">
        <v>10808</v>
      </c>
      <c r="O1141" s="2" t="s">
        <v>794</v>
      </c>
      <c r="Q1141" s="2" t="s">
        <v>11</v>
      </c>
      <c r="R1141" s="2" t="s">
        <v>1140</v>
      </c>
      <c r="T1141" s="2" t="s">
        <v>520</v>
      </c>
      <c r="U1141" s="3">
        <v>5</v>
      </c>
      <c r="V1141" s="3">
        <v>5</v>
      </c>
      <c r="W1141" s="4" t="s">
        <v>13777</v>
      </c>
      <c r="X1141" s="4" t="s">
        <v>13777</v>
      </c>
      <c r="Y1141" s="4" t="s">
        <v>11973</v>
      </c>
      <c r="Z1141" s="4" t="s">
        <v>11973</v>
      </c>
      <c r="AA1141" s="3">
        <v>246</v>
      </c>
      <c r="AB1141" s="3">
        <v>216</v>
      </c>
      <c r="AC1141" s="3">
        <v>223</v>
      </c>
      <c r="AD1141" s="3">
        <v>3</v>
      </c>
      <c r="AE1141" s="3">
        <v>3</v>
      </c>
      <c r="AF1141" s="3">
        <v>13</v>
      </c>
      <c r="AG1141" s="3">
        <v>13</v>
      </c>
      <c r="AH1141" s="3">
        <v>4</v>
      </c>
      <c r="AI1141" s="3">
        <v>4</v>
      </c>
      <c r="AJ1141" s="3">
        <v>3</v>
      </c>
      <c r="AK1141" s="3">
        <v>3</v>
      </c>
      <c r="AL1141" s="3">
        <v>8</v>
      </c>
      <c r="AM1141" s="3">
        <v>8</v>
      </c>
      <c r="AN1141" s="3">
        <v>1</v>
      </c>
      <c r="AO1141" s="3">
        <v>1</v>
      </c>
      <c r="AP1141" s="3">
        <v>0</v>
      </c>
      <c r="AQ1141" s="3">
        <v>0</v>
      </c>
      <c r="AR1141" s="2" t="s">
        <v>5</v>
      </c>
      <c r="AS1141" s="2" t="s">
        <v>16</v>
      </c>
      <c r="AT1141" s="5" t="str">
        <f>HYPERLINK("http://catalog.hathitrust.org/Record/003034943","HathiTrust Record")</f>
        <v>HathiTrust Record</v>
      </c>
      <c r="AU1141" s="5" t="str">
        <f>HYPERLINK("https://creighton-primo.hosted.exlibrisgroup.com/primo-explore/search?tab=default_tab&amp;search_scope=EVERYTHING&amp;vid=01CRU&amp;lang=en_US&amp;offset=0&amp;query=any,contains,991001552799702656","Catalog Record")</f>
        <v>Catalog Record</v>
      </c>
      <c r="AV1141" s="5" t="str">
        <f>HYPERLINK("http://www.worldcat.org/oclc/33077398","WorldCat Record")</f>
        <v>WorldCat Record</v>
      </c>
      <c r="AW1141" s="2" t="s">
        <v>13778</v>
      </c>
      <c r="AX1141" s="2" t="s">
        <v>13779</v>
      </c>
      <c r="AY1141" s="2" t="s">
        <v>13780</v>
      </c>
      <c r="AZ1141" s="2" t="s">
        <v>13780</v>
      </c>
      <c r="BA1141" s="2" t="s">
        <v>13781</v>
      </c>
      <c r="BB1141" s="2" t="s">
        <v>21</v>
      </c>
      <c r="BD1141" s="2" t="s">
        <v>13782</v>
      </c>
      <c r="BE1141" s="2" t="s">
        <v>13783</v>
      </c>
      <c r="BF1141" s="2" t="s">
        <v>13784</v>
      </c>
    </row>
    <row r="1142" spans="1:58" ht="41.25" customHeight="1" x14ac:dyDescent="0.25">
      <c r="A1142" s="8" t="s">
        <v>5</v>
      </c>
      <c r="B1142" s="1" t="s">
        <v>0</v>
      </c>
      <c r="C1142" s="1" t="s">
        <v>1</v>
      </c>
      <c r="D1142" s="1" t="s">
        <v>13785</v>
      </c>
      <c r="E1142" s="1" t="s">
        <v>13786</v>
      </c>
      <c r="F1142" s="1" t="s">
        <v>13787</v>
      </c>
      <c r="G1142" s="2" t="s">
        <v>13788</v>
      </c>
      <c r="H1142" s="2" t="s">
        <v>5</v>
      </c>
      <c r="I1142" s="2" t="s">
        <v>6</v>
      </c>
      <c r="J1142" s="2" t="s">
        <v>5</v>
      </c>
      <c r="K1142" s="2" t="s">
        <v>5</v>
      </c>
      <c r="L1142" s="2" t="s">
        <v>7</v>
      </c>
      <c r="N1142" s="1" t="s">
        <v>13789</v>
      </c>
      <c r="O1142" s="2" t="s">
        <v>872</v>
      </c>
      <c r="Q1142" s="2" t="s">
        <v>11</v>
      </c>
      <c r="R1142" s="2" t="s">
        <v>1140</v>
      </c>
      <c r="S1142" s="1" t="s">
        <v>13790</v>
      </c>
      <c r="T1142" s="2" t="s">
        <v>520</v>
      </c>
      <c r="U1142" s="3">
        <v>5</v>
      </c>
      <c r="V1142" s="3">
        <v>5</v>
      </c>
      <c r="W1142" s="4" t="s">
        <v>1298</v>
      </c>
      <c r="X1142" s="4" t="s">
        <v>1298</v>
      </c>
      <c r="Y1142" s="4" t="s">
        <v>6806</v>
      </c>
      <c r="Z1142" s="4" t="s">
        <v>6806</v>
      </c>
      <c r="AA1142" s="3">
        <v>67</v>
      </c>
      <c r="AB1142" s="3">
        <v>53</v>
      </c>
      <c r="AC1142" s="3">
        <v>55</v>
      </c>
      <c r="AD1142" s="3">
        <v>1</v>
      </c>
      <c r="AE1142" s="3">
        <v>1</v>
      </c>
      <c r="AF1142" s="3">
        <v>3</v>
      </c>
      <c r="AG1142" s="3">
        <v>3</v>
      </c>
      <c r="AH1142" s="3">
        <v>1</v>
      </c>
      <c r="AI1142" s="3">
        <v>1</v>
      </c>
      <c r="AJ1142" s="3">
        <v>0</v>
      </c>
      <c r="AK1142" s="3">
        <v>0</v>
      </c>
      <c r="AL1142" s="3">
        <v>2</v>
      </c>
      <c r="AM1142" s="3">
        <v>2</v>
      </c>
      <c r="AN1142" s="3">
        <v>0</v>
      </c>
      <c r="AO1142" s="3">
        <v>0</v>
      </c>
      <c r="AP1142" s="3">
        <v>0</v>
      </c>
      <c r="AQ1142" s="3">
        <v>0</v>
      </c>
      <c r="AR1142" s="2" t="s">
        <v>5</v>
      </c>
      <c r="AS1142" s="2" t="s">
        <v>16</v>
      </c>
      <c r="AT1142" s="5" t="str">
        <f>HYPERLINK("http://catalog.hathitrust.org/Record/010598946","HathiTrust Record")</f>
        <v>HathiTrust Record</v>
      </c>
      <c r="AU1142" s="5" t="str">
        <f>HYPERLINK("https://creighton-primo.hosted.exlibrisgroup.com/primo-explore/search?tab=default_tab&amp;search_scope=EVERYTHING&amp;vid=01CRU&amp;lang=en_US&amp;offset=0&amp;query=any,contains,991001780929702656","Catalog Record")</f>
        <v>Catalog Record</v>
      </c>
      <c r="AV1142" s="5" t="str">
        <f>HYPERLINK("http://www.worldcat.org/oclc/22665874","WorldCat Record")</f>
        <v>WorldCat Record</v>
      </c>
      <c r="AW1142" s="2" t="s">
        <v>13791</v>
      </c>
      <c r="AX1142" s="2" t="s">
        <v>13792</v>
      </c>
      <c r="AY1142" s="2" t="s">
        <v>13793</v>
      </c>
      <c r="AZ1142" s="2" t="s">
        <v>13793</v>
      </c>
      <c r="BA1142" s="2" t="s">
        <v>13794</v>
      </c>
      <c r="BB1142" s="2" t="s">
        <v>21</v>
      </c>
      <c r="BD1142" s="2" t="s">
        <v>13795</v>
      </c>
      <c r="BE1142" s="2" t="s">
        <v>13796</v>
      </c>
      <c r="BF1142" s="2" t="s">
        <v>13797</v>
      </c>
    </row>
    <row r="1143" spans="1:58" ht="41.25" customHeight="1" x14ac:dyDescent="0.25">
      <c r="A1143" s="8" t="s">
        <v>5</v>
      </c>
      <c r="B1143" s="1" t="s">
        <v>0</v>
      </c>
      <c r="C1143" s="1" t="s">
        <v>1</v>
      </c>
      <c r="D1143" s="1" t="s">
        <v>13798</v>
      </c>
      <c r="E1143" s="1" t="s">
        <v>13799</v>
      </c>
      <c r="F1143" s="1" t="s">
        <v>13800</v>
      </c>
      <c r="G1143" s="2" t="s">
        <v>13801</v>
      </c>
      <c r="H1143" s="2" t="s">
        <v>5</v>
      </c>
      <c r="I1143" s="2" t="s">
        <v>6</v>
      </c>
      <c r="J1143" s="2" t="s">
        <v>5</v>
      </c>
      <c r="K1143" s="2" t="s">
        <v>5</v>
      </c>
      <c r="L1143" s="2" t="s">
        <v>7</v>
      </c>
      <c r="N1143" s="1" t="s">
        <v>13789</v>
      </c>
      <c r="O1143" s="2" t="s">
        <v>872</v>
      </c>
      <c r="Q1143" s="2" t="s">
        <v>11</v>
      </c>
      <c r="R1143" s="2" t="s">
        <v>1140</v>
      </c>
      <c r="S1143" s="1" t="s">
        <v>13802</v>
      </c>
      <c r="T1143" s="2" t="s">
        <v>520</v>
      </c>
      <c r="U1143" s="3">
        <v>4</v>
      </c>
      <c r="V1143" s="3">
        <v>4</v>
      </c>
      <c r="W1143" s="4" t="s">
        <v>13803</v>
      </c>
      <c r="X1143" s="4" t="s">
        <v>13803</v>
      </c>
      <c r="Y1143" s="4" t="s">
        <v>6806</v>
      </c>
      <c r="Z1143" s="4" t="s">
        <v>6806</v>
      </c>
      <c r="AA1143" s="3">
        <v>111</v>
      </c>
      <c r="AB1143" s="3">
        <v>95</v>
      </c>
      <c r="AC1143" s="3">
        <v>95</v>
      </c>
      <c r="AD1143" s="3">
        <v>1</v>
      </c>
      <c r="AE1143" s="3">
        <v>1</v>
      </c>
      <c r="AF1143" s="3">
        <v>3</v>
      </c>
      <c r="AG1143" s="3">
        <v>3</v>
      </c>
      <c r="AH1143" s="3">
        <v>2</v>
      </c>
      <c r="AI1143" s="3">
        <v>2</v>
      </c>
      <c r="AJ1143" s="3">
        <v>0</v>
      </c>
      <c r="AK1143" s="3">
        <v>0</v>
      </c>
      <c r="AL1143" s="3">
        <v>2</v>
      </c>
      <c r="AM1143" s="3">
        <v>2</v>
      </c>
      <c r="AN1143" s="3">
        <v>0</v>
      </c>
      <c r="AO1143" s="3">
        <v>0</v>
      </c>
      <c r="AP1143" s="3">
        <v>0</v>
      </c>
      <c r="AQ1143" s="3">
        <v>0</v>
      </c>
      <c r="AR1143" s="2" t="s">
        <v>5</v>
      </c>
      <c r="AS1143" s="2" t="s">
        <v>5</v>
      </c>
      <c r="AU1143" s="5" t="str">
        <f>HYPERLINK("https://creighton-primo.hosted.exlibrisgroup.com/primo-explore/search?tab=default_tab&amp;search_scope=EVERYTHING&amp;vid=01CRU&amp;lang=en_US&amp;offset=0&amp;query=any,contains,991001035609702656","Catalog Record")</f>
        <v>Catalog Record</v>
      </c>
      <c r="AV1143" s="5" t="str">
        <f>HYPERLINK("http://www.worldcat.org/oclc/20407841","WorldCat Record")</f>
        <v>WorldCat Record</v>
      </c>
      <c r="AW1143" s="2" t="s">
        <v>13804</v>
      </c>
      <c r="AX1143" s="2" t="s">
        <v>13805</v>
      </c>
      <c r="AY1143" s="2" t="s">
        <v>13806</v>
      </c>
      <c r="AZ1143" s="2" t="s">
        <v>13806</v>
      </c>
      <c r="BA1143" s="2" t="s">
        <v>13807</v>
      </c>
      <c r="BB1143" s="2" t="s">
        <v>21</v>
      </c>
      <c r="BD1143" s="2" t="s">
        <v>13808</v>
      </c>
      <c r="BE1143" s="2" t="s">
        <v>13809</v>
      </c>
      <c r="BF1143" s="2" t="s">
        <v>13810</v>
      </c>
    </row>
    <row r="1144" spans="1:58" ht="41.25" customHeight="1" x14ac:dyDescent="0.25">
      <c r="A1144" s="8" t="s">
        <v>5</v>
      </c>
      <c r="B1144" s="1" t="s">
        <v>0</v>
      </c>
      <c r="C1144" s="1" t="s">
        <v>1</v>
      </c>
      <c r="D1144" s="1" t="s">
        <v>13811</v>
      </c>
      <c r="E1144" s="1" t="s">
        <v>13812</v>
      </c>
      <c r="F1144" s="1" t="s">
        <v>13813</v>
      </c>
      <c r="G1144" s="2" t="s">
        <v>13814</v>
      </c>
      <c r="H1144" s="2" t="s">
        <v>5</v>
      </c>
      <c r="I1144" s="2" t="s">
        <v>6</v>
      </c>
      <c r="J1144" s="2" t="s">
        <v>5</v>
      </c>
      <c r="K1144" s="2" t="s">
        <v>5</v>
      </c>
      <c r="L1144" s="2" t="s">
        <v>7</v>
      </c>
      <c r="M1144" s="1" t="s">
        <v>13815</v>
      </c>
      <c r="N1144" s="1" t="s">
        <v>13789</v>
      </c>
      <c r="O1144" s="2" t="s">
        <v>989</v>
      </c>
      <c r="Q1144" s="2" t="s">
        <v>11</v>
      </c>
      <c r="R1144" s="2" t="s">
        <v>1140</v>
      </c>
      <c r="S1144" s="1" t="s">
        <v>13816</v>
      </c>
      <c r="T1144" s="2" t="s">
        <v>520</v>
      </c>
      <c r="U1144" s="3">
        <v>3</v>
      </c>
      <c r="V1144" s="3">
        <v>3</v>
      </c>
      <c r="W1144" s="4" t="s">
        <v>13203</v>
      </c>
      <c r="X1144" s="4" t="s">
        <v>13203</v>
      </c>
      <c r="Y1144" s="4" t="s">
        <v>6806</v>
      </c>
      <c r="Z1144" s="4" t="s">
        <v>6806</v>
      </c>
      <c r="AA1144" s="3">
        <v>67</v>
      </c>
      <c r="AB1144" s="3">
        <v>62</v>
      </c>
      <c r="AC1144" s="3">
        <v>67</v>
      </c>
      <c r="AD1144" s="3">
        <v>1</v>
      </c>
      <c r="AE1144" s="3">
        <v>1</v>
      </c>
      <c r="AF1144" s="3">
        <v>3</v>
      </c>
      <c r="AG1144" s="3">
        <v>3</v>
      </c>
      <c r="AH1144" s="3">
        <v>2</v>
      </c>
      <c r="AI1144" s="3">
        <v>2</v>
      </c>
      <c r="AJ1144" s="3">
        <v>0</v>
      </c>
      <c r="AK1144" s="3">
        <v>0</v>
      </c>
      <c r="AL1144" s="3">
        <v>3</v>
      </c>
      <c r="AM1144" s="3">
        <v>3</v>
      </c>
      <c r="AN1144" s="3">
        <v>0</v>
      </c>
      <c r="AO1144" s="3">
        <v>0</v>
      </c>
      <c r="AP1144" s="3">
        <v>0</v>
      </c>
      <c r="AQ1144" s="3">
        <v>0</v>
      </c>
      <c r="AR1144" s="2" t="s">
        <v>5</v>
      </c>
      <c r="AS1144" s="2" t="s">
        <v>5</v>
      </c>
      <c r="AU1144" s="5" t="str">
        <f>HYPERLINK("https://creighton-primo.hosted.exlibrisgroup.com/primo-explore/search?tab=default_tab&amp;search_scope=EVERYTHING&amp;vid=01CRU&amp;lang=en_US&amp;offset=0&amp;query=any,contains,991001780849702656","Catalog Record")</f>
        <v>Catalog Record</v>
      </c>
      <c r="AV1144" s="5" t="str">
        <f>HYPERLINK("http://www.worldcat.org/oclc/20013222","WorldCat Record")</f>
        <v>WorldCat Record</v>
      </c>
      <c r="AW1144" s="2" t="s">
        <v>13817</v>
      </c>
      <c r="AX1144" s="2" t="s">
        <v>13818</v>
      </c>
      <c r="AY1144" s="2" t="s">
        <v>13819</v>
      </c>
      <c r="AZ1144" s="2" t="s">
        <v>13819</v>
      </c>
      <c r="BA1144" s="2" t="s">
        <v>13820</v>
      </c>
      <c r="BB1144" s="2" t="s">
        <v>21</v>
      </c>
      <c r="BD1144" s="2" t="s">
        <v>13821</v>
      </c>
      <c r="BE1144" s="2" t="s">
        <v>13822</v>
      </c>
      <c r="BF1144" s="2" t="s">
        <v>13823</v>
      </c>
    </row>
    <row r="1145" spans="1:58" ht="41.25" customHeight="1" x14ac:dyDescent="0.25">
      <c r="A1145" s="8" t="s">
        <v>5</v>
      </c>
      <c r="B1145" s="1" t="s">
        <v>0</v>
      </c>
      <c r="C1145" s="1" t="s">
        <v>1</v>
      </c>
      <c r="D1145" s="1" t="s">
        <v>13824</v>
      </c>
      <c r="E1145" s="1" t="s">
        <v>13825</v>
      </c>
      <c r="F1145" s="1" t="s">
        <v>13826</v>
      </c>
      <c r="G1145" s="2" t="s">
        <v>13827</v>
      </c>
      <c r="H1145" s="2" t="s">
        <v>5</v>
      </c>
      <c r="I1145" s="2" t="s">
        <v>6</v>
      </c>
      <c r="J1145" s="2" t="s">
        <v>5</v>
      </c>
      <c r="K1145" s="2" t="s">
        <v>5</v>
      </c>
      <c r="L1145" s="2" t="s">
        <v>7</v>
      </c>
      <c r="M1145" s="1" t="s">
        <v>13828</v>
      </c>
      <c r="N1145" s="1" t="s">
        <v>2689</v>
      </c>
      <c r="O1145" s="2" t="s">
        <v>989</v>
      </c>
      <c r="Q1145" s="2" t="s">
        <v>11</v>
      </c>
      <c r="R1145" s="2" t="s">
        <v>1140</v>
      </c>
      <c r="S1145" s="1" t="s">
        <v>13829</v>
      </c>
      <c r="T1145" s="2" t="s">
        <v>520</v>
      </c>
      <c r="U1145" s="3">
        <v>8</v>
      </c>
      <c r="V1145" s="3">
        <v>8</v>
      </c>
      <c r="W1145" s="4" t="s">
        <v>13830</v>
      </c>
      <c r="X1145" s="4" t="s">
        <v>13830</v>
      </c>
      <c r="Y1145" s="4" t="s">
        <v>6806</v>
      </c>
      <c r="Z1145" s="4" t="s">
        <v>6806</v>
      </c>
      <c r="AA1145" s="3">
        <v>78</v>
      </c>
      <c r="AB1145" s="3">
        <v>62</v>
      </c>
      <c r="AC1145" s="3">
        <v>62</v>
      </c>
      <c r="AD1145" s="3">
        <v>1</v>
      </c>
      <c r="AE1145" s="3">
        <v>1</v>
      </c>
      <c r="AF1145" s="3">
        <v>3</v>
      </c>
      <c r="AG1145" s="3">
        <v>3</v>
      </c>
      <c r="AH1145" s="3">
        <v>2</v>
      </c>
      <c r="AI1145" s="3">
        <v>2</v>
      </c>
      <c r="AJ1145" s="3">
        <v>0</v>
      </c>
      <c r="AK1145" s="3">
        <v>0</v>
      </c>
      <c r="AL1145" s="3">
        <v>2</v>
      </c>
      <c r="AM1145" s="3">
        <v>2</v>
      </c>
      <c r="AN1145" s="3">
        <v>0</v>
      </c>
      <c r="AO1145" s="3">
        <v>0</v>
      </c>
      <c r="AP1145" s="3">
        <v>0</v>
      </c>
      <c r="AQ1145" s="3">
        <v>0</v>
      </c>
      <c r="AR1145" s="2" t="s">
        <v>5</v>
      </c>
      <c r="AS1145" s="2" t="s">
        <v>5</v>
      </c>
      <c r="AU1145" s="5" t="str">
        <f>HYPERLINK("https://creighton-primo.hosted.exlibrisgroup.com/primo-explore/search?tab=default_tab&amp;search_scope=EVERYTHING&amp;vid=01CRU&amp;lang=en_US&amp;offset=0&amp;query=any,contains,991001780889702656","Catalog Record")</f>
        <v>Catalog Record</v>
      </c>
      <c r="AV1145" s="5" t="str">
        <f>HYPERLINK("http://www.worldcat.org/oclc/21043024","WorldCat Record")</f>
        <v>WorldCat Record</v>
      </c>
      <c r="AW1145" s="2" t="s">
        <v>13831</v>
      </c>
      <c r="AX1145" s="2" t="s">
        <v>13832</v>
      </c>
      <c r="AY1145" s="2" t="s">
        <v>13833</v>
      </c>
      <c r="AZ1145" s="2" t="s">
        <v>13833</v>
      </c>
      <c r="BA1145" s="2" t="s">
        <v>13834</v>
      </c>
      <c r="BB1145" s="2" t="s">
        <v>21</v>
      </c>
      <c r="BD1145" s="2" t="s">
        <v>13835</v>
      </c>
      <c r="BE1145" s="2" t="s">
        <v>13836</v>
      </c>
      <c r="BF1145" s="2" t="s">
        <v>13837</v>
      </c>
    </row>
    <row r="1146" spans="1:58" ht="41.25" customHeight="1" x14ac:dyDescent="0.25">
      <c r="A1146" s="8" t="s">
        <v>5</v>
      </c>
      <c r="B1146" s="1" t="s">
        <v>0</v>
      </c>
      <c r="C1146" s="1" t="s">
        <v>1</v>
      </c>
      <c r="D1146" s="1" t="s">
        <v>13838</v>
      </c>
      <c r="E1146" s="1" t="s">
        <v>13839</v>
      </c>
      <c r="F1146" s="1" t="s">
        <v>13840</v>
      </c>
      <c r="H1146" s="2" t="s">
        <v>5</v>
      </c>
      <c r="I1146" s="2" t="s">
        <v>6</v>
      </c>
      <c r="J1146" s="2" t="s">
        <v>5</v>
      </c>
      <c r="K1146" s="2" t="s">
        <v>5</v>
      </c>
      <c r="L1146" s="2" t="s">
        <v>7</v>
      </c>
      <c r="M1146" s="1" t="s">
        <v>13841</v>
      </c>
      <c r="N1146" s="1" t="s">
        <v>3693</v>
      </c>
      <c r="O1146" s="2" t="s">
        <v>1102</v>
      </c>
      <c r="Q1146" s="2" t="s">
        <v>11</v>
      </c>
      <c r="R1146" s="2" t="s">
        <v>426</v>
      </c>
      <c r="T1146" s="2" t="s">
        <v>520</v>
      </c>
      <c r="U1146" s="3">
        <v>4</v>
      </c>
      <c r="V1146" s="3">
        <v>4</v>
      </c>
      <c r="W1146" s="4" t="s">
        <v>342</v>
      </c>
      <c r="X1146" s="4" t="s">
        <v>342</v>
      </c>
      <c r="Y1146" s="4" t="s">
        <v>197</v>
      </c>
      <c r="Z1146" s="4" t="s">
        <v>197</v>
      </c>
      <c r="AA1146" s="3">
        <v>198</v>
      </c>
      <c r="AB1146" s="3">
        <v>160</v>
      </c>
      <c r="AC1146" s="3">
        <v>167</v>
      </c>
      <c r="AD1146" s="3">
        <v>1</v>
      </c>
      <c r="AE1146" s="3">
        <v>1</v>
      </c>
      <c r="AF1146" s="3">
        <v>6</v>
      </c>
      <c r="AG1146" s="3">
        <v>6</v>
      </c>
      <c r="AH1146" s="3">
        <v>1</v>
      </c>
      <c r="AI1146" s="3">
        <v>1</v>
      </c>
      <c r="AJ1146" s="3">
        <v>1</v>
      </c>
      <c r="AK1146" s="3">
        <v>1</v>
      </c>
      <c r="AL1146" s="3">
        <v>4</v>
      </c>
      <c r="AM1146" s="3">
        <v>4</v>
      </c>
      <c r="AN1146" s="3">
        <v>0</v>
      </c>
      <c r="AO1146" s="3">
        <v>0</v>
      </c>
      <c r="AP1146" s="3">
        <v>0</v>
      </c>
      <c r="AQ1146" s="3">
        <v>0</v>
      </c>
      <c r="AR1146" s="2" t="s">
        <v>5</v>
      </c>
      <c r="AS1146" s="2" t="s">
        <v>16</v>
      </c>
      <c r="AT1146" s="5" t="str">
        <f>HYPERLINK("http://catalog.hathitrust.org/Record/000400682","HathiTrust Record")</f>
        <v>HathiTrust Record</v>
      </c>
      <c r="AU1146" s="5" t="str">
        <f>HYPERLINK("https://creighton-primo.hosted.exlibrisgroup.com/primo-explore/search?tab=default_tab&amp;search_scope=EVERYTHING&amp;vid=01CRU&amp;lang=en_US&amp;offset=0&amp;query=any,contains,991001151919702656","Catalog Record")</f>
        <v>Catalog Record</v>
      </c>
      <c r="AV1146" s="5" t="str">
        <f>HYPERLINK("http://www.worldcat.org/oclc/13184303","WorldCat Record")</f>
        <v>WorldCat Record</v>
      </c>
      <c r="AW1146" s="2" t="s">
        <v>13842</v>
      </c>
      <c r="AX1146" s="2" t="s">
        <v>13843</v>
      </c>
      <c r="AY1146" s="2" t="s">
        <v>13844</v>
      </c>
      <c r="AZ1146" s="2" t="s">
        <v>13844</v>
      </c>
      <c r="BA1146" s="2" t="s">
        <v>13845</v>
      </c>
      <c r="BB1146" s="2" t="s">
        <v>21</v>
      </c>
      <c r="BD1146" s="2" t="s">
        <v>13846</v>
      </c>
      <c r="BE1146" s="2" t="s">
        <v>13847</v>
      </c>
      <c r="BF1146" s="2" t="s">
        <v>13848</v>
      </c>
    </row>
    <row r="1147" spans="1:58" ht="41.25" customHeight="1" x14ac:dyDescent="0.25">
      <c r="A1147" s="8" t="s">
        <v>5</v>
      </c>
      <c r="B1147" s="1" t="s">
        <v>0</v>
      </c>
      <c r="C1147" s="1" t="s">
        <v>1</v>
      </c>
      <c r="D1147" s="1" t="s">
        <v>13849</v>
      </c>
      <c r="E1147" s="1" t="s">
        <v>13850</v>
      </c>
      <c r="F1147" s="1" t="s">
        <v>13851</v>
      </c>
      <c r="H1147" s="2" t="s">
        <v>5</v>
      </c>
      <c r="I1147" s="2" t="s">
        <v>6</v>
      </c>
      <c r="J1147" s="2" t="s">
        <v>5</v>
      </c>
      <c r="K1147" s="2" t="s">
        <v>5</v>
      </c>
      <c r="L1147" s="2" t="s">
        <v>7</v>
      </c>
      <c r="N1147" s="1" t="s">
        <v>1220</v>
      </c>
      <c r="O1147" s="2" t="s">
        <v>92</v>
      </c>
      <c r="Q1147" s="2" t="s">
        <v>11</v>
      </c>
      <c r="R1147" s="2" t="s">
        <v>12</v>
      </c>
      <c r="S1147" s="1" t="s">
        <v>13852</v>
      </c>
      <c r="T1147" s="2" t="s">
        <v>520</v>
      </c>
      <c r="U1147" s="3">
        <v>2</v>
      </c>
      <c r="V1147" s="3">
        <v>2</v>
      </c>
      <c r="W1147" s="4" t="s">
        <v>10319</v>
      </c>
      <c r="X1147" s="4" t="s">
        <v>10319</v>
      </c>
      <c r="Y1147" s="4" t="s">
        <v>1444</v>
      </c>
      <c r="Z1147" s="4" t="s">
        <v>1444</v>
      </c>
      <c r="AA1147" s="3">
        <v>48</v>
      </c>
      <c r="AB1147" s="3">
        <v>39</v>
      </c>
      <c r="AC1147" s="3">
        <v>53</v>
      </c>
      <c r="AD1147" s="3">
        <v>1</v>
      </c>
      <c r="AE1147" s="3">
        <v>1</v>
      </c>
      <c r="AF1147" s="3">
        <v>1</v>
      </c>
      <c r="AG1147" s="3">
        <v>2</v>
      </c>
      <c r="AH1147" s="3">
        <v>0</v>
      </c>
      <c r="AI1147" s="3">
        <v>1</v>
      </c>
      <c r="AJ1147" s="3">
        <v>0</v>
      </c>
      <c r="AK1147" s="3">
        <v>0</v>
      </c>
      <c r="AL1147" s="3">
        <v>1</v>
      </c>
      <c r="AM1147" s="3">
        <v>1</v>
      </c>
      <c r="AN1147" s="3">
        <v>0</v>
      </c>
      <c r="AO1147" s="3">
        <v>0</v>
      </c>
      <c r="AP1147" s="3">
        <v>0</v>
      </c>
      <c r="AQ1147" s="3">
        <v>0</v>
      </c>
      <c r="AR1147" s="2" t="s">
        <v>5</v>
      </c>
      <c r="AS1147" s="2" t="s">
        <v>16</v>
      </c>
      <c r="AT1147" s="5" t="str">
        <f>HYPERLINK("http://catalog.hathitrust.org/Record/000696002","HathiTrust Record")</f>
        <v>HathiTrust Record</v>
      </c>
      <c r="AU1147" s="5" t="str">
        <f>HYPERLINK("https://creighton-primo.hosted.exlibrisgroup.com/primo-explore/search?tab=default_tab&amp;search_scope=EVERYTHING&amp;vid=01CRU&amp;lang=en_US&amp;offset=0&amp;query=any,contains,991001517029702656","Catalog Record")</f>
        <v>Catalog Record</v>
      </c>
      <c r="AV1147" s="5" t="str">
        <f>HYPERLINK("http://www.worldcat.org/oclc/6143913","WorldCat Record")</f>
        <v>WorldCat Record</v>
      </c>
      <c r="AW1147" s="2" t="s">
        <v>13853</v>
      </c>
      <c r="AX1147" s="2" t="s">
        <v>13854</v>
      </c>
      <c r="AY1147" s="2" t="s">
        <v>13855</v>
      </c>
      <c r="AZ1147" s="2" t="s">
        <v>13855</v>
      </c>
      <c r="BA1147" s="2" t="s">
        <v>13856</v>
      </c>
      <c r="BB1147" s="2" t="s">
        <v>21</v>
      </c>
      <c r="BE1147" s="2" t="s">
        <v>13857</v>
      </c>
      <c r="BF1147" s="2" t="s">
        <v>13858</v>
      </c>
    </row>
    <row r="1148" spans="1:58" ht="41.25" customHeight="1" x14ac:dyDescent="0.25">
      <c r="A1148" s="8" t="s">
        <v>5</v>
      </c>
      <c r="B1148" s="1" t="s">
        <v>0</v>
      </c>
      <c r="C1148" s="1" t="s">
        <v>1</v>
      </c>
      <c r="D1148" s="1" t="s">
        <v>13859</v>
      </c>
      <c r="E1148" s="1" t="s">
        <v>13860</v>
      </c>
      <c r="F1148" s="1" t="s">
        <v>13861</v>
      </c>
      <c r="H1148" s="2" t="s">
        <v>5</v>
      </c>
      <c r="I1148" s="2" t="s">
        <v>6</v>
      </c>
      <c r="J1148" s="2" t="s">
        <v>5</v>
      </c>
      <c r="K1148" s="2" t="s">
        <v>5</v>
      </c>
      <c r="L1148" s="2" t="s">
        <v>7</v>
      </c>
      <c r="M1148" s="1" t="s">
        <v>13862</v>
      </c>
      <c r="N1148" s="1" t="s">
        <v>13863</v>
      </c>
      <c r="O1148" s="2" t="s">
        <v>2713</v>
      </c>
      <c r="Q1148" s="2" t="s">
        <v>11</v>
      </c>
      <c r="R1148" s="2" t="s">
        <v>12</v>
      </c>
      <c r="S1148" s="1" t="s">
        <v>13864</v>
      </c>
      <c r="T1148" s="2" t="s">
        <v>520</v>
      </c>
      <c r="U1148" s="3">
        <v>1</v>
      </c>
      <c r="V1148" s="3">
        <v>1</v>
      </c>
      <c r="W1148" s="4" t="s">
        <v>1248</v>
      </c>
      <c r="X1148" s="4" t="s">
        <v>1248</v>
      </c>
      <c r="Y1148" s="4" t="s">
        <v>1249</v>
      </c>
      <c r="Z1148" s="4" t="s">
        <v>1249</v>
      </c>
      <c r="AA1148" s="3">
        <v>63</v>
      </c>
      <c r="AB1148" s="3">
        <v>56</v>
      </c>
      <c r="AC1148" s="3">
        <v>58</v>
      </c>
      <c r="AD1148" s="3">
        <v>1</v>
      </c>
      <c r="AE1148" s="3">
        <v>1</v>
      </c>
      <c r="AF1148" s="3">
        <v>2</v>
      </c>
      <c r="AG1148" s="3">
        <v>2</v>
      </c>
      <c r="AH1148" s="3">
        <v>0</v>
      </c>
      <c r="AI1148" s="3">
        <v>0</v>
      </c>
      <c r="AJ1148" s="3">
        <v>0</v>
      </c>
      <c r="AK1148" s="3">
        <v>0</v>
      </c>
      <c r="AL1148" s="3">
        <v>2</v>
      </c>
      <c r="AM1148" s="3">
        <v>2</v>
      </c>
      <c r="AN1148" s="3">
        <v>0</v>
      </c>
      <c r="AO1148" s="3">
        <v>0</v>
      </c>
      <c r="AP1148" s="3">
        <v>0</v>
      </c>
      <c r="AQ1148" s="3">
        <v>0</v>
      </c>
      <c r="AR1148" s="2" t="s">
        <v>5</v>
      </c>
      <c r="AS1148" s="2" t="s">
        <v>16</v>
      </c>
      <c r="AT1148" s="5" t="str">
        <f>HYPERLINK("http://catalog.hathitrust.org/Record/001574072","HathiTrust Record")</f>
        <v>HathiTrust Record</v>
      </c>
      <c r="AU1148" s="5" t="str">
        <f>HYPERLINK("https://creighton-primo.hosted.exlibrisgroup.com/primo-explore/search?tab=default_tab&amp;search_scope=EVERYTHING&amp;vid=01CRU&amp;lang=en_US&amp;offset=0&amp;query=any,contains,991001384199702656","Catalog Record")</f>
        <v>Catalog Record</v>
      </c>
      <c r="AV1148" s="5" t="str">
        <f>HYPERLINK("http://www.worldcat.org/oclc/123500","WorldCat Record")</f>
        <v>WorldCat Record</v>
      </c>
      <c r="AW1148" s="2" t="s">
        <v>13865</v>
      </c>
      <c r="AX1148" s="2" t="s">
        <v>13866</v>
      </c>
      <c r="AY1148" s="2" t="s">
        <v>13867</v>
      </c>
      <c r="AZ1148" s="2" t="s">
        <v>13867</v>
      </c>
      <c r="BA1148" s="2" t="s">
        <v>13868</v>
      </c>
      <c r="BB1148" s="2" t="s">
        <v>21</v>
      </c>
      <c r="BE1148" s="2" t="s">
        <v>13869</v>
      </c>
      <c r="BF1148" s="2" t="s">
        <v>13870</v>
      </c>
    </row>
    <row r="1149" spans="1:58" ht="41.25" customHeight="1" x14ac:dyDescent="0.25">
      <c r="A1149" s="8" t="s">
        <v>5</v>
      </c>
      <c r="B1149" s="1" t="s">
        <v>0</v>
      </c>
      <c r="C1149" s="1" t="s">
        <v>1</v>
      </c>
      <c r="D1149" s="1" t="s">
        <v>13871</v>
      </c>
      <c r="E1149" s="1" t="s">
        <v>13872</v>
      </c>
      <c r="F1149" s="1" t="s">
        <v>13873</v>
      </c>
      <c r="H1149" s="2" t="s">
        <v>5</v>
      </c>
      <c r="I1149" s="2" t="s">
        <v>6</v>
      </c>
      <c r="J1149" s="2" t="s">
        <v>5</v>
      </c>
      <c r="K1149" s="2" t="s">
        <v>5</v>
      </c>
      <c r="L1149" s="2" t="s">
        <v>7</v>
      </c>
      <c r="M1149" s="1" t="s">
        <v>13874</v>
      </c>
      <c r="N1149" s="1" t="s">
        <v>1403</v>
      </c>
      <c r="O1149" s="2" t="s">
        <v>285</v>
      </c>
      <c r="Q1149" s="2" t="s">
        <v>11</v>
      </c>
      <c r="R1149" s="2" t="s">
        <v>426</v>
      </c>
      <c r="S1149" s="1" t="s">
        <v>13875</v>
      </c>
      <c r="T1149" s="2" t="s">
        <v>520</v>
      </c>
      <c r="U1149" s="3">
        <v>2</v>
      </c>
      <c r="V1149" s="3">
        <v>2</v>
      </c>
      <c r="W1149" s="4" t="s">
        <v>2072</v>
      </c>
      <c r="X1149" s="4" t="s">
        <v>2072</v>
      </c>
      <c r="Y1149" s="4" t="s">
        <v>1249</v>
      </c>
      <c r="Z1149" s="4" t="s">
        <v>1249</v>
      </c>
      <c r="AA1149" s="3">
        <v>90</v>
      </c>
      <c r="AB1149" s="3">
        <v>79</v>
      </c>
      <c r="AC1149" s="3">
        <v>82</v>
      </c>
      <c r="AD1149" s="3">
        <v>2</v>
      </c>
      <c r="AE1149" s="3">
        <v>2</v>
      </c>
      <c r="AF1149" s="3">
        <v>3</v>
      </c>
      <c r="AG1149" s="3">
        <v>3</v>
      </c>
      <c r="AH1149" s="3">
        <v>0</v>
      </c>
      <c r="AI1149" s="3">
        <v>0</v>
      </c>
      <c r="AJ1149" s="3">
        <v>0</v>
      </c>
      <c r="AK1149" s="3">
        <v>0</v>
      </c>
      <c r="AL1149" s="3">
        <v>2</v>
      </c>
      <c r="AM1149" s="3">
        <v>2</v>
      </c>
      <c r="AN1149" s="3">
        <v>1</v>
      </c>
      <c r="AO1149" s="3">
        <v>1</v>
      </c>
      <c r="AP1149" s="3">
        <v>0</v>
      </c>
      <c r="AQ1149" s="3">
        <v>0</v>
      </c>
      <c r="AR1149" s="2" t="s">
        <v>5</v>
      </c>
      <c r="AS1149" s="2" t="s">
        <v>16</v>
      </c>
      <c r="AT1149" s="5" t="str">
        <f>HYPERLINK("http://catalog.hathitrust.org/Record/000760234","HathiTrust Record")</f>
        <v>HathiTrust Record</v>
      </c>
      <c r="AU1149" s="5" t="str">
        <f>HYPERLINK("https://creighton-primo.hosted.exlibrisgroup.com/primo-explore/search?tab=default_tab&amp;search_scope=EVERYTHING&amp;vid=01CRU&amp;lang=en_US&amp;offset=0&amp;query=any,contains,991001385709702656","Catalog Record")</f>
        <v>Catalog Record</v>
      </c>
      <c r="AV1149" s="5" t="str">
        <f>HYPERLINK("http://www.worldcat.org/oclc/6223951","WorldCat Record")</f>
        <v>WorldCat Record</v>
      </c>
      <c r="AW1149" s="2" t="s">
        <v>13876</v>
      </c>
      <c r="AX1149" s="2" t="s">
        <v>13877</v>
      </c>
      <c r="AY1149" s="2" t="s">
        <v>13878</v>
      </c>
      <c r="AZ1149" s="2" t="s">
        <v>13878</v>
      </c>
      <c r="BA1149" s="2" t="s">
        <v>13879</v>
      </c>
      <c r="BB1149" s="2" t="s">
        <v>21</v>
      </c>
      <c r="BE1149" s="2" t="s">
        <v>13880</v>
      </c>
      <c r="BF1149" s="2" t="s">
        <v>13881</v>
      </c>
    </row>
    <row r="1150" spans="1:58" ht="41.25" customHeight="1" x14ac:dyDescent="0.25">
      <c r="A1150" s="8" t="s">
        <v>5</v>
      </c>
      <c r="B1150" s="1" t="s">
        <v>0</v>
      </c>
      <c r="C1150" s="1" t="s">
        <v>1</v>
      </c>
      <c r="D1150" s="1" t="s">
        <v>13882</v>
      </c>
      <c r="E1150" s="1" t="s">
        <v>13883</v>
      </c>
      <c r="F1150" s="1" t="s">
        <v>13884</v>
      </c>
      <c r="H1150" s="2" t="s">
        <v>5</v>
      </c>
      <c r="I1150" s="2" t="s">
        <v>6</v>
      </c>
      <c r="J1150" s="2" t="s">
        <v>5</v>
      </c>
      <c r="K1150" s="2" t="s">
        <v>16</v>
      </c>
      <c r="L1150" s="2" t="s">
        <v>7</v>
      </c>
      <c r="N1150" s="1" t="s">
        <v>1310</v>
      </c>
      <c r="O1150" s="2" t="s">
        <v>354</v>
      </c>
      <c r="P1150" s="1" t="s">
        <v>211</v>
      </c>
      <c r="Q1150" s="2" t="s">
        <v>11</v>
      </c>
      <c r="R1150" s="2" t="s">
        <v>426</v>
      </c>
      <c r="T1150" s="2" t="s">
        <v>520</v>
      </c>
      <c r="U1150" s="3">
        <v>3</v>
      </c>
      <c r="V1150" s="3">
        <v>3</v>
      </c>
      <c r="W1150" s="4" t="s">
        <v>13885</v>
      </c>
      <c r="X1150" s="4" t="s">
        <v>13885</v>
      </c>
      <c r="Y1150" s="4" t="s">
        <v>80</v>
      </c>
      <c r="Z1150" s="4" t="s">
        <v>80</v>
      </c>
      <c r="AA1150" s="3">
        <v>237</v>
      </c>
      <c r="AB1150" s="3">
        <v>203</v>
      </c>
      <c r="AC1150" s="3">
        <v>703</v>
      </c>
      <c r="AD1150" s="3">
        <v>1</v>
      </c>
      <c r="AE1150" s="3">
        <v>5</v>
      </c>
      <c r="AF1150" s="3">
        <v>2</v>
      </c>
      <c r="AG1150" s="3">
        <v>21</v>
      </c>
      <c r="AH1150" s="3">
        <v>0</v>
      </c>
      <c r="AI1150" s="3">
        <v>6</v>
      </c>
      <c r="AJ1150" s="3">
        <v>0</v>
      </c>
      <c r="AK1150" s="3">
        <v>3</v>
      </c>
      <c r="AL1150" s="3">
        <v>2</v>
      </c>
      <c r="AM1150" s="3">
        <v>10</v>
      </c>
      <c r="AN1150" s="3">
        <v>0</v>
      </c>
      <c r="AO1150" s="3">
        <v>4</v>
      </c>
      <c r="AP1150" s="3">
        <v>0</v>
      </c>
      <c r="AQ1150" s="3">
        <v>0</v>
      </c>
      <c r="AR1150" s="2" t="s">
        <v>5</v>
      </c>
      <c r="AS1150" s="2" t="s">
        <v>16</v>
      </c>
      <c r="AT1150" s="5" t="str">
        <f>HYPERLINK("http://catalog.hathitrust.org/Record/000102832","HathiTrust Record")</f>
        <v>HathiTrust Record</v>
      </c>
      <c r="AU1150" s="5" t="str">
        <f>HYPERLINK("https://creighton-primo.hosted.exlibrisgroup.com/primo-explore/search?tab=default_tab&amp;search_scope=EVERYTHING&amp;vid=01CRU&amp;lang=en_US&amp;offset=0&amp;query=any,contains,991001152049702656","Catalog Record")</f>
        <v>Catalog Record</v>
      </c>
      <c r="AV1150" s="5" t="str">
        <f>HYPERLINK("http://www.worldcat.org/oclc/5725796","WorldCat Record")</f>
        <v>WorldCat Record</v>
      </c>
      <c r="AW1150" s="2" t="s">
        <v>12262</v>
      </c>
      <c r="AX1150" s="2" t="s">
        <v>13886</v>
      </c>
      <c r="AY1150" s="2" t="s">
        <v>13887</v>
      </c>
      <c r="AZ1150" s="2" t="s">
        <v>13887</v>
      </c>
      <c r="BA1150" s="2" t="s">
        <v>13888</v>
      </c>
      <c r="BB1150" s="2" t="s">
        <v>21</v>
      </c>
      <c r="BD1150" s="2" t="s">
        <v>13889</v>
      </c>
      <c r="BE1150" s="2" t="s">
        <v>13890</v>
      </c>
      <c r="BF1150" s="2" t="s">
        <v>13891</v>
      </c>
    </row>
    <row r="1151" spans="1:58" ht="41.25" customHeight="1" x14ac:dyDescent="0.25">
      <c r="A1151" s="8" t="s">
        <v>5</v>
      </c>
      <c r="B1151" s="1" t="s">
        <v>0</v>
      </c>
      <c r="C1151" s="1" t="s">
        <v>1</v>
      </c>
      <c r="D1151" s="1" t="s">
        <v>13892</v>
      </c>
      <c r="E1151" s="1" t="s">
        <v>13893</v>
      </c>
      <c r="F1151" s="1" t="s">
        <v>13894</v>
      </c>
      <c r="H1151" s="2" t="s">
        <v>5</v>
      </c>
      <c r="I1151" s="2" t="s">
        <v>6</v>
      </c>
      <c r="J1151" s="2" t="s">
        <v>5</v>
      </c>
      <c r="K1151" s="2" t="s">
        <v>5</v>
      </c>
      <c r="L1151" s="2" t="s">
        <v>7</v>
      </c>
      <c r="N1151" s="1" t="s">
        <v>1911</v>
      </c>
      <c r="O1151" s="2" t="s">
        <v>734</v>
      </c>
      <c r="Q1151" s="2" t="s">
        <v>11</v>
      </c>
      <c r="R1151" s="2" t="s">
        <v>426</v>
      </c>
      <c r="T1151" s="2" t="s">
        <v>520</v>
      </c>
      <c r="U1151" s="3">
        <v>2</v>
      </c>
      <c r="V1151" s="3">
        <v>2</v>
      </c>
      <c r="W1151" s="4" t="s">
        <v>10520</v>
      </c>
      <c r="X1151" s="4" t="s">
        <v>10520</v>
      </c>
      <c r="Y1151" s="4" t="s">
        <v>197</v>
      </c>
      <c r="Z1151" s="4" t="s">
        <v>197</v>
      </c>
      <c r="AA1151" s="3">
        <v>194</v>
      </c>
      <c r="AB1151" s="3">
        <v>172</v>
      </c>
      <c r="AC1151" s="3">
        <v>174</v>
      </c>
      <c r="AD1151" s="3">
        <v>2</v>
      </c>
      <c r="AE1151" s="3">
        <v>2</v>
      </c>
      <c r="AF1151" s="3">
        <v>5</v>
      </c>
      <c r="AG1151" s="3">
        <v>5</v>
      </c>
      <c r="AH1151" s="3">
        <v>0</v>
      </c>
      <c r="AI1151" s="3">
        <v>0</v>
      </c>
      <c r="AJ1151" s="3">
        <v>1</v>
      </c>
      <c r="AK1151" s="3">
        <v>1</v>
      </c>
      <c r="AL1151" s="3">
        <v>3</v>
      </c>
      <c r="AM1151" s="3">
        <v>3</v>
      </c>
      <c r="AN1151" s="3">
        <v>1</v>
      </c>
      <c r="AO1151" s="3">
        <v>1</v>
      </c>
      <c r="AP1151" s="3">
        <v>0</v>
      </c>
      <c r="AQ1151" s="3">
        <v>0</v>
      </c>
      <c r="AR1151" s="2" t="s">
        <v>5</v>
      </c>
      <c r="AS1151" s="2" t="s">
        <v>16</v>
      </c>
      <c r="AT1151" s="5" t="str">
        <f>HYPERLINK("http://catalog.hathitrust.org/Record/000114287","HathiTrust Record")</f>
        <v>HathiTrust Record</v>
      </c>
      <c r="AU1151" s="5" t="str">
        <f>HYPERLINK("https://creighton-primo.hosted.exlibrisgroup.com/primo-explore/search?tab=default_tab&amp;search_scope=EVERYTHING&amp;vid=01CRU&amp;lang=en_US&amp;offset=0&amp;query=any,contains,991001152089702656","Catalog Record")</f>
        <v>Catalog Record</v>
      </c>
      <c r="AV1151" s="5" t="str">
        <f>HYPERLINK("http://www.worldcat.org/oclc/9533546","WorldCat Record")</f>
        <v>WorldCat Record</v>
      </c>
      <c r="AW1151" s="2" t="s">
        <v>13895</v>
      </c>
      <c r="AX1151" s="2" t="s">
        <v>13896</v>
      </c>
      <c r="AY1151" s="2" t="s">
        <v>13897</v>
      </c>
      <c r="AZ1151" s="2" t="s">
        <v>13897</v>
      </c>
      <c r="BA1151" s="2" t="s">
        <v>13898</v>
      </c>
      <c r="BB1151" s="2" t="s">
        <v>21</v>
      </c>
      <c r="BD1151" s="2" t="s">
        <v>13899</v>
      </c>
      <c r="BE1151" s="2" t="s">
        <v>13900</v>
      </c>
      <c r="BF1151" s="2" t="s">
        <v>13901</v>
      </c>
    </row>
    <row r="1152" spans="1:58" ht="41.25" customHeight="1" x14ac:dyDescent="0.25">
      <c r="A1152" s="8" t="s">
        <v>5</v>
      </c>
      <c r="B1152" s="1" t="s">
        <v>0</v>
      </c>
      <c r="C1152" s="1" t="s">
        <v>1</v>
      </c>
      <c r="D1152" s="1" t="s">
        <v>13902</v>
      </c>
      <c r="E1152" s="1" t="s">
        <v>13903</v>
      </c>
      <c r="F1152" s="1" t="s">
        <v>13904</v>
      </c>
      <c r="H1152" s="2" t="s">
        <v>5</v>
      </c>
      <c r="I1152" s="2" t="s">
        <v>6</v>
      </c>
      <c r="J1152" s="2" t="s">
        <v>5</v>
      </c>
      <c r="K1152" s="2" t="s">
        <v>5</v>
      </c>
      <c r="L1152" s="2" t="s">
        <v>7</v>
      </c>
      <c r="M1152" s="1" t="s">
        <v>8456</v>
      </c>
      <c r="N1152" s="1" t="s">
        <v>6053</v>
      </c>
      <c r="O1152" s="2" t="s">
        <v>1102</v>
      </c>
      <c r="Q1152" s="2" t="s">
        <v>11</v>
      </c>
      <c r="R1152" s="2" t="s">
        <v>426</v>
      </c>
      <c r="T1152" s="2" t="s">
        <v>520</v>
      </c>
      <c r="U1152" s="3">
        <v>3</v>
      </c>
      <c r="V1152" s="3">
        <v>3</v>
      </c>
      <c r="W1152" s="4" t="s">
        <v>13905</v>
      </c>
      <c r="X1152" s="4" t="s">
        <v>13905</v>
      </c>
      <c r="Y1152" s="4" t="s">
        <v>197</v>
      </c>
      <c r="Z1152" s="4" t="s">
        <v>197</v>
      </c>
      <c r="AA1152" s="3">
        <v>304</v>
      </c>
      <c r="AB1152" s="3">
        <v>272</v>
      </c>
      <c r="AC1152" s="3">
        <v>279</v>
      </c>
      <c r="AD1152" s="3">
        <v>3</v>
      </c>
      <c r="AE1152" s="3">
        <v>3</v>
      </c>
      <c r="AF1152" s="3">
        <v>14</v>
      </c>
      <c r="AG1152" s="3">
        <v>14</v>
      </c>
      <c r="AH1152" s="3">
        <v>6</v>
      </c>
      <c r="AI1152" s="3">
        <v>6</v>
      </c>
      <c r="AJ1152" s="3">
        <v>2</v>
      </c>
      <c r="AK1152" s="3">
        <v>2</v>
      </c>
      <c r="AL1152" s="3">
        <v>6</v>
      </c>
      <c r="AM1152" s="3">
        <v>6</v>
      </c>
      <c r="AN1152" s="3">
        <v>1</v>
      </c>
      <c r="AO1152" s="3">
        <v>1</v>
      </c>
      <c r="AP1152" s="3">
        <v>0</v>
      </c>
      <c r="AQ1152" s="3">
        <v>0</v>
      </c>
      <c r="AR1152" s="2" t="s">
        <v>5</v>
      </c>
      <c r="AS1152" s="2" t="s">
        <v>16</v>
      </c>
      <c r="AT1152" s="5" t="str">
        <f>HYPERLINK("http://catalog.hathitrust.org/Record/000580472","HathiTrust Record")</f>
        <v>HathiTrust Record</v>
      </c>
      <c r="AU1152" s="5" t="str">
        <f>HYPERLINK("https://creighton-primo.hosted.exlibrisgroup.com/primo-explore/search?tab=default_tab&amp;search_scope=EVERYTHING&amp;vid=01CRU&amp;lang=en_US&amp;offset=0&amp;query=any,contains,991001152129702656","Catalog Record")</f>
        <v>Catalog Record</v>
      </c>
      <c r="AV1152" s="5" t="str">
        <f>HYPERLINK("http://www.worldcat.org/oclc/12695687","WorldCat Record")</f>
        <v>WorldCat Record</v>
      </c>
      <c r="AW1152" s="2" t="s">
        <v>13906</v>
      </c>
      <c r="AX1152" s="2" t="s">
        <v>13907</v>
      </c>
      <c r="AY1152" s="2" t="s">
        <v>13908</v>
      </c>
      <c r="AZ1152" s="2" t="s">
        <v>13908</v>
      </c>
      <c r="BA1152" s="2" t="s">
        <v>13909</v>
      </c>
      <c r="BB1152" s="2" t="s">
        <v>21</v>
      </c>
      <c r="BD1152" s="2" t="s">
        <v>13910</v>
      </c>
      <c r="BE1152" s="2" t="s">
        <v>13911</v>
      </c>
      <c r="BF1152" s="2" t="s">
        <v>13912</v>
      </c>
    </row>
    <row r="1153" spans="1:58" ht="41.25" customHeight="1" x14ac:dyDescent="0.25">
      <c r="A1153" s="8" t="s">
        <v>5</v>
      </c>
      <c r="B1153" s="1" t="s">
        <v>0</v>
      </c>
      <c r="C1153" s="1" t="s">
        <v>1</v>
      </c>
      <c r="D1153" s="1" t="s">
        <v>13913</v>
      </c>
      <c r="E1153" s="1" t="s">
        <v>13914</v>
      </c>
      <c r="F1153" s="1" t="s">
        <v>13915</v>
      </c>
      <c r="H1153" s="2" t="s">
        <v>5</v>
      </c>
      <c r="I1153" s="2" t="s">
        <v>6</v>
      </c>
      <c r="J1153" s="2" t="s">
        <v>5</v>
      </c>
      <c r="K1153" s="2" t="s">
        <v>5</v>
      </c>
      <c r="L1153" s="2" t="s">
        <v>7</v>
      </c>
      <c r="N1153" s="1" t="s">
        <v>2187</v>
      </c>
      <c r="O1153" s="2" t="s">
        <v>1441</v>
      </c>
      <c r="Q1153" s="2" t="s">
        <v>11</v>
      </c>
      <c r="R1153" s="2" t="s">
        <v>12</v>
      </c>
      <c r="S1153" s="1" t="s">
        <v>13916</v>
      </c>
      <c r="T1153" s="2" t="s">
        <v>520</v>
      </c>
      <c r="U1153" s="3">
        <v>1</v>
      </c>
      <c r="V1153" s="3">
        <v>1</v>
      </c>
      <c r="W1153" s="4" t="s">
        <v>3514</v>
      </c>
      <c r="X1153" s="4" t="s">
        <v>3514</v>
      </c>
      <c r="Y1153" s="4" t="s">
        <v>1444</v>
      </c>
      <c r="Z1153" s="4" t="s">
        <v>1444</v>
      </c>
      <c r="AA1153" s="3">
        <v>96</v>
      </c>
      <c r="AB1153" s="3">
        <v>82</v>
      </c>
      <c r="AC1153" s="3">
        <v>86</v>
      </c>
      <c r="AD1153" s="3">
        <v>3</v>
      </c>
      <c r="AE1153" s="3">
        <v>3</v>
      </c>
      <c r="AF1153" s="3">
        <v>5</v>
      </c>
      <c r="AG1153" s="3">
        <v>5</v>
      </c>
      <c r="AH1153" s="3">
        <v>1</v>
      </c>
      <c r="AI1153" s="3">
        <v>1</v>
      </c>
      <c r="AJ1153" s="3">
        <v>1</v>
      </c>
      <c r="AK1153" s="3">
        <v>1</v>
      </c>
      <c r="AL1153" s="3">
        <v>2</v>
      </c>
      <c r="AM1153" s="3">
        <v>2</v>
      </c>
      <c r="AN1153" s="3">
        <v>1</v>
      </c>
      <c r="AO1153" s="3">
        <v>1</v>
      </c>
      <c r="AP1153" s="3">
        <v>0</v>
      </c>
      <c r="AQ1153" s="3">
        <v>0</v>
      </c>
      <c r="AR1153" s="2" t="s">
        <v>5</v>
      </c>
      <c r="AS1153" s="2" t="s">
        <v>16</v>
      </c>
      <c r="AT1153" s="5" t="str">
        <f>HYPERLINK("http://catalog.hathitrust.org/Record/000252881","HathiTrust Record")</f>
        <v>HathiTrust Record</v>
      </c>
      <c r="AU1153" s="5" t="str">
        <f>HYPERLINK("https://creighton-primo.hosted.exlibrisgroup.com/primo-explore/search?tab=default_tab&amp;search_scope=EVERYTHING&amp;vid=01CRU&amp;lang=en_US&amp;offset=0&amp;query=any,contains,991001516199702656","Catalog Record")</f>
        <v>Catalog Record</v>
      </c>
      <c r="AV1153" s="5" t="str">
        <f>HYPERLINK("http://www.worldcat.org/oclc/3053077","WorldCat Record")</f>
        <v>WorldCat Record</v>
      </c>
      <c r="AW1153" s="2" t="s">
        <v>13917</v>
      </c>
      <c r="AX1153" s="2" t="s">
        <v>13918</v>
      </c>
      <c r="AY1153" s="2" t="s">
        <v>13919</v>
      </c>
      <c r="AZ1153" s="2" t="s">
        <v>13919</v>
      </c>
      <c r="BA1153" s="2" t="s">
        <v>13920</v>
      </c>
      <c r="BB1153" s="2" t="s">
        <v>21</v>
      </c>
      <c r="BE1153" s="2" t="s">
        <v>13921</v>
      </c>
      <c r="BF1153" s="2" t="s">
        <v>13922</v>
      </c>
    </row>
    <row r="1154" spans="1:58" ht="41.25" customHeight="1" x14ac:dyDescent="0.25">
      <c r="A1154" s="8" t="s">
        <v>5</v>
      </c>
      <c r="B1154" s="1" t="s">
        <v>0</v>
      </c>
      <c r="C1154" s="1" t="s">
        <v>1</v>
      </c>
      <c r="D1154" s="1" t="s">
        <v>13923</v>
      </c>
      <c r="E1154" s="1" t="s">
        <v>13924</v>
      </c>
      <c r="F1154" s="1" t="s">
        <v>13925</v>
      </c>
      <c r="H1154" s="2" t="s">
        <v>5</v>
      </c>
      <c r="I1154" s="2" t="s">
        <v>6</v>
      </c>
      <c r="J1154" s="2" t="s">
        <v>5</v>
      </c>
      <c r="K1154" s="2" t="s">
        <v>5</v>
      </c>
      <c r="L1154" s="2" t="s">
        <v>7</v>
      </c>
      <c r="N1154" s="1" t="s">
        <v>13926</v>
      </c>
      <c r="O1154" s="2" t="s">
        <v>561</v>
      </c>
      <c r="Q1154" s="2" t="s">
        <v>11</v>
      </c>
      <c r="R1154" s="2" t="s">
        <v>93</v>
      </c>
      <c r="S1154" s="1" t="s">
        <v>13927</v>
      </c>
      <c r="T1154" s="2" t="s">
        <v>520</v>
      </c>
      <c r="U1154" s="3">
        <v>1</v>
      </c>
      <c r="V1154" s="3">
        <v>1</v>
      </c>
      <c r="W1154" s="4" t="s">
        <v>13928</v>
      </c>
      <c r="X1154" s="4" t="s">
        <v>13928</v>
      </c>
      <c r="Y1154" s="4" t="s">
        <v>13928</v>
      </c>
      <c r="Z1154" s="4" t="s">
        <v>13928</v>
      </c>
      <c r="AA1154" s="3">
        <v>27</v>
      </c>
      <c r="AB1154" s="3">
        <v>26</v>
      </c>
      <c r="AC1154" s="3">
        <v>26</v>
      </c>
      <c r="AD1154" s="3">
        <v>1</v>
      </c>
      <c r="AE1154" s="3">
        <v>1</v>
      </c>
      <c r="AF1154" s="3">
        <v>1</v>
      </c>
      <c r="AG1154" s="3">
        <v>1</v>
      </c>
      <c r="AH1154" s="3">
        <v>0</v>
      </c>
      <c r="AI1154" s="3">
        <v>0</v>
      </c>
      <c r="AJ1154" s="3">
        <v>0</v>
      </c>
      <c r="AK1154" s="3">
        <v>0</v>
      </c>
      <c r="AL1154" s="3">
        <v>1</v>
      </c>
      <c r="AM1154" s="3">
        <v>1</v>
      </c>
      <c r="AN1154" s="3">
        <v>0</v>
      </c>
      <c r="AO1154" s="3">
        <v>0</v>
      </c>
      <c r="AP1154" s="3">
        <v>0</v>
      </c>
      <c r="AQ1154" s="3">
        <v>0</v>
      </c>
      <c r="AR1154" s="2" t="s">
        <v>5</v>
      </c>
      <c r="AS1154" s="2" t="s">
        <v>5</v>
      </c>
      <c r="AU1154" s="5" t="str">
        <f>HYPERLINK("https://creighton-primo.hosted.exlibrisgroup.com/primo-explore/search?tab=default_tab&amp;search_scope=EVERYTHING&amp;vid=01CRU&amp;lang=en_US&amp;offset=0&amp;query=any,contains,991001384009702656","Catalog Record")</f>
        <v>Catalog Record</v>
      </c>
      <c r="AV1154" s="5" t="str">
        <f>HYPERLINK("http://www.worldcat.org/oclc/1399858","WorldCat Record")</f>
        <v>WorldCat Record</v>
      </c>
      <c r="AW1154" s="2" t="s">
        <v>13929</v>
      </c>
      <c r="AX1154" s="2" t="s">
        <v>13930</v>
      </c>
      <c r="AY1154" s="2" t="s">
        <v>13931</v>
      </c>
      <c r="AZ1154" s="2" t="s">
        <v>13931</v>
      </c>
      <c r="BA1154" s="2" t="s">
        <v>13932</v>
      </c>
      <c r="BB1154" s="2" t="s">
        <v>21</v>
      </c>
      <c r="BE1154" s="2" t="s">
        <v>13933</v>
      </c>
      <c r="BF1154" s="2" t="s">
        <v>13934</v>
      </c>
    </row>
    <row r="1155" spans="1:58" ht="41.25" customHeight="1" x14ac:dyDescent="0.25">
      <c r="A1155" s="8" t="s">
        <v>5</v>
      </c>
      <c r="B1155" s="1" t="s">
        <v>0</v>
      </c>
      <c r="C1155" s="1" t="s">
        <v>1</v>
      </c>
      <c r="D1155" s="1" t="s">
        <v>13935</v>
      </c>
      <c r="E1155" s="1" t="s">
        <v>13936</v>
      </c>
      <c r="F1155" s="1" t="s">
        <v>13937</v>
      </c>
      <c r="H1155" s="2" t="s">
        <v>5</v>
      </c>
      <c r="I1155" s="2" t="s">
        <v>6</v>
      </c>
      <c r="J1155" s="2" t="s">
        <v>5</v>
      </c>
      <c r="K1155" s="2" t="s">
        <v>5</v>
      </c>
      <c r="L1155" s="2" t="s">
        <v>7</v>
      </c>
      <c r="M1155" s="1" t="s">
        <v>12444</v>
      </c>
      <c r="N1155" s="1" t="s">
        <v>13938</v>
      </c>
      <c r="O1155" s="2" t="s">
        <v>734</v>
      </c>
      <c r="Q1155" s="2" t="s">
        <v>11</v>
      </c>
      <c r="R1155" s="2" t="s">
        <v>78</v>
      </c>
      <c r="T1155" s="2" t="s">
        <v>520</v>
      </c>
      <c r="U1155" s="3">
        <v>6</v>
      </c>
      <c r="V1155" s="3">
        <v>6</v>
      </c>
      <c r="W1155" s="4" t="s">
        <v>13939</v>
      </c>
      <c r="X1155" s="4" t="s">
        <v>13939</v>
      </c>
      <c r="Y1155" s="4" t="s">
        <v>197</v>
      </c>
      <c r="Z1155" s="4" t="s">
        <v>197</v>
      </c>
      <c r="AA1155" s="3">
        <v>251</v>
      </c>
      <c r="AB1155" s="3">
        <v>199</v>
      </c>
      <c r="AC1155" s="3">
        <v>206</v>
      </c>
      <c r="AD1155" s="3">
        <v>3</v>
      </c>
      <c r="AE1155" s="3">
        <v>3</v>
      </c>
      <c r="AF1155" s="3">
        <v>7</v>
      </c>
      <c r="AG1155" s="3">
        <v>7</v>
      </c>
      <c r="AH1155" s="3">
        <v>1</v>
      </c>
      <c r="AI1155" s="3">
        <v>1</v>
      </c>
      <c r="AJ1155" s="3">
        <v>2</v>
      </c>
      <c r="AK1155" s="3">
        <v>2</v>
      </c>
      <c r="AL1155" s="3">
        <v>4</v>
      </c>
      <c r="AM1155" s="3">
        <v>4</v>
      </c>
      <c r="AN1155" s="3">
        <v>1</v>
      </c>
      <c r="AO1155" s="3">
        <v>1</v>
      </c>
      <c r="AP1155" s="3">
        <v>0</v>
      </c>
      <c r="AQ1155" s="3">
        <v>0</v>
      </c>
      <c r="AR1155" s="2" t="s">
        <v>5</v>
      </c>
      <c r="AS1155" s="2" t="s">
        <v>16</v>
      </c>
      <c r="AT1155" s="5" t="str">
        <f>HYPERLINK("http://catalog.hathitrust.org/Record/000114306","HathiTrust Record")</f>
        <v>HathiTrust Record</v>
      </c>
      <c r="AU1155" s="5" t="str">
        <f>HYPERLINK("https://creighton-primo.hosted.exlibrisgroup.com/primo-explore/search?tab=default_tab&amp;search_scope=EVERYTHING&amp;vid=01CRU&amp;lang=en_US&amp;offset=0&amp;query=any,contains,991001152179702656","Catalog Record")</f>
        <v>Catalog Record</v>
      </c>
      <c r="AV1155" s="5" t="str">
        <f>HYPERLINK("http://www.worldcat.org/oclc/9084369","WorldCat Record")</f>
        <v>WorldCat Record</v>
      </c>
      <c r="AW1155" s="2" t="s">
        <v>13940</v>
      </c>
      <c r="AX1155" s="2" t="s">
        <v>13941</v>
      </c>
      <c r="AY1155" s="2" t="s">
        <v>13942</v>
      </c>
      <c r="AZ1155" s="2" t="s">
        <v>13942</v>
      </c>
      <c r="BA1155" s="2" t="s">
        <v>13943</v>
      </c>
      <c r="BB1155" s="2" t="s">
        <v>21</v>
      </c>
      <c r="BD1155" s="2" t="s">
        <v>13944</v>
      </c>
      <c r="BE1155" s="2" t="s">
        <v>13945</v>
      </c>
      <c r="BF1155" s="2" t="s">
        <v>13946</v>
      </c>
    </row>
    <row r="1156" spans="1:58" ht="41.25" customHeight="1" x14ac:dyDescent="0.25">
      <c r="A1156" s="8" t="s">
        <v>5</v>
      </c>
      <c r="B1156" s="1" t="s">
        <v>0</v>
      </c>
      <c r="C1156" s="1" t="s">
        <v>1</v>
      </c>
      <c r="D1156" s="1" t="s">
        <v>13947</v>
      </c>
      <c r="E1156" s="1" t="s">
        <v>13948</v>
      </c>
      <c r="F1156" s="1" t="s">
        <v>13949</v>
      </c>
      <c r="H1156" s="2" t="s">
        <v>5</v>
      </c>
      <c r="I1156" s="2" t="s">
        <v>6</v>
      </c>
      <c r="J1156" s="2" t="s">
        <v>5</v>
      </c>
      <c r="K1156" s="2" t="s">
        <v>5</v>
      </c>
      <c r="L1156" s="2" t="s">
        <v>7</v>
      </c>
      <c r="N1156" s="1" t="s">
        <v>2887</v>
      </c>
      <c r="O1156" s="2" t="s">
        <v>10</v>
      </c>
      <c r="Q1156" s="2" t="s">
        <v>11</v>
      </c>
      <c r="R1156" s="2" t="s">
        <v>12</v>
      </c>
      <c r="S1156" s="1" t="s">
        <v>13950</v>
      </c>
      <c r="T1156" s="2" t="s">
        <v>520</v>
      </c>
      <c r="U1156" s="3">
        <v>4</v>
      </c>
      <c r="V1156" s="3">
        <v>4</v>
      </c>
      <c r="W1156" s="4" t="s">
        <v>13951</v>
      </c>
      <c r="X1156" s="4" t="s">
        <v>13951</v>
      </c>
      <c r="Y1156" s="4" t="s">
        <v>7129</v>
      </c>
      <c r="Z1156" s="4" t="s">
        <v>7129</v>
      </c>
      <c r="AA1156" s="3">
        <v>111</v>
      </c>
      <c r="AB1156" s="3">
        <v>100</v>
      </c>
      <c r="AC1156" s="3">
        <v>102</v>
      </c>
      <c r="AD1156" s="3">
        <v>2</v>
      </c>
      <c r="AE1156" s="3">
        <v>2</v>
      </c>
      <c r="AF1156" s="3">
        <v>4</v>
      </c>
      <c r="AG1156" s="3">
        <v>4</v>
      </c>
      <c r="AH1156" s="3">
        <v>0</v>
      </c>
      <c r="AI1156" s="3">
        <v>0</v>
      </c>
      <c r="AJ1156" s="3">
        <v>1</v>
      </c>
      <c r="AK1156" s="3">
        <v>1</v>
      </c>
      <c r="AL1156" s="3">
        <v>4</v>
      </c>
      <c r="AM1156" s="3">
        <v>4</v>
      </c>
      <c r="AN1156" s="3">
        <v>0</v>
      </c>
      <c r="AO1156" s="3">
        <v>0</v>
      </c>
      <c r="AP1156" s="3">
        <v>0</v>
      </c>
      <c r="AQ1156" s="3">
        <v>0</v>
      </c>
      <c r="AR1156" s="2" t="s">
        <v>5</v>
      </c>
      <c r="AS1156" s="2" t="s">
        <v>16</v>
      </c>
      <c r="AT1156" s="5" t="str">
        <f>HYPERLINK("http://catalog.hathitrust.org/Record/000090230","HathiTrust Record")</f>
        <v>HathiTrust Record</v>
      </c>
      <c r="AU1156" s="5" t="str">
        <f>HYPERLINK("https://creighton-primo.hosted.exlibrisgroup.com/primo-explore/search?tab=default_tab&amp;search_scope=EVERYTHING&amp;vid=01CRU&amp;lang=en_US&amp;offset=0&amp;query=any,contains,991001448089702656","Catalog Record")</f>
        <v>Catalog Record</v>
      </c>
      <c r="AV1156" s="5" t="str">
        <f>HYPERLINK("http://www.worldcat.org/oclc/4468347","WorldCat Record")</f>
        <v>WorldCat Record</v>
      </c>
      <c r="AW1156" s="2" t="s">
        <v>13952</v>
      </c>
      <c r="AX1156" s="2" t="s">
        <v>13953</v>
      </c>
      <c r="AY1156" s="2" t="s">
        <v>13954</v>
      </c>
      <c r="AZ1156" s="2" t="s">
        <v>13954</v>
      </c>
      <c r="BA1156" s="2" t="s">
        <v>13955</v>
      </c>
      <c r="BB1156" s="2" t="s">
        <v>21</v>
      </c>
      <c r="BE1156" s="2" t="s">
        <v>13956</v>
      </c>
      <c r="BF1156" s="2" t="s">
        <v>13957</v>
      </c>
    </row>
    <row r="1157" spans="1:58" ht="41.25" customHeight="1" x14ac:dyDescent="0.25">
      <c r="A1157" s="8" t="s">
        <v>5</v>
      </c>
      <c r="B1157" s="1" t="s">
        <v>0</v>
      </c>
      <c r="C1157" s="1" t="s">
        <v>1</v>
      </c>
      <c r="D1157" s="1" t="s">
        <v>13958</v>
      </c>
      <c r="E1157" s="1" t="s">
        <v>13959</v>
      </c>
      <c r="F1157" s="1" t="s">
        <v>13960</v>
      </c>
      <c r="H1157" s="2" t="s">
        <v>5</v>
      </c>
      <c r="I1157" s="2" t="s">
        <v>6</v>
      </c>
      <c r="J1157" s="2" t="s">
        <v>5</v>
      </c>
      <c r="K1157" s="2" t="s">
        <v>5</v>
      </c>
      <c r="L1157" s="2" t="s">
        <v>7</v>
      </c>
      <c r="N1157" s="1" t="s">
        <v>2887</v>
      </c>
      <c r="O1157" s="2" t="s">
        <v>10</v>
      </c>
      <c r="Q1157" s="2" t="s">
        <v>11</v>
      </c>
      <c r="R1157" s="2" t="s">
        <v>426</v>
      </c>
      <c r="S1157" s="1" t="s">
        <v>13961</v>
      </c>
      <c r="T1157" s="2" t="s">
        <v>520</v>
      </c>
      <c r="U1157" s="3">
        <v>2</v>
      </c>
      <c r="V1157" s="3">
        <v>2</v>
      </c>
      <c r="W1157" s="4" t="s">
        <v>7129</v>
      </c>
      <c r="X1157" s="4" t="s">
        <v>7129</v>
      </c>
      <c r="Y1157" s="4" t="s">
        <v>1249</v>
      </c>
      <c r="Z1157" s="4" t="s">
        <v>1249</v>
      </c>
      <c r="AA1157" s="3">
        <v>97</v>
      </c>
      <c r="AB1157" s="3">
        <v>82</v>
      </c>
      <c r="AC1157" s="3">
        <v>84</v>
      </c>
      <c r="AD1157" s="3">
        <v>3</v>
      </c>
      <c r="AE1157" s="3">
        <v>3</v>
      </c>
      <c r="AF1157" s="3">
        <v>4</v>
      </c>
      <c r="AG1157" s="3">
        <v>4</v>
      </c>
      <c r="AH1157" s="3">
        <v>1</v>
      </c>
      <c r="AI1157" s="3">
        <v>1</v>
      </c>
      <c r="AJ1157" s="3">
        <v>0</v>
      </c>
      <c r="AK1157" s="3">
        <v>0</v>
      </c>
      <c r="AL1157" s="3">
        <v>2</v>
      </c>
      <c r="AM1157" s="3">
        <v>2</v>
      </c>
      <c r="AN1157" s="3">
        <v>1</v>
      </c>
      <c r="AO1157" s="3">
        <v>1</v>
      </c>
      <c r="AP1157" s="3">
        <v>0</v>
      </c>
      <c r="AQ1157" s="3">
        <v>0</v>
      </c>
      <c r="AR1157" s="2" t="s">
        <v>5</v>
      </c>
      <c r="AS1157" s="2" t="s">
        <v>16</v>
      </c>
      <c r="AT1157" s="5" t="str">
        <f>HYPERLINK("http://catalog.hathitrust.org/Record/000019433","HathiTrust Record")</f>
        <v>HathiTrust Record</v>
      </c>
      <c r="AU1157" s="5" t="str">
        <f>HYPERLINK("https://creighton-primo.hosted.exlibrisgroup.com/primo-explore/search?tab=default_tab&amp;search_scope=EVERYTHING&amp;vid=01CRU&amp;lang=en_US&amp;offset=0&amp;query=any,contains,991001384779702656","Catalog Record")</f>
        <v>Catalog Record</v>
      </c>
      <c r="AV1157" s="5" t="str">
        <f>HYPERLINK("http://www.worldcat.org/oclc/2738971","WorldCat Record")</f>
        <v>WorldCat Record</v>
      </c>
      <c r="AW1157" s="2" t="s">
        <v>13962</v>
      </c>
      <c r="AX1157" s="2" t="s">
        <v>13963</v>
      </c>
      <c r="AY1157" s="2" t="s">
        <v>13964</v>
      </c>
      <c r="AZ1157" s="2" t="s">
        <v>13964</v>
      </c>
      <c r="BA1157" s="2" t="s">
        <v>13965</v>
      </c>
      <c r="BB1157" s="2" t="s">
        <v>21</v>
      </c>
      <c r="BE1157" s="2" t="s">
        <v>13966</v>
      </c>
      <c r="BF1157" s="2" t="s">
        <v>13967</v>
      </c>
    </row>
    <row r="1158" spans="1:58" ht="41.25" customHeight="1" x14ac:dyDescent="0.25">
      <c r="A1158" s="8" t="s">
        <v>5</v>
      </c>
      <c r="B1158" s="1" t="s">
        <v>0</v>
      </c>
      <c r="C1158" s="1" t="s">
        <v>1</v>
      </c>
      <c r="D1158" s="1" t="s">
        <v>13968</v>
      </c>
      <c r="E1158" s="1" t="s">
        <v>13969</v>
      </c>
      <c r="F1158" s="1" t="s">
        <v>13970</v>
      </c>
      <c r="H1158" s="2" t="s">
        <v>5</v>
      </c>
      <c r="I1158" s="2" t="s">
        <v>6</v>
      </c>
      <c r="J1158" s="2" t="s">
        <v>5</v>
      </c>
      <c r="K1158" s="2" t="s">
        <v>5</v>
      </c>
      <c r="L1158" s="2" t="s">
        <v>7</v>
      </c>
      <c r="N1158" s="1" t="s">
        <v>1823</v>
      </c>
      <c r="O1158" s="2" t="s">
        <v>1824</v>
      </c>
      <c r="Q1158" s="2" t="s">
        <v>11</v>
      </c>
      <c r="R1158" s="2" t="s">
        <v>93</v>
      </c>
      <c r="S1158" s="1" t="s">
        <v>13971</v>
      </c>
      <c r="T1158" s="2" t="s">
        <v>520</v>
      </c>
      <c r="U1158" s="3">
        <v>1</v>
      </c>
      <c r="V1158" s="3">
        <v>1</v>
      </c>
      <c r="W1158" s="4" t="s">
        <v>1248</v>
      </c>
      <c r="X1158" s="4" t="s">
        <v>1248</v>
      </c>
      <c r="Y1158" s="4" t="s">
        <v>1249</v>
      </c>
      <c r="Z1158" s="4" t="s">
        <v>1249</v>
      </c>
      <c r="AA1158" s="3">
        <v>47</v>
      </c>
      <c r="AB1158" s="3">
        <v>40</v>
      </c>
      <c r="AC1158" s="3">
        <v>40</v>
      </c>
      <c r="AD1158" s="3">
        <v>1</v>
      </c>
      <c r="AE1158" s="3">
        <v>1</v>
      </c>
      <c r="AF1158" s="3">
        <v>2</v>
      </c>
      <c r="AG1158" s="3">
        <v>2</v>
      </c>
      <c r="AH1158" s="3">
        <v>0</v>
      </c>
      <c r="AI1158" s="3">
        <v>0</v>
      </c>
      <c r="AJ1158" s="3">
        <v>0</v>
      </c>
      <c r="AK1158" s="3">
        <v>0</v>
      </c>
      <c r="AL1158" s="3">
        <v>2</v>
      </c>
      <c r="AM1158" s="3">
        <v>2</v>
      </c>
      <c r="AN1158" s="3">
        <v>0</v>
      </c>
      <c r="AO1158" s="3">
        <v>0</v>
      </c>
      <c r="AP1158" s="3">
        <v>0</v>
      </c>
      <c r="AQ1158" s="3">
        <v>0</v>
      </c>
      <c r="AR1158" s="2" t="s">
        <v>5</v>
      </c>
      <c r="AS1158" s="2" t="s">
        <v>5</v>
      </c>
      <c r="AU1158" s="5" t="str">
        <f>HYPERLINK("https://creighton-primo.hosted.exlibrisgroup.com/primo-explore/search?tab=default_tab&amp;search_scope=EVERYTHING&amp;vid=01CRU&amp;lang=en_US&amp;offset=0&amp;query=any,contains,991001384129702656","Catalog Record")</f>
        <v>Catalog Record</v>
      </c>
      <c r="AV1158" s="5" t="str">
        <f>HYPERLINK("http://www.worldcat.org/oclc/14503531","WorldCat Record")</f>
        <v>WorldCat Record</v>
      </c>
      <c r="AW1158" s="2" t="s">
        <v>13972</v>
      </c>
      <c r="AX1158" s="2" t="s">
        <v>13973</v>
      </c>
      <c r="AY1158" s="2" t="s">
        <v>13974</v>
      </c>
      <c r="AZ1158" s="2" t="s">
        <v>13974</v>
      </c>
      <c r="BA1158" s="2" t="s">
        <v>13975</v>
      </c>
      <c r="BB1158" s="2" t="s">
        <v>21</v>
      </c>
      <c r="BE1158" s="2" t="s">
        <v>13976</v>
      </c>
      <c r="BF1158" s="2" t="s">
        <v>13977</v>
      </c>
    </row>
    <row r="1159" spans="1:58" ht="41.25" customHeight="1" x14ac:dyDescent="0.25">
      <c r="A1159" s="8" t="s">
        <v>5</v>
      </c>
      <c r="B1159" s="1" t="s">
        <v>0</v>
      </c>
      <c r="C1159" s="1" t="s">
        <v>1</v>
      </c>
      <c r="D1159" s="1" t="s">
        <v>13978</v>
      </c>
      <c r="E1159" s="1" t="s">
        <v>13979</v>
      </c>
      <c r="F1159" s="1" t="s">
        <v>13980</v>
      </c>
      <c r="H1159" s="2" t="s">
        <v>5</v>
      </c>
      <c r="I1159" s="2" t="s">
        <v>6</v>
      </c>
      <c r="J1159" s="2" t="s">
        <v>5</v>
      </c>
      <c r="K1159" s="2" t="s">
        <v>5</v>
      </c>
      <c r="L1159" s="2" t="s">
        <v>7</v>
      </c>
      <c r="M1159" s="1" t="s">
        <v>8912</v>
      </c>
      <c r="O1159" s="2" t="s">
        <v>734</v>
      </c>
      <c r="Q1159" s="2" t="s">
        <v>11</v>
      </c>
      <c r="R1159" s="2" t="s">
        <v>1140</v>
      </c>
      <c r="T1159" s="2" t="s">
        <v>520</v>
      </c>
      <c r="U1159" s="3">
        <v>1</v>
      </c>
      <c r="V1159" s="3">
        <v>1</v>
      </c>
      <c r="W1159" s="4" t="s">
        <v>10094</v>
      </c>
      <c r="X1159" s="4" t="s">
        <v>10094</v>
      </c>
      <c r="Y1159" s="4" t="s">
        <v>197</v>
      </c>
      <c r="Z1159" s="4" t="s">
        <v>197</v>
      </c>
      <c r="AA1159" s="3">
        <v>258</v>
      </c>
      <c r="AB1159" s="3">
        <v>221</v>
      </c>
      <c r="AC1159" s="3">
        <v>316</v>
      </c>
      <c r="AD1159" s="3">
        <v>2</v>
      </c>
      <c r="AE1159" s="3">
        <v>3</v>
      </c>
      <c r="AF1159" s="3">
        <v>6</v>
      </c>
      <c r="AG1159" s="3">
        <v>10</v>
      </c>
      <c r="AH1159" s="3">
        <v>2</v>
      </c>
      <c r="AI1159" s="3">
        <v>4</v>
      </c>
      <c r="AJ1159" s="3">
        <v>1</v>
      </c>
      <c r="AK1159" s="3">
        <v>1</v>
      </c>
      <c r="AL1159" s="3">
        <v>3</v>
      </c>
      <c r="AM1159" s="3">
        <v>4</v>
      </c>
      <c r="AN1159" s="3">
        <v>0</v>
      </c>
      <c r="AO1159" s="3">
        <v>1</v>
      </c>
      <c r="AP1159" s="3">
        <v>0</v>
      </c>
      <c r="AQ1159" s="3">
        <v>0</v>
      </c>
      <c r="AR1159" s="2" t="s">
        <v>5</v>
      </c>
      <c r="AS1159" s="2" t="s">
        <v>16</v>
      </c>
      <c r="AT1159" s="5" t="str">
        <f>HYPERLINK("http://catalog.hathitrust.org/Record/000313572","HathiTrust Record")</f>
        <v>HathiTrust Record</v>
      </c>
      <c r="AU1159" s="5" t="str">
        <f>HYPERLINK("https://creighton-primo.hosted.exlibrisgroup.com/primo-explore/search?tab=default_tab&amp;search_scope=EVERYTHING&amp;vid=01CRU&amp;lang=en_US&amp;offset=0&amp;query=any,contains,991001083419702656","Catalog Record")</f>
        <v>Catalog Record</v>
      </c>
      <c r="AV1159" s="5" t="str">
        <f>HYPERLINK("http://www.worldcat.org/oclc/8708951","WorldCat Record")</f>
        <v>WorldCat Record</v>
      </c>
      <c r="AW1159" s="2" t="s">
        <v>13981</v>
      </c>
      <c r="AX1159" s="2" t="s">
        <v>13982</v>
      </c>
      <c r="AY1159" s="2" t="s">
        <v>13983</v>
      </c>
      <c r="AZ1159" s="2" t="s">
        <v>13983</v>
      </c>
      <c r="BA1159" s="2" t="s">
        <v>13984</v>
      </c>
      <c r="BB1159" s="2" t="s">
        <v>21</v>
      </c>
      <c r="BD1159" s="2" t="s">
        <v>13985</v>
      </c>
      <c r="BE1159" s="2" t="s">
        <v>13986</v>
      </c>
      <c r="BF1159" s="2" t="s">
        <v>13987</v>
      </c>
    </row>
    <row r="1160" spans="1:58" ht="41.25" customHeight="1" x14ac:dyDescent="0.25">
      <c r="A1160" s="8" t="s">
        <v>5</v>
      </c>
      <c r="B1160" s="1" t="s">
        <v>0</v>
      </c>
      <c r="C1160" s="1" t="s">
        <v>1</v>
      </c>
      <c r="D1160" s="1" t="s">
        <v>13988</v>
      </c>
      <c r="E1160" s="1" t="s">
        <v>13989</v>
      </c>
      <c r="F1160" s="1" t="s">
        <v>13990</v>
      </c>
      <c r="H1160" s="2" t="s">
        <v>5</v>
      </c>
      <c r="I1160" s="2" t="s">
        <v>6</v>
      </c>
      <c r="J1160" s="2" t="s">
        <v>5</v>
      </c>
      <c r="K1160" s="2" t="s">
        <v>5</v>
      </c>
      <c r="L1160" s="2" t="s">
        <v>7</v>
      </c>
      <c r="M1160" s="1" t="s">
        <v>13991</v>
      </c>
      <c r="N1160" s="1" t="s">
        <v>242</v>
      </c>
      <c r="O1160" s="2" t="s">
        <v>62</v>
      </c>
      <c r="Q1160" s="2" t="s">
        <v>11</v>
      </c>
      <c r="R1160" s="2" t="s">
        <v>12</v>
      </c>
      <c r="T1160" s="2" t="s">
        <v>520</v>
      </c>
      <c r="U1160" s="3">
        <v>3</v>
      </c>
      <c r="V1160" s="3">
        <v>3</v>
      </c>
      <c r="W1160" s="4" t="s">
        <v>342</v>
      </c>
      <c r="X1160" s="4" t="s">
        <v>342</v>
      </c>
      <c r="Y1160" s="4" t="s">
        <v>329</v>
      </c>
      <c r="Z1160" s="4" t="s">
        <v>329</v>
      </c>
      <c r="AA1160" s="3">
        <v>264</v>
      </c>
      <c r="AB1160" s="3">
        <v>202</v>
      </c>
      <c r="AC1160" s="3">
        <v>204</v>
      </c>
      <c r="AD1160" s="3">
        <v>3</v>
      </c>
      <c r="AE1160" s="3">
        <v>3</v>
      </c>
      <c r="AF1160" s="3">
        <v>8</v>
      </c>
      <c r="AG1160" s="3">
        <v>8</v>
      </c>
      <c r="AH1160" s="3">
        <v>2</v>
      </c>
      <c r="AI1160" s="3">
        <v>2</v>
      </c>
      <c r="AJ1160" s="3">
        <v>2</v>
      </c>
      <c r="AK1160" s="3">
        <v>2</v>
      </c>
      <c r="AL1160" s="3">
        <v>3</v>
      </c>
      <c r="AM1160" s="3">
        <v>3</v>
      </c>
      <c r="AN1160" s="3">
        <v>2</v>
      </c>
      <c r="AO1160" s="3">
        <v>2</v>
      </c>
      <c r="AP1160" s="3">
        <v>0</v>
      </c>
      <c r="AQ1160" s="3">
        <v>0</v>
      </c>
      <c r="AR1160" s="2" t="s">
        <v>5</v>
      </c>
      <c r="AS1160" s="2" t="s">
        <v>16</v>
      </c>
      <c r="AT1160" s="5" t="str">
        <f>HYPERLINK("http://catalog.hathitrust.org/Record/000251886","HathiTrust Record")</f>
        <v>HathiTrust Record</v>
      </c>
      <c r="AU1160" s="5" t="str">
        <f>HYPERLINK("https://creighton-primo.hosted.exlibrisgroup.com/primo-explore/search?tab=default_tab&amp;search_scope=EVERYTHING&amp;vid=01CRU&amp;lang=en_US&amp;offset=0&amp;query=any,contains,991000736449702656","Catalog Record")</f>
        <v>Catalog Record</v>
      </c>
      <c r="AV1160" s="5" t="str">
        <f>HYPERLINK("http://www.worldcat.org/oclc/3017247","WorldCat Record")</f>
        <v>WorldCat Record</v>
      </c>
      <c r="AW1160" s="2" t="s">
        <v>13992</v>
      </c>
      <c r="AX1160" s="2" t="s">
        <v>13993</v>
      </c>
      <c r="AY1160" s="2" t="s">
        <v>13994</v>
      </c>
      <c r="AZ1160" s="2" t="s">
        <v>13994</v>
      </c>
      <c r="BA1160" s="2" t="s">
        <v>13995</v>
      </c>
      <c r="BB1160" s="2" t="s">
        <v>21</v>
      </c>
      <c r="BD1160" s="2" t="s">
        <v>13996</v>
      </c>
      <c r="BE1160" s="2" t="s">
        <v>13997</v>
      </c>
      <c r="BF1160" s="2" t="s">
        <v>13998</v>
      </c>
    </row>
    <row r="1161" spans="1:58" ht="41.25" customHeight="1" x14ac:dyDescent="0.25">
      <c r="A1161" s="8" t="s">
        <v>5</v>
      </c>
      <c r="B1161" s="1" t="s">
        <v>0</v>
      </c>
      <c r="C1161" s="1" t="s">
        <v>1</v>
      </c>
      <c r="D1161" s="1" t="s">
        <v>13999</v>
      </c>
      <c r="E1161" s="1" t="s">
        <v>14000</v>
      </c>
      <c r="F1161" s="1" t="s">
        <v>14001</v>
      </c>
      <c r="H1161" s="2" t="s">
        <v>5</v>
      </c>
      <c r="I1161" s="2" t="s">
        <v>6</v>
      </c>
      <c r="J1161" s="2" t="s">
        <v>5</v>
      </c>
      <c r="K1161" s="2" t="s">
        <v>16</v>
      </c>
      <c r="L1161" s="2" t="s">
        <v>7</v>
      </c>
      <c r="M1161" s="1" t="s">
        <v>12549</v>
      </c>
      <c r="N1161" s="1" t="s">
        <v>14002</v>
      </c>
      <c r="O1161" s="2" t="s">
        <v>794</v>
      </c>
      <c r="P1161" s="1" t="s">
        <v>1208</v>
      </c>
      <c r="Q1161" s="2" t="s">
        <v>11</v>
      </c>
      <c r="R1161" s="2" t="s">
        <v>1019</v>
      </c>
      <c r="T1161" s="2" t="s">
        <v>520</v>
      </c>
      <c r="U1161" s="3">
        <v>73</v>
      </c>
      <c r="V1161" s="3">
        <v>73</v>
      </c>
      <c r="W1161" s="4" t="s">
        <v>14003</v>
      </c>
      <c r="X1161" s="4" t="s">
        <v>14003</v>
      </c>
      <c r="Y1161" s="4" t="s">
        <v>14004</v>
      </c>
      <c r="Z1161" s="4" t="s">
        <v>14004</v>
      </c>
      <c r="AA1161" s="3">
        <v>227</v>
      </c>
      <c r="AB1161" s="3">
        <v>174</v>
      </c>
      <c r="AC1161" s="3">
        <v>841</v>
      </c>
      <c r="AD1161" s="3">
        <v>2</v>
      </c>
      <c r="AE1161" s="3">
        <v>5</v>
      </c>
      <c r="AF1161" s="3">
        <v>9</v>
      </c>
      <c r="AG1161" s="3">
        <v>25</v>
      </c>
      <c r="AH1161" s="3">
        <v>2</v>
      </c>
      <c r="AI1161" s="3">
        <v>11</v>
      </c>
      <c r="AJ1161" s="3">
        <v>2</v>
      </c>
      <c r="AK1161" s="3">
        <v>4</v>
      </c>
      <c r="AL1161" s="3">
        <v>5</v>
      </c>
      <c r="AM1161" s="3">
        <v>14</v>
      </c>
      <c r="AN1161" s="3">
        <v>1</v>
      </c>
      <c r="AO1161" s="3">
        <v>3</v>
      </c>
      <c r="AP1161" s="3">
        <v>0</v>
      </c>
      <c r="AQ1161" s="3">
        <v>0</v>
      </c>
      <c r="AR1161" s="2" t="s">
        <v>5</v>
      </c>
      <c r="AS1161" s="2" t="s">
        <v>16</v>
      </c>
      <c r="AT1161" s="5" t="str">
        <f>HYPERLINK("http://catalog.hathitrust.org/Record/003979374","HathiTrust Record")</f>
        <v>HathiTrust Record</v>
      </c>
      <c r="AU1161" s="5" t="str">
        <f>HYPERLINK("https://creighton-primo.hosted.exlibrisgroup.com/primo-explore/search?tab=default_tab&amp;search_scope=EVERYTHING&amp;vid=01CRU&amp;lang=en_US&amp;offset=0&amp;query=any,contains,991001263379702656","Catalog Record")</f>
        <v>Catalog Record</v>
      </c>
      <c r="AV1161" s="5" t="str">
        <f>HYPERLINK("http://www.worldcat.org/oclc/34663380","WorldCat Record")</f>
        <v>WorldCat Record</v>
      </c>
      <c r="AW1161" s="2" t="s">
        <v>14005</v>
      </c>
      <c r="AX1161" s="2" t="s">
        <v>14006</v>
      </c>
      <c r="AY1161" s="2" t="s">
        <v>14007</v>
      </c>
      <c r="AZ1161" s="2" t="s">
        <v>14007</v>
      </c>
      <c r="BA1161" s="2" t="s">
        <v>14008</v>
      </c>
      <c r="BB1161" s="2" t="s">
        <v>21</v>
      </c>
      <c r="BD1161" s="2" t="s">
        <v>14009</v>
      </c>
      <c r="BE1161" s="2" t="s">
        <v>14010</v>
      </c>
      <c r="BF1161" s="2" t="s">
        <v>14011</v>
      </c>
    </row>
    <row r="1162" spans="1:58" ht="41.25" customHeight="1" x14ac:dyDescent="0.25">
      <c r="A1162" s="8" t="s">
        <v>5</v>
      </c>
      <c r="B1162" s="1" t="s">
        <v>0</v>
      </c>
      <c r="C1162" s="1" t="s">
        <v>1</v>
      </c>
      <c r="D1162" s="1" t="s">
        <v>14012</v>
      </c>
      <c r="E1162" s="1" t="s">
        <v>14013</v>
      </c>
      <c r="F1162" s="1" t="s">
        <v>14014</v>
      </c>
      <c r="H1162" s="2" t="s">
        <v>5</v>
      </c>
      <c r="I1162" s="2" t="s">
        <v>6</v>
      </c>
      <c r="J1162" s="2" t="s">
        <v>5</v>
      </c>
      <c r="K1162" s="2" t="s">
        <v>5</v>
      </c>
      <c r="L1162" s="2" t="s">
        <v>7</v>
      </c>
      <c r="M1162" s="1" t="s">
        <v>14015</v>
      </c>
      <c r="N1162" s="1" t="s">
        <v>14016</v>
      </c>
      <c r="O1162" s="2" t="s">
        <v>1004</v>
      </c>
      <c r="P1162" s="1" t="s">
        <v>211</v>
      </c>
      <c r="Q1162" s="2" t="s">
        <v>11</v>
      </c>
      <c r="R1162" s="2" t="s">
        <v>271</v>
      </c>
      <c r="T1162" s="2" t="s">
        <v>520</v>
      </c>
      <c r="U1162" s="3">
        <v>7</v>
      </c>
      <c r="V1162" s="3">
        <v>7</v>
      </c>
      <c r="W1162" s="4" t="s">
        <v>14017</v>
      </c>
      <c r="X1162" s="4" t="s">
        <v>14017</v>
      </c>
      <c r="Y1162" s="4" t="s">
        <v>1299</v>
      </c>
      <c r="Z1162" s="4" t="s">
        <v>1299</v>
      </c>
      <c r="AA1162" s="3">
        <v>190</v>
      </c>
      <c r="AB1162" s="3">
        <v>152</v>
      </c>
      <c r="AC1162" s="3">
        <v>959</v>
      </c>
      <c r="AD1162" s="3">
        <v>1</v>
      </c>
      <c r="AE1162" s="3">
        <v>27</v>
      </c>
      <c r="AF1162" s="3">
        <v>6</v>
      </c>
      <c r="AG1162" s="3">
        <v>27</v>
      </c>
      <c r="AH1162" s="3">
        <v>3</v>
      </c>
      <c r="AI1162" s="3">
        <v>8</v>
      </c>
      <c r="AJ1162" s="3">
        <v>0</v>
      </c>
      <c r="AK1162" s="3">
        <v>3</v>
      </c>
      <c r="AL1162" s="3">
        <v>3</v>
      </c>
      <c r="AM1162" s="3">
        <v>8</v>
      </c>
      <c r="AN1162" s="3">
        <v>0</v>
      </c>
      <c r="AO1162" s="3">
        <v>12</v>
      </c>
      <c r="AP1162" s="3">
        <v>0</v>
      </c>
      <c r="AQ1162" s="3">
        <v>0</v>
      </c>
      <c r="AR1162" s="2" t="s">
        <v>5</v>
      </c>
      <c r="AS1162" s="2" t="s">
        <v>16</v>
      </c>
      <c r="AT1162" s="5" t="str">
        <f>HYPERLINK("http://catalog.hathitrust.org/Record/004006437","HathiTrust Record")</f>
        <v>HathiTrust Record</v>
      </c>
      <c r="AU1162" s="5" t="str">
        <f>HYPERLINK("https://creighton-primo.hosted.exlibrisgroup.com/primo-explore/search?tab=default_tab&amp;search_scope=EVERYTHING&amp;vid=01CRU&amp;lang=en_US&amp;offset=0&amp;query=any,contains,991001573799702656","Catalog Record")</f>
        <v>Catalog Record</v>
      </c>
      <c r="AV1162" s="5" t="str">
        <f>HYPERLINK("http://www.worldcat.org/oclc/38976563","WorldCat Record")</f>
        <v>WorldCat Record</v>
      </c>
      <c r="AW1162" s="2" t="s">
        <v>14018</v>
      </c>
      <c r="AX1162" s="2" t="s">
        <v>14019</v>
      </c>
      <c r="AY1162" s="2" t="s">
        <v>14020</v>
      </c>
      <c r="AZ1162" s="2" t="s">
        <v>14020</v>
      </c>
      <c r="BA1162" s="2" t="s">
        <v>14021</v>
      </c>
      <c r="BB1162" s="2" t="s">
        <v>21</v>
      </c>
      <c r="BD1162" s="2" t="s">
        <v>14022</v>
      </c>
      <c r="BE1162" s="2" t="s">
        <v>14023</v>
      </c>
      <c r="BF1162" s="2" t="s">
        <v>14024</v>
      </c>
    </row>
    <row r="1163" spans="1:58" ht="41.25" customHeight="1" x14ac:dyDescent="0.25">
      <c r="A1163" s="8" t="s">
        <v>5</v>
      </c>
      <c r="B1163" s="1" t="s">
        <v>0</v>
      </c>
      <c r="C1163" s="1" t="s">
        <v>1</v>
      </c>
      <c r="D1163" s="1" t="s">
        <v>14025</v>
      </c>
      <c r="E1163" s="1" t="s">
        <v>14026</v>
      </c>
      <c r="F1163" s="1" t="s">
        <v>14027</v>
      </c>
      <c r="H1163" s="2" t="s">
        <v>5</v>
      </c>
      <c r="I1163" s="2" t="s">
        <v>6</v>
      </c>
      <c r="J1163" s="2" t="s">
        <v>5</v>
      </c>
      <c r="K1163" s="2" t="s">
        <v>5</v>
      </c>
      <c r="L1163" s="2" t="s">
        <v>7</v>
      </c>
      <c r="M1163" s="1" t="s">
        <v>14015</v>
      </c>
      <c r="N1163" s="1" t="s">
        <v>14028</v>
      </c>
      <c r="O1163" s="2" t="s">
        <v>989</v>
      </c>
      <c r="Q1163" s="2" t="s">
        <v>11</v>
      </c>
      <c r="R1163" s="2" t="s">
        <v>271</v>
      </c>
      <c r="S1163" s="1" t="s">
        <v>14029</v>
      </c>
      <c r="T1163" s="2" t="s">
        <v>520</v>
      </c>
      <c r="U1163" s="3">
        <v>17</v>
      </c>
      <c r="V1163" s="3">
        <v>17</v>
      </c>
      <c r="W1163" s="4" t="s">
        <v>4695</v>
      </c>
      <c r="X1163" s="4" t="s">
        <v>4695</v>
      </c>
      <c r="Y1163" s="4" t="s">
        <v>6241</v>
      </c>
      <c r="Z1163" s="4" t="s">
        <v>6241</v>
      </c>
      <c r="AA1163" s="3">
        <v>297</v>
      </c>
      <c r="AB1163" s="3">
        <v>231</v>
      </c>
      <c r="AC1163" s="3">
        <v>320</v>
      </c>
      <c r="AD1163" s="3">
        <v>3</v>
      </c>
      <c r="AE1163" s="3">
        <v>3</v>
      </c>
      <c r="AF1163" s="3">
        <v>10</v>
      </c>
      <c r="AG1163" s="3">
        <v>15</v>
      </c>
      <c r="AH1163" s="3">
        <v>5</v>
      </c>
      <c r="AI1163" s="3">
        <v>7</v>
      </c>
      <c r="AJ1163" s="3">
        <v>2</v>
      </c>
      <c r="AK1163" s="3">
        <v>3</v>
      </c>
      <c r="AL1163" s="3">
        <v>4</v>
      </c>
      <c r="AM1163" s="3">
        <v>7</v>
      </c>
      <c r="AN1163" s="3">
        <v>1</v>
      </c>
      <c r="AO1163" s="3">
        <v>1</v>
      </c>
      <c r="AP1163" s="3">
        <v>0</v>
      </c>
      <c r="AQ1163" s="3">
        <v>0</v>
      </c>
      <c r="AR1163" s="2" t="s">
        <v>5</v>
      </c>
      <c r="AS1163" s="2" t="s">
        <v>16</v>
      </c>
      <c r="AT1163" s="5" t="str">
        <f>HYPERLINK("http://catalog.hathitrust.org/Record/002168192","HathiTrust Record")</f>
        <v>HathiTrust Record</v>
      </c>
      <c r="AU1163" s="5" t="str">
        <f>HYPERLINK("https://creighton-primo.hosted.exlibrisgroup.com/primo-explore/search?tab=default_tab&amp;search_scope=EVERYTHING&amp;vid=01CRU&amp;lang=en_US&amp;offset=0&amp;query=any,contains,991001453159702656","Catalog Record")</f>
        <v>Catalog Record</v>
      </c>
      <c r="AV1163" s="5" t="str">
        <f>HYPERLINK("http://www.worldcat.org/oclc/20852952","WorldCat Record")</f>
        <v>WorldCat Record</v>
      </c>
      <c r="AW1163" s="2" t="s">
        <v>14030</v>
      </c>
      <c r="AX1163" s="2" t="s">
        <v>14031</v>
      </c>
      <c r="AY1163" s="2" t="s">
        <v>14032</v>
      </c>
      <c r="AZ1163" s="2" t="s">
        <v>14032</v>
      </c>
      <c r="BA1163" s="2" t="s">
        <v>14033</v>
      </c>
      <c r="BB1163" s="2" t="s">
        <v>21</v>
      </c>
      <c r="BD1163" s="2" t="s">
        <v>14034</v>
      </c>
      <c r="BE1163" s="2" t="s">
        <v>14035</v>
      </c>
      <c r="BF1163" s="2" t="s">
        <v>14036</v>
      </c>
    </row>
    <row r="1164" spans="1:58" ht="41.25" customHeight="1" x14ac:dyDescent="0.25">
      <c r="A1164" s="8" t="s">
        <v>5</v>
      </c>
      <c r="B1164" s="1" t="s">
        <v>0</v>
      </c>
      <c r="C1164" s="1" t="s">
        <v>1</v>
      </c>
      <c r="D1164" s="1" t="s">
        <v>14037</v>
      </c>
      <c r="E1164" s="1" t="s">
        <v>14038</v>
      </c>
      <c r="F1164" s="1" t="s">
        <v>14039</v>
      </c>
      <c r="H1164" s="2" t="s">
        <v>5</v>
      </c>
      <c r="I1164" s="2" t="s">
        <v>6</v>
      </c>
      <c r="J1164" s="2" t="s">
        <v>5</v>
      </c>
      <c r="K1164" s="2" t="s">
        <v>5</v>
      </c>
      <c r="L1164" s="2" t="s">
        <v>7</v>
      </c>
      <c r="N1164" s="1" t="s">
        <v>3414</v>
      </c>
      <c r="O1164" s="2" t="s">
        <v>210</v>
      </c>
      <c r="P1164" s="1" t="s">
        <v>211</v>
      </c>
      <c r="Q1164" s="2" t="s">
        <v>11</v>
      </c>
      <c r="R1164" s="2" t="s">
        <v>3356</v>
      </c>
      <c r="T1164" s="2" t="s">
        <v>520</v>
      </c>
      <c r="U1164" s="3">
        <v>3</v>
      </c>
      <c r="V1164" s="3">
        <v>3</v>
      </c>
      <c r="W1164" s="4" t="s">
        <v>14040</v>
      </c>
      <c r="X1164" s="4" t="s">
        <v>14040</v>
      </c>
      <c r="Y1164" s="4" t="s">
        <v>1616</v>
      </c>
      <c r="Z1164" s="4" t="s">
        <v>1616</v>
      </c>
      <c r="AA1164" s="3">
        <v>301</v>
      </c>
      <c r="AB1164" s="3">
        <v>221</v>
      </c>
      <c r="AC1164" s="3">
        <v>299</v>
      </c>
      <c r="AD1164" s="3">
        <v>1</v>
      </c>
      <c r="AE1164" s="3">
        <v>1</v>
      </c>
      <c r="AF1164" s="3">
        <v>9</v>
      </c>
      <c r="AG1164" s="3">
        <v>11</v>
      </c>
      <c r="AH1164" s="3">
        <v>4</v>
      </c>
      <c r="AI1164" s="3">
        <v>4</v>
      </c>
      <c r="AJ1164" s="3">
        <v>4</v>
      </c>
      <c r="AK1164" s="3">
        <v>4</v>
      </c>
      <c r="AL1164" s="3">
        <v>5</v>
      </c>
      <c r="AM1164" s="3">
        <v>7</v>
      </c>
      <c r="AN1164" s="3">
        <v>0</v>
      </c>
      <c r="AO1164" s="3">
        <v>0</v>
      </c>
      <c r="AP1164" s="3">
        <v>0</v>
      </c>
      <c r="AQ1164" s="3">
        <v>0</v>
      </c>
      <c r="AR1164" s="2" t="s">
        <v>5</v>
      </c>
      <c r="AS1164" s="2" t="s">
        <v>16</v>
      </c>
      <c r="AT1164" s="5" t="str">
        <f>HYPERLINK("http://catalog.hathitrust.org/Record/002554737","HathiTrust Record")</f>
        <v>HathiTrust Record</v>
      </c>
      <c r="AU1164" s="5" t="str">
        <f>HYPERLINK("https://creighton-primo.hosted.exlibrisgroup.com/primo-explore/search?tab=default_tab&amp;search_scope=EVERYTHING&amp;vid=01CRU&amp;lang=en_US&amp;offset=0&amp;query=any,contains,991001194929702656","Catalog Record")</f>
        <v>Catalog Record</v>
      </c>
      <c r="AV1164" s="5" t="str">
        <f>HYPERLINK("http://www.worldcat.org/oclc/25411261","WorldCat Record")</f>
        <v>WorldCat Record</v>
      </c>
      <c r="AW1164" s="2" t="s">
        <v>14041</v>
      </c>
      <c r="AX1164" s="2" t="s">
        <v>14042</v>
      </c>
      <c r="AY1164" s="2" t="s">
        <v>14043</v>
      </c>
      <c r="AZ1164" s="2" t="s">
        <v>14043</v>
      </c>
      <c r="BA1164" s="2" t="s">
        <v>14044</v>
      </c>
      <c r="BB1164" s="2" t="s">
        <v>21</v>
      </c>
      <c r="BD1164" s="2" t="s">
        <v>14045</v>
      </c>
      <c r="BE1164" s="2" t="s">
        <v>14046</v>
      </c>
      <c r="BF1164" s="2" t="s">
        <v>14047</v>
      </c>
    </row>
    <row r="1165" spans="1:58" ht="41.25" customHeight="1" x14ac:dyDescent="0.25">
      <c r="A1165" s="8" t="s">
        <v>5</v>
      </c>
      <c r="B1165" s="1" t="s">
        <v>0</v>
      </c>
      <c r="C1165" s="1" t="s">
        <v>1</v>
      </c>
      <c r="D1165" s="1" t="s">
        <v>14048</v>
      </c>
      <c r="E1165" s="1" t="s">
        <v>14049</v>
      </c>
      <c r="F1165" s="1" t="s">
        <v>14050</v>
      </c>
      <c r="H1165" s="2" t="s">
        <v>5</v>
      </c>
      <c r="I1165" s="2" t="s">
        <v>6</v>
      </c>
      <c r="J1165" s="2" t="s">
        <v>5</v>
      </c>
      <c r="K1165" s="2" t="s">
        <v>5</v>
      </c>
      <c r="L1165" s="2" t="s">
        <v>7</v>
      </c>
      <c r="M1165" s="1" t="s">
        <v>14051</v>
      </c>
      <c r="N1165" s="1" t="s">
        <v>1562</v>
      </c>
      <c r="O1165" s="2" t="s">
        <v>210</v>
      </c>
      <c r="Q1165" s="2" t="s">
        <v>11</v>
      </c>
      <c r="R1165" s="2" t="s">
        <v>1140</v>
      </c>
      <c r="T1165" s="2" t="s">
        <v>520</v>
      </c>
      <c r="U1165" s="3">
        <v>4</v>
      </c>
      <c r="V1165" s="3">
        <v>4</v>
      </c>
      <c r="W1165" s="4" t="s">
        <v>4695</v>
      </c>
      <c r="X1165" s="4" t="s">
        <v>4695</v>
      </c>
      <c r="Y1165" s="4" t="s">
        <v>7578</v>
      </c>
      <c r="Z1165" s="4" t="s">
        <v>7578</v>
      </c>
      <c r="AA1165" s="3">
        <v>266</v>
      </c>
      <c r="AB1165" s="3">
        <v>226</v>
      </c>
      <c r="AC1165" s="3">
        <v>234</v>
      </c>
      <c r="AD1165" s="3">
        <v>1</v>
      </c>
      <c r="AE1165" s="3">
        <v>1</v>
      </c>
      <c r="AF1165" s="3">
        <v>11</v>
      </c>
      <c r="AG1165" s="3">
        <v>11</v>
      </c>
      <c r="AH1165" s="3">
        <v>4</v>
      </c>
      <c r="AI1165" s="3">
        <v>4</v>
      </c>
      <c r="AJ1165" s="3">
        <v>3</v>
      </c>
      <c r="AK1165" s="3">
        <v>3</v>
      </c>
      <c r="AL1165" s="3">
        <v>7</v>
      </c>
      <c r="AM1165" s="3">
        <v>7</v>
      </c>
      <c r="AN1165" s="3">
        <v>0</v>
      </c>
      <c r="AO1165" s="3">
        <v>0</v>
      </c>
      <c r="AP1165" s="3">
        <v>0</v>
      </c>
      <c r="AQ1165" s="3">
        <v>0</v>
      </c>
      <c r="AR1165" s="2" t="s">
        <v>5</v>
      </c>
      <c r="AS1165" s="2" t="s">
        <v>16</v>
      </c>
      <c r="AT1165" s="5" t="str">
        <f>HYPERLINK("http://catalog.hathitrust.org/Record/002480477","HathiTrust Record")</f>
        <v>HathiTrust Record</v>
      </c>
      <c r="AU1165" s="5" t="str">
        <f>HYPERLINK("https://creighton-primo.hosted.exlibrisgroup.com/primo-explore/search?tab=default_tab&amp;search_scope=EVERYTHING&amp;vid=01CRU&amp;lang=en_US&amp;offset=0&amp;query=any,contains,991001479169702656","Catalog Record")</f>
        <v>Catalog Record</v>
      </c>
      <c r="AV1165" s="5" t="str">
        <f>HYPERLINK("http://www.worldcat.org/oclc/24065620","WorldCat Record")</f>
        <v>WorldCat Record</v>
      </c>
      <c r="AW1165" s="2" t="s">
        <v>14052</v>
      </c>
      <c r="AX1165" s="2" t="s">
        <v>14053</v>
      </c>
      <c r="AY1165" s="2" t="s">
        <v>14054</v>
      </c>
      <c r="AZ1165" s="2" t="s">
        <v>14054</v>
      </c>
      <c r="BA1165" s="2" t="s">
        <v>14055</v>
      </c>
      <c r="BB1165" s="2" t="s">
        <v>21</v>
      </c>
      <c r="BD1165" s="2" t="s">
        <v>14056</v>
      </c>
      <c r="BE1165" s="2" t="s">
        <v>14057</v>
      </c>
      <c r="BF1165" s="2" t="s">
        <v>14058</v>
      </c>
    </row>
    <row r="1166" spans="1:58" ht="41.25" customHeight="1" x14ac:dyDescent="0.25">
      <c r="A1166" s="8" t="s">
        <v>5</v>
      </c>
      <c r="B1166" s="1" t="s">
        <v>0</v>
      </c>
      <c r="C1166" s="1" t="s">
        <v>1</v>
      </c>
      <c r="D1166" s="1" t="s">
        <v>14059</v>
      </c>
      <c r="E1166" s="1" t="s">
        <v>14060</v>
      </c>
      <c r="F1166" s="1" t="s">
        <v>14061</v>
      </c>
      <c r="H1166" s="2" t="s">
        <v>5</v>
      </c>
      <c r="I1166" s="2" t="s">
        <v>6</v>
      </c>
      <c r="J1166" s="2" t="s">
        <v>5</v>
      </c>
      <c r="K1166" s="2" t="s">
        <v>16</v>
      </c>
      <c r="L1166" s="2" t="s">
        <v>7</v>
      </c>
      <c r="M1166" s="1" t="s">
        <v>4968</v>
      </c>
      <c r="N1166" s="1" t="s">
        <v>5387</v>
      </c>
      <c r="O1166" s="2" t="s">
        <v>393</v>
      </c>
      <c r="P1166" s="1" t="s">
        <v>2397</v>
      </c>
      <c r="Q1166" s="2" t="s">
        <v>11</v>
      </c>
      <c r="R1166" s="2" t="s">
        <v>12</v>
      </c>
      <c r="T1166" s="2" t="s">
        <v>520</v>
      </c>
      <c r="U1166" s="3">
        <v>2</v>
      </c>
      <c r="V1166" s="3">
        <v>2</v>
      </c>
      <c r="W1166" s="4" t="s">
        <v>13645</v>
      </c>
      <c r="X1166" s="4" t="s">
        <v>13645</v>
      </c>
      <c r="Y1166" s="4" t="s">
        <v>197</v>
      </c>
      <c r="Z1166" s="4" t="s">
        <v>197</v>
      </c>
      <c r="AA1166" s="3">
        <v>278</v>
      </c>
      <c r="AB1166" s="3">
        <v>225</v>
      </c>
      <c r="AC1166" s="3">
        <v>317</v>
      </c>
      <c r="AD1166" s="3">
        <v>1</v>
      </c>
      <c r="AE1166" s="3">
        <v>2</v>
      </c>
      <c r="AF1166" s="3">
        <v>11</v>
      </c>
      <c r="AG1166" s="3">
        <v>16</v>
      </c>
      <c r="AH1166" s="3">
        <v>7</v>
      </c>
      <c r="AI1166" s="3">
        <v>7</v>
      </c>
      <c r="AJ1166" s="3">
        <v>1</v>
      </c>
      <c r="AK1166" s="3">
        <v>3</v>
      </c>
      <c r="AL1166" s="3">
        <v>4</v>
      </c>
      <c r="AM1166" s="3">
        <v>7</v>
      </c>
      <c r="AN1166" s="3">
        <v>0</v>
      </c>
      <c r="AO1166" s="3">
        <v>1</v>
      </c>
      <c r="AP1166" s="3">
        <v>0</v>
      </c>
      <c r="AQ1166" s="3">
        <v>0</v>
      </c>
      <c r="AR1166" s="2" t="s">
        <v>5</v>
      </c>
      <c r="AS1166" s="2" t="s">
        <v>16</v>
      </c>
      <c r="AT1166" s="5" t="str">
        <f>HYPERLINK("http://catalog.hathitrust.org/Record/000720718","HathiTrust Record")</f>
        <v>HathiTrust Record</v>
      </c>
      <c r="AU1166" s="5" t="str">
        <f>HYPERLINK("https://creighton-primo.hosted.exlibrisgroup.com/primo-explore/search?tab=default_tab&amp;search_scope=EVERYTHING&amp;vid=01CRU&amp;lang=en_US&amp;offset=0&amp;query=any,contains,991001083489702656","Catalog Record")</f>
        <v>Catalog Record</v>
      </c>
      <c r="AV1166" s="5" t="str">
        <f>HYPERLINK("http://www.worldcat.org/oclc/6016313","WorldCat Record")</f>
        <v>WorldCat Record</v>
      </c>
      <c r="AW1166" s="2" t="s">
        <v>14062</v>
      </c>
      <c r="AX1166" s="2" t="s">
        <v>14063</v>
      </c>
      <c r="AY1166" s="2" t="s">
        <v>14064</v>
      </c>
      <c r="AZ1166" s="2" t="s">
        <v>14064</v>
      </c>
      <c r="BA1166" s="2" t="s">
        <v>14065</v>
      </c>
      <c r="BB1166" s="2" t="s">
        <v>21</v>
      </c>
      <c r="BD1166" s="2" t="s">
        <v>14066</v>
      </c>
      <c r="BE1166" s="2" t="s">
        <v>14067</v>
      </c>
      <c r="BF1166" s="2" t="s">
        <v>14068</v>
      </c>
    </row>
    <row r="1167" spans="1:58" ht="41.25" customHeight="1" x14ac:dyDescent="0.25">
      <c r="A1167" s="8" t="s">
        <v>5</v>
      </c>
      <c r="B1167" s="1" t="s">
        <v>0</v>
      </c>
      <c r="C1167" s="1" t="s">
        <v>1</v>
      </c>
      <c r="D1167" s="1" t="s">
        <v>14069</v>
      </c>
      <c r="E1167" s="1" t="s">
        <v>14070</v>
      </c>
      <c r="F1167" s="1" t="s">
        <v>14071</v>
      </c>
      <c r="H1167" s="2" t="s">
        <v>5</v>
      </c>
      <c r="I1167" s="2" t="s">
        <v>6</v>
      </c>
      <c r="J1167" s="2" t="s">
        <v>5</v>
      </c>
      <c r="K1167" s="2" t="s">
        <v>16</v>
      </c>
      <c r="L1167" s="2" t="s">
        <v>7</v>
      </c>
      <c r="M1167" s="1" t="s">
        <v>14072</v>
      </c>
      <c r="N1167" s="1" t="s">
        <v>7953</v>
      </c>
      <c r="O1167" s="2" t="s">
        <v>1060</v>
      </c>
      <c r="P1167" s="1" t="s">
        <v>63</v>
      </c>
      <c r="Q1167" s="2" t="s">
        <v>11</v>
      </c>
      <c r="R1167" s="2" t="s">
        <v>78</v>
      </c>
      <c r="T1167" s="2" t="s">
        <v>520</v>
      </c>
      <c r="U1167" s="3">
        <v>1</v>
      </c>
      <c r="V1167" s="3">
        <v>1</v>
      </c>
      <c r="W1167" s="4" t="s">
        <v>4910</v>
      </c>
      <c r="X1167" s="4" t="s">
        <v>4910</v>
      </c>
      <c r="Y1167" s="4" t="s">
        <v>2323</v>
      </c>
      <c r="Z1167" s="4" t="s">
        <v>2323</v>
      </c>
      <c r="AA1167" s="3">
        <v>397</v>
      </c>
      <c r="AB1167" s="3">
        <v>284</v>
      </c>
      <c r="AC1167" s="3">
        <v>489</v>
      </c>
      <c r="AD1167" s="3">
        <v>2</v>
      </c>
      <c r="AE1167" s="3">
        <v>4</v>
      </c>
      <c r="AF1167" s="3">
        <v>5</v>
      </c>
      <c r="AG1167" s="3">
        <v>16</v>
      </c>
      <c r="AH1167" s="3">
        <v>1</v>
      </c>
      <c r="AI1167" s="3">
        <v>4</v>
      </c>
      <c r="AJ1167" s="3">
        <v>1</v>
      </c>
      <c r="AK1167" s="3">
        <v>2</v>
      </c>
      <c r="AL1167" s="3">
        <v>2</v>
      </c>
      <c r="AM1167" s="3">
        <v>8</v>
      </c>
      <c r="AN1167" s="3">
        <v>1</v>
      </c>
      <c r="AO1167" s="3">
        <v>3</v>
      </c>
      <c r="AP1167" s="3">
        <v>0</v>
      </c>
      <c r="AQ1167" s="3">
        <v>0</v>
      </c>
      <c r="AR1167" s="2" t="s">
        <v>5</v>
      </c>
      <c r="AS1167" s="2" t="s">
        <v>5</v>
      </c>
      <c r="AU1167" s="5" t="str">
        <f>HYPERLINK("https://creighton-primo.hosted.exlibrisgroup.com/primo-explore/search?tab=default_tab&amp;search_scope=EVERYTHING&amp;vid=01CRU&amp;lang=en_US&amp;offset=0&amp;query=any,contains,991000393179702656","Catalog Record")</f>
        <v>Catalog Record</v>
      </c>
      <c r="AV1167" s="5" t="str">
        <f>HYPERLINK("http://www.worldcat.org/oclc/54907013","WorldCat Record")</f>
        <v>WorldCat Record</v>
      </c>
      <c r="AW1167" s="2" t="s">
        <v>14073</v>
      </c>
      <c r="AX1167" s="2" t="s">
        <v>14074</v>
      </c>
      <c r="AY1167" s="2" t="s">
        <v>14075</v>
      </c>
      <c r="AZ1167" s="2" t="s">
        <v>14075</v>
      </c>
      <c r="BA1167" s="2" t="s">
        <v>14076</v>
      </c>
      <c r="BB1167" s="2" t="s">
        <v>21</v>
      </c>
      <c r="BD1167" s="2" t="s">
        <v>14077</v>
      </c>
      <c r="BE1167" s="2" t="s">
        <v>14078</v>
      </c>
      <c r="BF1167" s="2" t="s">
        <v>14079</v>
      </c>
    </row>
    <row r="1168" spans="1:58" ht="41.25" customHeight="1" x14ac:dyDescent="0.25">
      <c r="A1168" s="8" t="s">
        <v>5</v>
      </c>
      <c r="B1168" s="1" t="s">
        <v>0</v>
      </c>
      <c r="C1168" s="1" t="s">
        <v>1</v>
      </c>
      <c r="D1168" s="1" t="s">
        <v>14080</v>
      </c>
      <c r="E1168" s="1" t="s">
        <v>14081</v>
      </c>
      <c r="F1168" s="1" t="s">
        <v>14082</v>
      </c>
      <c r="H1168" s="2" t="s">
        <v>5</v>
      </c>
      <c r="I1168" s="2" t="s">
        <v>6</v>
      </c>
      <c r="J1168" s="2" t="s">
        <v>5</v>
      </c>
      <c r="K1168" s="2" t="s">
        <v>5</v>
      </c>
      <c r="L1168" s="2" t="s">
        <v>7</v>
      </c>
      <c r="N1168" s="1" t="s">
        <v>14083</v>
      </c>
      <c r="O1168" s="2" t="s">
        <v>354</v>
      </c>
      <c r="Q1168" s="2" t="s">
        <v>11</v>
      </c>
      <c r="R1168" s="2" t="s">
        <v>426</v>
      </c>
      <c r="S1168" s="1" t="s">
        <v>14084</v>
      </c>
      <c r="T1168" s="2" t="s">
        <v>520</v>
      </c>
      <c r="U1168" s="3">
        <v>1</v>
      </c>
      <c r="V1168" s="3">
        <v>1</v>
      </c>
      <c r="W1168" s="4" t="s">
        <v>1443</v>
      </c>
      <c r="X1168" s="4" t="s">
        <v>1443</v>
      </c>
      <c r="Y1168" s="4" t="s">
        <v>5957</v>
      </c>
      <c r="Z1168" s="4" t="s">
        <v>5957</v>
      </c>
      <c r="AA1168" s="3">
        <v>76</v>
      </c>
      <c r="AB1168" s="3">
        <v>63</v>
      </c>
      <c r="AC1168" s="3">
        <v>65</v>
      </c>
      <c r="AD1168" s="3">
        <v>1</v>
      </c>
      <c r="AE1168" s="3">
        <v>1</v>
      </c>
      <c r="AF1168" s="3">
        <v>2</v>
      </c>
      <c r="AG1168" s="3">
        <v>2</v>
      </c>
      <c r="AH1168" s="3">
        <v>0</v>
      </c>
      <c r="AI1168" s="3">
        <v>0</v>
      </c>
      <c r="AJ1168" s="3">
        <v>0</v>
      </c>
      <c r="AK1168" s="3">
        <v>0</v>
      </c>
      <c r="AL1168" s="3">
        <v>2</v>
      </c>
      <c r="AM1168" s="3">
        <v>2</v>
      </c>
      <c r="AN1168" s="3">
        <v>0</v>
      </c>
      <c r="AO1168" s="3">
        <v>0</v>
      </c>
      <c r="AP1168" s="3">
        <v>0</v>
      </c>
      <c r="AQ1168" s="3">
        <v>0</v>
      </c>
      <c r="AR1168" s="2" t="s">
        <v>5</v>
      </c>
      <c r="AS1168" s="2" t="s">
        <v>16</v>
      </c>
      <c r="AT1168" s="5" t="str">
        <f>HYPERLINK("http://catalog.hathitrust.org/Record/002953865","HathiTrust Record")</f>
        <v>HathiTrust Record</v>
      </c>
      <c r="AU1168" s="5" t="str">
        <f>HYPERLINK("https://creighton-primo.hosted.exlibrisgroup.com/primo-explore/search?tab=default_tab&amp;search_scope=EVERYTHING&amp;vid=01CRU&amp;lang=en_US&amp;offset=0&amp;query=any,contains,991001521519702656","Catalog Record")</f>
        <v>Catalog Record</v>
      </c>
      <c r="AV1168" s="5" t="str">
        <f>HYPERLINK("http://www.worldcat.org/oclc/6648173","WorldCat Record")</f>
        <v>WorldCat Record</v>
      </c>
      <c r="AW1168" s="2" t="s">
        <v>14085</v>
      </c>
      <c r="AX1168" s="2" t="s">
        <v>14086</v>
      </c>
      <c r="AY1168" s="2" t="s">
        <v>14087</v>
      </c>
      <c r="AZ1168" s="2" t="s">
        <v>14087</v>
      </c>
      <c r="BA1168" s="2" t="s">
        <v>14088</v>
      </c>
      <c r="BB1168" s="2" t="s">
        <v>21</v>
      </c>
      <c r="BE1168" s="2" t="s">
        <v>14089</v>
      </c>
      <c r="BF1168" s="2" t="s">
        <v>14090</v>
      </c>
    </row>
    <row r="1169" spans="1:58" ht="41.25" customHeight="1" x14ac:dyDescent="0.25">
      <c r="A1169" s="8" t="s">
        <v>5</v>
      </c>
      <c r="B1169" s="1" t="s">
        <v>0</v>
      </c>
      <c r="C1169" s="1" t="s">
        <v>1</v>
      </c>
      <c r="D1169" s="1" t="s">
        <v>14091</v>
      </c>
      <c r="E1169" s="1" t="s">
        <v>14092</v>
      </c>
      <c r="F1169" s="1" t="s">
        <v>14093</v>
      </c>
      <c r="H1169" s="2" t="s">
        <v>5</v>
      </c>
      <c r="I1169" s="2" t="s">
        <v>6</v>
      </c>
      <c r="J1169" s="2" t="s">
        <v>5</v>
      </c>
      <c r="K1169" s="2" t="s">
        <v>16</v>
      </c>
      <c r="L1169" s="2" t="s">
        <v>7</v>
      </c>
      <c r="M1169" s="1" t="s">
        <v>14094</v>
      </c>
      <c r="N1169" s="1" t="s">
        <v>14095</v>
      </c>
      <c r="O1169" s="2" t="s">
        <v>794</v>
      </c>
      <c r="P1169" s="1" t="s">
        <v>211</v>
      </c>
      <c r="Q1169" s="2" t="s">
        <v>11</v>
      </c>
      <c r="R1169" s="2" t="s">
        <v>78</v>
      </c>
      <c r="T1169" s="2" t="s">
        <v>520</v>
      </c>
      <c r="U1169" s="3">
        <v>3</v>
      </c>
      <c r="V1169" s="3">
        <v>3</v>
      </c>
      <c r="W1169" s="4" t="s">
        <v>14096</v>
      </c>
      <c r="X1169" s="4" t="s">
        <v>14096</v>
      </c>
      <c r="Y1169" s="4" t="s">
        <v>11973</v>
      </c>
      <c r="Z1169" s="4" t="s">
        <v>11973</v>
      </c>
      <c r="AA1169" s="3">
        <v>275</v>
      </c>
      <c r="AB1169" s="3">
        <v>198</v>
      </c>
      <c r="AC1169" s="3">
        <v>810</v>
      </c>
      <c r="AD1169" s="3">
        <v>1</v>
      </c>
      <c r="AE1169" s="3">
        <v>3</v>
      </c>
      <c r="AF1169" s="3">
        <v>7</v>
      </c>
      <c r="AG1169" s="3">
        <v>25</v>
      </c>
      <c r="AH1169" s="3">
        <v>4</v>
      </c>
      <c r="AI1169" s="3">
        <v>10</v>
      </c>
      <c r="AJ1169" s="3">
        <v>1</v>
      </c>
      <c r="AK1169" s="3">
        <v>5</v>
      </c>
      <c r="AL1169" s="3">
        <v>6</v>
      </c>
      <c r="AM1169" s="3">
        <v>14</v>
      </c>
      <c r="AN1169" s="3">
        <v>0</v>
      </c>
      <c r="AO1169" s="3">
        <v>2</v>
      </c>
      <c r="AP1169" s="3">
        <v>0</v>
      </c>
      <c r="AQ1169" s="3">
        <v>0</v>
      </c>
      <c r="AR1169" s="2" t="s">
        <v>5</v>
      </c>
      <c r="AS1169" s="2" t="s">
        <v>5</v>
      </c>
      <c r="AU1169" s="5" t="str">
        <f>HYPERLINK("https://creighton-primo.hosted.exlibrisgroup.com/primo-explore/search?tab=default_tab&amp;search_scope=EVERYTHING&amp;vid=01CRU&amp;lang=en_US&amp;offset=0&amp;query=any,contains,991001552949702656","Catalog Record")</f>
        <v>Catalog Record</v>
      </c>
      <c r="AV1169" s="5" t="str">
        <f>HYPERLINK("http://www.worldcat.org/oclc/32431830","WorldCat Record")</f>
        <v>WorldCat Record</v>
      </c>
      <c r="AW1169" s="2" t="s">
        <v>14097</v>
      </c>
      <c r="AX1169" s="2" t="s">
        <v>14098</v>
      </c>
      <c r="AY1169" s="2" t="s">
        <v>14099</v>
      </c>
      <c r="AZ1169" s="2" t="s">
        <v>14099</v>
      </c>
      <c r="BA1169" s="2" t="s">
        <v>14100</v>
      </c>
      <c r="BB1169" s="2" t="s">
        <v>21</v>
      </c>
      <c r="BD1169" s="2" t="s">
        <v>14101</v>
      </c>
      <c r="BE1169" s="2" t="s">
        <v>14102</v>
      </c>
      <c r="BF1169" s="2" t="s">
        <v>14103</v>
      </c>
    </row>
    <row r="1170" spans="1:58" ht="41.25" customHeight="1" x14ac:dyDescent="0.25">
      <c r="A1170" s="8" t="s">
        <v>5</v>
      </c>
      <c r="B1170" s="1" t="s">
        <v>0</v>
      </c>
      <c r="C1170" s="1" t="s">
        <v>1</v>
      </c>
      <c r="D1170" s="1" t="s">
        <v>14104</v>
      </c>
      <c r="E1170" s="1" t="s">
        <v>14105</v>
      </c>
      <c r="F1170" s="1" t="s">
        <v>14093</v>
      </c>
      <c r="H1170" s="2" t="s">
        <v>5</v>
      </c>
      <c r="I1170" s="2" t="s">
        <v>6</v>
      </c>
      <c r="J1170" s="2" t="s">
        <v>5</v>
      </c>
      <c r="K1170" s="2" t="s">
        <v>16</v>
      </c>
      <c r="L1170" s="2" t="s">
        <v>7</v>
      </c>
      <c r="M1170" s="1" t="s">
        <v>14094</v>
      </c>
      <c r="N1170" s="1" t="s">
        <v>14106</v>
      </c>
      <c r="O1170" s="2" t="s">
        <v>1195</v>
      </c>
      <c r="P1170" s="1" t="s">
        <v>901</v>
      </c>
      <c r="Q1170" s="2" t="s">
        <v>11</v>
      </c>
      <c r="R1170" s="2" t="s">
        <v>78</v>
      </c>
      <c r="T1170" s="2" t="s">
        <v>520</v>
      </c>
      <c r="U1170" s="3">
        <v>1</v>
      </c>
      <c r="V1170" s="3">
        <v>1</v>
      </c>
      <c r="W1170" s="4" t="s">
        <v>14107</v>
      </c>
      <c r="X1170" s="4" t="s">
        <v>14107</v>
      </c>
      <c r="Y1170" s="4" t="s">
        <v>5057</v>
      </c>
      <c r="Z1170" s="4" t="s">
        <v>5057</v>
      </c>
      <c r="AA1170" s="3">
        <v>279</v>
      </c>
      <c r="AB1170" s="3">
        <v>199</v>
      </c>
      <c r="AC1170" s="3">
        <v>810</v>
      </c>
      <c r="AD1170" s="3">
        <v>1</v>
      </c>
      <c r="AE1170" s="3">
        <v>3</v>
      </c>
      <c r="AF1170" s="3">
        <v>7</v>
      </c>
      <c r="AG1170" s="3">
        <v>25</v>
      </c>
      <c r="AH1170" s="3">
        <v>5</v>
      </c>
      <c r="AI1170" s="3">
        <v>10</v>
      </c>
      <c r="AJ1170" s="3">
        <v>0</v>
      </c>
      <c r="AK1170" s="3">
        <v>5</v>
      </c>
      <c r="AL1170" s="3">
        <v>3</v>
      </c>
      <c r="AM1170" s="3">
        <v>14</v>
      </c>
      <c r="AN1170" s="3">
        <v>0</v>
      </c>
      <c r="AO1170" s="3">
        <v>2</v>
      </c>
      <c r="AP1170" s="3">
        <v>0</v>
      </c>
      <c r="AQ1170" s="3">
        <v>0</v>
      </c>
      <c r="AR1170" s="2" t="s">
        <v>5</v>
      </c>
      <c r="AS1170" s="2" t="s">
        <v>16</v>
      </c>
      <c r="AT1170" s="5" t="str">
        <f>HYPERLINK("http://catalog.hathitrust.org/Record/004097881","HathiTrust Record")</f>
        <v>HathiTrust Record</v>
      </c>
      <c r="AU1170" s="5" t="str">
        <f>HYPERLINK("https://creighton-primo.hosted.exlibrisgroup.com/primo-explore/search?tab=default_tab&amp;search_scope=EVERYTHING&amp;vid=01CRU&amp;lang=en_US&amp;offset=0&amp;query=any,contains,991000276089702656","Catalog Record")</f>
        <v>Catalog Record</v>
      </c>
      <c r="AV1170" s="5" t="str">
        <f>HYPERLINK("http://www.worldcat.org/oclc/43286684","WorldCat Record")</f>
        <v>WorldCat Record</v>
      </c>
      <c r="AW1170" s="2" t="s">
        <v>14097</v>
      </c>
      <c r="AX1170" s="2" t="s">
        <v>14108</v>
      </c>
      <c r="AY1170" s="2" t="s">
        <v>14109</v>
      </c>
      <c r="AZ1170" s="2" t="s">
        <v>14109</v>
      </c>
      <c r="BA1170" s="2" t="s">
        <v>14110</v>
      </c>
      <c r="BB1170" s="2" t="s">
        <v>21</v>
      </c>
      <c r="BD1170" s="2" t="s">
        <v>14111</v>
      </c>
      <c r="BE1170" s="2" t="s">
        <v>14112</v>
      </c>
      <c r="BF1170" s="2" t="s">
        <v>14113</v>
      </c>
    </row>
    <row r="1171" spans="1:58" ht="41.25" customHeight="1" x14ac:dyDescent="0.25">
      <c r="A1171" s="8" t="s">
        <v>5</v>
      </c>
      <c r="B1171" s="1" t="s">
        <v>0</v>
      </c>
      <c r="C1171" s="1" t="s">
        <v>1</v>
      </c>
      <c r="D1171" s="1" t="s">
        <v>14114</v>
      </c>
      <c r="E1171" s="1" t="s">
        <v>14115</v>
      </c>
      <c r="F1171" s="1" t="s">
        <v>14093</v>
      </c>
      <c r="H1171" s="2" t="s">
        <v>5</v>
      </c>
      <c r="I1171" s="2" t="s">
        <v>6</v>
      </c>
      <c r="J1171" s="2" t="s">
        <v>5</v>
      </c>
      <c r="K1171" s="2" t="s">
        <v>16</v>
      </c>
      <c r="L1171" s="2" t="s">
        <v>7</v>
      </c>
      <c r="M1171" s="1" t="s">
        <v>14094</v>
      </c>
      <c r="N1171" s="1" t="s">
        <v>1390</v>
      </c>
      <c r="O1171" s="2" t="s">
        <v>1391</v>
      </c>
      <c r="P1171" s="1" t="s">
        <v>1208</v>
      </c>
      <c r="Q1171" s="2" t="s">
        <v>11</v>
      </c>
      <c r="R1171" s="2" t="s">
        <v>78</v>
      </c>
      <c r="T1171" s="2" t="s">
        <v>520</v>
      </c>
      <c r="U1171" s="3">
        <v>0</v>
      </c>
      <c r="V1171" s="3">
        <v>0</v>
      </c>
      <c r="W1171" s="4" t="s">
        <v>2363</v>
      </c>
      <c r="X1171" s="4" t="s">
        <v>2363</v>
      </c>
      <c r="Y1171" s="4" t="s">
        <v>12421</v>
      </c>
      <c r="Z1171" s="4" t="s">
        <v>12421</v>
      </c>
      <c r="AA1171" s="3">
        <v>299</v>
      </c>
      <c r="AB1171" s="3">
        <v>213</v>
      </c>
      <c r="AC1171" s="3">
        <v>810</v>
      </c>
      <c r="AD1171" s="3">
        <v>1</v>
      </c>
      <c r="AE1171" s="3">
        <v>3</v>
      </c>
      <c r="AF1171" s="3">
        <v>7</v>
      </c>
      <c r="AG1171" s="3">
        <v>25</v>
      </c>
      <c r="AH1171" s="3">
        <v>2</v>
      </c>
      <c r="AI1171" s="3">
        <v>10</v>
      </c>
      <c r="AJ1171" s="3">
        <v>2</v>
      </c>
      <c r="AK1171" s="3">
        <v>5</v>
      </c>
      <c r="AL1171" s="3">
        <v>5</v>
      </c>
      <c r="AM1171" s="3">
        <v>14</v>
      </c>
      <c r="AN1171" s="3">
        <v>0</v>
      </c>
      <c r="AO1171" s="3">
        <v>2</v>
      </c>
      <c r="AP1171" s="3">
        <v>0</v>
      </c>
      <c r="AQ1171" s="3">
        <v>0</v>
      </c>
      <c r="AR1171" s="2" t="s">
        <v>5</v>
      </c>
      <c r="AS1171" s="2" t="s">
        <v>5</v>
      </c>
      <c r="AU1171" s="5" t="str">
        <f>HYPERLINK("https://creighton-primo.hosted.exlibrisgroup.com/primo-explore/search?tab=default_tab&amp;search_scope=EVERYTHING&amp;vid=01CRU&amp;lang=en_US&amp;offset=0&amp;query=any,contains,991000584459702656","Catalog Record")</f>
        <v>Catalog Record</v>
      </c>
      <c r="AV1171" s="5" t="str">
        <f>HYPERLINK("http://www.worldcat.org/oclc/52381865","WorldCat Record")</f>
        <v>WorldCat Record</v>
      </c>
      <c r="AW1171" s="2" t="s">
        <v>14097</v>
      </c>
      <c r="AX1171" s="2" t="s">
        <v>14116</v>
      </c>
      <c r="AY1171" s="2" t="s">
        <v>14117</v>
      </c>
      <c r="AZ1171" s="2" t="s">
        <v>14117</v>
      </c>
      <c r="BA1171" s="2" t="s">
        <v>14118</v>
      </c>
      <c r="BB1171" s="2" t="s">
        <v>21</v>
      </c>
      <c r="BD1171" s="2" t="s">
        <v>14119</v>
      </c>
      <c r="BE1171" s="2" t="s">
        <v>14120</v>
      </c>
      <c r="BF1171" s="2" t="s">
        <v>14121</v>
      </c>
    </row>
    <row r="1172" spans="1:58" ht="41.25" customHeight="1" x14ac:dyDescent="0.25">
      <c r="A1172" s="8" t="s">
        <v>5</v>
      </c>
      <c r="B1172" s="1" t="s">
        <v>0</v>
      </c>
      <c r="C1172" s="1" t="s">
        <v>1</v>
      </c>
      <c r="D1172" s="1" t="s">
        <v>14122</v>
      </c>
      <c r="E1172" s="1" t="s">
        <v>14123</v>
      </c>
      <c r="F1172" s="1" t="s">
        <v>14093</v>
      </c>
      <c r="H1172" s="2" t="s">
        <v>5</v>
      </c>
      <c r="I1172" s="2" t="s">
        <v>6</v>
      </c>
      <c r="J1172" s="2" t="s">
        <v>5</v>
      </c>
      <c r="K1172" s="2" t="s">
        <v>16</v>
      </c>
      <c r="L1172" s="2" t="s">
        <v>7</v>
      </c>
      <c r="M1172" s="1" t="s">
        <v>14094</v>
      </c>
      <c r="N1172" s="1" t="s">
        <v>14124</v>
      </c>
      <c r="O1172" s="2" t="s">
        <v>8055</v>
      </c>
      <c r="P1172" s="1" t="s">
        <v>1284</v>
      </c>
      <c r="Q1172" s="2" t="s">
        <v>11</v>
      </c>
      <c r="R1172" s="2" t="s">
        <v>78</v>
      </c>
      <c r="T1172" s="2" t="s">
        <v>520</v>
      </c>
      <c r="U1172" s="3">
        <v>1</v>
      </c>
      <c r="V1172" s="3">
        <v>1</v>
      </c>
      <c r="W1172" s="4" t="s">
        <v>14125</v>
      </c>
      <c r="X1172" s="4" t="s">
        <v>14125</v>
      </c>
      <c r="Y1172" s="4" t="s">
        <v>14126</v>
      </c>
      <c r="Z1172" s="4" t="s">
        <v>14126</v>
      </c>
      <c r="AA1172" s="3">
        <v>373</v>
      </c>
      <c r="AB1172" s="3">
        <v>282</v>
      </c>
      <c r="AC1172" s="3">
        <v>810</v>
      </c>
      <c r="AD1172" s="3">
        <v>2</v>
      </c>
      <c r="AE1172" s="3">
        <v>3</v>
      </c>
      <c r="AF1172" s="3">
        <v>7</v>
      </c>
      <c r="AG1172" s="3">
        <v>25</v>
      </c>
      <c r="AH1172" s="3">
        <v>4</v>
      </c>
      <c r="AI1172" s="3">
        <v>10</v>
      </c>
      <c r="AJ1172" s="3">
        <v>0</v>
      </c>
      <c r="AK1172" s="3">
        <v>5</v>
      </c>
      <c r="AL1172" s="3">
        <v>2</v>
      </c>
      <c r="AM1172" s="3">
        <v>14</v>
      </c>
      <c r="AN1172" s="3">
        <v>1</v>
      </c>
      <c r="AO1172" s="3">
        <v>2</v>
      </c>
      <c r="AP1172" s="3">
        <v>0</v>
      </c>
      <c r="AQ1172" s="3">
        <v>0</v>
      </c>
      <c r="AR1172" s="2" t="s">
        <v>5</v>
      </c>
      <c r="AS1172" s="2" t="s">
        <v>5</v>
      </c>
      <c r="AU1172" s="5" t="str">
        <f>HYPERLINK("https://creighton-primo.hosted.exlibrisgroup.com/primo-explore/search?tab=default_tab&amp;search_scope=EVERYTHING&amp;vid=01CRU&amp;lang=en_US&amp;offset=0&amp;query=any,contains,991001747349702656","Catalog Record")</f>
        <v>Catalog Record</v>
      </c>
      <c r="AV1172" s="5" t="str">
        <f>HYPERLINK("http://www.worldcat.org/oclc/71350537","WorldCat Record")</f>
        <v>WorldCat Record</v>
      </c>
      <c r="AW1172" s="2" t="s">
        <v>14097</v>
      </c>
      <c r="AX1172" s="2" t="s">
        <v>14127</v>
      </c>
      <c r="AY1172" s="2" t="s">
        <v>14128</v>
      </c>
      <c r="AZ1172" s="2" t="s">
        <v>14128</v>
      </c>
      <c r="BA1172" s="2" t="s">
        <v>14129</v>
      </c>
      <c r="BB1172" s="2" t="s">
        <v>21</v>
      </c>
      <c r="BD1172" s="2" t="s">
        <v>14130</v>
      </c>
      <c r="BE1172" s="2" t="s">
        <v>14131</v>
      </c>
      <c r="BF1172" s="2" t="s">
        <v>14132</v>
      </c>
    </row>
    <row r="1173" spans="1:58" ht="41.25" customHeight="1" x14ac:dyDescent="0.25">
      <c r="A1173" s="8" t="s">
        <v>5</v>
      </c>
      <c r="B1173" s="1" t="s">
        <v>0</v>
      </c>
      <c r="C1173" s="1" t="s">
        <v>1</v>
      </c>
      <c r="D1173" s="1" t="s">
        <v>14133</v>
      </c>
      <c r="E1173" s="1" t="s">
        <v>14134</v>
      </c>
      <c r="F1173" s="1" t="s">
        <v>14135</v>
      </c>
      <c r="H1173" s="2" t="s">
        <v>5</v>
      </c>
      <c r="I1173" s="2" t="s">
        <v>6</v>
      </c>
      <c r="J1173" s="2" t="s">
        <v>5</v>
      </c>
      <c r="K1173" s="2" t="s">
        <v>16</v>
      </c>
      <c r="L1173" s="2" t="s">
        <v>7</v>
      </c>
      <c r="M1173" s="1" t="s">
        <v>14136</v>
      </c>
      <c r="N1173" s="1" t="s">
        <v>1233</v>
      </c>
      <c r="O1173" s="2" t="s">
        <v>136</v>
      </c>
      <c r="P1173" s="1" t="s">
        <v>901</v>
      </c>
      <c r="Q1173" s="2" t="s">
        <v>11</v>
      </c>
      <c r="R1173" s="2" t="s">
        <v>426</v>
      </c>
      <c r="T1173" s="2" t="s">
        <v>520</v>
      </c>
      <c r="U1173" s="3">
        <v>9</v>
      </c>
      <c r="V1173" s="3">
        <v>9</v>
      </c>
      <c r="W1173" s="4" t="s">
        <v>7905</v>
      </c>
      <c r="X1173" s="4" t="s">
        <v>7905</v>
      </c>
      <c r="Y1173" s="4" t="s">
        <v>7829</v>
      </c>
      <c r="Z1173" s="4" t="s">
        <v>7829</v>
      </c>
      <c r="AA1173" s="3">
        <v>296</v>
      </c>
      <c r="AB1173" s="3">
        <v>232</v>
      </c>
      <c r="AC1173" s="3">
        <v>381</v>
      </c>
      <c r="AD1173" s="3">
        <v>2</v>
      </c>
      <c r="AE1173" s="3">
        <v>3</v>
      </c>
      <c r="AF1173" s="3">
        <v>7</v>
      </c>
      <c r="AG1173" s="3">
        <v>10</v>
      </c>
      <c r="AH1173" s="3">
        <v>2</v>
      </c>
      <c r="AI1173" s="3">
        <v>3</v>
      </c>
      <c r="AJ1173" s="3">
        <v>1</v>
      </c>
      <c r="AK1173" s="3">
        <v>2</v>
      </c>
      <c r="AL1173" s="3">
        <v>4</v>
      </c>
      <c r="AM1173" s="3">
        <v>5</v>
      </c>
      <c r="AN1173" s="3">
        <v>0</v>
      </c>
      <c r="AO1173" s="3">
        <v>1</v>
      </c>
      <c r="AP1173" s="3">
        <v>0</v>
      </c>
      <c r="AQ1173" s="3">
        <v>0</v>
      </c>
      <c r="AR1173" s="2" t="s">
        <v>5</v>
      </c>
      <c r="AS1173" s="2" t="s">
        <v>16</v>
      </c>
      <c r="AT1173" s="5" t="str">
        <f>HYPERLINK("http://catalog.hathitrust.org/Record/002473685","HathiTrust Record")</f>
        <v>HathiTrust Record</v>
      </c>
      <c r="AU1173" s="5" t="str">
        <f>HYPERLINK("https://creighton-primo.hosted.exlibrisgroup.com/primo-explore/search?tab=default_tab&amp;search_scope=EVERYTHING&amp;vid=01CRU&amp;lang=en_US&amp;offset=0&amp;query=any,contains,991000827979702656","Catalog Record")</f>
        <v>Catalog Record</v>
      </c>
      <c r="AV1173" s="5" t="str">
        <f>HYPERLINK("http://www.worldcat.org/oclc/22422677","WorldCat Record")</f>
        <v>WorldCat Record</v>
      </c>
      <c r="AW1173" s="2" t="s">
        <v>14137</v>
      </c>
      <c r="AX1173" s="2" t="s">
        <v>14138</v>
      </c>
      <c r="AY1173" s="2" t="s">
        <v>14139</v>
      </c>
      <c r="AZ1173" s="2" t="s">
        <v>14139</v>
      </c>
      <c r="BA1173" s="2" t="s">
        <v>14140</v>
      </c>
      <c r="BB1173" s="2" t="s">
        <v>21</v>
      </c>
      <c r="BD1173" s="2" t="s">
        <v>14141</v>
      </c>
      <c r="BE1173" s="2" t="s">
        <v>14142</v>
      </c>
      <c r="BF1173" s="2" t="s">
        <v>14143</v>
      </c>
    </row>
    <row r="1174" spans="1:58" ht="41.25" customHeight="1" x14ac:dyDescent="0.25">
      <c r="A1174" s="8" t="s">
        <v>5</v>
      </c>
      <c r="B1174" s="1" t="s">
        <v>0</v>
      </c>
      <c r="C1174" s="1" t="s">
        <v>1</v>
      </c>
      <c r="D1174" s="1" t="s">
        <v>14144</v>
      </c>
      <c r="E1174" s="1" t="s">
        <v>14145</v>
      </c>
      <c r="F1174" s="1" t="s">
        <v>14146</v>
      </c>
      <c r="H1174" s="2" t="s">
        <v>5</v>
      </c>
      <c r="I1174" s="2" t="s">
        <v>6</v>
      </c>
      <c r="J1174" s="2" t="s">
        <v>5</v>
      </c>
      <c r="K1174" s="2" t="s">
        <v>16</v>
      </c>
      <c r="L1174" s="2" t="s">
        <v>7</v>
      </c>
      <c r="N1174" s="1" t="s">
        <v>14147</v>
      </c>
      <c r="O1174" s="2" t="s">
        <v>1060</v>
      </c>
      <c r="P1174" s="1" t="s">
        <v>355</v>
      </c>
      <c r="Q1174" s="2" t="s">
        <v>11</v>
      </c>
      <c r="R1174" s="2" t="s">
        <v>271</v>
      </c>
      <c r="T1174" s="2" t="s">
        <v>520</v>
      </c>
      <c r="U1174" s="3">
        <v>3</v>
      </c>
      <c r="V1174" s="3">
        <v>3</v>
      </c>
      <c r="W1174" s="4" t="s">
        <v>14148</v>
      </c>
      <c r="X1174" s="4" t="s">
        <v>14148</v>
      </c>
      <c r="Y1174" s="4" t="s">
        <v>14149</v>
      </c>
      <c r="Z1174" s="4" t="s">
        <v>14149</v>
      </c>
      <c r="AA1174" s="3">
        <v>377</v>
      </c>
      <c r="AB1174" s="3">
        <v>306</v>
      </c>
      <c r="AC1174" s="3">
        <v>860</v>
      </c>
      <c r="AD1174" s="3">
        <v>3</v>
      </c>
      <c r="AE1174" s="3">
        <v>8</v>
      </c>
      <c r="AF1174" s="3">
        <v>15</v>
      </c>
      <c r="AG1174" s="3">
        <v>38</v>
      </c>
      <c r="AH1174" s="3">
        <v>8</v>
      </c>
      <c r="AI1174" s="3">
        <v>16</v>
      </c>
      <c r="AJ1174" s="3">
        <v>1</v>
      </c>
      <c r="AK1174" s="3">
        <v>7</v>
      </c>
      <c r="AL1174" s="3">
        <v>8</v>
      </c>
      <c r="AM1174" s="3">
        <v>16</v>
      </c>
      <c r="AN1174" s="3">
        <v>2</v>
      </c>
      <c r="AO1174" s="3">
        <v>7</v>
      </c>
      <c r="AP1174" s="3">
        <v>0</v>
      </c>
      <c r="AQ1174" s="3">
        <v>0</v>
      </c>
      <c r="AR1174" s="2" t="s">
        <v>5</v>
      </c>
      <c r="AS1174" s="2" t="s">
        <v>16</v>
      </c>
      <c r="AT1174" s="5" t="str">
        <f>HYPERLINK("http://catalog.hathitrust.org/Record/004929462","HathiTrust Record")</f>
        <v>HathiTrust Record</v>
      </c>
      <c r="AU1174" s="5" t="str">
        <f>HYPERLINK("https://creighton-primo.hosted.exlibrisgroup.com/primo-explore/search?tab=default_tab&amp;search_scope=EVERYTHING&amp;vid=01CRU&amp;lang=en_US&amp;offset=0&amp;query=any,contains,991000425279702656","Catalog Record")</f>
        <v>Catalog Record</v>
      </c>
      <c r="AV1174" s="5" t="str">
        <f>HYPERLINK("http://www.worldcat.org/oclc/54906892","WorldCat Record")</f>
        <v>WorldCat Record</v>
      </c>
      <c r="AW1174" s="2" t="s">
        <v>14150</v>
      </c>
      <c r="AX1174" s="2" t="s">
        <v>14151</v>
      </c>
      <c r="AY1174" s="2" t="s">
        <v>14152</v>
      </c>
      <c r="AZ1174" s="2" t="s">
        <v>14152</v>
      </c>
      <c r="BA1174" s="2" t="s">
        <v>14153</v>
      </c>
      <c r="BB1174" s="2" t="s">
        <v>21</v>
      </c>
      <c r="BD1174" s="2" t="s">
        <v>14154</v>
      </c>
      <c r="BE1174" s="2" t="s">
        <v>14155</v>
      </c>
      <c r="BF1174" s="2" t="s">
        <v>14156</v>
      </c>
    </row>
    <row r="1175" spans="1:58" ht="41.25" customHeight="1" x14ac:dyDescent="0.25">
      <c r="A1175" s="8" t="s">
        <v>5</v>
      </c>
      <c r="B1175" s="1" t="s">
        <v>0</v>
      </c>
      <c r="C1175" s="1" t="s">
        <v>1</v>
      </c>
      <c r="D1175" s="1" t="s">
        <v>14157</v>
      </c>
      <c r="E1175" s="1" t="s">
        <v>14158</v>
      </c>
      <c r="F1175" s="1" t="s">
        <v>14159</v>
      </c>
      <c r="H1175" s="2" t="s">
        <v>5</v>
      </c>
      <c r="I1175" s="2" t="s">
        <v>6</v>
      </c>
      <c r="J1175" s="2" t="s">
        <v>5</v>
      </c>
      <c r="K1175" s="2" t="s">
        <v>5</v>
      </c>
      <c r="L1175" s="2" t="s">
        <v>7</v>
      </c>
      <c r="M1175" s="1" t="s">
        <v>2813</v>
      </c>
      <c r="N1175" s="1" t="s">
        <v>14160</v>
      </c>
      <c r="O1175" s="2" t="s">
        <v>62</v>
      </c>
      <c r="Q1175" s="2" t="s">
        <v>11</v>
      </c>
      <c r="R1175" s="2" t="s">
        <v>12</v>
      </c>
      <c r="T1175" s="2" t="s">
        <v>520</v>
      </c>
      <c r="U1175" s="3">
        <v>2</v>
      </c>
      <c r="V1175" s="3">
        <v>2</v>
      </c>
      <c r="W1175" s="4" t="s">
        <v>14161</v>
      </c>
      <c r="X1175" s="4" t="s">
        <v>14161</v>
      </c>
      <c r="Y1175" s="4" t="s">
        <v>14162</v>
      </c>
      <c r="Z1175" s="4" t="s">
        <v>14162</v>
      </c>
      <c r="AA1175" s="3">
        <v>189</v>
      </c>
      <c r="AB1175" s="3">
        <v>148</v>
      </c>
      <c r="AC1175" s="3">
        <v>151</v>
      </c>
      <c r="AD1175" s="3">
        <v>3</v>
      </c>
      <c r="AE1175" s="3">
        <v>3</v>
      </c>
      <c r="AF1175" s="3">
        <v>6</v>
      </c>
      <c r="AG1175" s="3">
        <v>6</v>
      </c>
      <c r="AH1175" s="3">
        <v>0</v>
      </c>
      <c r="AI1175" s="3">
        <v>0</v>
      </c>
      <c r="AJ1175" s="3">
        <v>2</v>
      </c>
      <c r="AK1175" s="3">
        <v>2</v>
      </c>
      <c r="AL1175" s="3">
        <v>3</v>
      </c>
      <c r="AM1175" s="3">
        <v>3</v>
      </c>
      <c r="AN1175" s="3">
        <v>2</v>
      </c>
      <c r="AO1175" s="3">
        <v>2</v>
      </c>
      <c r="AP1175" s="3">
        <v>0</v>
      </c>
      <c r="AQ1175" s="3">
        <v>0</v>
      </c>
      <c r="AR1175" s="2" t="s">
        <v>5</v>
      </c>
      <c r="AS1175" s="2" t="s">
        <v>16</v>
      </c>
      <c r="AT1175" s="5" t="str">
        <f>HYPERLINK("http://catalog.hathitrust.org/Record/006221675","HathiTrust Record")</f>
        <v>HathiTrust Record</v>
      </c>
      <c r="AU1175" s="5" t="str">
        <f>HYPERLINK("https://creighton-primo.hosted.exlibrisgroup.com/primo-explore/search?tab=default_tab&amp;search_scope=EVERYTHING&amp;vid=01CRU&amp;lang=en_US&amp;offset=0&amp;query=any,contains,991001324599702656","Catalog Record")</f>
        <v>Catalog Record</v>
      </c>
      <c r="AV1175" s="5" t="str">
        <f>HYPERLINK("http://www.worldcat.org/oclc/3845363","WorldCat Record")</f>
        <v>WorldCat Record</v>
      </c>
      <c r="AW1175" s="2" t="s">
        <v>14163</v>
      </c>
      <c r="AX1175" s="2" t="s">
        <v>14164</v>
      </c>
      <c r="AY1175" s="2" t="s">
        <v>14165</v>
      </c>
      <c r="AZ1175" s="2" t="s">
        <v>14165</v>
      </c>
      <c r="BA1175" s="2" t="s">
        <v>14166</v>
      </c>
      <c r="BB1175" s="2" t="s">
        <v>21</v>
      </c>
      <c r="BD1175" s="2" t="s">
        <v>14167</v>
      </c>
      <c r="BE1175" s="2" t="s">
        <v>14168</v>
      </c>
      <c r="BF1175" s="2" t="s">
        <v>14169</v>
      </c>
    </row>
    <row r="1176" spans="1:58" ht="41.25" customHeight="1" x14ac:dyDescent="0.25">
      <c r="A1176" s="8" t="s">
        <v>5</v>
      </c>
      <c r="B1176" s="1" t="s">
        <v>0</v>
      </c>
      <c r="C1176" s="1" t="s">
        <v>1</v>
      </c>
      <c r="D1176" s="1" t="s">
        <v>14170</v>
      </c>
      <c r="E1176" s="1" t="s">
        <v>14171</v>
      </c>
      <c r="F1176" s="1" t="s">
        <v>14172</v>
      </c>
      <c r="H1176" s="2" t="s">
        <v>5</v>
      </c>
      <c r="I1176" s="2" t="s">
        <v>6</v>
      </c>
      <c r="J1176" s="2" t="s">
        <v>5</v>
      </c>
      <c r="K1176" s="2" t="s">
        <v>5</v>
      </c>
      <c r="L1176" s="2" t="s">
        <v>7</v>
      </c>
      <c r="M1176" s="1" t="s">
        <v>14173</v>
      </c>
      <c r="N1176" s="1" t="s">
        <v>13417</v>
      </c>
      <c r="O1176" s="2" t="s">
        <v>1046</v>
      </c>
      <c r="P1176" s="1" t="s">
        <v>1208</v>
      </c>
      <c r="Q1176" s="2" t="s">
        <v>11</v>
      </c>
      <c r="R1176" s="2" t="s">
        <v>229</v>
      </c>
      <c r="T1176" s="2" t="s">
        <v>520</v>
      </c>
      <c r="U1176" s="3">
        <v>0</v>
      </c>
      <c r="V1176" s="3">
        <v>0</v>
      </c>
      <c r="W1176" s="4" t="s">
        <v>9060</v>
      </c>
      <c r="X1176" s="4" t="s">
        <v>9060</v>
      </c>
      <c r="Y1176" s="4" t="s">
        <v>8004</v>
      </c>
      <c r="Z1176" s="4" t="s">
        <v>8004</v>
      </c>
      <c r="AA1176" s="3">
        <v>326</v>
      </c>
      <c r="AB1176" s="3">
        <v>229</v>
      </c>
      <c r="AC1176" s="3">
        <v>236</v>
      </c>
      <c r="AD1176" s="3">
        <v>1</v>
      </c>
      <c r="AE1176" s="3">
        <v>1</v>
      </c>
      <c r="AF1176" s="3">
        <v>9</v>
      </c>
      <c r="AG1176" s="3">
        <v>9</v>
      </c>
      <c r="AH1176" s="3">
        <v>5</v>
      </c>
      <c r="AI1176" s="3">
        <v>5</v>
      </c>
      <c r="AJ1176" s="3">
        <v>1</v>
      </c>
      <c r="AK1176" s="3">
        <v>1</v>
      </c>
      <c r="AL1176" s="3">
        <v>4</v>
      </c>
      <c r="AM1176" s="3">
        <v>4</v>
      </c>
      <c r="AN1176" s="3">
        <v>0</v>
      </c>
      <c r="AO1176" s="3">
        <v>0</v>
      </c>
      <c r="AP1176" s="3">
        <v>0</v>
      </c>
      <c r="AQ1176" s="3">
        <v>0</v>
      </c>
      <c r="AR1176" s="2" t="s">
        <v>5</v>
      </c>
      <c r="AS1176" s="2" t="s">
        <v>16</v>
      </c>
      <c r="AT1176" s="5" t="str">
        <f>HYPERLINK("http://catalog.hathitrust.org/Record/004241656","HathiTrust Record")</f>
        <v>HathiTrust Record</v>
      </c>
      <c r="AU1176" s="5" t="str">
        <f>HYPERLINK("https://creighton-primo.hosted.exlibrisgroup.com/primo-explore/search?tab=default_tab&amp;search_scope=EVERYTHING&amp;vid=01CRU&amp;lang=en_US&amp;offset=0&amp;query=any,contains,991001729869702656","Catalog Record")</f>
        <v>Catalog Record</v>
      </c>
      <c r="AV1176" s="5" t="str">
        <f>HYPERLINK("http://www.worldcat.org/oclc/48551123","WorldCat Record")</f>
        <v>WorldCat Record</v>
      </c>
      <c r="AW1176" s="2" t="s">
        <v>14174</v>
      </c>
      <c r="AX1176" s="2" t="s">
        <v>14175</v>
      </c>
      <c r="AY1176" s="2" t="s">
        <v>14176</v>
      </c>
      <c r="AZ1176" s="2" t="s">
        <v>14176</v>
      </c>
      <c r="BA1176" s="2" t="s">
        <v>14177</v>
      </c>
      <c r="BB1176" s="2" t="s">
        <v>21</v>
      </c>
      <c r="BD1176" s="2" t="s">
        <v>14178</v>
      </c>
      <c r="BE1176" s="2" t="s">
        <v>14179</v>
      </c>
      <c r="BF1176" s="2" t="s">
        <v>14180</v>
      </c>
    </row>
    <row r="1177" spans="1:58" ht="41.25" customHeight="1" x14ac:dyDescent="0.25">
      <c r="A1177" s="8" t="s">
        <v>5</v>
      </c>
      <c r="B1177" s="1" t="s">
        <v>0</v>
      </c>
      <c r="C1177" s="1" t="s">
        <v>1</v>
      </c>
      <c r="D1177" s="1" t="s">
        <v>14181</v>
      </c>
      <c r="E1177" s="1" t="s">
        <v>14182</v>
      </c>
      <c r="F1177" s="1" t="s">
        <v>14183</v>
      </c>
      <c r="H1177" s="2" t="s">
        <v>5</v>
      </c>
      <c r="I1177" s="2" t="s">
        <v>6</v>
      </c>
      <c r="J1177" s="2" t="s">
        <v>5</v>
      </c>
      <c r="K1177" s="2" t="s">
        <v>16</v>
      </c>
      <c r="L1177" s="2" t="s">
        <v>7</v>
      </c>
      <c r="M1177" s="1" t="s">
        <v>14136</v>
      </c>
      <c r="N1177" s="1" t="s">
        <v>8689</v>
      </c>
      <c r="O1177" s="2" t="s">
        <v>601</v>
      </c>
      <c r="P1177" s="1" t="s">
        <v>1208</v>
      </c>
      <c r="Q1177" s="2" t="s">
        <v>11</v>
      </c>
      <c r="R1177" s="2" t="s">
        <v>31</v>
      </c>
      <c r="T1177" s="2" t="s">
        <v>520</v>
      </c>
      <c r="U1177" s="3">
        <v>4</v>
      </c>
      <c r="V1177" s="3">
        <v>4</v>
      </c>
      <c r="W1177" s="4" t="s">
        <v>10928</v>
      </c>
      <c r="X1177" s="4" t="s">
        <v>10928</v>
      </c>
      <c r="Y1177" s="4" t="s">
        <v>14184</v>
      </c>
      <c r="Z1177" s="4" t="s">
        <v>14184</v>
      </c>
      <c r="AA1177" s="3">
        <v>261</v>
      </c>
      <c r="AB1177" s="3">
        <v>199</v>
      </c>
      <c r="AC1177" s="3">
        <v>525</v>
      </c>
      <c r="AD1177" s="3">
        <v>2</v>
      </c>
      <c r="AE1177" s="3">
        <v>4</v>
      </c>
      <c r="AF1177" s="3">
        <v>5</v>
      </c>
      <c r="AG1177" s="3">
        <v>21</v>
      </c>
      <c r="AH1177" s="3">
        <v>1</v>
      </c>
      <c r="AI1177" s="3">
        <v>7</v>
      </c>
      <c r="AJ1177" s="3">
        <v>1</v>
      </c>
      <c r="AK1177" s="3">
        <v>4</v>
      </c>
      <c r="AL1177" s="3">
        <v>3</v>
      </c>
      <c r="AM1177" s="3">
        <v>11</v>
      </c>
      <c r="AN1177" s="3">
        <v>0</v>
      </c>
      <c r="AO1177" s="3">
        <v>2</v>
      </c>
      <c r="AP1177" s="3">
        <v>0</v>
      </c>
      <c r="AQ1177" s="3">
        <v>0</v>
      </c>
      <c r="AR1177" s="2" t="s">
        <v>5</v>
      </c>
      <c r="AS1177" s="2" t="s">
        <v>16</v>
      </c>
      <c r="AT1177" s="5" t="str">
        <f>HYPERLINK("http://catalog.hathitrust.org/Record/002933173","HathiTrust Record")</f>
        <v>HathiTrust Record</v>
      </c>
      <c r="AU1177" s="5" t="str">
        <f>HYPERLINK("https://creighton-primo.hosted.exlibrisgroup.com/primo-explore/search?tab=default_tab&amp;search_scope=EVERYTHING&amp;vid=01CRU&amp;lang=en_US&amp;offset=0&amp;query=any,contains,991001507649702656","Catalog Record")</f>
        <v>Catalog Record</v>
      </c>
      <c r="AV1177" s="5" t="str">
        <f>HYPERLINK("http://www.worldcat.org/oclc/31909904","WorldCat Record")</f>
        <v>WorldCat Record</v>
      </c>
      <c r="AW1177" s="2" t="s">
        <v>14185</v>
      </c>
      <c r="AX1177" s="2" t="s">
        <v>14186</v>
      </c>
      <c r="AY1177" s="2" t="s">
        <v>14187</v>
      </c>
      <c r="AZ1177" s="2" t="s">
        <v>14187</v>
      </c>
      <c r="BA1177" s="2" t="s">
        <v>14188</v>
      </c>
      <c r="BB1177" s="2" t="s">
        <v>21</v>
      </c>
      <c r="BD1177" s="2" t="s">
        <v>14189</v>
      </c>
      <c r="BE1177" s="2" t="s">
        <v>14190</v>
      </c>
      <c r="BF1177" s="2" t="s">
        <v>14191</v>
      </c>
    </row>
    <row r="1178" spans="1:58" ht="41.25" customHeight="1" x14ac:dyDescent="0.25">
      <c r="A1178" s="8" t="s">
        <v>5</v>
      </c>
      <c r="B1178" s="1" t="s">
        <v>0</v>
      </c>
      <c r="C1178" s="1" t="s">
        <v>1</v>
      </c>
      <c r="D1178" s="1" t="s">
        <v>14192</v>
      </c>
      <c r="E1178" s="1" t="s">
        <v>14193</v>
      </c>
      <c r="F1178" s="1" t="s">
        <v>14194</v>
      </c>
      <c r="H1178" s="2" t="s">
        <v>5</v>
      </c>
      <c r="I1178" s="2" t="s">
        <v>6</v>
      </c>
      <c r="J1178" s="2" t="s">
        <v>5</v>
      </c>
      <c r="K1178" s="2" t="s">
        <v>16</v>
      </c>
      <c r="L1178" s="2" t="s">
        <v>7</v>
      </c>
      <c r="M1178" s="1" t="s">
        <v>14136</v>
      </c>
      <c r="N1178" s="1" t="s">
        <v>1602</v>
      </c>
      <c r="O1178" s="2" t="s">
        <v>1378</v>
      </c>
      <c r="Q1178" s="2" t="s">
        <v>11</v>
      </c>
      <c r="R1178" s="2" t="s">
        <v>31</v>
      </c>
      <c r="T1178" s="2" t="s">
        <v>520</v>
      </c>
      <c r="U1178" s="3">
        <v>26</v>
      </c>
      <c r="V1178" s="3">
        <v>26</v>
      </c>
      <c r="W1178" s="4" t="s">
        <v>14195</v>
      </c>
      <c r="X1178" s="4" t="s">
        <v>14195</v>
      </c>
      <c r="Y1178" s="4" t="s">
        <v>14196</v>
      </c>
      <c r="Z1178" s="4" t="s">
        <v>14196</v>
      </c>
      <c r="AA1178" s="3">
        <v>275</v>
      </c>
      <c r="AB1178" s="3">
        <v>199</v>
      </c>
      <c r="AC1178" s="3">
        <v>525</v>
      </c>
      <c r="AD1178" s="3">
        <v>1</v>
      </c>
      <c r="AE1178" s="3">
        <v>4</v>
      </c>
      <c r="AF1178" s="3">
        <v>7</v>
      </c>
      <c r="AG1178" s="3">
        <v>21</v>
      </c>
      <c r="AH1178" s="3">
        <v>2</v>
      </c>
      <c r="AI1178" s="3">
        <v>7</v>
      </c>
      <c r="AJ1178" s="3">
        <v>3</v>
      </c>
      <c r="AK1178" s="3">
        <v>4</v>
      </c>
      <c r="AL1178" s="3">
        <v>4</v>
      </c>
      <c r="AM1178" s="3">
        <v>11</v>
      </c>
      <c r="AN1178" s="3">
        <v>0</v>
      </c>
      <c r="AO1178" s="3">
        <v>2</v>
      </c>
      <c r="AP1178" s="3">
        <v>0</v>
      </c>
      <c r="AQ1178" s="3">
        <v>0</v>
      </c>
      <c r="AR1178" s="2" t="s">
        <v>5</v>
      </c>
      <c r="AS1178" s="2" t="s">
        <v>16</v>
      </c>
      <c r="AT1178" s="5" t="str">
        <f>HYPERLINK("http://catalog.hathitrust.org/Record/003241180","HathiTrust Record")</f>
        <v>HathiTrust Record</v>
      </c>
      <c r="AU1178" s="5" t="str">
        <f>HYPERLINK("https://creighton-primo.hosted.exlibrisgroup.com/primo-explore/search?tab=default_tab&amp;search_scope=EVERYTHING&amp;vid=01CRU&amp;lang=en_US&amp;offset=0&amp;query=any,contains,991001295479702656","Catalog Record")</f>
        <v>Catalog Record</v>
      </c>
      <c r="AV1178" s="5" t="str">
        <f>HYPERLINK("http://www.worldcat.org/oclc/37640450","WorldCat Record")</f>
        <v>WorldCat Record</v>
      </c>
      <c r="AW1178" s="2" t="s">
        <v>14185</v>
      </c>
      <c r="AX1178" s="2" t="s">
        <v>14197</v>
      </c>
      <c r="AY1178" s="2" t="s">
        <v>14198</v>
      </c>
      <c r="AZ1178" s="2" t="s">
        <v>14198</v>
      </c>
      <c r="BA1178" s="2" t="s">
        <v>14199</v>
      </c>
      <c r="BB1178" s="2" t="s">
        <v>21</v>
      </c>
      <c r="BD1178" s="2" t="s">
        <v>14200</v>
      </c>
      <c r="BE1178" s="2" t="s">
        <v>14201</v>
      </c>
      <c r="BF1178" s="2" t="s">
        <v>14202</v>
      </c>
    </row>
    <row r="1179" spans="1:58" ht="41.25" customHeight="1" x14ac:dyDescent="0.25">
      <c r="A1179" s="8" t="s">
        <v>5</v>
      </c>
      <c r="B1179" s="1" t="s">
        <v>0</v>
      </c>
      <c r="C1179" s="1" t="s">
        <v>1</v>
      </c>
      <c r="D1179" s="1" t="s">
        <v>14203</v>
      </c>
      <c r="E1179" s="1" t="s">
        <v>14204</v>
      </c>
      <c r="F1179" s="1" t="s">
        <v>14205</v>
      </c>
      <c r="H1179" s="2" t="s">
        <v>5</v>
      </c>
      <c r="I1179" s="2" t="s">
        <v>6</v>
      </c>
      <c r="J1179" s="2" t="s">
        <v>5</v>
      </c>
      <c r="K1179" s="2" t="s">
        <v>16</v>
      </c>
      <c r="L1179" s="2" t="s">
        <v>7</v>
      </c>
      <c r="N1179" s="1" t="s">
        <v>9554</v>
      </c>
      <c r="O1179" s="2" t="s">
        <v>1391</v>
      </c>
      <c r="P1179" s="1" t="s">
        <v>63</v>
      </c>
      <c r="Q1179" s="2" t="s">
        <v>11</v>
      </c>
      <c r="R1179" s="2" t="s">
        <v>31</v>
      </c>
      <c r="T1179" s="2" t="s">
        <v>520</v>
      </c>
      <c r="U1179" s="3">
        <v>62</v>
      </c>
      <c r="V1179" s="3">
        <v>62</v>
      </c>
      <c r="W1179" s="4" t="s">
        <v>14206</v>
      </c>
      <c r="X1179" s="4" t="s">
        <v>14206</v>
      </c>
      <c r="Y1179" s="4" t="s">
        <v>14207</v>
      </c>
      <c r="Z1179" s="4" t="s">
        <v>14207</v>
      </c>
      <c r="AA1179" s="3">
        <v>490</v>
      </c>
      <c r="AB1179" s="3">
        <v>349</v>
      </c>
      <c r="AC1179" s="3">
        <v>485</v>
      </c>
      <c r="AD1179" s="3">
        <v>5</v>
      </c>
      <c r="AE1179" s="3">
        <v>5</v>
      </c>
      <c r="AF1179" s="3">
        <v>19</v>
      </c>
      <c r="AG1179" s="3">
        <v>23</v>
      </c>
      <c r="AH1179" s="3">
        <v>9</v>
      </c>
      <c r="AI1179" s="3">
        <v>10</v>
      </c>
      <c r="AJ1179" s="3">
        <v>2</v>
      </c>
      <c r="AK1179" s="3">
        <v>3</v>
      </c>
      <c r="AL1179" s="3">
        <v>6</v>
      </c>
      <c r="AM1179" s="3">
        <v>9</v>
      </c>
      <c r="AN1179" s="3">
        <v>4</v>
      </c>
      <c r="AO1179" s="3">
        <v>4</v>
      </c>
      <c r="AP1179" s="3">
        <v>0</v>
      </c>
      <c r="AQ1179" s="3">
        <v>0</v>
      </c>
      <c r="AR1179" s="2" t="s">
        <v>5</v>
      </c>
      <c r="AS1179" s="2" t="s">
        <v>5</v>
      </c>
      <c r="AU1179" s="5" t="str">
        <f>HYPERLINK("https://creighton-primo.hosted.exlibrisgroup.com/primo-explore/search?tab=default_tab&amp;search_scope=EVERYTHING&amp;vid=01CRU&amp;lang=en_US&amp;offset=0&amp;query=any,contains,991001725169702656","Catalog Record")</f>
        <v>Catalog Record</v>
      </c>
      <c r="AV1179" s="5" t="str">
        <f>HYPERLINK("http://www.worldcat.org/oclc/52738702","WorldCat Record")</f>
        <v>WorldCat Record</v>
      </c>
      <c r="AW1179" s="2" t="s">
        <v>14208</v>
      </c>
      <c r="AX1179" s="2" t="s">
        <v>14209</v>
      </c>
      <c r="AY1179" s="2" t="s">
        <v>14210</v>
      </c>
      <c r="AZ1179" s="2" t="s">
        <v>14210</v>
      </c>
      <c r="BA1179" s="2" t="s">
        <v>14211</v>
      </c>
      <c r="BB1179" s="2" t="s">
        <v>21</v>
      </c>
      <c r="BD1179" s="2" t="s">
        <v>14212</v>
      </c>
      <c r="BE1179" s="2" t="s">
        <v>14213</v>
      </c>
      <c r="BF1179" s="2" t="s">
        <v>14214</v>
      </c>
    </row>
    <row r="1180" spans="1:58" ht="41.25" customHeight="1" x14ac:dyDescent="0.25">
      <c r="A1180" s="8" t="s">
        <v>5</v>
      </c>
      <c r="B1180" s="1" t="s">
        <v>0</v>
      </c>
      <c r="C1180" s="1" t="s">
        <v>1</v>
      </c>
      <c r="D1180" s="1" t="s">
        <v>14215</v>
      </c>
      <c r="E1180" s="1" t="s">
        <v>14216</v>
      </c>
      <c r="F1180" s="1" t="s">
        <v>14217</v>
      </c>
      <c r="H1180" s="2" t="s">
        <v>5</v>
      </c>
      <c r="I1180" s="2" t="s">
        <v>6</v>
      </c>
      <c r="J1180" s="2" t="s">
        <v>5</v>
      </c>
      <c r="K1180" s="2" t="s">
        <v>5</v>
      </c>
      <c r="L1180" s="2" t="s">
        <v>7</v>
      </c>
      <c r="N1180" s="1" t="s">
        <v>14218</v>
      </c>
      <c r="O1180" s="2" t="s">
        <v>939</v>
      </c>
      <c r="Q1180" s="2" t="s">
        <v>11</v>
      </c>
      <c r="R1180" s="2" t="s">
        <v>426</v>
      </c>
      <c r="T1180" s="2" t="s">
        <v>520</v>
      </c>
      <c r="U1180" s="3">
        <v>8</v>
      </c>
      <c r="V1180" s="3">
        <v>8</v>
      </c>
      <c r="W1180" s="4" t="s">
        <v>14219</v>
      </c>
      <c r="X1180" s="4" t="s">
        <v>14219</v>
      </c>
      <c r="Y1180" s="4" t="s">
        <v>14220</v>
      </c>
      <c r="Z1180" s="4" t="s">
        <v>14220</v>
      </c>
      <c r="AA1180" s="3">
        <v>253</v>
      </c>
      <c r="AB1180" s="3">
        <v>179</v>
      </c>
      <c r="AC1180" s="3">
        <v>181</v>
      </c>
      <c r="AD1180" s="3">
        <v>3</v>
      </c>
      <c r="AE1180" s="3">
        <v>3</v>
      </c>
      <c r="AF1180" s="3">
        <v>6</v>
      </c>
      <c r="AG1180" s="3">
        <v>6</v>
      </c>
      <c r="AH1180" s="3">
        <v>1</v>
      </c>
      <c r="AI1180" s="3">
        <v>1</v>
      </c>
      <c r="AJ1180" s="3">
        <v>2</v>
      </c>
      <c r="AK1180" s="3">
        <v>2</v>
      </c>
      <c r="AL1180" s="3">
        <v>3</v>
      </c>
      <c r="AM1180" s="3">
        <v>3</v>
      </c>
      <c r="AN1180" s="3">
        <v>1</v>
      </c>
      <c r="AO1180" s="3">
        <v>1</v>
      </c>
      <c r="AP1180" s="3">
        <v>0</v>
      </c>
      <c r="AQ1180" s="3">
        <v>0</v>
      </c>
      <c r="AR1180" s="2" t="s">
        <v>5</v>
      </c>
      <c r="AS1180" s="2" t="s">
        <v>16</v>
      </c>
      <c r="AT1180" s="5" t="str">
        <f>HYPERLINK("http://catalog.hathitrust.org/Record/000874666","HathiTrust Record")</f>
        <v>HathiTrust Record</v>
      </c>
      <c r="AU1180" s="5" t="str">
        <f>HYPERLINK("https://creighton-primo.hosted.exlibrisgroup.com/primo-explore/search?tab=default_tab&amp;search_scope=EVERYTHING&amp;vid=01CRU&amp;lang=en_US&amp;offset=0&amp;query=any,contains,991001189179702656","Catalog Record")</f>
        <v>Catalog Record</v>
      </c>
      <c r="AV1180" s="5" t="str">
        <f>HYPERLINK("http://www.worldcat.org/oclc/16088427","WorldCat Record")</f>
        <v>WorldCat Record</v>
      </c>
      <c r="AW1180" s="2" t="s">
        <v>14221</v>
      </c>
      <c r="AX1180" s="2" t="s">
        <v>14222</v>
      </c>
      <c r="AY1180" s="2" t="s">
        <v>14223</v>
      </c>
      <c r="AZ1180" s="2" t="s">
        <v>14223</v>
      </c>
      <c r="BA1180" s="2" t="s">
        <v>14224</v>
      </c>
      <c r="BB1180" s="2" t="s">
        <v>21</v>
      </c>
      <c r="BD1180" s="2" t="s">
        <v>14225</v>
      </c>
      <c r="BE1180" s="2" t="s">
        <v>14226</v>
      </c>
      <c r="BF1180" s="2" t="s">
        <v>14227</v>
      </c>
    </row>
    <row r="1181" spans="1:58" ht="41.25" customHeight="1" x14ac:dyDescent="0.25">
      <c r="A1181" s="8" t="s">
        <v>5</v>
      </c>
      <c r="B1181" s="1" t="s">
        <v>0</v>
      </c>
      <c r="C1181" s="1" t="s">
        <v>1</v>
      </c>
      <c r="D1181" s="1" t="s">
        <v>14228</v>
      </c>
      <c r="E1181" s="1" t="s">
        <v>14229</v>
      </c>
      <c r="F1181" s="1" t="s">
        <v>14230</v>
      </c>
      <c r="H1181" s="2" t="s">
        <v>5</v>
      </c>
      <c r="I1181" s="2" t="s">
        <v>6</v>
      </c>
      <c r="J1181" s="2" t="s">
        <v>5</v>
      </c>
      <c r="K1181" s="2" t="s">
        <v>5</v>
      </c>
      <c r="L1181" s="2" t="s">
        <v>7</v>
      </c>
      <c r="N1181" s="1" t="s">
        <v>14231</v>
      </c>
      <c r="O1181" s="2" t="s">
        <v>1102</v>
      </c>
      <c r="Q1181" s="2" t="s">
        <v>11</v>
      </c>
      <c r="R1181" s="2" t="s">
        <v>426</v>
      </c>
      <c r="S1181" s="1" t="s">
        <v>14232</v>
      </c>
      <c r="T1181" s="2" t="s">
        <v>520</v>
      </c>
      <c r="U1181" s="3">
        <v>7</v>
      </c>
      <c r="V1181" s="3">
        <v>7</v>
      </c>
      <c r="W1181" s="4" t="s">
        <v>14233</v>
      </c>
      <c r="X1181" s="4" t="s">
        <v>14233</v>
      </c>
      <c r="Y1181" s="4" t="s">
        <v>5957</v>
      </c>
      <c r="Z1181" s="4" t="s">
        <v>5957</v>
      </c>
      <c r="AA1181" s="3">
        <v>150</v>
      </c>
      <c r="AB1181" s="3">
        <v>132</v>
      </c>
      <c r="AC1181" s="3">
        <v>143</v>
      </c>
      <c r="AD1181" s="3">
        <v>2</v>
      </c>
      <c r="AE1181" s="3">
        <v>2</v>
      </c>
      <c r="AF1181" s="3">
        <v>11</v>
      </c>
      <c r="AG1181" s="3">
        <v>11</v>
      </c>
      <c r="AH1181" s="3">
        <v>3</v>
      </c>
      <c r="AI1181" s="3">
        <v>3</v>
      </c>
      <c r="AJ1181" s="3">
        <v>3</v>
      </c>
      <c r="AK1181" s="3">
        <v>3</v>
      </c>
      <c r="AL1181" s="3">
        <v>8</v>
      </c>
      <c r="AM1181" s="3">
        <v>8</v>
      </c>
      <c r="AN1181" s="3">
        <v>0</v>
      </c>
      <c r="AO1181" s="3">
        <v>0</v>
      </c>
      <c r="AP1181" s="3">
        <v>0</v>
      </c>
      <c r="AQ1181" s="3">
        <v>0</v>
      </c>
      <c r="AR1181" s="2" t="s">
        <v>5</v>
      </c>
      <c r="AS1181" s="2" t="s">
        <v>16</v>
      </c>
      <c r="AT1181" s="5" t="str">
        <f>HYPERLINK("http://catalog.hathitrust.org/Record/000434242","HathiTrust Record")</f>
        <v>HathiTrust Record</v>
      </c>
      <c r="AU1181" s="5" t="str">
        <f>HYPERLINK("https://creighton-primo.hosted.exlibrisgroup.com/primo-explore/search?tab=default_tab&amp;search_scope=EVERYTHING&amp;vid=01CRU&amp;lang=en_US&amp;offset=0&amp;query=any,contains,991001521549702656","Catalog Record")</f>
        <v>Catalog Record</v>
      </c>
      <c r="AV1181" s="5" t="str">
        <f>HYPERLINK("http://www.worldcat.org/oclc/13126171","WorldCat Record")</f>
        <v>WorldCat Record</v>
      </c>
      <c r="AW1181" s="2" t="s">
        <v>14234</v>
      </c>
      <c r="AX1181" s="2" t="s">
        <v>14235</v>
      </c>
      <c r="AY1181" s="2" t="s">
        <v>14236</v>
      </c>
      <c r="AZ1181" s="2" t="s">
        <v>14236</v>
      </c>
      <c r="BA1181" s="2" t="s">
        <v>14237</v>
      </c>
      <c r="BB1181" s="2" t="s">
        <v>21</v>
      </c>
      <c r="BE1181" s="2" t="s">
        <v>14238</v>
      </c>
      <c r="BF1181" s="2" t="s">
        <v>14239</v>
      </c>
    </row>
    <row r="1182" spans="1:58" ht="41.25" customHeight="1" x14ac:dyDescent="0.25">
      <c r="A1182" s="8" t="s">
        <v>5</v>
      </c>
      <c r="B1182" s="1" t="s">
        <v>0</v>
      </c>
      <c r="C1182" s="1" t="s">
        <v>1</v>
      </c>
      <c r="D1182" s="1" t="s">
        <v>14240</v>
      </c>
      <c r="E1182" s="1" t="s">
        <v>14241</v>
      </c>
      <c r="F1182" s="1" t="s">
        <v>14242</v>
      </c>
      <c r="H1182" s="2" t="s">
        <v>5</v>
      </c>
      <c r="I1182" s="2" t="s">
        <v>6</v>
      </c>
      <c r="J1182" s="2" t="s">
        <v>5</v>
      </c>
      <c r="K1182" s="2" t="s">
        <v>5</v>
      </c>
      <c r="L1182" s="2" t="s">
        <v>7</v>
      </c>
      <c r="M1182" s="1" t="s">
        <v>14243</v>
      </c>
      <c r="N1182" s="1" t="s">
        <v>14244</v>
      </c>
      <c r="O1182" s="2" t="s">
        <v>1046</v>
      </c>
      <c r="P1182" s="1" t="s">
        <v>211</v>
      </c>
      <c r="Q1182" s="2" t="s">
        <v>11</v>
      </c>
      <c r="R1182" s="2" t="s">
        <v>12</v>
      </c>
      <c r="T1182" s="2" t="s">
        <v>520</v>
      </c>
      <c r="U1182" s="3">
        <v>0</v>
      </c>
      <c r="V1182" s="3">
        <v>0</v>
      </c>
      <c r="W1182" s="4" t="s">
        <v>14245</v>
      </c>
      <c r="X1182" s="4" t="s">
        <v>14245</v>
      </c>
      <c r="Y1182" s="4" t="s">
        <v>14245</v>
      </c>
      <c r="Z1182" s="4" t="s">
        <v>14245</v>
      </c>
      <c r="AA1182" s="3">
        <v>306</v>
      </c>
      <c r="AB1182" s="3">
        <v>226</v>
      </c>
      <c r="AC1182" s="3">
        <v>337</v>
      </c>
      <c r="AD1182" s="3">
        <v>2</v>
      </c>
      <c r="AE1182" s="3">
        <v>2</v>
      </c>
      <c r="AF1182" s="3">
        <v>6</v>
      </c>
      <c r="AG1182" s="3">
        <v>9</v>
      </c>
      <c r="AH1182" s="3">
        <v>2</v>
      </c>
      <c r="AI1182" s="3">
        <v>2</v>
      </c>
      <c r="AJ1182" s="3">
        <v>1</v>
      </c>
      <c r="AK1182" s="3">
        <v>1</v>
      </c>
      <c r="AL1182" s="3">
        <v>2</v>
      </c>
      <c r="AM1182" s="3">
        <v>5</v>
      </c>
      <c r="AN1182" s="3">
        <v>1</v>
      </c>
      <c r="AO1182" s="3">
        <v>1</v>
      </c>
      <c r="AP1182" s="3">
        <v>0</v>
      </c>
      <c r="AQ1182" s="3">
        <v>0</v>
      </c>
      <c r="AR1182" s="2" t="s">
        <v>5</v>
      </c>
      <c r="AS1182" s="2" t="s">
        <v>5</v>
      </c>
      <c r="AU1182" s="5" t="str">
        <f>HYPERLINK("https://creighton-primo.hosted.exlibrisgroup.com/primo-explore/search?tab=default_tab&amp;search_scope=EVERYTHING&amp;vid=01CRU&amp;lang=en_US&amp;offset=0&amp;query=any,contains,991000352959702656","Catalog Record")</f>
        <v>Catalog Record</v>
      </c>
      <c r="AV1182" s="5" t="str">
        <f>HYPERLINK("http://www.worldcat.org/oclc/48176830","WorldCat Record")</f>
        <v>WorldCat Record</v>
      </c>
      <c r="AW1182" s="2" t="s">
        <v>14246</v>
      </c>
      <c r="AX1182" s="2" t="s">
        <v>14247</v>
      </c>
      <c r="AY1182" s="2" t="s">
        <v>14248</v>
      </c>
      <c r="AZ1182" s="2" t="s">
        <v>14248</v>
      </c>
      <c r="BA1182" s="2" t="s">
        <v>14249</v>
      </c>
      <c r="BB1182" s="2" t="s">
        <v>21</v>
      </c>
      <c r="BD1182" s="2" t="s">
        <v>14250</v>
      </c>
      <c r="BE1182" s="2" t="s">
        <v>14251</v>
      </c>
      <c r="BF1182" s="2" t="s">
        <v>14252</v>
      </c>
    </row>
    <row r="1183" spans="1:58" ht="41.25" customHeight="1" x14ac:dyDescent="0.25">
      <c r="A1183" s="8" t="s">
        <v>5</v>
      </c>
      <c r="B1183" s="1" t="s">
        <v>0</v>
      </c>
      <c r="C1183" s="1" t="s">
        <v>1</v>
      </c>
      <c r="D1183" s="1" t="s">
        <v>14253</v>
      </c>
      <c r="E1183" s="1" t="s">
        <v>14254</v>
      </c>
      <c r="F1183" s="1" t="s">
        <v>14255</v>
      </c>
      <c r="H1183" s="2" t="s">
        <v>5</v>
      </c>
      <c r="I1183" s="2" t="s">
        <v>6</v>
      </c>
      <c r="J1183" s="2" t="s">
        <v>5</v>
      </c>
      <c r="K1183" s="2" t="s">
        <v>5</v>
      </c>
      <c r="L1183" s="2" t="s">
        <v>7</v>
      </c>
      <c r="N1183" s="1" t="s">
        <v>1403</v>
      </c>
      <c r="O1183" s="2" t="s">
        <v>62</v>
      </c>
      <c r="Q1183" s="2" t="s">
        <v>11</v>
      </c>
      <c r="R1183" s="2" t="s">
        <v>12</v>
      </c>
      <c r="S1183" s="1" t="s">
        <v>14256</v>
      </c>
      <c r="T1183" s="2" t="s">
        <v>520</v>
      </c>
      <c r="U1183" s="3">
        <v>1</v>
      </c>
      <c r="V1183" s="3">
        <v>1</v>
      </c>
      <c r="W1183" s="4" t="s">
        <v>1987</v>
      </c>
      <c r="X1183" s="4" t="s">
        <v>1987</v>
      </c>
      <c r="Y1183" s="4" t="s">
        <v>1444</v>
      </c>
      <c r="Z1183" s="4" t="s">
        <v>1444</v>
      </c>
      <c r="AA1183" s="3">
        <v>67</v>
      </c>
      <c r="AB1183" s="3">
        <v>48</v>
      </c>
      <c r="AC1183" s="3">
        <v>49</v>
      </c>
      <c r="AD1183" s="3">
        <v>2</v>
      </c>
      <c r="AE1183" s="3">
        <v>2</v>
      </c>
      <c r="AF1183" s="3">
        <v>1</v>
      </c>
      <c r="AG1183" s="3">
        <v>1</v>
      </c>
      <c r="AH1183" s="3">
        <v>0</v>
      </c>
      <c r="AI1183" s="3">
        <v>0</v>
      </c>
      <c r="AJ1183" s="3">
        <v>0</v>
      </c>
      <c r="AK1183" s="3">
        <v>0</v>
      </c>
      <c r="AL1183" s="3">
        <v>1</v>
      </c>
      <c r="AM1183" s="3">
        <v>1</v>
      </c>
      <c r="AN1183" s="3">
        <v>0</v>
      </c>
      <c r="AO1183" s="3">
        <v>0</v>
      </c>
      <c r="AP1183" s="3">
        <v>0</v>
      </c>
      <c r="AQ1183" s="3">
        <v>0</v>
      </c>
      <c r="AR1183" s="2" t="s">
        <v>5</v>
      </c>
      <c r="AS1183" s="2" t="s">
        <v>16</v>
      </c>
      <c r="AT1183" s="5" t="str">
        <f>HYPERLINK("http://catalog.hathitrust.org/Record/006221684","HathiTrust Record")</f>
        <v>HathiTrust Record</v>
      </c>
      <c r="AU1183" s="5" t="str">
        <f>HYPERLINK("https://creighton-primo.hosted.exlibrisgroup.com/primo-explore/search?tab=default_tab&amp;search_scope=EVERYTHING&amp;vid=01CRU&amp;lang=en_US&amp;offset=0&amp;query=any,contains,991001517159702656","Catalog Record")</f>
        <v>Catalog Record</v>
      </c>
      <c r="AV1183" s="5" t="str">
        <f>HYPERLINK("http://www.worldcat.org/oclc/5673679","WorldCat Record")</f>
        <v>WorldCat Record</v>
      </c>
      <c r="AW1183" s="2" t="s">
        <v>14257</v>
      </c>
      <c r="AX1183" s="2" t="s">
        <v>14258</v>
      </c>
      <c r="AY1183" s="2" t="s">
        <v>14259</v>
      </c>
      <c r="AZ1183" s="2" t="s">
        <v>14259</v>
      </c>
      <c r="BA1183" s="2" t="s">
        <v>14260</v>
      </c>
      <c r="BB1183" s="2" t="s">
        <v>21</v>
      </c>
      <c r="BE1183" s="2" t="s">
        <v>14261</v>
      </c>
      <c r="BF1183" s="2" t="s">
        <v>14262</v>
      </c>
    </row>
    <row r="1184" spans="1:58" ht="41.25" customHeight="1" x14ac:dyDescent="0.25">
      <c r="A1184" s="8" t="s">
        <v>5</v>
      </c>
      <c r="B1184" s="1" t="s">
        <v>0</v>
      </c>
      <c r="C1184" s="1" t="s">
        <v>1</v>
      </c>
      <c r="D1184" s="1" t="s">
        <v>14263</v>
      </c>
      <c r="E1184" s="1" t="s">
        <v>14264</v>
      </c>
      <c r="F1184" s="1" t="s">
        <v>14265</v>
      </c>
      <c r="H1184" s="2" t="s">
        <v>5</v>
      </c>
      <c r="I1184" s="2" t="s">
        <v>6</v>
      </c>
      <c r="J1184" s="2" t="s">
        <v>5</v>
      </c>
      <c r="K1184" s="2" t="s">
        <v>16</v>
      </c>
      <c r="L1184" s="2" t="s">
        <v>7</v>
      </c>
      <c r="N1184" s="1" t="s">
        <v>14266</v>
      </c>
      <c r="O1184" s="2" t="s">
        <v>382</v>
      </c>
      <c r="P1184" s="1" t="s">
        <v>12064</v>
      </c>
      <c r="Q1184" s="2" t="s">
        <v>11</v>
      </c>
      <c r="R1184" s="2" t="s">
        <v>426</v>
      </c>
      <c r="T1184" s="2" t="s">
        <v>520</v>
      </c>
      <c r="U1184" s="3">
        <v>8</v>
      </c>
      <c r="V1184" s="3">
        <v>8</v>
      </c>
      <c r="W1184" s="4" t="s">
        <v>14267</v>
      </c>
      <c r="X1184" s="4" t="s">
        <v>14267</v>
      </c>
      <c r="Y1184" s="4" t="s">
        <v>7730</v>
      </c>
      <c r="Z1184" s="4" t="s">
        <v>7730</v>
      </c>
      <c r="AA1184" s="3">
        <v>218</v>
      </c>
      <c r="AB1184" s="3">
        <v>172</v>
      </c>
      <c r="AC1184" s="3">
        <v>286</v>
      </c>
      <c r="AD1184" s="3">
        <v>2</v>
      </c>
      <c r="AE1184" s="3">
        <v>2</v>
      </c>
      <c r="AF1184" s="3">
        <v>5</v>
      </c>
      <c r="AG1184" s="3">
        <v>8</v>
      </c>
      <c r="AH1184" s="3">
        <v>3</v>
      </c>
      <c r="AI1184" s="3">
        <v>3</v>
      </c>
      <c r="AJ1184" s="3">
        <v>0</v>
      </c>
      <c r="AK1184" s="3">
        <v>1</v>
      </c>
      <c r="AL1184" s="3">
        <v>3</v>
      </c>
      <c r="AM1184" s="3">
        <v>6</v>
      </c>
      <c r="AN1184" s="3">
        <v>0</v>
      </c>
      <c r="AO1184" s="3">
        <v>0</v>
      </c>
      <c r="AP1184" s="3">
        <v>0</v>
      </c>
      <c r="AQ1184" s="3">
        <v>0</v>
      </c>
      <c r="AR1184" s="2" t="s">
        <v>5</v>
      </c>
      <c r="AS1184" s="2" t="s">
        <v>5</v>
      </c>
      <c r="AU1184" s="5" t="str">
        <f>HYPERLINK("https://creighton-primo.hosted.exlibrisgroup.com/primo-explore/search?tab=default_tab&amp;search_scope=EVERYTHING&amp;vid=01CRU&amp;lang=en_US&amp;offset=0&amp;query=any,contains,991001291349702656","Catalog Record")</f>
        <v>Catalog Record</v>
      </c>
      <c r="AV1184" s="5" t="str">
        <f>HYPERLINK("http://www.worldcat.org/oclc/11262213","WorldCat Record")</f>
        <v>WorldCat Record</v>
      </c>
      <c r="AW1184" s="2" t="s">
        <v>14268</v>
      </c>
      <c r="AX1184" s="2" t="s">
        <v>14269</v>
      </c>
      <c r="AY1184" s="2" t="s">
        <v>14270</v>
      </c>
      <c r="AZ1184" s="2" t="s">
        <v>14270</v>
      </c>
      <c r="BA1184" s="2" t="s">
        <v>14271</v>
      </c>
      <c r="BB1184" s="2" t="s">
        <v>21</v>
      </c>
      <c r="BD1184" s="2" t="s">
        <v>14272</v>
      </c>
      <c r="BE1184" s="2" t="s">
        <v>14273</v>
      </c>
      <c r="BF1184" s="2" t="s">
        <v>14274</v>
      </c>
    </row>
    <row r="1185" spans="1:58" ht="41.25" customHeight="1" x14ac:dyDescent="0.25">
      <c r="A1185" s="8" t="s">
        <v>5</v>
      </c>
      <c r="B1185" s="1" t="s">
        <v>0</v>
      </c>
      <c r="C1185" s="1" t="s">
        <v>1</v>
      </c>
      <c r="D1185" s="1" t="s">
        <v>14275</v>
      </c>
      <c r="E1185" s="1" t="s">
        <v>14276</v>
      </c>
      <c r="F1185" s="1" t="s">
        <v>14277</v>
      </c>
      <c r="H1185" s="2" t="s">
        <v>5</v>
      </c>
      <c r="I1185" s="2" t="s">
        <v>6</v>
      </c>
      <c r="J1185" s="2" t="s">
        <v>5</v>
      </c>
      <c r="K1185" s="2" t="s">
        <v>5</v>
      </c>
      <c r="L1185" s="2" t="s">
        <v>7</v>
      </c>
      <c r="N1185" s="1" t="s">
        <v>2272</v>
      </c>
      <c r="O1185" s="2" t="s">
        <v>354</v>
      </c>
      <c r="Q1185" s="2" t="s">
        <v>11</v>
      </c>
      <c r="R1185" s="2" t="s">
        <v>12</v>
      </c>
      <c r="S1185" s="1" t="s">
        <v>14278</v>
      </c>
      <c r="T1185" s="2" t="s">
        <v>520</v>
      </c>
      <c r="U1185" s="3">
        <v>1</v>
      </c>
      <c r="V1185" s="3">
        <v>1</v>
      </c>
      <c r="W1185" s="4" t="s">
        <v>14279</v>
      </c>
      <c r="X1185" s="4" t="s">
        <v>14279</v>
      </c>
      <c r="Y1185" s="4" t="s">
        <v>1444</v>
      </c>
      <c r="Z1185" s="4" t="s">
        <v>1444</v>
      </c>
      <c r="AA1185" s="3">
        <v>90</v>
      </c>
      <c r="AB1185" s="3">
        <v>77</v>
      </c>
      <c r="AC1185" s="3">
        <v>81</v>
      </c>
      <c r="AD1185" s="3">
        <v>2</v>
      </c>
      <c r="AE1185" s="3">
        <v>2</v>
      </c>
      <c r="AF1185" s="3">
        <v>3</v>
      </c>
      <c r="AG1185" s="3">
        <v>3</v>
      </c>
      <c r="AH1185" s="3">
        <v>0</v>
      </c>
      <c r="AI1185" s="3">
        <v>0</v>
      </c>
      <c r="AJ1185" s="3">
        <v>1</v>
      </c>
      <c r="AK1185" s="3">
        <v>1</v>
      </c>
      <c r="AL1185" s="3">
        <v>1</v>
      </c>
      <c r="AM1185" s="3">
        <v>1</v>
      </c>
      <c r="AN1185" s="3">
        <v>1</v>
      </c>
      <c r="AO1185" s="3">
        <v>1</v>
      </c>
      <c r="AP1185" s="3">
        <v>0</v>
      </c>
      <c r="AQ1185" s="3">
        <v>0</v>
      </c>
      <c r="AR1185" s="2" t="s">
        <v>5</v>
      </c>
      <c r="AS1185" s="2" t="s">
        <v>16</v>
      </c>
      <c r="AT1185" s="5" t="str">
        <f>HYPERLINK("http://catalog.hathitrust.org/Record/000102736","HathiTrust Record")</f>
        <v>HathiTrust Record</v>
      </c>
      <c r="AU1185" s="5" t="str">
        <f>HYPERLINK("https://creighton-primo.hosted.exlibrisgroup.com/primo-explore/search?tab=default_tab&amp;search_scope=EVERYTHING&amp;vid=01CRU&amp;lang=en_US&amp;offset=0&amp;query=any,contains,991001517579702656","Catalog Record")</f>
        <v>Catalog Record</v>
      </c>
      <c r="AV1185" s="5" t="str">
        <f>HYPERLINK("http://www.worldcat.org/oclc/7737636","WorldCat Record")</f>
        <v>WorldCat Record</v>
      </c>
      <c r="AW1185" s="2" t="s">
        <v>14280</v>
      </c>
      <c r="AX1185" s="2" t="s">
        <v>14281</v>
      </c>
      <c r="AY1185" s="2" t="s">
        <v>14282</v>
      </c>
      <c r="AZ1185" s="2" t="s">
        <v>14282</v>
      </c>
      <c r="BA1185" s="2" t="s">
        <v>14283</v>
      </c>
      <c r="BB1185" s="2" t="s">
        <v>21</v>
      </c>
      <c r="BE1185" s="2" t="s">
        <v>14284</v>
      </c>
      <c r="BF1185" s="2" t="s">
        <v>14285</v>
      </c>
    </row>
    <row r="1186" spans="1:58" ht="41.25" customHeight="1" x14ac:dyDescent="0.25">
      <c r="A1186" s="8" t="s">
        <v>5</v>
      </c>
      <c r="B1186" s="1" t="s">
        <v>0</v>
      </c>
      <c r="C1186" s="1" t="s">
        <v>1</v>
      </c>
      <c r="D1186" s="1" t="s">
        <v>14286</v>
      </c>
      <c r="E1186" s="1" t="s">
        <v>14287</v>
      </c>
      <c r="F1186" s="1" t="s">
        <v>14288</v>
      </c>
      <c r="H1186" s="2" t="s">
        <v>5</v>
      </c>
      <c r="I1186" s="2" t="s">
        <v>6</v>
      </c>
      <c r="J1186" s="2" t="s">
        <v>5</v>
      </c>
      <c r="K1186" s="2" t="s">
        <v>16</v>
      </c>
      <c r="L1186" s="2" t="s">
        <v>7</v>
      </c>
      <c r="N1186" s="1" t="s">
        <v>14289</v>
      </c>
      <c r="O1186" s="2" t="s">
        <v>382</v>
      </c>
      <c r="P1186" s="1" t="s">
        <v>901</v>
      </c>
      <c r="Q1186" s="2" t="s">
        <v>11</v>
      </c>
      <c r="R1186" s="2" t="s">
        <v>426</v>
      </c>
      <c r="T1186" s="2" t="s">
        <v>520</v>
      </c>
      <c r="U1186" s="3">
        <v>11</v>
      </c>
      <c r="V1186" s="3">
        <v>11</v>
      </c>
      <c r="W1186" s="4" t="s">
        <v>14290</v>
      </c>
      <c r="X1186" s="4" t="s">
        <v>14290</v>
      </c>
      <c r="Y1186" s="4" t="s">
        <v>329</v>
      </c>
      <c r="Z1186" s="4" t="s">
        <v>329</v>
      </c>
      <c r="AA1186" s="3">
        <v>213</v>
      </c>
      <c r="AB1186" s="3">
        <v>174</v>
      </c>
      <c r="AC1186" s="3">
        <v>291</v>
      </c>
      <c r="AD1186" s="3">
        <v>2</v>
      </c>
      <c r="AE1186" s="3">
        <v>4</v>
      </c>
      <c r="AF1186" s="3">
        <v>8</v>
      </c>
      <c r="AG1186" s="3">
        <v>13</v>
      </c>
      <c r="AH1186" s="3">
        <v>3</v>
      </c>
      <c r="AI1186" s="3">
        <v>4</v>
      </c>
      <c r="AJ1186" s="3">
        <v>1</v>
      </c>
      <c r="AK1186" s="3">
        <v>2</v>
      </c>
      <c r="AL1186" s="3">
        <v>6</v>
      </c>
      <c r="AM1186" s="3">
        <v>8</v>
      </c>
      <c r="AN1186" s="3">
        <v>0</v>
      </c>
      <c r="AO1186" s="3">
        <v>2</v>
      </c>
      <c r="AP1186" s="3">
        <v>0</v>
      </c>
      <c r="AQ1186" s="3">
        <v>0</v>
      </c>
      <c r="AR1186" s="2" t="s">
        <v>5</v>
      </c>
      <c r="AS1186" s="2" t="s">
        <v>16</v>
      </c>
      <c r="AT1186" s="5" t="str">
        <f>HYPERLINK("http://catalog.hathitrust.org/Record/000569252","HathiTrust Record")</f>
        <v>HathiTrust Record</v>
      </c>
      <c r="AU1186" s="5" t="str">
        <f>HYPERLINK("https://creighton-primo.hosted.exlibrisgroup.com/primo-explore/search?tab=default_tab&amp;search_scope=EVERYTHING&amp;vid=01CRU&amp;lang=en_US&amp;offset=0&amp;query=any,contains,991000736309702656","Catalog Record")</f>
        <v>Catalog Record</v>
      </c>
      <c r="AV1186" s="5" t="str">
        <f>HYPERLINK("http://www.worldcat.org/oclc/11550658","WorldCat Record")</f>
        <v>WorldCat Record</v>
      </c>
      <c r="AW1186" s="2" t="s">
        <v>14291</v>
      </c>
      <c r="AX1186" s="2" t="s">
        <v>14292</v>
      </c>
      <c r="AY1186" s="2" t="s">
        <v>14293</v>
      </c>
      <c r="AZ1186" s="2" t="s">
        <v>14293</v>
      </c>
      <c r="BA1186" s="2" t="s">
        <v>14294</v>
      </c>
      <c r="BB1186" s="2" t="s">
        <v>21</v>
      </c>
      <c r="BD1186" s="2" t="s">
        <v>14295</v>
      </c>
      <c r="BE1186" s="2" t="s">
        <v>14296</v>
      </c>
      <c r="BF1186" s="2" t="s">
        <v>14297</v>
      </c>
    </row>
    <row r="1187" spans="1:58" ht="41.25" customHeight="1" x14ac:dyDescent="0.25">
      <c r="A1187" s="8" t="s">
        <v>5</v>
      </c>
      <c r="B1187" s="1" t="s">
        <v>0</v>
      </c>
      <c r="C1187" s="1" t="s">
        <v>1</v>
      </c>
      <c r="D1187" s="1" t="s">
        <v>14298</v>
      </c>
      <c r="E1187" s="1" t="s">
        <v>14299</v>
      </c>
      <c r="F1187" s="1" t="s">
        <v>14300</v>
      </c>
      <c r="H1187" s="2" t="s">
        <v>5</v>
      </c>
      <c r="I1187" s="2" t="s">
        <v>6</v>
      </c>
      <c r="J1187" s="2" t="s">
        <v>5</v>
      </c>
      <c r="K1187" s="2" t="s">
        <v>5</v>
      </c>
      <c r="L1187" s="2" t="s">
        <v>7</v>
      </c>
      <c r="N1187" s="1" t="s">
        <v>14301</v>
      </c>
      <c r="O1187" s="2" t="s">
        <v>14302</v>
      </c>
      <c r="Q1187" s="2" t="s">
        <v>11</v>
      </c>
      <c r="R1187" s="2" t="s">
        <v>93</v>
      </c>
      <c r="T1187" s="2" t="s">
        <v>520</v>
      </c>
      <c r="U1187" s="3">
        <v>3</v>
      </c>
      <c r="V1187" s="3">
        <v>3</v>
      </c>
      <c r="W1187" s="4" t="s">
        <v>14303</v>
      </c>
      <c r="X1187" s="4" t="s">
        <v>14303</v>
      </c>
      <c r="Y1187" s="4" t="s">
        <v>14304</v>
      </c>
      <c r="Z1187" s="4" t="s">
        <v>14304</v>
      </c>
      <c r="AA1187" s="3">
        <v>225</v>
      </c>
      <c r="AB1187" s="3">
        <v>177</v>
      </c>
      <c r="AC1187" s="3">
        <v>420</v>
      </c>
      <c r="AD1187" s="3">
        <v>1</v>
      </c>
      <c r="AE1187" s="3">
        <v>1</v>
      </c>
      <c r="AF1187" s="3">
        <v>8</v>
      </c>
      <c r="AG1187" s="3">
        <v>14</v>
      </c>
      <c r="AH1187" s="3">
        <v>6</v>
      </c>
      <c r="AI1187" s="3">
        <v>9</v>
      </c>
      <c r="AJ1187" s="3">
        <v>0</v>
      </c>
      <c r="AK1187" s="3">
        <v>1</v>
      </c>
      <c r="AL1187" s="3">
        <v>3</v>
      </c>
      <c r="AM1187" s="3">
        <v>6</v>
      </c>
      <c r="AN1187" s="3">
        <v>0</v>
      </c>
      <c r="AO1187" s="3">
        <v>0</v>
      </c>
      <c r="AP1187" s="3">
        <v>0</v>
      </c>
      <c r="AQ1187" s="3">
        <v>0</v>
      </c>
      <c r="AR1187" s="2" t="s">
        <v>5</v>
      </c>
      <c r="AS1187" s="2" t="s">
        <v>16</v>
      </c>
      <c r="AT1187" s="5" t="str">
        <f>HYPERLINK("http://catalog.hathitrust.org/Record/004582340","HathiTrust Record")</f>
        <v>HathiTrust Record</v>
      </c>
      <c r="AU1187" s="5" t="str">
        <f>HYPERLINK("https://creighton-primo.hosted.exlibrisgroup.com/primo-explore/search?tab=default_tab&amp;search_scope=EVERYTHING&amp;vid=01CRU&amp;lang=en_US&amp;offset=0&amp;query=any,contains,991000366399702656","Catalog Record")</f>
        <v>Catalog Record</v>
      </c>
      <c r="AV1187" s="5" t="str">
        <f>HYPERLINK("http://www.worldcat.org/oclc/46387561","WorldCat Record")</f>
        <v>WorldCat Record</v>
      </c>
      <c r="AW1187" s="2" t="s">
        <v>14305</v>
      </c>
      <c r="AX1187" s="2" t="s">
        <v>14306</v>
      </c>
      <c r="AY1187" s="2" t="s">
        <v>14307</v>
      </c>
      <c r="AZ1187" s="2" t="s">
        <v>14307</v>
      </c>
      <c r="BA1187" s="2" t="s">
        <v>14308</v>
      </c>
      <c r="BB1187" s="2" t="s">
        <v>21</v>
      </c>
      <c r="BD1187" s="2" t="s">
        <v>14309</v>
      </c>
      <c r="BE1187" s="2" t="s">
        <v>14310</v>
      </c>
      <c r="BF1187" s="2" t="s">
        <v>14311</v>
      </c>
    </row>
    <row r="1188" spans="1:58" ht="41.25" customHeight="1" x14ac:dyDescent="0.25">
      <c r="A1188" s="8" t="s">
        <v>5</v>
      </c>
      <c r="B1188" s="1" t="s">
        <v>0</v>
      </c>
      <c r="C1188" s="1" t="s">
        <v>1</v>
      </c>
      <c r="D1188" s="1" t="s">
        <v>14312</v>
      </c>
      <c r="E1188" s="1" t="s">
        <v>14313</v>
      </c>
      <c r="F1188" s="1" t="s">
        <v>14314</v>
      </c>
      <c r="H1188" s="2" t="s">
        <v>5</v>
      </c>
      <c r="I1188" s="2" t="s">
        <v>6</v>
      </c>
      <c r="J1188" s="2" t="s">
        <v>5</v>
      </c>
      <c r="K1188" s="2" t="s">
        <v>5</v>
      </c>
      <c r="L1188" s="2" t="s">
        <v>7</v>
      </c>
      <c r="N1188" s="1" t="s">
        <v>11747</v>
      </c>
      <c r="O1188" s="2" t="s">
        <v>210</v>
      </c>
      <c r="P1188" s="1" t="s">
        <v>901</v>
      </c>
      <c r="Q1188" s="2" t="s">
        <v>11</v>
      </c>
      <c r="R1188" s="2" t="s">
        <v>426</v>
      </c>
      <c r="T1188" s="2" t="s">
        <v>520</v>
      </c>
      <c r="U1188" s="3">
        <v>94</v>
      </c>
      <c r="V1188" s="3">
        <v>94</v>
      </c>
      <c r="W1188" s="4" t="s">
        <v>14315</v>
      </c>
      <c r="X1188" s="4" t="s">
        <v>14315</v>
      </c>
      <c r="Y1188" s="4" t="s">
        <v>14316</v>
      </c>
      <c r="Z1188" s="4" t="s">
        <v>14316</v>
      </c>
      <c r="AA1188" s="3">
        <v>372</v>
      </c>
      <c r="AB1188" s="3">
        <v>263</v>
      </c>
      <c r="AC1188" s="3">
        <v>484</v>
      </c>
      <c r="AD1188" s="3">
        <v>2</v>
      </c>
      <c r="AE1188" s="3">
        <v>2</v>
      </c>
      <c r="AF1188" s="3">
        <v>3</v>
      </c>
      <c r="AG1188" s="3">
        <v>9</v>
      </c>
      <c r="AH1188" s="3">
        <v>2</v>
      </c>
      <c r="AI1188" s="3">
        <v>4</v>
      </c>
      <c r="AJ1188" s="3">
        <v>0</v>
      </c>
      <c r="AK1188" s="3">
        <v>1</v>
      </c>
      <c r="AL1188" s="3">
        <v>1</v>
      </c>
      <c r="AM1188" s="3">
        <v>5</v>
      </c>
      <c r="AN1188" s="3">
        <v>0</v>
      </c>
      <c r="AO1188" s="3">
        <v>0</v>
      </c>
      <c r="AP1188" s="3">
        <v>0</v>
      </c>
      <c r="AQ1188" s="3">
        <v>0</v>
      </c>
      <c r="AR1188" s="2" t="s">
        <v>5</v>
      </c>
      <c r="AS1188" s="2" t="s">
        <v>16</v>
      </c>
      <c r="AT1188" s="5" t="str">
        <f>HYPERLINK("http://catalog.hathitrust.org/Record/002501398","HathiTrust Record")</f>
        <v>HathiTrust Record</v>
      </c>
      <c r="AU1188" s="5" t="str">
        <f>HYPERLINK("https://creighton-primo.hosted.exlibrisgroup.com/primo-explore/search?tab=default_tab&amp;search_scope=EVERYTHING&amp;vid=01CRU&amp;lang=en_US&amp;offset=0&amp;query=any,contains,991001026989702656","Catalog Record")</f>
        <v>Catalog Record</v>
      </c>
      <c r="AV1188" s="5" t="str">
        <f>HYPERLINK("http://www.worldcat.org/oclc/24246419","WorldCat Record")</f>
        <v>WorldCat Record</v>
      </c>
      <c r="AW1188" s="2" t="s">
        <v>14317</v>
      </c>
      <c r="AX1188" s="2" t="s">
        <v>14318</v>
      </c>
      <c r="AY1188" s="2" t="s">
        <v>14319</v>
      </c>
      <c r="AZ1188" s="2" t="s">
        <v>14319</v>
      </c>
      <c r="BA1188" s="2" t="s">
        <v>14320</v>
      </c>
      <c r="BB1188" s="2" t="s">
        <v>21</v>
      </c>
      <c r="BD1188" s="2" t="s">
        <v>14321</v>
      </c>
      <c r="BE1188" s="2" t="s">
        <v>14322</v>
      </c>
      <c r="BF1188" s="2" t="s">
        <v>14323</v>
      </c>
    </row>
    <row r="1189" spans="1:58" ht="41.25" customHeight="1" x14ac:dyDescent="0.25">
      <c r="A1189" s="8" t="s">
        <v>5</v>
      </c>
      <c r="B1189" s="1" t="s">
        <v>0</v>
      </c>
      <c r="C1189" s="1" t="s">
        <v>1</v>
      </c>
      <c r="D1189" s="1" t="s">
        <v>14324</v>
      </c>
      <c r="E1189" s="1" t="s">
        <v>14325</v>
      </c>
      <c r="F1189" s="1" t="s">
        <v>14326</v>
      </c>
      <c r="H1189" s="2" t="s">
        <v>5</v>
      </c>
      <c r="I1189" s="2" t="s">
        <v>6</v>
      </c>
      <c r="J1189" s="2" t="s">
        <v>5</v>
      </c>
      <c r="K1189" s="2" t="s">
        <v>5</v>
      </c>
      <c r="L1189" s="2" t="s">
        <v>7</v>
      </c>
      <c r="N1189" s="1" t="s">
        <v>11771</v>
      </c>
      <c r="O1189" s="2" t="s">
        <v>794</v>
      </c>
      <c r="P1189" s="1" t="s">
        <v>1208</v>
      </c>
      <c r="Q1189" s="2" t="s">
        <v>11</v>
      </c>
      <c r="R1189" s="2" t="s">
        <v>31</v>
      </c>
      <c r="T1189" s="2" t="s">
        <v>520</v>
      </c>
      <c r="U1189" s="3">
        <v>40</v>
      </c>
      <c r="V1189" s="3">
        <v>40</v>
      </c>
      <c r="W1189" s="4" t="s">
        <v>14096</v>
      </c>
      <c r="X1189" s="4" t="s">
        <v>14096</v>
      </c>
      <c r="Y1189" s="4" t="s">
        <v>10557</v>
      </c>
      <c r="Z1189" s="4" t="s">
        <v>10557</v>
      </c>
      <c r="AA1189" s="3">
        <v>338</v>
      </c>
      <c r="AB1189" s="3">
        <v>246</v>
      </c>
      <c r="AC1189" s="3">
        <v>263</v>
      </c>
      <c r="AD1189" s="3">
        <v>2</v>
      </c>
      <c r="AE1189" s="3">
        <v>2</v>
      </c>
      <c r="AF1189" s="3">
        <v>13</v>
      </c>
      <c r="AG1189" s="3">
        <v>15</v>
      </c>
      <c r="AH1189" s="3">
        <v>5</v>
      </c>
      <c r="AI1189" s="3">
        <v>6</v>
      </c>
      <c r="AJ1189" s="3">
        <v>4</v>
      </c>
      <c r="AK1189" s="3">
        <v>5</v>
      </c>
      <c r="AL1189" s="3">
        <v>7</v>
      </c>
      <c r="AM1189" s="3">
        <v>7</v>
      </c>
      <c r="AN1189" s="3">
        <v>0</v>
      </c>
      <c r="AO1189" s="3">
        <v>0</v>
      </c>
      <c r="AP1189" s="3">
        <v>0</v>
      </c>
      <c r="AQ1189" s="3">
        <v>0</v>
      </c>
      <c r="AR1189" s="2" t="s">
        <v>5</v>
      </c>
      <c r="AS1189" s="2" t="s">
        <v>16</v>
      </c>
      <c r="AT1189" s="5" t="str">
        <f>HYPERLINK("http://catalog.hathitrust.org/Record/003028127","HathiTrust Record")</f>
        <v>HathiTrust Record</v>
      </c>
      <c r="AU1189" s="5" t="str">
        <f>HYPERLINK("https://creighton-primo.hosted.exlibrisgroup.com/primo-explore/search?tab=default_tab&amp;search_scope=EVERYTHING&amp;vid=01CRU&amp;lang=en_US&amp;offset=0&amp;query=any,contains,991001551189702656","Catalog Record")</f>
        <v>Catalog Record</v>
      </c>
      <c r="AV1189" s="5" t="str">
        <f>HYPERLINK("http://www.worldcat.org/oclc/33440531","WorldCat Record")</f>
        <v>WorldCat Record</v>
      </c>
      <c r="AW1189" s="2" t="s">
        <v>14327</v>
      </c>
      <c r="AX1189" s="2" t="s">
        <v>14328</v>
      </c>
      <c r="AY1189" s="2" t="s">
        <v>14329</v>
      </c>
      <c r="AZ1189" s="2" t="s">
        <v>14329</v>
      </c>
      <c r="BA1189" s="2" t="s">
        <v>14330</v>
      </c>
      <c r="BB1189" s="2" t="s">
        <v>21</v>
      </c>
      <c r="BD1189" s="2" t="s">
        <v>14331</v>
      </c>
      <c r="BE1189" s="2" t="s">
        <v>14332</v>
      </c>
      <c r="BF1189" s="2" t="s">
        <v>14333</v>
      </c>
    </row>
    <row r="1190" spans="1:58" ht="41.25" customHeight="1" x14ac:dyDescent="0.25">
      <c r="A1190" s="8" t="s">
        <v>5</v>
      </c>
      <c r="B1190" s="1" t="s">
        <v>0</v>
      </c>
      <c r="C1190" s="1" t="s">
        <v>1</v>
      </c>
      <c r="D1190" s="1" t="s">
        <v>14334</v>
      </c>
      <c r="E1190" s="1" t="s">
        <v>14335</v>
      </c>
      <c r="F1190" s="1" t="s">
        <v>14336</v>
      </c>
      <c r="H1190" s="2" t="s">
        <v>5</v>
      </c>
      <c r="I1190" s="2" t="s">
        <v>6</v>
      </c>
      <c r="J1190" s="2" t="s">
        <v>5</v>
      </c>
      <c r="K1190" s="2" t="s">
        <v>5</v>
      </c>
      <c r="L1190" s="2" t="s">
        <v>7</v>
      </c>
      <c r="N1190" s="1" t="s">
        <v>14337</v>
      </c>
      <c r="O1190" s="2" t="s">
        <v>601</v>
      </c>
      <c r="Q1190" s="2" t="s">
        <v>11</v>
      </c>
      <c r="R1190" s="2" t="s">
        <v>78</v>
      </c>
      <c r="T1190" s="2" t="s">
        <v>520</v>
      </c>
      <c r="U1190" s="3">
        <v>5</v>
      </c>
      <c r="V1190" s="3">
        <v>5</v>
      </c>
      <c r="W1190" s="4" t="s">
        <v>14338</v>
      </c>
      <c r="X1190" s="4" t="s">
        <v>14338</v>
      </c>
      <c r="Y1190" s="4" t="s">
        <v>14339</v>
      </c>
      <c r="Z1190" s="4" t="s">
        <v>14339</v>
      </c>
      <c r="AA1190" s="3">
        <v>213</v>
      </c>
      <c r="AB1190" s="3">
        <v>159</v>
      </c>
      <c r="AC1190" s="3">
        <v>325</v>
      </c>
      <c r="AD1190" s="3">
        <v>1</v>
      </c>
      <c r="AE1190" s="3">
        <v>1</v>
      </c>
      <c r="AF1190" s="3">
        <v>5</v>
      </c>
      <c r="AG1190" s="3">
        <v>14</v>
      </c>
      <c r="AH1190" s="3">
        <v>1</v>
      </c>
      <c r="AI1190" s="3">
        <v>6</v>
      </c>
      <c r="AJ1190" s="3">
        <v>1</v>
      </c>
      <c r="AK1190" s="3">
        <v>2</v>
      </c>
      <c r="AL1190" s="3">
        <v>4</v>
      </c>
      <c r="AM1190" s="3">
        <v>8</v>
      </c>
      <c r="AN1190" s="3">
        <v>0</v>
      </c>
      <c r="AO1190" s="3">
        <v>0</v>
      </c>
      <c r="AP1190" s="3">
        <v>0</v>
      </c>
      <c r="AQ1190" s="3">
        <v>0</v>
      </c>
      <c r="AR1190" s="2" t="s">
        <v>5</v>
      </c>
      <c r="AS1190" s="2" t="s">
        <v>16</v>
      </c>
      <c r="AT1190" s="5" t="str">
        <f>HYPERLINK("http://catalog.hathitrust.org/Record/002960362","HathiTrust Record")</f>
        <v>HathiTrust Record</v>
      </c>
      <c r="AU1190" s="5" t="str">
        <f>HYPERLINK("https://creighton-primo.hosted.exlibrisgroup.com/primo-explore/search?tab=default_tab&amp;search_scope=EVERYTHING&amp;vid=01CRU&amp;lang=en_US&amp;offset=0&amp;query=any,contains,991001501379702656","Catalog Record")</f>
        <v>Catalog Record</v>
      </c>
      <c r="AV1190" s="5" t="str">
        <f>HYPERLINK("http://www.worldcat.org/oclc/30669915","WorldCat Record")</f>
        <v>WorldCat Record</v>
      </c>
      <c r="AW1190" s="2" t="s">
        <v>14340</v>
      </c>
      <c r="AX1190" s="2" t="s">
        <v>14341</v>
      </c>
      <c r="AY1190" s="2" t="s">
        <v>14342</v>
      </c>
      <c r="AZ1190" s="2" t="s">
        <v>14342</v>
      </c>
      <c r="BA1190" s="2" t="s">
        <v>14343</v>
      </c>
      <c r="BB1190" s="2" t="s">
        <v>21</v>
      </c>
      <c r="BD1190" s="2" t="s">
        <v>14344</v>
      </c>
      <c r="BE1190" s="2" t="s">
        <v>14345</v>
      </c>
      <c r="BF1190" s="2" t="s">
        <v>14346</v>
      </c>
    </row>
    <row r="1191" spans="1:58" ht="41.25" customHeight="1" x14ac:dyDescent="0.25">
      <c r="A1191" s="8" t="s">
        <v>5</v>
      </c>
      <c r="B1191" s="1" t="s">
        <v>0</v>
      </c>
      <c r="C1191" s="1" t="s">
        <v>1</v>
      </c>
      <c r="D1191" s="1" t="s">
        <v>14347</v>
      </c>
      <c r="E1191" s="1" t="s">
        <v>14348</v>
      </c>
      <c r="F1191" s="1" t="s">
        <v>14349</v>
      </c>
      <c r="H1191" s="2" t="s">
        <v>5</v>
      </c>
      <c r="I1191" s="2" t="s">
        <v>6</v>
      </c>
      <c r="J1191" s="2" t="s">
        <v>5</v>
      </c>
      <c r="K1191" s="2" t="s">
        <v>5</v>
      </c>
      <c r="L1191" s="2" t="s">
        <v>7</v>
      </c>
      <c r="M1191" s="1" t="s">
        <v>14350</v>
      </c>
      <c r="N1191" s="1" t="s">
        <v>14351</v>
      </c>
      <c r="O1191" s="2" t="s">
        <v>1102</v>
      </c>
      <c r="Q1191" s="2" t="s">
        <v>11</v>
      </c>
      <c r="R1191" s="2" t="s">
        <v>31</v>
      </c>
      <c r="S1191" s="1" t="s">
        <v>14352</v>
      </c>
      <c r="T1191" s="2" t="s">
        <v>520</v>
      </c>
      <c r="U1191" s="3">
        <v>4</v>
      </c>
      <c r="V1191" s="3">
        <v>4</v>
      </c>
      <c r="W1191" s="4" t="s">
        <v>14353</v>
      </c>
      <c r="X1191" s="4" t="s">
        <v>14353</v>
      </c>
      <c r="Y1191" s="4" t="s">
        <v>1105</v>
      </c>
      <c r="Z1191" s="4" t="s">
        <v>1105</v>
      </c>
      <c r="AA1191" s="3">
        <v>227</v>
      </c>
      <c r="AB1191" s="3">
        <v>207</v>
      </c>
      <c r="AC1191" s="3">
        <v>215</v>
      </c>
      <c r="AD1191" s="3">
        <v>1</v>
      </c>
      <c r="AE1191" s="3">
        <v>1</v>
      </c>
      <c r="AF1191" s="3">
        <v>8</v>
      </c>
      <c r="AG1191" s="3">
        <v>9</v>
      </c>
      <c r="AH1191" s="3">
        <v>3</v>
      </c>
      <c r="AI1191" s="3">
        <v>4</v>
      </c>
      <c r="AJ1191" s="3">
        <v>2</v>
      </c>
      <c r="AK1191" s="3">
        <v>2</v>
      </c>
      <c r="AL1191" s="3">
        <v>4</v>
      </c>
      <c r="AM1191" s="3">
        <v>4</v>
      </c>
      <c r="AN1191" s="3">
        <v>0</v>
      </c>
      <c r="AO1191" s="3">
        <v>0</v>
      </c>
      <c r="AP1191" s="3">
        <v>0</v>
      </c>
      <c r="AQ1191" s="3">
        <v>0</v>
      </c>
      <c r="AR1191" s="2" t="s">
        <v>5</v>
      </c>
      <c r="AS1191" s="2" t="s">
        <v>16</v>
      </c>
      <c r="AT1191" s="5" t="str">
        <f>HYPERLINK("http://catalog.hathitrust.org/Record/000389531","HathiTrust Record")</f>
        <v>HathiTrust Record</v>
      </c>
      <c r="AU1191" s="5" t="str">
        <f>HYPERLINK("https://creighton-primo.hosted.exlibrisgroup.com/primo-explore/search?tab=default_tab&amp;search_scope=EVERYTHING&amp;vid=01CRU&amp;lang=en_US&amp;offset=0&amp;query=any,contains,991001519239702656","Catalog Record")</f>
        <v>Catalog Record</v>
      </c>
      <c r="AV1191" s="5" t="str">
        <f>HYPERLINK("http://www.worldcat.org/oclc/13269370","WorldCat Record")</f>
        <v>WorldCat Record</v>
      </c>
      <c r="AW1191" s="2" t="s">
        <v>14354</v>
      </c>
      <c r="AX1191" s="2" t="s">
        <v>14355</v>
      </c>
      <c r="AY1191" s="2" t="s">
        <v>14356</v>
      </c>
      <c r="AZ1191" s="2" t="s">
        <v>14356</v>
      </c>
      <c r="BA1191" s="2" t="s">
        <v>14357</v>
      </c>
      <c r="BB1191" s="2" t="s">
        <v>21</v>
      </c>
      <c r="BE1191" s="2" t="s">
        <v>14358</v>
      </c>
      <c r="BF1191" s="2" t="s">
        <v>14359</v>
      </c>
    </row>
    <row r="1192" spans="1:58" ht="41.25" customHeight="1" x14ac:dyDescent="0.25">
      <c r="A1192" s="8" t="s">
        <v>5</v>
      </c>
      <c r="B1192" s="1" t="s">
        <v>0</v>
      </c>
      <c r="C1192" s="1" t="s">
        <v>1</v>
      </c>
      <c r="D1192" s="1" t="s">
        <v>14360</v>
      </c>
      <c r="E1192" s="1" t="s">
        <v>14361</v>
      </c>
      <c r="F1192" s="1" t="s">
        <v>14362</v>
      </c>
      <c r="H1192" s="2" t="s">
        <v>5</v>
      </c>
      <c r="I1192" s="2" t="s">
        <v>6</v>
      </c>
      <c r="J1192" s="2" t="s">
        <v>5</v>
      </c>
      <c r="K1192" s="2" t="s">
        <v>5</v>
      </c>
      <c r="L1192" s="2" t="s">
        <v>7</v>
      </c>
      <c r="N1192" s="1" t="s">
        <v>14363</v>
      </c>
      <c r="O1192" s="2" t="s">
        <v>888</v>
      </c>
      <c r="P1192" s="1" t="s">
        <v>355</v>
      </c>
      <c r="Q1192" s="2" t="s">
        <v>11</v>
      </c>
      <c r="R1192" s="2" t="s">
        <v>1427</v>
      </c>
      <c r="T1192" s="2" t="s">
        <v>520</v>
      </c>
      <c r="U1192" s="3">
        <v>3</v>
      </c>
      <c r="V1192" s="3">
        <v>3</v>
      </c>
      <c r="W1192" s="4" t="s">
        <v>14364</v>
      </c>
      <c r="X1192" s="4" t="s">
        <v>14364</v>
      </c>
      <c r="Y1192" s="4" t="s">
        <v>197</v>
      </c>
      <c r="Z1192" s="4" t="s">
        <v>197</v>
      </c>
      <c r="AA1192" s="3">
        <v>155</v>
      </c>
      <c r="AB1192" s="3">
        <v>113</v>
      </c>
      <c r="AC1192" s="3">
        <v>115</v>
      </c>
      <c r="AD1192" s="3">
        <v>1</v>
      </c>
      <c r="AE1192" s="3">
        <v>1</v>
      </c>
      <c r="AF1192" s="3">
        <v>2</v>
      </c>
      <c r="AG1192" s="3">
        <v>2</v>
      </c>
      <c r="AH1192" s="3">
        <v>0</v>
      </c>
      <c r="AI1192" s="3">
        <v>0</v>
      </c>
      <c r="AJ1192" s="3">
        <v>1</v>
      </c>
      <c r="AK1192" s="3">
        <v>1</v>
      </c>
      <c r="AL1192" s="3">
        <v>2</v>
      </c>
      <c r="AM1192" s="3">
        <v>2</v>
      </c>
      <c r="AN1192" s="3">
        <v>0</v>
      </c>
      <c r="AO1192" s="3">
        <v>0</v>
      </c>
      <c r="AP1192" s="3">
        <v>0</v>
      </c>
      <c r="AQ1192" s="3">
        <v>0</v>
      </c>
      <c r="AR1192" s="2" t="s">
        <v>5</v>
      </c>
      <c r="AS1192" s="2" t="s">
        <v>16</v>
      </c>
      <c r="AT1192" s="5" t="str">
        <f>HYPERLINK("http://catalog.hathitrust.org/Record/000371641","HathiTrust Record")</f>
        <v>HathiTrust Record</v>
      </c>
      <c r="AU1192" s="5" t="str">
        <f>HYPERLINK("https://creighton-primo.hosted.exlibrisgroup.com/primo-explore/search?tab=default_tab&amp;search_scope=EVERYTHING&amp;vid=01CRU&amp;lang=en_US&amp;offset=0&amp;query=any,contains,991001083769702656","Catalog Record")</f>
        <v>Catalog Record</v>
      </c>
      <c r="AV1192" s="5" t="str">
        <f>HYPERLINK("http://www.worldcat.org/oclc/10017994","WorldCat Record")</f>
        <v>WorldCat Record</v>
      </c>
      <c r="AW1192" s="2" t="s">
        <v>14365</v>
      </c>
      <c r="AX1192" s="2" t="s">
        <v>14366</v>
      </c>
      <c r="AY1192" s="2" t="s">
        <v>14367</v>
      </c>
      <c r="AZ1192" s="2" t="s">
        <v>14367</v>
      </c>
      <c r="BA1192" s="2" t="s">
        <v>14368</v>
      </c>
      <c r="BB1192" s="2" t="s">
        <v>21</v>
      </c>
      <c r="BD1192" s="2" t="s">
        <v>14369</v>
      </c>
      <c r="BE1192" s="2" t="s">
        <v>14370</v>
      </c>
      <c r="BF1192" s="2" t="s">
        <v>14371</v>
      </c>
    </row>
    <row r="1193" spans="1:58" ht="41.25" customHeight="1" x14ac:dyDescent="0.25">
      <c r="A1193" s="8" t="s">
        <v>5</v>
      </c>
      <c r="B1193" s="1" t="s">
        <v>0</v>
      </c>
      <c r="C1193" s="1" t="s">
        <v>1</v>
      </c>
      <c r="D1193" s="1" t="s">
        <v>14372</v>
      </c>
      <c r="E1193" s="1" t="s">
        <v>14373</v>
      </c>
      <c r="F1193" s="1" t="s">
        <v>14374</v>
      </c>
      <c r="H1193" s="2" t="s">
        <v>5</v>
      </c>
      <c r="I1193" s="2" t="s">
        <v>6</v>
      </c>
      <c r="J1193" s="2" t="s">
        <v>5</v>
      </c>
      <c r="K1193" s="2" t="s">
        <v>5</v>
      </c>
      <c r="L1193" s="2" t="s">
        <v>7</v>
      </c>
      <c r="N1193" s="1" t="s">
        <v>14375</v>
      </c>
      <c r="O1193" s="2" t="s">
        <v>1102</v>
      </c>
      <c r="Q1193" s="2" t="s">
        <v>11</v>
      </c>
      <c r="R1193" s="2" t="s">
        <v>426</v>
      </c>
      <c r="T1193" s="2" t="s">
        <v>520</v>
      </c>
      <c r="U1193" s="3">
        <v>8</v>
      </c>
      <c r="V1193" s="3">
        <v>8</v>
      </c>
      <c r="W1193" s="4" t="s">
        <v>14376</v>
      </c>
      <c r="X1193" s="4" t="s">
        <v>14376</v>
      </c>
      <c r="Y1193" s="4" t="s">
        <v>197</v>
      </c>
      <c r="Z1193" s="4" t="s">
        <v>197</v>
      </c>
      <c r="AA1193" s="3">
        <v>300</v>
      </c>
      <c r="AB1193" s="3">
        <v>223</v>
      </c>
      <c r="AC1193" s="3">
        <v>225</v>
      </c>
      <c r="AD1193" s="3">
        <v>3</v>
      </c>
      <c r="AE1193" s="3">
        <v>3</v>
      </c>
      <c r="AF1193" s="3">
        <v>9</v>
      </c>
      <c r="AG1193" s="3">
        <v>9</v>
      </c>
      <c r="AH1193" s="3">
        <v>4</v>
      </c>
      <c r="AI1193" s="3">
        <v>4</v>
      </c>
      <c r="AJ1193" s="3">
        <v>2</v>
      </c>
      <c r="AK1193" s="3">
        <v>2</v>
      </c>
      <c r="AL1193" s="3">
        <v>5</v>
      </c>
      <c r="AM1193" s="3">
        <v>5</v>
      </c>
      <c r="AN1193" s="3">
        <v>1</v>
      </c>
      <c r="AO1193" s="3">
        <v>1</v>
      </c>
      <c r="AP1193" s="3">
        <v>0</v>
      </c>
      <c r="AQ1193" s="3">
        <v>0</v>
      </c>
      <c r="AR1193" s="2" t="s">
        <v>5</v>
      </c>
      <c r="AS1193" s="2" t="s">
        <v>16</v>
      </c>
      <c r="AT1193" s="5" t="str">
        <f>HYPERLINK("http://catalog.hathitrust.org/Record/000624617","HathiTrust Record")</f>
        <v>HathiTrust Record</v>
      </c>
      <c r="AU1193" s="5" t="str">
        <f>HYPERLINK("https://creighton-primo.hosted.exlibrisgroup.com/primo-explore/search?tab=default_tab&amp;search_scope=EVERYTHING&amp;vid=01CRU&amp;lang=en_US&amp;offset=0&amp;query=any,contains,991001083799702656","Catalog Record")</f>
        <v>Catalog Record</v>
      </c>
      <c r="AV1193" s="5" t="str">
        <f>HYPERLINK("http://www.worldcat.org/oclc/12972928","WorldCat Record")</f>
        <v>WorldCat Record</v>
      </c>
      <c r="AW1193" s="2" t="s">
        <v>14377</v>
      </c>
      <c r="AX1193" s="2" t="s">
        <v>14378</v>
      </c>
      <c r="AY1193" s="2" t="s">
        <v>14379</v>
      </c>
      <c r="AZ1193" s="2" t="s">
        <v>14379</v>
      </c>
      <c r="BA1193" s="2" t="s">
        <v>14380</v>
      </c>
      <c r="BB1193" s="2" t="s">
        <v>21</v>
      </c>
      <c r="BD1193" s="2" t="s">
        <v>14381</v>
      </c>
      <c r="BE1193" s="2" t="s">
        <v>14382</v>
      </c>
      <c r="BF1193" s="2" t="s">
        <v>14383</v>
      </c>
    </row>
    <row r="1194" spans="1:58" ht="41.25" customHeight="1" x14ac:dyDescent="0.25">
      <c r="A1194" s="8" t="s">
        <v>5</v>
      </c>
      <c r="B1194" s="1" t="s">
        <v>0</v>
      </c>
      <c r="C1194" s="1" t="s">
        <v>1</v>
      </c>
      <c r="D1194" s="1" t="s">
        <v>14384</v>
      </c>
      <c r="E1194" s="1" t="s">
        <v>14385</v>
      </c>
      <c r="F1194" s="1" t="s">
        <v>14386</v>
      </c>
      <c r="H1194" s="2" t="s">
        <v>5</v>
      </c>
      <c r="I1194" s="2" t="s">
        <v>6</v>
      </c>
      <c r="J1194" s="2" t="s">
        <v>5</v>
      </c>
      <c r="K1194" s="2" t="s">
        <v>5</v>
      </c>
      <c r="L1194" s="2" t="s">
        <v>7</v>
      </c>
      <c r="M1194" s="1" t="s">
        <v>14387</v>
      </c>
      <c r="N1194" s="1" t="s">
        <v>14388</v>
      </c>
      <c r="O1194" s="2" t="s">
        <v>393</v>
      </c>
      <c r="P1194" s="1" t="s">
        <v>211</v>
      </c>
      <c r="Q1194" s="2" t="s">
        <v>11</v>
      </c>
      <c r="R1194" s="2" t="s">
        <v>78</v>
      </c>
      <c r="T1194" s="2" t="s">
        <v>520</v>
      </c>
      <c r="U1194" s="3">
        <v>95</v>
      </c>
      <c r="V1194" s="3">
        <v>95</v>
      </c>
      <c r="W1194" s="4" t="s">
        <v>14389</v>
      </c>
      <c r="X1194" s="4" t="s">
        <v>14389</v>
      </c>
      <c r="Y1194" s="4" t="s">
        <v>14162</v>
      </c>
      <c r="Z1194" s="4" t="s">
        <v>14162</v>
      </c>
      <c r="AA1194" s="3">
        <v>288</v>
      </c>
      <c r="AB1194" s="3">
        <v>215</v>
      </c>
      <c r="AC1194" s="3">
        <v>336</v>
      </c>
      <c r="AD1194" s="3">
        <v>2</v>
      </c>
      <c r="AE1194" s="3">
        <v>4</v>
      </c>
      <c r="AF1194" s="3">
        <v>9</v>
      </c>
      <c r="AG1194" s="3">
        <v>14</v>
      </c>
      <c r="AH1194" s="3">
        <v>3</v>
      </c>
      <c r="AI1194" s="3">
        <v>4</v>
      </c>
      <c r="AJ1194" s="3">
        <v>2</v>
      </c>
      <c r="AK1194" s="3">
        <v>3</v>
      </c>
      <c r="AL1194" s="3">
        <v>5</v>
      </c>
      <c r="AM1194" s="3">
        <v>6</v>
      </c>
      <c r="AN1194" s="3">
        <v>1</v>
      </c>
      <c r="AO1194" s="3">
        <v>3</v>
      </c>
      <c r="AP1194" s="3">
        <v>0</v>
      </c>
      <c r="AQ1194" s="3">
        <v>0</v>
      </c>
      <c r="AR1194" s="2" t="s">
        <v>5</v>
      </c>
      <c r="AS1194" s="2" t="s">
        <v>16</v>
      </c>
      <c r="AT1194" s="5" t="str">
        <f>HYPERLINK("http://catalog.hathitrust.org/Record/000142768","HathiTrust Record")</f>
        <v>HathiTrust Record</v>
      </c>
      <c r="AU1194" s="5" t="str">
        <f>HYPERLINK("https://creighton-primo.hosted.exlibrisgroup.com/primo-explore/search?tab=default_tab&amp;search_scope=EVERYTHING&amp;vid=01CRU&amp;lang=en_US&amp;offset=0&amp;query=any,contains,991001325689702656","Catalog Record")</f>
        <v>Catalog Record</v>
      </c>
      <c r="AV1194" s="5" t="str">
        <f>HYPERLINK("http://www.worldcat.org/oclc/7173797","WorldCat Record")</f>
        <v>WorldCat Record</v>
      </c>
      <c r="AW1194" s="2" t="s">
        <v>14390</v>
      </c>
      <c r="AX1194" s="2" t="s">
        <v>14391</v>
      </c>
      <c r="AY1194" s="2" t="s">
        <v>14392</v>
      </c>
      <c r="AZ1194" s="2" t="s">
        <v>14392</v>
      </c>
      <c r="BA1194" s="2" t="s">
        <v>14393</v>
      </c>
      <c r="BB1194" s="2" t="s">
        <v>21</v>
      </c>
      <c r="BD1194" s="2" t="s">
        <v>14394</v>
      </c>
      <c r="BE1194" s="2" t="s">
        <v>14395</v>
      </c>
      <c r="BF1194" s="2" t="s">
        <v>14396</v>
      </c>
    </row>
    <row r="1195" spans="1:58" ht="41.25" customHeight="1" x14ac:dyDescent="0.25">
      <c r="A1195" s="8" t="s">
        <v>5</v>
      </c>
      <c r="B1195" s="1" t="s">
        <v>0</v>
      </c>
      <c r="C1195" s="1" t="s">
        <v>1</v>
      </c>
      <c r="D1195" s="1" t="s">
        <v>14397</v>
      </c>
      <c r="E1195" s="1" t="s">
        <v>14398</v>
      </c>
      <c r="F1195" s="1" t="s">
        <v>14399</v>
      </c>
      <c r="H1195" s="2" t="s">
        <v>5</v>
      </c>
      <c r="I1195" s="2" t="s">
        <v>6</v>
      </c>
      <c r="J1195" s="2" t="s">
        <v>5</v>
      </c>
      <c r="K1195" s="2" t="s">
        <v>5</v>
      </c>
      <c r="L1195" s="2" t="s">
        <v>7</v>
      </c>
      <c r="M1195" s="1" t="s">
        <v>14400</v>
      </c>
      <c r="N1195" s="1" t="s">
        <v>10106</v>
      </c>
      <c r="O1195" s="2" t="s">
        <v>285</v>
      </c>
      <c r="Q1195" s="2" t="s">
        <v>11</v>
      </c>
      <c r="R1195" s="2" t="s">
        <v>12</v>
      </c>
      <c r="S1195" s="1" t="s">
        <v>3264</v>
      </c>
      <c r="T1195" s="2" t="s">
        <v>520</v>
      </c>
      <c r="U1195" s="3">
        <v>8</v>
      </c>
      <c r="V1195" s="3">
        <v>8</v>
      </c>
      <c r="W1195" s="4" t="s">
        <v>14401</v>
      </c>
      <c r="X1195" s="4" t="s">
        <v>14401</v>
      </c>
      <c r="Y1195" s="4" t="s">
        <v>197</v>
      </c>
      <c r="Z1195" s="4" t="s">
        <v>197</v>
      </c>
      <c r="AA1195" s="3">
        <v>254</v>
      </c>
      <c r="AB1195" s="3">
        <v>187</v>
      </c>
      <c r="AC1195" s="3">
        <v>189</v>
      </c>
      <c r="AD1195" s="3">
        <v>2</v>
      </c>
      <c r="AE1195" s="3">
        <v>2</v>
      </c>
      <c r="AF1195" s="3">
        <v>13</v>
      </c>
      <c r="AG1195" s="3">
        <v>13</v>
      </c>
      <c r="AH1195" s="3">
        <v>4</v>
      </c>
      <c r="AI1195" s="3">
        <v>4</v>
      </c>
      <c r="AJ1195" s="3">
        <v>3</v>
      </c>
      <c r="AK1195" s="3">
        <v>3</v>
      </c>
      <c r="AL1195" s="3">
        <v>7</v>
      </c>
      <c r="AM1195" s="3">
        <v>7</v>
      </c>
      <c r="AN1195" s="3">
        <v>1</v>
      </c>
      <c r="AO1195" s="3">
        <v>1</v>
      </c>
      <c r="AP1195" s="3">
        <v>0</v>
      </c>
      <c r="AQ1195" s="3">
        <v>0</v>
      </c>
      <c r="AR1195" s="2" t="s">
        <v>5</v>
      </c>
      <c r="AS1195" s="2" t="s">
        <v>16</v>
      </c>
      <c r="AT1195" s="5" t="str">
        <f>HYPERLINK("http://catalog.hathitrust.org/Record/000180455","HathiTrust Record")</f>
        <v>HathiTrust Record</v>
      </c>
      <c r="AU1195" s="5" t="str">
        <f>HYPERLINK("https://creighton-primo.hosted.exlibrisgroup.com/primo-explore/search?tab=default_tab&amp;search_scope=EVERYTHING&amp;vid=01CRU&amp;lang=en_US&amp;offset=0&amp;query=any,contains,991001083849702656","Catalog Record")</f>
        <v>Catalog Record</v>
      </c>
      <c r="AV1195" s="5" t="str">
        <f>HYPERLINK("http://www.worldcat.org/oclc/4136112","WorldCat Record")</f>
        <v>WorldCat Record</v>
      </c>
      <c r="AW1195" s="2" t="s">
        <v>14402</v>
      </c>
      <c r="AX1195" s="2" t="s">
        <v>14403</v>
      </c>
      <c r="AY1195" s="2" t="s">
        <v>14404</v>
      </c>
      <c r="AZ1195" s="2" t="s">
        <v>14404</v>
      </c>
      <c r="BA1195" s="2" t="s">
        <v>14405</v>
      </c>
      <c r="BB1195" s="2" t="s">
        <v>21</v>
      </c>
      <c r="BD1195" s="2" t="s">
        <v>14406</v>
      </c>
      <c r="BE1195" s="2" t="s">
        <v>14407</v>
      </c>
      <c r="BF1195" s="2" t="s">
        <v>14408</v>
      </c>
    </row>
    <row r="1196" spans="1:58" ht="41.25" customHeight="1" x14ac:dyDescent="0.25">
      <c r="A1196" s="8" t="s">
        <v>5</v>
      </c>
      <c r="B1196" s="1" t="s">
        <v>0</v>
      </c>
      <c r="C1196" s="1" t="s">
        <v>1</v>
      </c>
      <c r="D1196" s="1" t="s">
        <v>14409</v>
      </c>
      <c r="E1196" s="1" t="s">
        <v>14410</v>
      </c>
      <c r="F1196" s="1" t="s">
        <v>14411</v>
      </c>
      <c r="H1196" s="2" t="s">
        <v>5</v>
      </c>
      <c r="I1196" s="2" t="s">
        <v>6</v>
      </c>
      <c r="J1196" s="2" t="s">
        <v>5</v>
      </c>
      <c r="K1196" s="2" t="s">
        <v>5</v>
      </c>
      <c r="L1196" s="2" t="s">
        <v>7</v>
      </c>
      <c r="M1196" s="1" t="s">
        <v>14400</v>
      </c>
      <c r="N1196" s="1" t="s">
        <v>6152</v>
      </c>
      <c r="O1196" s="2" t="s">
        <v>939</v>
      </c>
      <c r="Q1196" s="2" t="s">
        <v>11</v>
      </c>
      <c r="R1196" s="2" t="s">
        <v>426</v>
      </c>
      <c r="T1196" s="2" t="s">
        <v>520</v>
      </c>
      <c r="U1196" s="3">
        <v>11</v>
      </c>
      <c r="V1196" s="3">
        <v>11</v>
      </c>
      <c r="W1196" s="4" t="s">
        <v>14412</v>
      </c>
      <c r="X1196" s="4" t="s">
        <v>14412</v>
      </c>
      <c r="Y1196" s="4" t="s">
        <v>3308</v>
      </c>
      <c r="Z1196" s="4" t="s">
        <v>3308</v>
      </c>
      <c r="AA1196" s="3">
        <v>196</v>
      </c>
      <c r="AB1196" s="3">
        <v>162</v>
      </c>
      <c r="AC1196" s="3">
        <v>164</v>
      </c>
      <c r="AD1196" s="3">
        <v>1</v>
      </c>
      <c r="AE1196" s="3">
        <v>1</v>
      </c>
      <c r="AF1196" s="3">
        <v>10</v>
      </c>
      <c r="AG1196" s="3">
        <v>10</v>
      </c>
      <c r="AH1196" s="3">
        <v>3</v>
      </c>
      <c r="AI1196" s="3">
        <v>3</v>
      </c>
      <c r="AJ1196" s="3">
        <v>2</v>
      </c>
      <c r="AK1196" s="3">
        <v>2</v>
      </c>
      <c r="AL1196" s="3">
        <v>7</v>
      </c>
      <c r="AM1196" s="3">
        <v>7</v>
      </c>
      <c r="AN1196" s="3">
        <v>0</v>
      </c>
      <c r="AO1196" s="3">
        <v>0</v>
      </c>
      <c r="AP1196" s="3">
        <v>0</v>
      </c>
      <c r="AQ1196" s="3">
        <v>0</v>
      </c>
      <c r="AR1196" s="2" t="s">
        <v>5</v>
      </c>
      <c r="AS1196" s="2" t="s">
        <v>16</v>
      </c>
      <c r="AT1196" s="5" t="str">
        <f>HYPERLINK("http://catalog.hathitrust.org/Record/001837539","HathiTrust Record")</f>
        <v>HathiTrust Record</v>
      </c>
      <c r="AU1196" s="5" t="str">
        <f>HYPERLINK("https://creighton-primo.hosted.exlibrisgroup.com/primo-explore/search?tab=default_tab&amp;search_scope=EVERYTHING&amp;vid=01CRU&amp;lang=en_US&amp;offset=0&amp;query=any,contains,991001315519702656","Catalog Record")</f>
        <v>Catalog Record</v>
      </c>
      <c r="AV1196" s="5" t="str">
        <f>HYPERLINK("http://www.worldcat.org/oclc/17918549","WorldCat Record")</f>
        <v>WorldCat Record</v>
      </c>
      <c r="AW1196" s="2" t="s">
        <v>14413</v>
      </c>
      <c r="AX1196" s="2" t="s">
        <v>14414</v>
      </c>
      <c r="AY1196" s="2" t="s">
        <v>14415</v>
      </c>
      <c r="AZ1196" s="2" t="s">
        <v>14415</v>
      </c>
      <c r="BA1196" s="2" t="s">
        <v>14416</v>
      </c>
      <c r="BB1196" s="2" t="s">
        <v>21</v>
      </c>
      <c r="BD1196" s="2" t="s">
        <v>14417</v>
      </c>
      <c r="BE1196" s="2" t="s">
        <v>14418</v>
      </c>
      <c r="BF1196" s="2" t="s">
        <v>14419</v>
      </c>
    </row>
    <row r="1197" spans="1:58" ht="41.25" customHeight="1" x14ac:dyDescent="0.25">
      <c r="A1197" s="8" t="s">
        <v>5</v>
      </c>
      <c r="B1197" s="1" t="s">
        <v>0</v>
      </c>
      <c r="C1197" s="1" t="s">
        <v>1</v>
      </c>
      <c r="D1197" s="1" t="s">
        <v>14420</v>
      </c>
      <c r="E1197" s="1" t="s">
        <v>14421</v>
      </c>
      <c r="F1197" s="1" t="s">
        <v>14422</v>
      </c>
      <c r="H1197" s="2" t="s">
        <v>5</v>
      </c>
      <c r="I1197" s="2" t="s">
        <v>6</v>
      </c>
      <c r="J1197" s="2" t="s">
        <v>5</v>
      </c>
      <c r="K1197" s="2" t="s">
        <v>5</v>
      </c>
      <c r="L1197" s="2" t="s">
        <v>7</v>
      </c>
      <c r="M1197" s="1" t="s">
        <v>14423</v>
      </c>
      <c r="N1197" s="1" t="s">
        <v>14424</v>
      </c>
      <c r="O1197" s="2" t="s">
        <v>136</v>
      </c>
      <c r="Q1197" s="2" t="s">
        <v>11</v>
      </c>
      <c r="R1197" s="2" t="s">
        <v>426</v>
      </c>
      <c r="T1197" s="2" t="s">
        <v>520</v>
      </c>
      <c r="U1197" s="3">
        <v>4</v>
      </c>
      <c r="V1197" s="3">
        <v>4</v>
      </c>
      <c r="W1197" s="4" t="s">
        <v>13230</v>
      </c>
      <c r="X1197" s="4" t="s">
        <v>13230</v>
      </c>
      <c r="Y1197" s="4" t="s">
        <v>7829</v>
      </c>
      <c r="Z1197" s="4" t="s">
        <v>7829</v>
      </c>
      <c r="AA1197" s="3">
        <v>197</v>
      </c>
      <c r="AB1197" s="3">
        <v>149</v>
      </c>
      <c r="AC1197" s="3">
        <v>151</v>
      </c>
      <c r="AD1197" s="3">
        <v>2</v>
      </c>
      <c r="AE1197" s="3">
        <v>2</v>
      </c>
      <c r="AF1197" s="3">
        <v>7</v>
      </c>
      <c r="AG1197" s="3">
        <v>7</v>
      </c>
      <c r="AH1197" s="3">
        <v>3</v>
      </c>
      <c r="AI1197" s="3">
        <v>3</v>
      </c>
      <c r="AJ1197" s="3">
        <v>1</v>
      </c>
      <c r="AK1197" s="3">
        <v>1</v>
      </c>
      <c r="AL1197" s="3">
        <v>4</v>
      </c>
      <c r="AM1197" s="3">
        <v>4</v>
      </c>
      <c r="AN1197" s="3">
        <v>0</v>
      </c>
      <c r="AO1197" s="3">
        <v>0</v>
      </c>
      <c r="AP1197" s="3">
        <v>0</v>
      </c>
      <c r="AQ1197" s="3">
        <v>0</v>
      </c>
      <c r="AR1197" s="2" t="s">
        <v>5</v>
      </c>
      <c r="AS1197" s="2" t="s">
        <v>16</v>
      </c>
      <c r="AT1197" s="5" t="str">
        <f>HYPERLINK("http://catalog.hathitrust.org/Record/002446253","HathiTrust Record")</f>
        <v>HathiTrust Record</v>
      </c>
      <c r="AU1197" s="5" t="str">
        <f>HYPERLINK("https://creighton-primo.hosted.exlibrisgroup.com/primo-explore/search?tab=default_tab&amp;search_scope=EVERYTHING&amp;vid=01CRU&amp;lang=en_US&amp;offset=0&amp;query=any,contains,991000827939702656","Catalog Record")</f>
        <v>Catalog Record</v>
      </c>
      <c r="AV1197" s="5" t="str">
        <f>HYPERLINK("http://www.worldcat.org/oclc/20995284","WorldCat Record")</f>
        <v>WorldCat Record</v>
      </c>
      <c r="AW1197" s="2" t="s">
        <v>14425</v>
      </c>
      <c r="AX1197" s="2" t="s">
        <v>14426</v>
      </c>
      <c r="AY1197" s="2" t="s">
        <v>14427</v>
      </c>
      <c r="AZ1197" s="2" t="s">
        <v>14427</v>
      </c>
      <c r="BA1197" s="2" t="s">
        <v>14428</v>
      </c>
      <c r="BB1197" s="2" t="s">
        <v>21</v>
      </c>
      <c r="BD1197" s="2" t="s">
        <v>14429</v>
      </c>
      <c r="BE1197" s="2" t="s">
        <v>14430</v>
      </c>
      <c r="BF1197" s="2" t="s">
        <v>14431</v>
      </c>
    </row>
    <row r="1198" spans="1:58" ht="41.25" customHeight="1" x14ac:dyDescent="0.25">
      <c r="A1198" s="8" t="s">
        <v>5</v>
      </c>
      <c r="B1198" s="1" t="s">
        <v>0</v>
      </c>
      <c r="C1198" s="1" t="s">
        <v>1</v>
      </c>
      <c r="D1198" s="1" t="s">
        <v>14432</v>
      </c>
      <c r="E1198" s="1" t="s">
        <v>14433</v>
      </c>
      <c r="F1198" s="1" t="s">
        <v>14434</v>
      </c>
      <c r="H1198" s="2" t="s">
        <v>5</v>
      </c>
      <c r="I1198" s="2" t="s">
        <v>6</v>
      </c>
      <c r="J1198" s="2" t="s">
        <v>5</v>
      </c>
      <c r="K1198" s="2" t="s">
        <v>5</v>
      </c>
      <c r="L1198" s="2" t="s">
        <v>7</v>
      </c>
      <c r="M1198" s="1" t="s">
        <v>14435</v>
      </c>
      <c r="N1198" s="1" t="s">
        <v>14436</v>
      </c>
      <c r="O1198" s="2" t="s">
        <v>382</v>
      </c>
      <c r="Q1198" s="2" t="s">
        <v>11</v>
      </c>
      <c r="R1198" s="2" t="s">
        <v>78</v>
      </c>
      <c r="T1198" s="2" t="s">
        <v>520</v>
      </c>
      <c r="U1198" s="3">
        <v>92</v>
      </c>
      <c r="V1198" s="3">
        <v>92</v>
      </c>
      <c r="W1198" s="4" t="s">
        <v>14412</v>
      </c>
      <c r="X1198" s="4" t="s">
        <v>14412</v>
      </c>
      <c r="Y1198" s="4" t="s">
        <v>329</v>
      </c>
      <c r="Z1198" s="4" t="s">
        <v>329</v>
      </c>
      <c r="AA1198" s="3">
        <v>243</v>
      </c>
      <c r="AB1198" s="3">
        <v>193</v>
      </c>
      <c r="AC1198" s="3">
        <v>200</v>
      </c>
      <c r="AD1198" s="3">
        <v>3</v>
      </c>
      <c r="AE1198" s="3">
        <v>3</v>
      </c>
      <c r="AF1198" s="3">
        <v>7</v>
      </c>
      <c r="AG1198" s="3">
        <v>7</v>
      </c>
      <c r="AH1198" s="3">
        <v>2</v>
      </c>
      <c r="AI1198" s="3">
        <v>2</v>
      </c>
      <c r="AJ1198" s="3">
        <v>0</v>
      </c>
      <c r="AK1198" s="3">
        <v>0</v>
      </c>
      <c r="AL1198" s="3">
        <v>3</v>
      </c>
      <c r="AM1198" s="3">
        <v>3</v>
      </c>
      <c r="AN1198" s="3">
        <v>2</v>
      </c>
      <c r="AO1198" s="3">
        <v>2</v>
      </c>
      <c r="AP1198" s="3">
        <v>0</v>
      </c>
      <c r="AQ1198" s="3">
        <v>0</v>
      </c>
      <c r="AR1198" s="2" t="s">
        <v>5</v>
      </c>
      <c r="AS1198" s="2" t="s">
        <v>16</v>
      </c>
      <c r="AT1198" s="5" t="str">
        <f>HYPERLINK("http://catalog.hathitrust.org/Record/000604028","HathiTrust Record")</f>
        <v>HathiTrust Record</v>
      </c>
      <c r="AU1198" s="5" t="str">
        <f>HYPERLINK("https://creighton-primo.hosted.exlibrisgroup.com/primo-explore/search?tab=default_tab&amp;search_scope=EVERYTHING&amp;vid=01CRU&amp;lang=en_US&amp;offset=0&amp;query=any,contains,991000736259702656","Catalog Record")</f>
        <v>Catalog Record</v>
      </c>
      <c r="AV1198" s="5" t="str">
        <f>HYPERLINK("http://www.worldcat.org/oclc/11262241","WorldCat Record")</f>
        <v>WorldCat Record</v>
      </c>
      <c r="AW1198" s="2" t="s">
        <v>14437</v>
      </c>
      <c r="AX1198" s="2" t="s">
        <v>14438</v>
      </c>
      <c r="AY1198" s="2" t="s">
        <v>14439</v>
      </c>
      <c r="AZ1198" s="2" t="s">
        <v>14439</v>
      </c>
      <c r="BA1198" s="2" t="s">
        <v>14440</v>
      </c>
      <c r="BB1198" s="2" t="s">
        <v>21</v>
      </c>
      <c r="BD1198" s="2" t="s">
        <v>14441</v>
      </c>
      <c r="BE1198" s="2" t="s">
        <v>14442</v>
      </c>
      <c r="BF1198" s="2" t="s">
        <v>14443</v>
      </c>
    </row>
    <row r="1199" spans="1:58" ht="41.25" customHeight="1" x14ac:dyDescent="0.25">
      <c r="A1199" s="8" t="s">
        <v>5</v>
      </c>
      <c r="B1199" s="1" t="s">
        <v>0</v>
      </c>
      <c r="C1199" s="1" t="s">
        <v>1</v>
      </c>
      <c r="D1199" s="1" t="s">
        <v>14444</v>
      </c>
      <c r="E1199" s="1" t="s">
        <v>14445</v>
      </c>
      <c r="F1199" s="1" t="s">
        <v>14446</v>
      </c>
      <c r="H1199" s="2" t="s">
        <v>5</v>
      </c>
      <c r="I1199" s="2" t="s">
        <v>6</v>
      </c>
      <c r="J1199" s="2" t="s">
        <v>5</v>
      </c>
      <c r="K1199" s="2" t="s">
        <v>16</v>
      </c>
      <c r="L1199" s="2" t="s">
        <v>7</v>
      </c>
      <c r="M1199" s="1" t="s">
        <v>14447</v>
      </c>
      <c r="N1199" s="1" t="s">
        <v>7953</v>
      </c>
      <c r="O1199" s="2" t="s">
        <v>1060</v>
      </c>
      <c r="P1199" s="1" t="s">
        <v>901</v>
      </c>
      <c r="Q1199" s="2" t="s">
        <v>11</v>
      </c>
      <c r="R1199" s="2" t="s">
        <v>78</v>
      </c>
      <c r="T1199" s="2" t="s">
        <v>520</v>
      </c>
      <c r="U1199" s="3">
        <v>2</v>
      </c>
      <c r="V1199" s="3">
        <v>2</v>
      </c>
      <c r="W1199" s="4" t="s">
        <v>14448</v>
      </c>
      <c r="X1199" s="4" t="s">
        <v>14448</v>
      </c>
      <c r="Y1199" s="4" t="s">
        <v>14449</v>
      </c>
      <c r="Z1199" s="4" t="s">
        <v>14449</v>
      </c>
      <c r="AA1199" s="3">
        <v>283</v>
      </c>
      <c r="AB1199" s="3">
        <v>197</v>
      </c>
      <c r="AC1199" s="3">
        <v>678</v>
      </c>
      <c r="AD1199" s="3">
        <v>1</v>
      </c>
      <c r="AE1199" s="3">
        <v>2</v>
      </c>
      <c r="AF1199" s="3">
        <v>4</v>
      </c>
      <c r="AG1199" s="3">
        <v>16</v>
      </c>
      <c r="AH1199" s="3">
        <v>2</v>
      </c>
      <c r="AI1199" s="3">
        <v>8</v>
      </c>
      <c r="AJ1199" s="3">
        <v>0</v>
      </c>
      <c r="AK1199" s="3">
        <v>2</v>
      </c>
      <c r="AL1199" s="3">
        <v>2</v>
      </c>
      <c r="AM1199" s="3">
        <v>9</v>
      </c>
      <c r="AN1199" s="3">
        <v>0</v>
      </c>
      <c r="AO1199" s="3">
        <v>0</v>
      </c>
      <c r="AP1199" s="3">
        <v>0</v>
      </c>
      <c r="AQ1199" s="3">
        <v>0</v>
      </c>
      <c r="AR1199" s="2" t="s">
        <v>5</v>
      </c>
      <c r="AS1199" s="2" t="s">
        <v>5</v>
      </c>
      <c r="AU1199" s="5" t="str">
        <f>HYPERLINK("https://creighton-primo.hosted.exlibrisgroup.com/primo-explore/search?tab=default_tab&amp;search_scope=EVERYTHING&amp;vid=01CRU&amp;lang=en_US&amp;offset=0&amp;query=any,contains,991000399829702656","Catalog Record")</f>
        <v>Catalog Record</v>
      </c>
      <c r="AV1199" s="5" t="str">
        <f>HYPERLINK("http://www.worldcat.org/oclc/55228216","WorldCat Record")</f>
        <v>WorldCat Record</v>
      </c>
      <c r="AW1199" s="2" t="s">
        <v>14450</v>
      </c>
      <c r="AX1199" s="2" t="s">
        <v>14451</v>
      </c>
      <c r="AY1199" s="2" t="s">
        <v>14452</v>
      </c>
      <c r="AZ1199" s="2" t="s">
        <v>14452</v>
      </c>
      <c r="BA1199" s="2" t="s">
        <v>14453</v>
      </c>
      <c r="BB1199" s="2" t="s">
        <v>21</v>
      </c>
      <c r="BD1199" s="2" t="s">
        <v>14454</v>
      </c>
      <c r="BE1199" s="2" t="s">
        <v>14455</v>
      </c>
      <c r="BF1199" s="2" t="s">
        <v>14456</v>
      </c>
    </row>
    <row r="1200" spans="1:58" ht="41.25" customHeight="1" x14ac:dyDescent="0.25">
      <c r="A1200" s="8" t="s">
        <v>5</v>
      </c>
      <c r="B1200" s="1" t="s">
        <v>0</v>
      </c>
      <c r="C1200" s="1" t="s">
        <v>1</v>
      </c>
      <c r="D1200" s="1" t="s">
        <v>14457</v>
      </c>
      <c r="E1200" s="1" t="s">
        <v>14458</v>
      </c>
      <c r="F1200" s="1" t="s">
        <v>14459</v>
      </c>
      <c r="H1200" s="2" t="s">
        <v>5</v>
      </c>
      <c r="I1200" s="2" t="s">
        <v>6</v>
      </c>
      <c r="J1200" s="2" t="s">
        <v>5</v>
      </c>
      <c r="K1200" s="2" t="s">
        <v>16</v>
      </c>
      <c r="L1200" s="2" t="s">
        <v>7</v>
      </c>
      <c r="M1200" s="1" t="s">
        <v>14460</v>
      </c>
      <c r="N1200" s="1" t="s">
        <v>6634</v>
      </c>
      <c r="O1200" s="2" t="s">
        <v>393</v>
      </c>
      <c r="Q1200" s="2" t="s">
        <v>11</v>
      </c>
      <c r="R1200" s="2" t="s">
        <v>426</v>
      </c>
      <c r="T1200" s="2" t="s">
        <v>520</v>
      </c>
      <c r="U1200" s="3">
        <v>4</v>
      </c>
      <c r="V1200" s="3">
        <v>4</v>
      </c>
      <c r="W1200" s="4" t="s">
        <v>13313</v>
      </c>
      <c r="X1200" s="4" t="s">
        <v>13313</v>
      </c>
      <c r="Y1200" s="4" t="s">
        <v>197</v>
      </c>
      <c r="Z1200" s="4" t="s">
        <v>197</v>
      </c>
      <c r="AA1200" s="3">
        <v>225</v>
      </c>
      <c r="AB1200" s="3">
        <v>188</v>
      </c>
      <c r="AC1200" s="3">
        <v>286</v>
      </c>
      <c r="AD1200" s="3">
        <v>1</v>
      </c>
      <c r="AE1200" s="3">
        <v>2</v>
      </c>
      <c r="AF1200" s="3">
        <v>5</v>
      </c>
      <c r="AG1200" s="3">
        <v>8</v>
      </c>
      <c r="AH1200" s="3">
        <v>0</v>
      </c>
      <c r="AI1200" s="3">
        <v>3</v>
      </c>
      <c r="AJ1200" s="3">
        <v>1</v>
      </c>
      <c r="AK1200" s="3">
        <v>1</v>
      </c>
      <c r="AL1200" s="3">
        <v>5</v>
      </c>
      <c r="AM1200" s="3">
        <v>6</v>
      </c>
      <c r="AN1200" s="3">
        <v>0</v>
      </c>
      <c r="AO1200" s="3">
        <v>0</v>
      </c>
      <c r="AP1200" s="3">
        <v>0</v>
      </c>
      <c r="AQ1200" s="3">
        <v>0</v>
      </c>
      <c r="AR1200" s="2" t="s">
        <v>5</v>
      </c>
      <c r="AS1200" s="2" t="s">
        <v>16</v>
      </c>
      <c r="AT1200" s="5" t="str">
        <f>HYPERLINK("http://catalog.hathitrust.org/Record/000147079","HathiTrust Record")</f>
        <v>HathiTrust Record</v>
      </c>
      <c r="AU1200" s="5" t="str">
        <f>HYPERLINK("https://creighton-primo.hosted.exlibrisgroup.com/primo-explore/search?tab=default_tab&amp;search_scope=EVERYTHING&amp;vid=01CRU&amp;lang=en_US&amp;offset=0&amp;query=any,contains,991001083969702656","Catalog Record")</f>
        <v>Catalog Record</v>
      </c>
      <c r="AV1200" s="5" t="str">
        <f>HYPERLINK("http://www.worldcat.org/oclc/6421256","WorldCat Record")</f>
        <v>WorldCat Record</v>
      </c>
      <c r="AW1200" s="2" t="s">
        <v>14268</v>
      </c>
      <c r="AX1200" s="2" t="s">
        <v>14461</v>
      </c>
      <c r="AY1200" s="2" t="s">
        <v>14462</v>
      </c>
      <c r="AZ1200" s="2" t="s">
        <v>14462</v>
      </c>
      <c r="BA1200" s="2" t="s">
        <v>14463</v>
      </c>
      <c r="BB1200" s="2" t="s">
        <v>21</v>
      </c>
      <c r="BD1200" s="2" t="s">
        <v>14464</v>
      </c>
      <c r="BE1200" s="2" t="s">
        <v>14465</v>
      </c>
      <c r="BF1200" s="2" t="s">
        <v>14466</v>
      </c>
    </row>
    <row r="1201" spans="1:58" ht="41.25" customHeight="1" x14ac:dyDescent="0.25">
      <c r="A1201" s="8" t="s">
        <v>5</v>
      </c>
      <c r="B1201" s="1" t="s">
        <v>0</v>
      </c>
      <c r="C1201" s="1" t="s">
        <v>1</v>
      </c>
      <c r="D1201" s="1" t="s">
        <v>14467</v>
      </c>
      <c r="E1201" s="1" t="s">
        <v>14468</v>
      </c>
      <c r="F1201" s="1" t="s">
        <v>14469</v>
      </c>
      <c r="H1201" s="2" t="s">
        <v>5</v>
      </c>
      <c r="I1201" s="2" t="s">
        <v>6</v>
      </c>
      <c r="J1201" s="2" t="s">
        <v>5</v>
      </c>
      <c r="K1201" s="2" t="s">
        <v>5</v>
      </c>
      <c r="L1201" s="2" t="s">
        <v>7</v>
      </c>
      <c r="M1201" s="1" t="s">
        <v>14470</v>
      </c>
      <c r="N1201" s="1" t="s">
        <v>14471</v>
      </c>
      <c r="O1201" s="2" t="s">
        <v>210</v>
      </c>
      <c r="Q1201" s="2" t="s">
        <v>11</v>
      </c>
      <c r="R1201" s="2" t="s">
        <v>426</v>
      </c>
      <c r="T1201" s="2" t="s">
        <v>520</v>
      </c>
      <c r="U1201" s="3">
        <v>9</v>
      </c>
      <c r="V1201" s="3">
        <v>9</v>
      </c>
      <c r="W1201" s="4" t="s">
        <v>14472</v>
      </c>
      <c r="X1201" s="4" t="s">
        <v>14472</v>
      </c>
      <c r="Y1201" s="4" t="s">
        <v>14473</v>
      </c>
      <c r="Z1201" s="4" t="s">
        <v>14473</v>
      </c>
      <c r="AA1201" s="3">
        <v>218</v>
      </c>
      <c r="AB1201" s="3">
        <v>158</v>
      </c>
      <c r="AC1201" s="3">
        <v>165</v>
      </c>
      <c r="AD1201" s="3">
        <v>5</v>
      </c>
      <c r="AE1201" s="3">
        <v>5</v>
      </c>
      <c r="AF1201" s="3">
        <v>12</v>
      </c>
      <c r="AG1201" s="3">
        <v>12</v>
      </c>
      <c r="AH1201" s="3">
        <v>4</v>
      </c>
      <c r="AI1201" s="3">
        <v>4</v>
      </c>
      <c r="AJ1201" s="3">
        <v>1</v>
      </c>
      <c r="AK1201" s="3">
        <v>1</v>
      </c>
      <c r="AL1201" s="3">
        <v>7</v>
      </c>
      <c r="AM1201" s="3">
        <v>7</v>
      </c>
      <c r="AN1201" s="3">
        <v>3</v>
      </c>
      <c r="AO1201" s="3">
        <v>3</v>
      </c>
      <c r="AP1201" s="3">
        <v>0</v>
      </c>
      <c r="AQ1201" s="3">
        <v>0</v>
      </c>
      <c r="AR1201" s="2" t="s">
        <v>5</v>
      </c>
      <c r="AS1201" s="2" t="s">
        <v>16</v>
      </c>
      <c r="AT1201" s="5" t="str">
        <f>HYPERLINK("http://catalog.hathitrust.org/Record/002507129","HathiTrust Record")</f>
        <v>HathiTrust Record</v>
      </c>
      <c r="AU1201" s="5" t="str">
        <f>HYPERLINK("https://creighton-primo.hosted.exlibrisgroup.com/primo-explore/search?tab=default_tab&amp;search_scope=EVERYTHING&amp;vid=01CRU&amp;lang=en_US&amp;offset=0&amp;query=any,contains,991001027479702656","Catalog Record")</f>
        <v>Catalog Record</v>
      </c>
      <c r="AV1201" s="5" t="str">
        <f>HYPERLINK("http://www.worldcat.org/oclc/23732076","WorldCat Record")</f>
        <v>WorldCat Record</v>
      </c>
      <c r="AW1201" s="2" t="s">
        <v>14474</v>
      </c>
      <c r="AX1201" s="2" t="s">
        <v>14475</v>
      </c>
      <c r="AY1201" s="2" t="s">
        <v>14476</v>
      </c>
      <c r="AZ1201" s="2" t="s">
        <v>14476</v>
      </c>
      <c r="BA1201" s="2" t="s">
        <v>14477</v>
      </c>
      <c r="BB1201" s="2" t="s">
        <v>21</v>
      </c>
      <c r="BD1201" s="2" t="s">
        <v>14478</v>
      </c>
      <c r="BE1201" s="2" t="s">
        <v>14479</v>
      </c>
      <c r="BF1201" s="2" t="s">
        <v>14480</v>
      </c>
    </row>
    <row r="1202" spans="1:58" ht="41.25" customHeight="1" x14ac:dyDescent="0.25">
      <c r="A1202" s="8" t="s">
        <v>5</v>
      </c>
      <c r="B1202" s="1" t="s">
        <v>0</v>
      </c>
      <c r="C1202" s="1" t="s">
        <v>1</v>
      </c>
      <c r="D1202" s="1" t="s">
        <v>14481</v>
      </c>
      <c r="E1202" s="1" t="s">
        <v>14482</v>
      </c>
      <c r="F1202" s="1" t="s">
        <v>14483</v>
      </c>
      <c r="H1202" s="2" t="s">
        <v>5</v>
      </c>
      <c r="I1202" s="2" t="s">
        <v>6</v>
      </c>
      <c r="J1202" s="2" t="s">
        <v>5</v>
      </c>
      <c r="K1202" s="2" t="s">
        <v>5</v>
      </c>
      <c r="L1202" s="2" t="s">
        <v>7</v>
      </c>
      <c r="N1202" s="1" t="s">
        <v>14484</v>
      </c>
      <c r="O1202" s="2" t="s">
        <v>939</v>
      </c>
      <c r="Q1202" s="2" t="s">
        <v>11</v>
      </c>
      <c r="R1202" s="2" t="s">
        <v>31</v>
      </c>
      <c r="T1202" s="2" t="s">
        <v>520</v>
      </c>
      <c r="U1202" s="3">
        <v>15</v>
      </c>
      <c r="V1202" s="3">
        <v>15</v>
      </c>
      <c r="W1202" s="4" t="s">
        <v>1076</v>
      </c>
      <c r="X1202" s="4" t="s">
        <v>1076</v>
      </c>
      <c r="Y1202" s="4" t="s">
        <v>14485</v>
      </c>
      <c r="Z1202" s="4" t="s">
        <v>14485</v>
      </c>
      <c r="AA1202" s="3">
        <v>74</v>
      </c>
      <c r="AB1202" s="3">
        <v>74</v>
      </c>
      <c r="AC1202" s="3">
        <v>124</v>
      </c>
      <c r="AD1202" s="3">
        <v>2</v>
      </c>
      <c r="AE1202" s="3">
        <v>2</v>
      </c>
      <c r="AF1202" s="3">
        <v>5</v>
      </c>
      <c r="AG1202" s="3">
        <v>6</v>
      </c>
      <c r="AH1202" s="3">
        <v>1</v>
      </c>
      <c r="AI1202" s="3">
        <v>1</v>
      </c>
      <c r="AJ1202" s="3">
        <v>0</v>
      </c>
      <c r="AK1202" s="3">
        <v>0</v>
      </c>
      <c r="AL1202" s="3">
        <v>4</v>
      </c>
      <c r="AM1202" s="3">
        <v>5</v>
      </c>
      <c r="AN1202" s="3">
        <v>0</v>
      </c>
      <c r="AO1202" s="3">
        <v>0</v>
      </c>
      <c r="AP1202" s="3">
        <v>0</v>
      </c>
      <c r="AQ1202" s="3">
        <v>0</v>
      </c>
      <c r="AR1202" s="2" t="s">
        <v>5</v>
      </c>
      <c r="AS1202" s="2" t="s">
        <v>5</v>
      </c>
      <c r="AU1202" s="5" t="str">
        <f>HYPERLINK("https://creighton-primo.hosted.exlibrisgroup.com/primo-explore/search?tab=default_tab&amp;search_scope=EVERYTHING&amp;vid=01CRU&amp;lang=en_US&amp;offset=0&amp;query=any,contains,991001423559702656","Catalog Record")</f>
        <v>Catalog Record</v>
      </c>
      <c r="AV1202" s="5" t="str">
        <f>HYPERLINK("http://www.worldcat.org/oclc/18343500","WorldCat Record")</f>
        <v>WorldCat Record</v>
      </c>
      <c r="AW1202" s="2" t="s">
        <v>14486</v>
      </c>
      <c r="AX1202" s="2" t="s">
        <v>14487</v>
      </c>
      <c r="AY1202" s="2" t="s">
        <v>14488</v>
      </c>
      <c r="AZ1202" s="2" t="s">
        <v>14488</v>
      </c>
      <c r="BA1202" s="2" t="s">
        <v>14489</v>
      </c>
      <c r="BB1202" s="2" t="s">
        <v>21</v>
      </c>
      <c r="BE1202" s="2" t="s">
        <v>14490</v>
      </c>
      <c r="BF1202" s="2" t="s">
        <v>14491</v>
      </c>
    </row>
    <row r="1203" spans="1:58" ht="41.25" customHeight="1" x14ac:dyDescent="0.25">
      <c r="A1203" s="8" t="s">
        <v>5</v>
      </c>
      <c r="B1203" s="1" t="s">
        <v>0</v>
      </c>
      <c r="C1203" s="1" t="s">
        <v>1</v>
      </c>
      <c r="D1203" s="1" t="s">
        <v>14492</v>
      </c>
      <c r="E1203" s="1" t="s">
        <v>14493</v>
      </c>
      <c r="F1203" s="1" t="s">
        <v>14494</v>
      </c>
      <c r="H1203" s="2" t="s">
        <v>5</v>
      </c>
      <c r="I1203" s="2" t="s">
        <v>6</v>
      </c>
      <c r="J1203" s="2" t="s">
        <v>5</v>
      </c>
      <c r="K1203" s="2" t="s">
        <v>5</v>
      </c>
      <c r="L1203" s="2" t="s">
        <v>7</v>
      </c>
      <c r="N1203" s="1" t="s">
        <v>3414</v>
      </c>
      <c r="O1203" s="2" t="s">
        <v>210</v>
      </c>
      <c r="Q1203" s="2" t="s">
        <v>11</v>
      </c>
      <c r="R1203" s="2" t="s">
        <v>3356</v>
      </c>
      <c r="T1203" s="2" t="s">
        <v>520</v>
      </c>
      <c r="U1203" s="3">
        <v>9</v>
      </c>
      <c r="V1203" s="3">
        <v>9</v>
      </c>
      <c r="W1203" s="4" t="s">
        <v>14495</v>
      </c>
      <c r="X1203" s="4" t="s">
        <v>14495</v>
      </c>
      <c r="Y1203" s="4" t="s">
        <v>14496</v>
      </c>
      <c r="Z1203" s="4" t="s">
        <v>14496</v>
      </c>
      <c r="AA1203" s="3">
        <v>208</v>
      </c>
      <c r="AB1203" s="3">
        <v>155</v>
      </c>
      <c r="AC1203" s="3">
        <v>155</v>
      </c>
      <c r="AD1203" s="3">
        <v>2</v>
      </c>
      <c r="AE1203" s="3">
        <v>2</v>
      </c>
      <c r="AF1203" s="3">
        <v>5</v>
      </c>
      <c r="AG1203" s="3">
        <v>5</v>
      </c>
      <c r="AH1203" s="3">
        <v>2</v>
      </c>
      <c r="AI1203" s="3">
        <v>2</v>
      </c>
      <c r="AJ1203" s="3">
        <v>1</v>
      </c>
      <c r="AK1203" s="3">
        <v>1</v>
      </c>
      <c r="AL1203" s="3">
        <v>2</v>
      </c>
      <c r="AM1203" s="3">
        <v>2</v>
      </c>
      <c r="AN1203" s="3">
        <v>1</v>
      </c>
      <c r="AO1203" s="3">
        <v>1</v>
      </c>
      <c r="AP1203" s="3">
        <v>0</v>
      </c>
      <c r="AQ1203" s="3">
        <v>0</v>
      </c>
      <c r="AR1203" s="2" t="s">
        <v>5</v>
      </c>
      <c r="AS1203" s="2" t="s">
        <v>5</v>
      </c>
      <c r="AU1203" s="5" t="str">
        <f>HYPERLINK("https://creighton-primo.hosted.exlibrisgroup.com/primo-explore/search?tab=default_tab&amp;search_scope=EVERYTHING&amp;vid=01CRU&amp;lang=en_US&amp;offset=0&amp;query=any,contains,991001032789702656","Catalog Record")</f>
        <v>Catalog Record</v>
      </c>
      <c r="AV1203" s="5" t="str">
        <f>HYPERLINK("http://www.worldcat.org/oclc/24667688","WorldCat Record")</f>
        <v>WorldCat Record</v>
      </c>
      <c r="AW1203" s="2" t="s">
        <v>14497</v>
      </c>
      <c r="AX1203" s="2" t="s">
        <v>14498</v>
      </c>
      <c r="AY1203" s="2" t="s">
        <v>14499</v>
      </c>
      <c r="AZ1203" s="2" t="s">
        <v>14499</v>
      </c>
      <c r="BA1203" s="2" t="s">
        <v>14500</v>
      </c>
      <c r="BB1203" s="2" t="s">
        <v>21</v>
      </c>
      <c r="BD1203" s="2" t="s">
        <v>14501</v>
      </c>
      <c r="BE1203" s="2" t="s">
        <v>14502</v>
      </c>
      <c r="BF1203" s="2" t="s">
        <v>14503</v>
      </c>
    </row>
    <row r="1204" spans="1:58" ht="41.25" customHeight="1" x14ac:dyDescent="0.25">
      <c r="A1204" s="8" t="s">
        <v>5</v>
      </c>
      <c r="B1204" s="1" t="s">
        <v>0</v>
      </c>
      <c r="C1204" s="1" t="s">
        <v>1</v>
      </c>
      <c r="D1204" s="1" t="s">
        <v>14504</v>
      </c>
      <c r="E1204" s="1" t="s">
        <v>14505</v>
      </c>
      <c r="F1204" s="1" t="s">
        <v>14506</v>
      </c>
      <c r="H1204" s="2" t="s">
        <v>5</v>
      </c>
      <c r="I1204" s="2" t="s">
        <v>6</v>
      </c>
      <c r="J1204" s="2" t="s">
        <v>5</v>
      </c>
      <c r="K1204" s="2" t="s">
        <v>5</v>
      </c>
      <c r="L1204" s="2" t="s">
        <v>7</v>
      </c>
      <c r="N1204" s="1" t="s">
        <v>988</v>
      </c>
      <c r="O1204" s="2" t="s">
        <v>989</v>
      </c>
      <c r="Q1204" s="2" t="s">
        <v>11</v>
      </c>
      <c r="R1204" s="2" t="s">
        <v>31</v>
      </c>
      <c r="T1204" s="2" t="s">
        <v>520</v>
      </c>
      <c r="U1204" s="3">
        <v>5</v>
      </c>
      <c r="V1204" s="3">
        <v>5</v>
      </c>
      <c r="W1204" s="4" t="s">
        <v>11547</v>
      </c>
      <c r="X1204" s="4" t="s">
        <v>11547</v>
      </c>
      <c r="Y1204" s="4" t="s">
        <v>1143</v>
      </c>
      <c r="Z1204" s="4" t="s">
        <v>1143</v>
      </c>
      <c r="AA1204" s="3">
        <v>282</v>
      </c>
      <c r="AB1204" s="3">
        <v>209</v>
      </c>
      <c r="AC1204" s="3">
        <v>216</v>
      </c>
      <c r="AD1204" s="3">
        <v>2</v>
      </c>
      <c r="AE1204" s="3">
        <v>2</v>
      </c>
      <c r="AF1204" s="3">
        <v>3</v>
      </c>
      <c r="AG1204" s="3">
        <v>3</v>
      </c>
      <c r="AH1204" s="3">
        <v>1</v>
      </c>
      <c r="AI1204" s="3">
        <v>1</v>
      </c>
      <c r="AJ1204" s="3">
        <v>1</v>
      </c>
      <c r="AK1204" s="3">
        <v>1</v>
      </c>
      <c r="AL1204" s="3">
        <v>2</v>
      </c>
      <c r="AM1204" s="3">
        <v>2</v>
      </c>
      <c r="AN1204" s="3">
        <v>0</v>
      </c>
      <c r="AO1204" s="3">
        <v>0</v>
      </c>
      <c r="AP1204" s="3">
        <v>0</v>
      </c>
      <c r="AQ1204" s="3">
        <v>0</v>
      </c>
      <c r="AR1204" s="2" t="s">
        <v>5</v>
      </c>
      <c r="AS1204" s="2" t="s">
        <v>16</v>
      </c>
      <c r="AT1204" s="5" t="str">
        <f>HYPERLINK("http://catalog.hathitrust.org/Record/001942740","HathiTrust Record")</f>
        <v>HathiTrust Record</v>
      </c>
      <c r="AU1204" s="5" t="str">
        <f>HYPERLINK("https://creighton-primo.hosted.exlibrisgroup.com/primo-explore/search?tab=default_tab&amp;search_scope=EVERYTHING&amp;vid=01CRU&amp;lang=en_US&amp;offset=0&amp;query=any,contains,991001472159702656","Catalog Record")</f>
        <v>Catalog Record</v>
      </c>
      <c r="AV1204" s="5" t="str">
        <f>HYPERLINK("http://www.worldcat.org/oclc/20637594","WorldCat Record")</f>
        <v>WorldCat Record</v>
      </c>
      <c r="AW1204" s="2" t="s">
        <v>14507</v>
      </c>
      <c r="AX1204" s="2" t="s">
        <v>14508</v>
      </c>
      <c r="AY1204" s="2" t="s">
        <v>14509</v>
      </c>
      <c r="AZ1204" s="2" t="s">
        <v>14509</v>
      </c>
      <c r="BA1204" s="2" t="s">
        <v>14510</v>
      </c>
      <c r="BB1204" s="2" t="s">
        <v>21</v>
      </c>
      <c r="BD1204" s="2" t="s">
        <v>14511</v>
      </c>
      <c r="BE1204" s="2" t="s">
        <v>14512</v>
      </c>
      <c r="BF1204" s="2" t="s">
        <v>14513</v>
      </c>
    </row>
    <row r="1205" spans="1:58" ht="41.25" customHeight="1" x14ac:dyDescent="0.25">
      <c r="A1205" s="8" t="s">
        <v>5</v>
      </c>
      <c r="B1205" s="1" t="s">
        <v>0</v>
      </c>
      <c r="C1205" s="1" t="s">
        <v>1</v>
      </c>
      <c r="D1205" s="1" t="s">
        <v>14514</v>
      </c>
      <c r="E1205" s="1" t="s">
        <v>14515</v>
      </c>
      <c r="F1205" s="1" t="s">
        <v>14516</v>
      </c>
      <c r="H1205" s="2" t="s">
        <v>5</v>
      </c>
      <c r="I1205" s="2" t="s">
        <v>6</v>
      </c>
      <c r="J1205" s="2" t="s">
        <v>5</v>
      </c>
      <c r="K1205" s="2" t="s">
        <v>5</v>
      </c>
      <c r="L1205" s="2" t="s">
        <v>7</v>
      </c>
      <c r="N1205" s="1" t="s">
        <v>14517</v>
      </c>
      <c r="O1205" s="2" t="s">
        <v>136</v>
      </c>
      <c r="Q1205" s="2" t="s">
        <v>11</v>
      </c>
      <c r="R1205" s="2" t="s">
        <v>31</v>
      </c>
      <c r="T1205" s="2" t="s">
        <v>520</v>
      </c>
      <c r="U1205" s="3">
        <v>8</v>
      </c>
      <c r="V1205" s="3">
        <v>8</v>
      </c>
      <c r="W1205" s="4" t="s">
        <v>11547</v>
      </c>
      <c r="X1205" s="4" t="s">
        <v>11547</v>
      </c>
      <c r="Y1205" s="4" t="s">
        <v>1143</v>
      </c>
      <c r="Z1205" s="4" t="s">
        <v>1143</v>
      </c>
      <c r="AA1205" s="3">
        <v>253</v>
      </c>
      <c r="AB1205" s="3">
        <v>172</v>
      </c>
      <c r="AC1205" s="3">
        <v>174</v>
      </c>
      <c r="AD1205" s="3">
        <v>1</v>
      </c>
      <c r="AE1205" s="3">
        <v>1</v>
      </c>
      <c r="AF1205" s="3">
        <v>7</v>
      </c>
      <c r="AG1205" s="3">
        <v>7</v>
      </c>
      <c r="AH1205" s="3">
        <v>4</v>
      </c>
      <c r="AI1205" s="3">
        <v>4</v>
      </c>
      <c r="AJ1205" s="3">
        <v>1</v>
      </c>
      <c r="AK1205" s="3">
        <v>1</v>
      </c>
      <c r="AL1205" s="3">
        <v>5</v>
      </c>
      <c r="AM1205" s="3">
        <v>5</v>
      </c>
      <c r="AN1205" s="3">
        <v>0</v>
      </c>
      <c r="AO1205" s="3">
        <v>0</v>
      </c>
      <c r="AP1205" s="3">
        <v>0</v>
      </c>
      <c r="AQ1205" s="3">
        <v>0</v>
      </c>
      <c r="AR1205" s="2" t="s">
        <v>5</v>
      </c>
      <c r="AS1205" s="2" t="s">
        <v>16</v>
      </c>
      <c r="AT1205" s="5" t="str">
        <f>HYPERLINK("http://catalog.hathitrust.org/Record/002233673","HathiTrust Record")</f>
        <v>HathiTrust Record</v>
      </c>
      <c r="AU1205" s="5" t="str">
        <f>HYPERLINK("https://creighton-primo.hosted.exlibrisgroup.com/primo-explore/search?tab=default_tab&amp;search_scope=EVERYTHING&amp;vid=01CRU&amp;lang=en_US&amp;offset=0&amp;query=any,contains,991001472279702656","Catalog Record")</f>
        <v>Catalog Record</v>
      </c>
      <c r="AV1205" s="5" t="str">
        <f>HYPERLINK("http://www.worldcat.org/oclc/22491278","WorldCat Record")</f>
        <v>WorldCat Record</v>
      </c>
      <c r="AW1205" s="2" t="s">
        <v>14518</v>
      </c>
      <c r="AX1205" s="2" t="s">
        <v>14519</v>
      </c>
      <c r="AY1205" s="2" t="s">
        <v>14520</v>
      </c>
      <c r="AZ1205" s="2" t="s">
        <v>14520</v>
      </c>
      <c r="BA1205" s="2" t="s">
        <v>14521</v>
      </c>
      <c r="BB1205" s="2" t="s">
        <v>21</v>
      </c>
      <c r="BD1205" s="2" t="s">
        <v>14522</v>
      </c>
      <c r="BE1205" s="2" t="s">
        <v>14523</v>
      </c>
      <c r="BF1205" s="2" t="s">
        <v>14524</v>
      </c>
    </row>
    <row r="1206" spans="1:58" ht="41.25" customHeight="1" x14ac:dyDescent="0.25">
      <c r="A1206" s="8" t="s">
        <v>5</v>
      </c>
      <c r="B1206" s="1" t="s">
        <v>0</v>
      </c>
      <c r="C1206" s="1" t="s">
        <v>1</v>
      </c>
      <c r="D1206" s="1" t="s">
        <v>14525</v>
      </c>
      <c r="E1206" s="1" t="s">
        <v>14526</v>
      </c>
      <c r="F1206" s="1" t="s">
        <v>14527</v>
      </c>
      <c r="H1206" s="2" t="s">
        <v>5</v>
      </c>
      <c r="I1206" s="2" t="s">
        <v>6</v>
      </c>
      <c r="J1206" s="2" t="s">
        <v>5</v>
      </c>
      <c r="K1206" s="2" t="s">
        <v>5</v>
      </c>
      <c r="L1206" s="2" t="s">
        <v>7</v>
      </c>
      <c r="N1206" s="1" t="s">
        <v>14528</v>
      </c>
      <c r="O1206" s="2" t="s">
        <v>989</v>
      </c>
      <c r="Q1206" s="2" t="s">
        <v>11</v>
      </c>
      <c r="R1206" s="2" t="s">
        <v>6660</v>
      </c>
      <c r="T1206" s="2" t="s">
        <v>520</v>
      </c>
      <c r="U1206" s="3">
        <v>8</v>
      </c>
      <c r="V1206" s="3">
        <v>8</v>
      </c>
      <c r="W1206" s="4" t="s">
        <v>14529</v>
      </c>
      <c r="X1206" s="4" t="s">
        <v>14529</v>
      </c>
      <c r="Y1206" s="4" t="s">
        <v>14530</v>
      </c>
      <c r="Z1206" s="4" t="s">
        <v>14530</v>
      </c>
      <c r="AA1206" s="3">
        <v>70</v>
      </c>
      <c r="AB1206" s="3">
        <v>63</v>
      </c>
      <c r="AC1206" s="3">
        <v>64</v>
      </c>
      <c r="AD1206" s="3">
        <v>1</v>
      </c>
      <c r="AE1206" s="3">
        <v>1</v>
      </c>
      <c r="AF1206" s="3">
        <v>5</v>
      </c>
      <c r="AG1206" s="3">
        <v>5</v>
      </c>
      <c r="AH1206" s="3">
        <v>3</v>
      </c>
      <c r="AI1206" s="3">
        <v>3</v>
      </c>
      <c r="AJ1206" s="3">
        <v>1</v>
      </c>
      <c r="AK1206" s="3">
        <v>1</v>
      </c>
      <c r="AL1206" s="3">
        <v>1</v>
      </c>
      <c r="AM1206" s="3">
        <v>1</v>
      </c>
      <c r="AN1206" s="3">
        <v>0</v>
      </c>
      <c r="AO1206" s="3">
        <v>0</v>
      </c>
      <c r="AP1206" s="3">
        <v>0</v>
      </c>
      <c r="AQ1206" s="3">
        <v>0</v>
      </c>
      <c r="AR1206" s="2" t="s">
        <v>5</v>
      </c>
      <c r="AS1206" s="2" t="s">
        <v>16</v>
      </c>
      <c r="AT1206" s="5" t="str">
        <f>HYPERLINK("http://catalog.hathitrust.org/Record/004540738","HathiTrust Record")</f>
        <v>HathiTrust Record</v>
      </c>
      <c r="AU1206" s="5" t="str">
        <f>HYPERLINK("https://creighton-primo.hosted.exlibrisgroup.com/primo-explore/search?tab=default_tab&amp;search_scope=EVERYTHING&amp;vid=01CRU&amp;lang=en_US&amp;offset=0&amp;query=any,contains,991001346579702656","Catalog Record")</f>
        <v>Catalog Record</v>
      </c>
      <c r="AV1206" s="5" t="str">
        <f>HYPERLINK("http://www.worldcat.org/oclc/23142063","WorldCat Record")</f>
        <v>WorldCat Record</v>
      </c>
      <c r="AW1206" s="2" t="s">
        <v>14531</v>
      </c>
      <c r="AX1206" s="2" t="s">
        <v>14532</v>
      </c>
      <c r="AY1206" s="2" t="s">
        <v>14533</v>
      </c>
      <c r="AZ1206" s="2" t="s">
        <v>14533</v>
      </c>
      <c r="BA1206" s="2" t="s">
        <v>14534</v>
      </c>
      <c r="BB1206" s="2" t="s">
        <v>21</v>
      </c>
      <c r="BD1206" s="2" t="s">
        <v>14535</v>
      </c>
      <c r="BE1206" s="2" t="s">
        <v>14536</v>
      </c>
      <c r="BF1206" s="2" t="s">
        <v>14537</v>
      </c>
    </row>
    <row r="1207" spans="1:58" ht="41.25" customHeight="1" x14ac:dyDescent="0.25">
      <c r="A1207" s="8" t="s">
        <v>5</v>
      </c>
      <c r="B1207" s="1" t="s">
        <v>0</v>
      </c>
      <c r="C1207" s="1" t="s">
        <v>1</v>
      </c>
      <c r="D1207" s="1" t="s">
        <v>14538</v>
      </c>
      <c r="E1207" s="1" t="s">
        <v>14539</v>
      </c>
      <c r="F1207" s="1" t="s">
        <v>14540</v>
      </c>
      <c r="H1207" s="2" t="s">
        <v>5</v>
      </c>
      <c r="I1207" s="2" t="s">
        <v>6</v>
      </c>
      <c r="J1207" s="2" t="s">
        <v>5</v>
      </c>
      <c r="K1207" s="2" t="s">
        <v>5</v>
      </c>
      <c r="L1207" s="2" t="s">
        <v>7</v>
      </c>
      <c r="N1207" s="1" t="s">
        <v>14541</v>
      </c>
      <c r="O1207" s="2" t="s">
        <v>136</v>
      </c>
      <c r="Q1207" s="2" t="s">
        <v>11</v>
      </c>
      <c r="R1207" s="2" t="s">
        <v>31</v>
      </c>
      <c r="T1207" s="2" t="s">
        <v>520</v>
      </c>
      <c r="U1207" s="3">
        <v>9</v>
      </c>
      <c r="V1207" s="3">
        <v>9</v>
      </c>
      <c r="W1207" s="4" t="s">
        <v>14542</v>
      </c>
      <c r="X1207" s="4" t="s">
        <v>14542</v>
      </c>
      <c r="Y1207" s="4" t="s">
        <v>7829</v>
      </c>
      <c r="Z1207" s="4" t="s">
        <v>7829</v>
      </c>
      <c r="AA1207" s="3">
        <v>201</v>
      </c>
      <c r="AB1207" s="3">
        <v>142</v>
      </c>
      <c r="AC1207" s="3">
        <v>144</v>
      </c>
      <c r="AD1207" s="3">
        <v>1</v>
      </c>
      <c r="AE1207" s="3">
        <v>1</v>
      </c>
      <c r="AF1207" s="3">
        <v>5</v>
      </c>
      <c r="AG1207" s="3">
        <v>5</v>
      </c>
      <c r="AH1207" s="3">
        <v>3</v>
      </c>
      <c r="AI1207" s="3">
        <v>3</v>
      </c>
      <c r="AJ1207" s="3">
        <v>2</v>
      </c>
      <c r="AK1207" s="3">
        <v>2</v>
      </c>
      <c r="AL1207" s="3">
        <v>3</v>
      </c>
      <c r="AM1207" s="3">
        <v>3</v>
      </c>
      <c r="AN1207" s="3">
        <v>0</v>
      </c>
      <c r="AO1207" s="3">
        <v>0</v>
      </c>
      <c r="AP1207" s="3">
        <v>0</v>
      </c>
      <c r="AQ1207" s="3">
        <v>0</v>
      </c>
      <c r="AR1207" s="2" t="s">
        <v>5</v>
      </c>
      <c r="AS1207" s="2" t="s">
        <v>16</v>
      </c>
      <c r="AT1207" s="5" t="str">
        <f>HYPERLINK("http://catalog.hathitrust.org/Record/002533543","HathiTrust Record")</f>
        <v>HathiTrust Record</v>
      </c>
      <c r="AU1207" s="5" t="str">
        <f>HYPERLINK("https://creighton-primo.hosted.exlibrisgroup.com/primo-explore/search?tab=default_tab&amp;search_scope=EVERYTHING&amp;vid=01CRU&amp;lang=en_US&amp;offset=0&amp;query=any,contains,991000828019702656","Catalog Record")</f>
        <v>Catalog Record</v>
      </c>
      <c r="AV1207" s="5" t="str">
        <f>HYPERLINK("http://www.worldcat.org/oclc/29594433","WorldCat Record")</f>
        <v>WorldCat Record</v>
      </c>
      <c r="AW1207" s="2" t="s">
        <v>14543</v>
      </c>
      <c r="AX1207" s="2" t="s">
        <v>14544</v>
      </c>
      <c r="AY1207" s="2" t="s">
        <v>14545</v>
      </c>
      <c r="AZ1207" s="2" t="s">
        <v>14545</v>
      </c>
      <c r="BA1207" s="2" t="s">
        <v>14546</v>
      </c>
      <c r="BB1207" s="2" t="s">
        <v>21</v>
      </c>
      <c r="BD1207" s="2" t="s">
        <v>14547</v>
      </c>
      <c r="BE1207" s="2" t="s">
        <v>14548</v>
      </c>
      <c r="BF1207" s="2" t="s">
        <v>14549</v>
      </c>
    </row>
    <row r="1208" spans="1:58" ht="41.25" customHeight="1" x14ac:dyDescent="0.25">
      <c r="A1208" s="8" t="s">
        <v>5</v>
      </c>
      <c r="B1208" s="1" t="s">
        <v>0</v>
      </c>
      <c r="C1208" s="1" t="s">
        <v>1</v>
      </c>
      <c r="D1208" s="1" t="s">
        <v>14550</v>
      </c>
      <c r="E1208" s="1" t="s">
        <v>14551</v>
      </c>
      <c r="F1208" s="1" t="s">
        <v>14552</v>
      </c>
      <c r="H1208" s="2" t="s">
        <v>5</v>
      </c>
      <c r="I1208" s="2" t="s">
        <v>6</v>
      </c>
      <c r="J1208" s="2" t="s">
        <v>5</v>
      </c>
      <c r="K1208" s="2" t="s">
        <v>5</v>
      </c>
      <c r="L1208" s="2" t="s">
        <v>7</v>
      </c>
      <c r="N1208" s="1" t="s">
        <v>1220</v>
      </c>
      <c r="O1208" s="2" t="s">
        <v>62</v>
      </c>
      <c r="P1208" s="1" t="s">
        <v>8431</v>
      </c>
      <c r="Q1208" s="2" t="s">
        <v>11</v>
      </c>
      <c r="R1208" s="2" t="s">
        <v>12</v>
      </c>
      <c r="S1208" s="1" t="s">
        <v>14553</v>
      </c>
      <c r="T1208" s="2" t="s">
        <v>520</v>
      </c>
      <c r="U1208" s="3">
        <v>1</v>
      </c>
      <c r="V1208" s="3">
        <v>1</v>
      </c>
      <c r="W1208" s="4" t="s">
        <v>5313</v>
      </c>
      <c r="X1208" s="4" t="s">
        <v>5313</v>
      </c>
      <c r="Y1208" s="4" t="s">
        <v>1249</v>
      </c>
      <c r="Z1208" s="4" t="s">
        <v>1249</v>
      </c>
      <c r="AA1208" s="3">
        <v>80</v>
      </c>
      <c r="AB1208" s="3">
        <v>71</v>
      </c>
      <c r="AC1208" s="3">
        <v>71</v>
      </c>
      <c r="AD1208" s="3">
        <v>2</v>
      </c>
      <c r="AE1208" s="3">
        <v>2</v>
      </c>
      <c r="AF1208" s="3">
        <v>3</v>
      </c>
      <c r="AG1208" s="3">
        <v>3</v>
      </c>
      <c r="AH1208" s="3">
        <v>1</v>
      </c>
      <c r="AI1208" s="3">
        <v>1</v>
      </c>
      <c r="AJ1208" s="3">
        <v>0</v>
      </c>
      <c r="AK1208" s="3">
        <v>0</v>
      </c>
      <c r="AL1208" s="3">
        <v>2</v>
      </c>
      <c r="AM1208" s="3">
        <v>2</v>
      </c>
      <c r="AN1208" s="3">
        <v>0</v>
      </c>
      <c r="AO1208" s="3">
        <v>0</v>
      </c>
      <c r="AP1208" s="3">
        <v>0</v>
      </c>
      <c r="AQ1208" s="3">
        <v>0</v>
      </c>
      <c r="AR1208" s="2" t="s">
        <v>5</v>
      </c>
      <c r="AS1208" s="2" t="s">
        <v>5</v>
      </c>
      <c r="AU1208" s="5" t="str">
        <f>HYPERLINK("https://creighton-primo.hosted.exlibrisgroup.com/primo-explore/search?tab=default_tab&amp;search_scope=EVERYTHING&amp;vid=01CRU&amp;lang=en_US&amp;offset=0&amp;query=any,contains,991001387049702656","Catalog Record")</f>
        <v>Catalog Record</v>
      </c>
      <c r="AV1208" s="5" t="str">
        <f>HYPERLINK("http://www.worldcat.org/oclc/4369032","WorldCat Record")</f>
        <v>WorldCat Record</v>
      </c>
      <c r="AW1208" s="2" t="s">
        <v>14554</v>
      </c>
      <c r="AX1208" s="2" t="s">
        <v>14555</v>
      </c>
      <c r="AY1208" s="2" t="s">
        <v>14556</v>
      </c>
      <c r="AZ1208" s="2" t="s">
        <v>14556</v>
      </c>
      <c r="BA1208" s="2" t="s">
        <v>14557</v>
      </c>
      <c r="BB1208" s="2" t="s">
        <v>21</v>
      </c>
      <c r="BE1208" s="2" t="s">
        <v>14558</v>
      </c>
      <c r="BF1208" s="2" t="s">
        <v>14559</v>
      </c>
    </row>
    <row r="1209" spans="1:58" ht="41.25" customHeight="1" x14ac:dyDescent="0.25">
      <c r="A1209" s="8" t="s">
        <v>5</v>
      </c>
      <c r="B1209" s="1" t="s">
        <v>0</v>
      </c>
      <c r="C1209" s="1" t="s">
        <v>1</v>
      </c>
      <c r="D1209" s="1" t="s">
        <v>14560</v>
      </c>
      <c r="E1209" s="1" t="s">
        <v>14561</v>
      </c>
      <c r="F1209" s="1" t="s">
        <v>14562</v>
      </c>
      <c r="H1209" s="2" t="s">
        <v>5</v>
      </c>
      <c r="I1209" s="2" t="s">
        <v>6</v>
      </c>
      <c r="J1209" s="2" t="s">
        <v>5</v>
      </c>
      <c r="K1209" s="2" t="s">
        <v>5</v>
      </c>
      <c r="L1209" s="2" t="s">
        <v>7</v>
      </c>
      <c r="M1209" s="1" t="s">
        <v>14563</v>
      </c>
      <c r="N1209" s="1" t="s">
        <v>14564</v>
      </c>
      <c r="O1209" s="2" t="s">
        <v>939</v>
      </c>
      <c r="Q1209" s="2" t="s">
        <v>11</v>
      </c>
      <c r="R1209" s="2" t="s">
        <v>426</v>
      </c>
      <c r="T1209" s="2" t="s">
        <v>520</v>
      </c>
      <c r="U1209" s="3">
        <v>1</v>
      </c>
      <c r="V1209" s="3">
        <v>1</v>
      </c>
      <c r="W1209" s="4" t="s">
        <v>14565</v>
      </c>
      <c r="X1209" s="4" t="s">
        <v>14565</v>
      </c>
      <c r="Y1209" s="4" t="s">
        <v>14565</v>
      </c>
      <c r="Z1209" s="4" t="s">
        <v>14565</v>
      </c>
      <c r="AA1209" s="3">
        <v>107</v>
      </c>
      <c r="AB1209" s="3">
        <v>80</v>
      </c>
      <c r="AC1209" s="3">
        <v>87</v>
      </c>
      <c r="AD1209" s="3">
        <v>1</v>
      </c>
      <c r="AE1209" s="3">
        <v>1</v>
      </c>
      <c r="AF1209" s="3">
        <v>0</v>
      </c>
      <c r="AG1209" s="3">
        <v>0</v>
      </c>
      <c r="AH1209" s="3">
        <v>0</v>
      </c>
      <c r="AI1209" s="3">
        <v>0</v>
      </c>
      <c r="AJ1209" s="3">
        <v>0</v>
      </c>
      <c r="AK1209" s="3">
        <v>0</v>
      </c>
      <c r="AL1209" s="3">
        <v>0</v>
      </c>
      <c r="AM1209" s="3">
        <v>0</v>
      </c>
      <c r="AN1209" s="3">
        <v>0</v>
      </c>
      <c r="AO1209" s="3">
        <v>0</v>
      </c>
      <c r="AP1209" s="3">
        <v>0</v>
      </c>
      <c r="AQ1209" s="3">
        <v>0</v>
      </c>
      <c r="AR1209" s="2" t="s">
        <v>5</v>
      </c>
      <c r="AS1209" s="2" t="s">
        <v>16</v>
      </c>
      <c r="AT1209" s="5" t="str">
        <f>HYPERLINK("http://catalog.hathitrust.org/Record/004406894","HathiTrust Record")</f>
        <v>HathiTrust Record</v>
      </c>
      <c r="AU1209" s="5" t="str">
        <f>HYPERLINK("https://creighton-primo.hosted.exlibrisgroup.com/primo-explore/search?tab=default_tab&amp;search_scope=EVERYTHING&amp;vid=01CRU&amp;lang=en_US&amp;offset=0&amp;query=any,contains,991000766829702656","Catalog Record")</f>
        <v>Catalog Record</v>
      </c>
      <c r="AV1209" s="5" t="str">
        <f>HYPERLINK("http://www.worldcat.org/oclc/15550092","WorldCat Record")</f>
        <v>WorldCat Record</v>
      </c>
      <c r="AW1209" s="2" t="s">
        <v>14566</v>
      </c>
      <c r="AX1209" s="2" t="s">
        <v>14567</v>
      </c>
      <c r="AY1209" s="2" t="s">
        <v>14568</v>
      </c>
      <c r="AZ1209" s="2" t="s">
        <v>14568</v>
      </c>
      <c r="BA1209" s="2" t="s">
        <v>14569</v>
      </c>
      <c r="BB1209" s="2" t="s">
        <v>21</v>
      </c>
      <c r="BD1209" s="2" t="s">
        <v>14570</v>
      </c>
      <c r="BE1209" s="2" t="s">
        <v>14571</v>
      </c>
      <c r="BF1209" s="2" t="s">
        <v>14572</v>
      </c>
    </row>
    <row r="1210" spans="1:58" ht="41.25" customHeight="1" x14ac:dyDescent="0.25">
      <c r="A1210" s="8" t="s">
        <v>5</v>
      </c>
      <c r="B1210" s="1" t="s">
        <v>0</v>
      </c>
      <c r="C1210" s="1" t="s">
        <v>1</v>
      </c>
      <c r="D1210" s="1" t="s">
        <v>14573</v>
      </c>
      <c r="E1210" s="1" t="s">
        <v>14574</v>
      </c>
      <c r="F1210" s="1" t="s">
        <v>14575</v>
      </c>
      <c r="H1210" s="2" t="s">
        <v>5</v>
      </c>
      <c r="I1210" s="2" t="s">
        <v>6</v>
      </c>
      <c r="J1210" s="2" t="s">
        <v>5</v>
      </c>
      <c r="K1210" s="2" t="s">
        <v>5</v>
      </c>
      <c r="L1210" s="2" t="s">
        <v>7</v>
      </c>
      <c r="M1210" s="1" t="s">
        <v>14576</v>
      </c>
      <c r="N1210" s="1" t="s">
        <v>14577</v>
      </c>
      <c r="O1210" s="2" t="s">
        <v>989</v>
      </c>
      <c r="P1210" s="1" t="s">
        <v>901</v>
      </c>
      <c r="Q1210" s="2" t="s">
        <v>11</v>
      </c>
      <c r="R1210" s="2" t="s">
        <v>426</v>
      </c>
      <c r="T1210" s="2" t="s">
        <v>520</v>
      </c>
      <c r="U1210" s="3">
        <v>17</v>
      </c>
      <c r="V1210" s="3">
        <v>17</v>
      </c>
      <c r="W1210" s="4" t="s">
        <v>14578</v>
      </c>
      <c r="X1210" s="4" t="s">
        <v>14578</v>
      </c>
      <c r="Y1210" s="4" t="s">
        <v>7656</v>
      </c>
      <c r="Z1210" s="4" t="s">
        <v>7656</v>
      </c>
      <c r="AA1210" s="3">
        <v>285</v>
      </c>
      <c r="AB1210" s="3">
        <v>220</v>
      </c>
      <c r="AC1210" s="3">
        <v>586</v>
      </c>
      <c r="AD1210" s="3">
        <v>2</v>
      </c>
      <c r="AE1210" s="3">
        <v>3</v>
      </c>
      <c r="AF1210" s="3">
        <v>4</v>
      </c>
      <c r="AG1210" s="3">
        <v>18</v>
      </c>
      <c r="AH1210" s="3">
        <v>3</v>
      </c>
      <c r="AI1210" s="3">
        <v>10</v>
      </c>
      <c r="AJ1210" s="3">
        <v>0</v>
      </c>
      <c r="AK1210" s="3">
        <v>2</v>
      </c>
      <c r="AL1210" s="3">
        <v>1</v>
      </c>
      <c r="AM1210" s="3">
        <v>8</v>
      </c>
      <c r="AN1210" s="3">
        <v>0</v>
      </c>
      <c r="AO1210" s="3">
        <v>1</v>
      </c>
      <c r="AP1210" s="3">
        <v>0</v>
      </c>
      <c r="AQ1210" s="3">
        <v>0</v>
      </c>
      <c r="AR1210" s="2" t="s">
        <v>5</v>
      </c>
      <c r="AS1210" s="2" t="s">
        <v>16</v>
      </c>
      <c r="AT1210" s="5" t="str">
        <f>HYPERLINK("http://catalog.hathitrust.org/Record/002168714","HathiTrust Record")</f>
        <v>HathiTrust Record</v>
      </c>
      <c r="AU1210" s="5" t="str">
        <f>HYPERLINK("https://creighton-primo.hosted.exlibrisgroup.com/primo-explore/search?tab=default_tab&amp;search_scope=EVERYTHING&amp;vid=01CRU&amp;lang=en_US&amp;offset=0&amp;query=any,contains,991001450599702656","Catalog Record")</f>
        <v>Catalog Record</v>
      </c>
      <c r="AV1210" s="5" t="str">
        <f>HYPERLINK("http://www.worldcat.org/oclc/20560221","WorldCat Record")</f>
        <v>WorldCat Record</v>
      </c>
      <c r="AW1210" s="2" t="s">
        <v>14579</v>
      </c>
      <c r="AX1210" s="2" t="s">
        <v>14580</v>
      </c>
      <c r="AY1210" s="2" t="s">
        <v>14581</v>
      </c>
      <c r="AZ1210" s="2" t="s">
        <v>14581</v>
      </c>
      <c r="BA1210" s="2" t="s">
        <v>14582</v>
      </c>
      <c r="BB1210" s="2" t="s">
        <v>21</v>
      </c>
      <c r="BD1210" s="2" t="s">
        <v>14583</v>
      </c>
      <c r="BE1210" s="2" t="s">
        <v>14584</v>
      </c>
      <c r="BF1210" s="2" t="s">
        <v>14585</v>
      </c>
    </row>
    <row r="1211" spans="1:58" ht="41.25" customHeight="1" x14ac:dyDescent="0.25">
      <c r="A1211" s="8" t="s">
        <v>5</v>
      </c>
      <c r="B1211" s="1" t="s">
        <v>0</v>
      </c>
      <c r="C1211" s="1" t="s">
        <v>1</v>
      </c>
      <c r="D1211" s="1" t="s">
        <v>14586</v>
      </c>
      <c r="E1211" s="1" t="s">
        <v>14587</v>
      </c>
      <c r="F1211" s="1" t="s">
        <v>14588</v>
      </c>
      <c r="H1211" s="2" t="s">
        <v>5</v>
      </c>
      <c r="I1211" s="2" t="s">
        <v>6</v>
      </c>
      <c r="J1211" s="2" t="s">
        <v>5</v>
      </c>
      <c r="K1211" s="2" t="s">
        <v>16</v>
      </c>
      <c r="L1211" s="2" t="s">
        <v>7</v>
      </c>
      <c r="M1211" s="1" t="s">
        <v>14589</v>
      </c>
      <c r="N1211" s="1" t="s">
        <v>14590</v>
      </c>
      <c r="O1211" s="2" t="s">
        <v>1887</v>
      </c>
      <c r="Q1211" s="2" t="s">
        <v>11</v>
      </c>
      <c r="R1211" s="2" t="s">
        <v>78</v>
      </c>
      <c r="T1211" s="2" t="s">
        <v>520</v>
      </c>
      <c r="U1211" s="3">
        <v>2</v>
      </c>
      <c r="V1211" s="3">
        <v>2</v>
      </c>
      <c r="W1211" s="4" t="s">
        <v>14591</v>
      </c>
      <c r="X1211" s="4" t="s">
        <v>14591</v>
      </c>
      <c r="Y1211" s="4" t="s">
        <v>14339</v>
      </c>
      <c r="Z1211" s="4" t="s">
        <v>14339</v>
      </c>
      <c r="AA1211" s="3">
        <v>277</v>
      </c>
      <c r="AB1211" s="3">
        <v>209</v>
      </c>
      <c r="AC1211" s="3">
        <v>346</v>
      </c>
      <c r="AD1211" s="3">
        <v>1</v>
      </c>
      <c r="AE1211" s="3">
        <v>3</v>
      </c>
      <c r="AF1211" s="3">
        <v>6</v>
      </c>
      <c r="AG1211" s="3">
        <v>12</v>
      </c>
      <c r="AH1211" s="3">
        <v>3</v>
      </c>
      <c r="AI1211" s="3">
        <v>7</v>
      </c>
      <c r="AJ1211" s="3">
        <v>1</v>
      </c>
      <c r="AK1211" s="3">
        <v>1</v>
      </c>
      <c r="AL1211" s="3">
        <v>4</v>
      </c>
      <c r="AM1211" s="3">
        <v>7</v>
      </c>
      <c r="AN1211" s="3">
        <v>0</v>
      </c>
      <c r="AO1211" s="3">
        <v>1</v>
      </c>
      <c r="AP1211" s="3">
        <v>0</v>
      </c>
      <c r="AQ1211" s="3">
        <v>0</v>
      </c>
      <c r="AR1211" s="2" t="s">
        <v>5</v>
      </c>
      <c r="AS1211" s="2" t="s">
        <v>16</v>
      </c>
      <c r="AT1211" s="5" t="str">
        <f>HYPERLINK("http://catalog.hathitrust.org/Record/002618194","HathiTrust Record")</f>
        <v>HathiTrust Record</v>
      </c>
      <c r="AU1211" s="5" t="str">
        <f>HYPERLINK("https://creighton-primo.hosted.exlibrisgroup.com/primo-explore/search?tab=default_tab&amp;search_scope=EVERYTHING&amp;vid=01CRU&amp;lang=en_US&amp;offset=0&amp;query=any,contains,991001501149702656","Catalog Record")</f>
        <v>Catalog Record</v>
      </c>
      <c r="AV1211" s="5" t="str">
        <f>HYPERLINK("http://www.worldcat.org/oclc/27035765","WorldCat Record")</f>
        <v>WorldCat Record</v>
      </c>
      <c r="AW1211" s="2" t="s">
        <v>14592</v>
      </c>
      <c r="AX1211" s="2" t="s">
        <v>14593</v>
      </c>
      <c r="AY1211" s="2" t="s">
        <v>14594</v>
      </c>
      <c r="AZ1211" s="2" t="s">
        <v>14594</v>
      </c>
      <c r="BA1211" s="2" t="s">
        <v>14595</v>
      </c>
      <c r="BB1211" s="2" t="s">
        <v>21</v>
      </c>
      <c r="BD1211" s="2" t="s">
        <v>14596</v>
      </c>
      <c r="BE1211" s="2" t="s">
        <v>14597</v>
      </c>
      <c r="BF1211" s="2" t="s">
        <v>14598</v>
      </c>
    </row>
    <row r="1212" spans="1:58" ht="41.25" customHeight="1" x14ac:dyDescent="0.25">
      <c r="A1212" s="8" t="s">
        <v>5</v>
      </c>
      <c r="B1212" s="1" t="s">
        <v>0</v>
      </c>
      <c r="C1212" s="1" t="s">
        <v>1</v>
      </c>
      <c r="D1212" s="1" t="s">
        <v>14599</v>
      </c>
      <c r="E1212" s="1" t="s">
        <v>14600</v>
      </c>
      <c r="F1212" s="1" t="s">
        <v>14601</v>
      </c>
      <c r="H1212" s="2" t="s">
        <v>5</v>
      </c>
      <c r="I1212" s="2" t="s">
        <v>6</v>
      </c>
      <c r="J1212" s="2" t="s">
        <v>5</v>
      </c>
      <c r="K1212" s="2" t="s">
        <v>16</v>
      </c>
      <c r="L1212" s="2" t="s">
        <v>7</v>
      </c>
      <c r="N1212" s="1" t="s">
        <v>1947</v>
      </c>
      <c r="O1212" s="2" t="s">
        <v>1283</v>
      </c>
      <c r="P1212" s="1" t="s">
        <v>211</v>
      </c>
      <c r="Q1212" s="2" t="s">
        <v>11</v>
      </c>
      <c r="R1212" s="2" t="s">
        <v>78</v>
      </c>
      <c r="T1212" s="2" t="s">
        <v>520</v>
      </c>
      <c r="U1212" s="3">
        <v>7</v>
      </c>
      <c r="V1212" s="3">
        <v>7</v>
      </c>
      <c r="W1212" s="4" t="s">
        <v>1156</v>
      </c>
      <c r="X1212" s="4" t="s">
        <v>1156</v>
      </c>
      <c r="Y1212" s="4" t="s">
        <v>14602</v>
      </c>
      <c r="Z1212" s="4" t="s">
        <v>14602</v>
      </c>
      <c r="AA1212" s="3">
        <v>284</v>
      </c>
      <c r="AB1212" s="3">
        <v>220</v>
      </c>
      <c r="AC1212" s="3">
        <v>346</v>
      </c>
      <c r="AD1212" s="3">
        <v>3</v>
      </c>
      <c r="AE1212" s="3">
        <v>3</v>
      </c>
      <c r="AF1212" s="3">
        <v>9</v>
      </c>
      <c r="AG1212" s="3">
        <v>12</v>
      </c>
      <c r="AH1212" s="3">
        <v>6</v>
      </c>
      <c r="AI1212" s="3">
        <v>7</v>
      </c>
      <c r="AJ1212" s="3">
        <v>0</v>
      </c>
      <c r="AK1212" s="3">
        <v>1</v>
      </c>
      <c r="AL1212" s="3">
        <v>4</v>
      </c>
      <c r="AM1212" s="3">
        <v>7</v>
      </c>
      <c r="AN1212" s="3">
        <v>1</v>
      </c>
      <c r="AO1212" s="3">
        <v>1</v>
      </c>
      <c r="AP1212" s="3">
        <v>0</v>
      </c>
      <c r="AQ1212" s="3">
        <v>0</v>
      </c>
      <c r="AR1212" s="2" t="s">
        <v>5</v>
      </c>
      <c r="AS1212" s="2" t="s">
        <v>16</v>
      </c>
      <c r="AT1212" s="5" t="str">
        <f>HYPERLINK("http://catalog.hathitrust.org/Record/003176028","HathiTrust Record")</f>
        <v>HathiTrust Record</v>
      </c>
      <c r="AU1212" s="5" t="str">
        <f>HYPERLINK("https://creighton-primo.hosted.exlibrisgroup.com/primo-explore/search?tab=default_tab&amp;search_scope=EVERYTHING&amp;vid=01CRU&amp;lang=en_US&amp;offset=0&amp;query=any,contains,991001792469702656","Catalog Record")</f>
        <v>Catalog Record</v>
      </c>
      <c r="AV1212" s="5" t="str">
        <f>HYPERLINK("http://www.worldcat.org/oclc/35209380","WorldCat Record")</f>
        <v>WorldCat Record</v>
      </c>
      <c r="AW1212" s="2" t="s">
        <v>14592</v>
      </c>
      <c r="AX1212" s="2" t="s">
        <v>14603</v>
      </c>
      <c r="AY1212" s="2" t="s">
        <v>14604</v>
      </c>
      <c r="AZ1212" s="2" t="s">
        <v>14604</v>
      </c>
      <c r="BA1212" s="2" t="s">
        <v>14605</v>
      </c>
      <c r="BB1212" s="2" t="s">
        <v>21</v>
      </c>
      <c r="BD1212" s="2" t="s">
        <v>14606</v>
      </c>
      <c r="BE1212" s="2" t="s">
        <v>14607</v>
      </c>
      <c r="BF1212" s="2" t="s">
        <v>14608</v>
      </c>
    </row>
    <row r="1213" spans="1:58" ht="41.25" customHeight="1" x14ac:dyDescent="0.25">
      <c r="A1213" s="8" t="s">
        <v>5</v>
      </c>
      <c r="B1213" s="1" t="s">
        <v>0</v>
      </c>
      <c r="C1213" s="1" t="s">
        <v>1</v>
      </c>
      <c r="D1213" s="1" t="s">
        <v>14609</v>
      </c>
      <c r="E1213" s="1" t="s">
        <v>14610</v>
      </c>
      <c r="F1213" s="1" t="s">
        <v>14611</v>
      </c>
      <c r="H1213" s="2" t="s">
        <v>5</v>
      </c>
      <c r="I1213" s="2" t="s">
        <v>6</v>
      </c>
      <c r="J1213" s="2" t="s">
        <v>5</v>
      </c>
      <c r="K1213" s="2" t="s">
        <v>5</v>
      </c>
      <c r="L1213" s="2" t="s">
        <v>7</v>
      </c>
      <c r="M1213" s="1" t="s">
        <v>14612</v>
      </c>
      <c r="N1213" s="1" t="s">
        <v>8372</v>
      </c>
      <c r="O1213" s="2" t="s">
        <v>939</v>
      </c>
      <c r="Q1213" s="2" t="s">
        <v>11</v>
      </c>
      <c r="R1213" s="2" t="s">
        <v>426</v>
      </c>
      <c r="T1213" s="2" t="s">
        <v>520</v>
      </c>
      <c r="U1213" s="3">
        <v>14</v>
      </c>
      <c r="V1213" s="3">
        <v>14</v>
      </c>
      <c r="W1213" s="4" t="s">
        <v>14613</v>
      </c>
      <c r="X1213" s="4" t="s">
        <v>14613</v>
      </c>
      <c r="Y1213" s="4" t="s">
        <v>14614</v>
      </c>
      <c r="Z1213" s="4" t="s">
        <v>14614</v>
      </c>
      <c r="AA1213" s="3">
        <v>263</v>
      </c>
      <c r="AB1213" s="3">
        <v>194</v>
      </c>
      <c r="AC1213" s="3">
        <v>196</v>
      </c>
      <c r="AD1213" s="3">
        <v>2</v>
      </c>
      <c r="AE1213" s="3">
        <v>2</v>
      </c>
      <c r="AF1213" s="3">
        <v>7</v>
      </c>
      <c r="AG1213" s="3">
        <v>7</v>
      </c>
      <c r="AH1213" s="3">
        <v>3</v>
      </c>
      <c r="AI1213" s="3">
        <v>3</v>
      </c>
      <c r="AJ1213" s="3">
        <v>1</v>
      </c>
      <c r="AK1213" s="3">
        <v>1</v>
      </c>
      <c r="AL1213" s="3">
        <v>5</v>
      </c>
      <c r="AM1213" s="3">
        <v>5</v>
      </c>
      <c r="AN1213" s="3">
        <v>0</v>
      </c>
      <c r="AO1213" s="3">
        <v>0</v>
      </c>
      <c r="AP1213" s="3">
        <v>0</v>
      </c>
      <c r="AQ1213" s="3">
        <v>0</v>
      </c>
      <c r="AR1213" s="2" t="s">
        <v>5</v>
      </c>
      <c r="AS1213" s="2" t="s">
        <v>16</v>
      </c>
      <c r="AT1213" s="5" t="str">
        <f>HYPERLINK("http://catalog.hathitrust.org/Record/000874483","HathiTrust Record")</f>
        <v>HathiTrust Record</v>
      </c>
      <c r="AU1213" s="5" t="str">
        <f>HYPERLINK("https://creighton-primo.hosted.exlibrisgroup.com/primo-explore/search?tab=default_tab&amp;search_scope=EVERYTHING&amp;vid=01CRU&amp;lang=en_US&amp;offset=0&amp;query=any,contains,991001416789702656","Catalog Record")</f>
        <v>Catalog Record</v>
      </c>
      <c r="AV1213" s="5" t="str">
        <f>HYPERLINK("http://www.worldcat.org/oclc/16471067","WorldCat Record")</f>
        <v>WorldCat Record</v>
      </c>
      <c r="AW1213" s="2" t="s">
        <v>14615</v>
      </c>
      <c r="AX1213" s="2" t="s">
        <v>14616</v>
      </c>
      <c r="AY1213" s="2" t="s">
        <v>14617</v>
      </c>
      <c r="AZ1213" s="2" t="s">
        <v>14617</v>
      </c>
      <c r="BA1213" s="2" t="s">
        <v>14618</v>
      </c>
      <c r="BB1213" s="2" t="s">
        <v>21</v>
      </c>
      <c r="BD1213" s="2" t="s">
        <v>14619</v>
      </c>
      <c r="BE1213" s="2" t="s">
        <v>14620</v>
      </c>
      <c r="BF1213" s="2" t="s">
        <v>14621</v>
      </c>
    </row>
    <row r="1214" spans="1:58" ht="41.25" customHeight="1" x14ac:dyDescent="0.25">
      <c r="A1214" s="8" t="s">
        <v>5</v>
      </c>
      <c r="B1214" s="1" t="s">
        <v>0</v>
      </c>
      <c r="C1214" s="1" t="s">
        <v>1</v>
      </c>
      <c r="D1214" s="1" t="s">
        <v>14622</v>
      </c>
      <c r="E1214" s="1" t="s">
        <v>14623</v>
      </c>
      <c r="F1214" s="1" t="s">
        <v>14624</v>
      </c>
      <c r="H1214" s="2" t="s">
        <v>5</v>
      </c>
      <c r="I1214" s="2" t="s">
        <v>6</v>
      </c>
      <c r="J1214" s="2" t="s">
        <v>5</v>
      </c>
      <c r="K1214" s="2" t="s">
        <v>16</v>
      </c>
      <c r="L1214" s="2" t="s">
        <v>7</v>
      </c>
      <c r="M1214" s="1" t="s">
        <v>14625</v>
      </c>
      <c r="N1214" s="1" t="s">
        <v>6893</v>
      </c>
      <c r="O1214" s="2" t="s">
        <v>1046</v>
      </c>
      <c r="P1214" s="1" t="s">
        <v>1208</v>
      </c>
      <c r="Q1214" s="2" t="s">
        <v>11</v>
      </c>
      <c r="R1214" s="2" t="s">
        <v>78</v>
      </c>
      <c r="T1214" s="2" t="s">
        <v>520</v>
      </c>
      <c r="U1214" s="3">
        <v>3</v>
      </c>
      <c r="V1214" s="3">
        <v>3</v>
      </c>
      <c r="W1214" s="4" t="s">
        <v>10345</v>
      </c>
      <c r="X1214" s="4" t="s">
        <v>10345</v>
      </c>
      <c r="Y1214" s="4" t="s">
        <v>14626</v>
      </c>
      <c r="Z1214" s="4" t="s">
        <v>14626</v>
      </c>
      <c r="AA1214" s="3">
        <v>434</v>
      </c>
      <c r="AB1214" s="3">
        <v>312</v>
      </c>
      <c r="AC1214" s="3">
        <v>1224</v>
      </c>
      <c r="AD1214" s="3">
        <v>2</v>
      </c>
      <c r="AE1214" s="3">
        <v>8</v>
      </c>
      <c r="AF1214" s="3">
        <v>11</v>
      </c>
      <c r="AG1214" s="3">
        <v>40</v>
      </c>
      <c r="AH1214" s="3">
        <v>6</v>
      </c>
      <c r="AI1214" s="3">
        <v>17</v>
      </c>
      <c r="AJ1214" s="3">
        <v>1</v>
      </c>
      <c r="AK1214" s="3">
        <v>7</v>
      </c>
      <c r="AL1214" s="3">
        <v>5</v>
      </c>
      <c r="AM1214" s="3">
        <v>17</v>
      </c>
      <c r="AN1214" s="3">
        <v>1</v>
      </c>
      <c r="AO1214" s="3">
        <v>7</v>
      </c>
      <c r="AP1214" s="3">
        <v>0</v>
      </c>
      <c r="AQ1214" s="3">
        <v>0</v>
      </c>
      <c r="AR1214" s="2" t="s">
        <v>5</v>
      </c>
      <c r="AS1214" s="2" t="s">
        <v>5</v>
      </c>
      <c r="AU1214" s="5" t="str">
        <f>HYPERLINK("https://creighton-primo.hosted.exlibrisgroup.com/primo-explore/search?tab=default_tab&amp;search_scope=EVERYTHING&amp;vid=01CRU&amp;lang=en_US&amp;offset=0&amp;query=any,contains,991000348059702656","Catalog Record")</f>
        <v>Catalog Record</v>
      </c>
      <c r="AV1214" s="5" t="str">
        <f>HYPERLINK("http://www.worldcat.org/oclc/49942650","WorldCat Record")</f>
        <v>WorldCat Record</v>
      </c>
      <c r="AW1214" s="2" t="s">
        <v>9607</v>
      </c>
      <c r="AX1214" s="2" t="s">
        <v>14627</v>
      </c>
      <c r="AY1214" s="2" t="s">
        <v>14628</v>
      </c>
      <c r="AZ1214" s="2" t="s">
        <v>14628</v>
      </c>
      <c r="BA1214" s="2" t="s">
        <v>14629</v>
      </c>
      <c r="BB1214" s="2" t="s">
        <v>21</v>
      </c>
      <c r="BD1214" s="2" t="s">
        <v>14630</v>
      </c>
      <c r="BE1214" s="2" t="s">
        <v>14631</v>
      </c>
      <c r="BF1214" s="2" t="s">
        <v>14632</v>
      </c>
    </row>
    <row r="1215" spans="1:58" ht="41.25" customHeight="1" x14ac:dyDescent="0.25">
      <c r="A1215" s="8" t="s">
        <v>5</v>
      </c>
      <c r="B1215" s="1" t="s">
        <v>0</v>
      </c>
      <c r="C1215" s="1" t="s">
        <v>1</v>
      </c>
      <c r="D1215" s="1" t="s">
        <v>14633</v>
      </c>
      <c r="E1215" s="1" t="s">
        <v>14634</v>
      </c>
      <c r="F1215" s="1" t="s">
        <v>14635</v>
      </c>
      <c r="H1215" s="2" t="s">
        <v>5</v>
      </c>
      <c r="I1215" s="2" t="s">
        <v>6</v>
      </c>
      <c r="J1215" s="2" t="s">
        <v>5</v>
      </c>
      <c r="K1215" s="2" t="s">
        <v>16</v>
      </c>
      <c r="L1215" s="2" t="s">
        <v>7</v>
      </c>
      <c r="M1215" s="1" t="s">
        <v>14625</v>
      </c>
      <c r="N1215" s="1" t="s">
        <v>1365</v>
      </c>
      <c r="O1215" s="2" t="s">
        <v>601</v>
      </c>
      <c r="P1215" s="1" t="s">
        <v>211</v>
      </c>
      <c r="Q1215" s="2" t="s">
        <v>11</v>
      </c>
      <c r="R1215" s="2" t="s">
        <v>78</v>
      </c>
      <c r="T1215" s="2" t="s">
        <v>520</v>
      </c>
      <c r="U1215" s="3">
        <v>23</v>
      </c>
      <c r="V1215" s="3">
        <v>23</v>
      </c>
      <c r="W1215" s="4" t="s">
        <v>12030</v>
      </c>
      <c r="X1215" s="4" t="s">
        <v>12030</v>
      </c>
      <c r="Y1215" s="4" t="s">
        <v>14636</v>
      </c>
      <c r="Z1215" s="4" t="s">
        <v>14636</v>
      </c>
      <c r="AA1215" s="3">
        <v>352</v>
      </c>
      <c r="AB1215" s="3">
        <v>264</v>
      </c>
      <c r="AC1215" s="3">
        <v>1224</v>
      </c>
      <c r="AD1215" s="3">
        <v>3</v>
      </c>
      <c r="AE1215" s="3">
        <v>8</v>
      </c>
      <c r="AF1215" s="3">
        <v>12</v>
      </c>
      <c r="AG1215" s="3">
        <v>40</v>
      </c>
      <c r="AH1215" s="3">
        <v>6</v>
      </c>
      <c r="AI1215" s="3">
        <v>17</v>
      </c>
      <c r="AJ1215" s="3">
        <v>1</v>
      </c>
      <c r="AK1215" s="3">
        <v>7</v>
      </c>
      <c r="AL1215" s="3">
        <v>7</v>
      </c>
      <c r="AM1215" s="3">
        <v>17</v>
      </c>
      <c r="AN1215" s="3">
        <v>2</v>
      </c>
      <c r="AO1215" s="3">
        <v>7</v>
      </c>
      <c r="AP1215" s="3">
        <v>0</v>
      </c>
      <c r="AQ1215" s="3">
        <v>0</v>
      </c>
      <c r="AR1215" s="2" t="s">
        <v>5</v>
      </c>
      <c r="AS1215" s="2" t="s">
        <v>16</v>
      </c>
      <c r="AT1215" s="5" t="str">
        <f>HYPERLINK("http://catalog.hathitrust.org/Record/002932742","HathiTrust Record")</f>
        <v>HathiTrust Record</v>
      </c>
      <c r="AU1215" s="5" t="str">
        <f>HYPERLINK("https://creighton-primo.hosted.exlibrisgroup.com/primo-explore/search?tab=default_tab&amp;search_scope=EVERYTHING&amp;vid=01CRU&amp;lang=en_US&amp;offset=0&amp;query=any,contains,991001402649702656","Catalog Record")</f>
        <v>Catalog Record</v>
      </c>
      <c r="AV1215" s="5" t="str">
        <f>HYPERLINK("http://www.worldcat.org/oclc/30778826","WorldCat Record")</f>
        <v>WorldCat Record</v>
      </c>
      <c r="AW1215" s="2" t="s">
        <v>9607</v>
      </c>
      <c r="AX1215" s="2" t="s">
        <v>14637</v>
      </c>
      <c r="AY1215" s="2" t="s">
        <v>14638</v>
      </c>
      <c r="AZ1215" s="2" t="s">
        <v>14638</v>
      </c>
      <c r="BA1215" s="2" t="s">
        <v>14639</v>
      </c>
      <c r="BB1215" s="2" t="s">
        <v>21</v>
      </c>
      <c r="BD1215" s="2" t="s">
        <v>14640</v>
      </c>
      <c r="BE1215" s="2" t="s">
        <v>14641</v>
      </c>
      <c r="BF1215" s="2" t="s">
        <v>14642</v>
      </c>
    </row>
    <row r="1216" spans="1:58" ht="41.25" customHeight="1" x14ac:dyDescent="0.25">
      <c r="A1216" s="8" t="s">
        <v>5</v>
      </c>
      <c r="B1216" s="1" t="s">
        <v>0</v>
      </c>
      <c r="C1216" s="1" t="s">
        <v>1</v>
      </c>
      <c r="D1216" s="1" t="s">
        <v>14643</v>
      </c>
      <c r="E1216" s="1" t="s">
        <v>14644</v>
      </c>
      <c r="F1216" s="1" t="s">
        <v>14635</v>
      </c>
      <c r="H1216" s="2" t="s">
        <v>5</v>
      </c>
      <c r="I1216" s="2" t="s">
        <v>6</v>
      </c>
      <c r="J1216" s="2" t="s">
        <v>5</v>
      </c>
      <c r="K1216" s="2" t="s">
        <v>16</v>
      </c>
      <c r="L1216" s="2" t="s">
        <v>7</v>
      </c>
      <c r="M1216" s="1" t="s">
        <v>14625</v>
      </c>
      <c r="N1216" s="1" t="s">
        <v>6384</v>
      </c>
      <c r="O1216" s="2" t="s">
        <v>1004</v>
      </c>
      <c r="P1216" s="1" t="s">
        <v>901</v>
      </c>
      <c r="Q1216" s="2" t="s">
        <v>11</v>
      </c>
      <c r="R1216" s="2" t="s">
        <v>78</v>
      </c>
      <c r="T1216" s="2" t="s">
        <v>520</v>
      </c>
      <c r="U1216" s="3">
        <v>8</v>
      </c>
      <c r="V1216" s="3">
        <v>8</v>
      </c>
      <c r="W1216" s="4" t="s">
        <v>14645</v>
      </c>
      <c r="X1216" s="4" t="s">
        <v>14645</v>
      </c>
      <c r="Y1216" s="4" t="s">
        <v>14646</v>
      </c>
      <c r="Z1216" s="4" t="s">
        <v>14646</v>
      </c>
      <c r="AA1216" s="3">
        <v>353</v>
      </c>
      <c r="AB1216" s="3">
        <v>261</v>
      </c>
      <c r="AC1216" s="3">
        <v>1224</v>
      </c>
      <c r="AD1216" s="3">
        <v>2</v>
      </c>
      <c r="AE1216" s="3">
        <v>8</v>
      </c>
      <c r="AF1216" s="3">
        <v>9</v>
      </c>
      <c r="AG1216" s="3">
        <v>40</v>
      </c>
      <c r="AH1216" s="3">
        <v>4</v>
      </c>
      <c r="AI1216" s="3">
        <v>17</v>
      </c>
      <c r="AJ1216" s="3">
        <v>1</v>
      </c>
      <c r="AK1216" s="3">
        <v>7</v>
      </c>
      <c r="AL1216" s="3">
        <v>5</v>
      </c>
      <c r="AM1216" s="3">
        <v>17</v>
      </c>
      <c r="AN1216" s="3">
        <v>1</v>
      </c>
      <c r="AO1216" s="3">
        <v>7</v>
      </c>
      <c r="AP1216" s="3">
        <v>0</v>
      </c>
      <c r="AQ1216" s="3">
        <v>0</v>
      </c>
      <c r="AR1216" s="2" t="s">
        <v>5</v>
      </c>
      <c r="AS1216" s="2" t="s">
        <v>16</v>
      </c>
      <c r="AT1216" s="5" t="str">
        <f>HYPERLINK("http://catalog.hathitrust.org/Record/003998005","HathiTrust Record")</f>
        <v>HathiTrust Record</v>
      </c>
      <c r="AU1216" s="5" t="str">
        <f>HYPERLINK("https://creighton-primo.hosted.exlibrisgroup.com/primo-explore/search?tab=default_tab&amp;search_scope=EVERYTHING&amp;vid=01CRU&amp;lang=en_US&amp;offset=0&amp;query=any,contains,991001573299702656","Catalog Record")</f>
        <v>Catalog Record</v>
      </c>
      <c r="AV1216" s="5" t="str">
        <f>HYPERLINK("http://www.worldcat.org/oclc/38486309","WorldCat Record")</f>
        <v>WorldCat Record</v>
      </c>
      <c r="AW1216" s="2" t="s">
        <v>9607</v>
      </c>
      <c r="AX1216" s="2" t="s">
        <v>14647</v>
      </c>
      <c r="AY1216" s="2" t="s">
        <v>14648</v>
      </c>
      <c r="AZ1216" s="2" t="s">
        <v>14648</v>
      </c>
      <c r="BA1216" s="2" t="s">
        <v>14649</v>
      </c>
      <c r="BB1216" s="2" t="s">
        <v>21</v>
      </c>
      <c r="BD1216" s="2" t="s">
        <v>14650</v>
      </c>
      <c r="BE1216" s="2" t="s">
        <v>14651</v>
      </c>
      <c r="BF1216" s="2" t="s">
        <v>14652</v>
      </c>
    </row>
    <row r="1217" spans="1:58" ht="41.25" customHeight="1" x14ac:dyDescent="0.25">
      <c r="A1217" s="8" t="s">
        <v>5</v>
      </c>
      <c r="B1217" s="1" t="s">
        <v>0</v>
      </c>
      <c r="C1217" s="1" t="s">
        <v>1</v>
      </c>
      <c r="D1217" s="1" t="s">
        <v>14653</v>
      </c>
      <c r="E1217" s="1" t="s">
        <v>14654</v>
      </c>
      <c r="F1217" s="1" t="s">
        <v>14655</v>
      </c>
      <c r="H1217" s="2" t="s">
        <v>5</v>
      </c>
      <c r="I1217" s="2" t="s">
        <v>6</v>
      </c>
      <c r="J1217" s="2" t="s">
        <v>5</v>
      </c>
      <c r="K1217" s="2" t="s">
        <v>16</v>
      </c>
      <c r="L1217" s="2" t="s">
        <v>7</v>
      </c>
      <c r="N1217" s="1" t="s">
        <v>14656</v>
      </c>
      <c r="O1217" s="2" t="s">
        <v>107</v>
      </c>
      <c r="P1217" s="1" t="s">
        <v>211</v>
      </c>
      <c r="Q1217" s="2" t="s">
        <v>11</v>
      </c>
      <c r="R1217" s="2" t="s">
        <v>271</v>
      </c>
      <c r="T1217" s="2" t="s">
        <v>520</v>
      </c>
      <c r="U1217" s="3">
        <v>4</v>
      </c>
      <c r="V1217" s="3">
        <v>4</v>
      </c>
      <c r="W1217" s="4" t="s">
        <v>10345</v>
      </c>
      <c r="X1217" s="4" t="s">
        <v>10345</v>
      </c>
      <c r="Y1217" s="4" t="s">
        <v>14657</v>
      </c>
      <c r="Z1217" s="4" t="s">
        <v>14657</v>
      </c>
      <c r="AA1217" s="3">
        <v>661</v>
      </c>
      <c r="AB1217" s="3">
        <v>523</v>
      </c>
      <c r="AC1217" s="3">
        <v>803</v>
      </c>
      <c r="AD1217" s="3">
        <v>6</v>
      </c>
      <c r="AE1217" s="3">
        <v>9</v>
      </c>
      <c r="AF1217" s="3">
        <v>22</v>
      </c>
      <c r="AG1217" s="3">
        <v>37</v>
      </c>
      <c r="AH1217" s="3">
        <v>10</v>
      </c>
      <c r="AI1217" s="3">
        <v>16</v>
      </c>
      <c r="AJ1217" s="3">
        <v>5</v>
      </c>
      <c r="AK1217" s="3">
        <v>6</v>
      </c>
      <c r="AL1217" s="3">
        <v>6</v>
      </c>
      <c r="AM1217" s="3">
        <v>15</v>
      </c>
      <c r="AN1217" s="3">
        <v>5</v>
      </c>
      <c r="AO1217" s="3">
        <v>7</v>
      </c>
      <c r="AP1217" s="3">
        <v>0</v>
      </c>
      <c r="AQ1217" s="3">
        <v>0</v>
      </c>
      <c r="AR1217" s="2" t="s">
        <v>5</v>
      </c>
      <c r="AS1217" s="2" t="s">
        <v>5</v>
      </c>
      <c r="AU1217" s="5" t="str">
        <f>HYPERLINK("https://creighton-primo.hosted.exlibrisgroup.com/primo-explore/search?tab=default_tab&amp;search_scope=EVERYTHING&amp;vid=01CRU&amp;lang=en_US&amp;offset=0&amp;query=any,contains,991001738869702656","Catalog Record")</f>
        <v>Catalog Record</v>
      </c>
      <c r="AV1217" s="5" t="str">
        <f>HYPERLINK("http://www.worldcat.org/oclc/61309321","WorldCat Record")</f>
        <v>WorldCat Record</v>
      </c>
      <c r="AW1217" s="2" t="s">
        <v>1261</v>
      </c>
      <c r="AX1217" s="2" t="s">
        <v>14658</v>
      </c>
      <c r="AY1217" s="2" t="s">
        <v>14659</v>
      </c>
      <c r="AZ1217" s="2" t="s">
        <v>14659</v>
      </c>
      <c r="BA1217" s="2" t="s">
        <v>14660</v>
      </c>
      <c r="BB1217" s="2" t="s">
        <v>21</v>
      </c>
      <c r="BD1217" s="2" t="s">
        <v>14661</v>
      </c>
      <c r="BE1217" s="2" t="s">
        <v>14662</v>
      </c>
      <c r="BF1217" s="2" t="s">
        <v>14663</v>
      </c>
    </row>
    <row r="1218" spans="1:58" ht="41.25" customHeight="1" x14ac:dyDescent="0.25">
      <c r="A1218" s="8" t="s">
        <v>5</v>
      </c>
      <c r="B1218" s="1" t="s">
        <v>0</v>
      </c>
      <c r="C1218" s="1" t="s">
        <v>1</v>
      </c>
      <c r="D1218" s="1" t="s">
        <v>14664</v>
      </c>
      <c r="E1218" s="1" t="s">
        <v>14665</v>
      </c>
      <c r="F1218" s="1" t="s">
        <v>14666</v>
      </c>
      <c r="H1218" s="2" t="s">
        <v>5</v>
      </c>
      <c r="I1218" s="2" t="s">
        <v>6</v>
      </c>
      <c r="J1218" s="2" t="s">
        <v>5</v>
      </c>
      <c r="K1218" s="2" t="s">
        <v>5</v>
      </c>
      <c r="L1218" s="2" t="s">
        <v>7</v>
      </c>
      <c r="N1218" s="1" t="s">
        <v>14667</v>
      </c>
      <c r="O1218" s="2" t="s">
        <v>1060</v>
      </c>
      <c r="Q1218" s="2" t="s">
        <v>11</v>
      </c>
      <c r="R1218" s="2" t="s">
        <v>1019</v>
      </c>
      <c r="T1218" s="2" t="s">
        <v>520</v>
      </c>
      <c r="U1218" s="3">
        <v>0</v>
      </c>
      <c r="V1218" s="3">
        <v>0</v>
      </c>
      <c r="W1218" s="4" t="s">
        <v>14668</v>
      </c>
      <c r="X1218" s="4" t="s">
        <v>14668</v>
      </c>
      <c r="Y1218" s="4" t="s">
        <v>14669</v>
      </c>
      <c r="Z1218" s="4" t="s">
        <v>14669</v>
      </c>
      <c r="AA1218" s="3">
        <v>315</v>
      </c>
      <c r="AB1218" s="3">
        <v>297</v>
      </c>
      <c r="AC1218" s="3">
        <v>299</v>
      </c>
      <c r="AD1218" s="3">
        <v>5</v>
      </c>
      <c r="AE1218" s="3">
        <v>5</v>
      </c>
      <c r="AF1218" s="3">
        <v>12</v>
      </c>
      <c r="AG1218" s="3">
        <v>12</v>
      </c>
      <c r="AH1218" s="3">
        <v>2</v>
      </c>
      <c r="AI1218" s="3">
        <v>2</v>
      </c>
      <c r="AJ1218" s="3">
        <v>3</v>
      </c>
      <c r="AK1218" s="3">
        <v>3</v>
      </c>
      <c r="AL1218" s="3">
        <v>4</v>
      </c>
      <c r="AM1218" s="3">
        <v>4</v>
      </c>
      <c r="AN1218" s="3">
        <v>3</v>
      </c>
      <c r="AO1218" s="3">
        <v>3</v>
      </c>
      <c r="AP1218" s="3">
        <v>0</v>
      </c>
      <c r="AQ1218" s="3">
        <v>0</v>
      </c>
      <c r="AR1218" s="2" t="s">
        <v>5</v>
      </c>
      <c r="AS1218" s="2" t="s">
        <v>16</v>
      </c>
      <c r="AT1218" s="5" t="str">
        <f>HYPERLINK("http://catalog.hathitrust.org/Record/004993007","HathiTrust Record")</f>
        <v>HathiTrust Record</v>
      </c>
      <c r="AU1218" s="5" t="str">
        <f>HYPERLINK("https://creighton-primo.hosted.exlibrisgroup.com/primo-explore/search?tab=default_tab&amp;search_scope=EVERYTHING&amp;vid=01CRU&amp;lang=en_US&amp;offset=0&amp;query=any,contains,991001748859702656","Catalog Record")</f>
        <v>Catalog Record</v>
      </c>
      <c r="AV1218" s="5" t="str">
        <f>HYPERLINK("http://www.worldcat.org/oclc/60449008","WorldCat Record")</f>
        <v>WorldCat Record</v>
      </c>
      <c r="AW1218" s="2" t="s">
        <v>14670</v>
      </c>
      <c r="AX1218" s="2" t="s">
        <v>14671</v>
      </c>
      <c r="AY1218" s="2" t="s">
        <v>14672</v>
      </c>
      <c r="AZ1218" s="2" t="s">
        <v>14672</v>
      </c>
      <c r="BA1218" s="2" t="s">
        <v>14673</v>
      </c>
      <c r="BB1218" s="2" t="s">
        <v>21</v>
      </c>
      <c r="BD1218" s="2" t="s">
        <v>14674</v>
      </c>
      <c r="BE1218" s="2" t="s">
        <v>14675</v>
      </c>
      <c r="BF1218" s="2" t="s">
        <v>14676</v>
      </c>
    </row>
    <row r="1219" spans="1:58" ht="41.25" customHeight="1" x14ac:dyDescent="0.25">
      <c r="A1219" s="8" t="s">
        <v>5</v>
      </c>
      <c r="B1219" s="1" t="s">
        <v>0</v>
      </c>
      <c r="C1219" s="1" t="s">
        <v>1</v>
      </c>
      <c r="D1219" s="1" t="s">
        <v>14677</v>
      </c>
      <c r="E1219" s="1" t="s">
        <v>14678</v>
      </c>
      <c r="F1219" s="1" t="s">
        <v>14679</v>
      </c>
      <c r="H1219" s="2" t="s">
        <v>5</v>
      </c>
      <c r="I1219" s="2" t="s">
        <v>6</v>
      </c>
      <c r="J1219" s="2" t="s">
        <v>5</v>
      </c>
      <c r="K1219" s="2" t="s">
        <v>16</v>
      </c>
      <c r="L1219" s="2" t="s">
        <v>7</v>
      </c>
      <c r="M1219" s="1" t="s">
        <v>14680</v>
      </c>
      <c r="N1219" s="1" t="s">
        <v>8145</v>
      </c>
      <c r="O1219" s="2" t="s">
        <v>1046</v>
      </c>
      <c r="P1219" s="1" t="s">
        <v>901</v>
      </c>
      <c r="Q1219" s="2" t="s">
        <v>11</v>
      </c>
      <c r="R1219" s="2" t="s">
        <v>31</v>
      </c>
      <c r="S1219" s="1" t="s">
        <v>14681</v>
      </c>
      <c r="T1219" s="2" t="s">
        <v>520</v>
      </c>
      <c r="U1219" s="3">
        <v>1</v>
      </c>
      <c r="V1219" s="3">
        <v>1</v>
      </c>
      <c r="W1219" s="4" t="s">
        <v>14682</v>
      </c>
      <c r="X1219" s="4" t="s">
        <v>14682</v>
      </c>
      <c r="Y1219" s="4" t="s">
        <v>6895</v>
      </c>
      <c r="Z1219" s="4" t="s">
        <v>6895</v>
      </c>
      <c r="AA1219" s="3">
        <v>215</v>
      </c>
      <c r="AB1219" s="3">
        <v>159</v>
      </c>
      <c r="AC1219" s="3">
        <v>406</v>
      </c>
      <c r="AD1219" s="3">
        <v>1</v>
      </c>
      <c r="AE1219" s="3">
        <v>2</v>
      </c>
      <c r="AF1219" s="3">
        <v>3</v>
      </c>
      <c r="AG1219" s="3">
        <v>10</v>
      </c>
      <c r="AH1219" s="3">
        <v>2</v>
      </c>
      <c r="AI1219" s="3">
        <v>4</v>
      </c>
      <c r="AJ1219" s="3">
        <v>0</v>
      </c>
      <c r="AK1219" s="3">
        <v>1</v>
      </c>
      <c r="AL1219" s="3">
        <v>2</v>
      </c>
      <c r="AM1219" s="3">
        <v>7</v>
      </c>
      <c r="AN1219" s="3">
        <v>0</v>
      </c>
      <c r="AO1219" s="3">
        <v>0</v>
      </c>
      <c r="AP1219" s="3">
        <v>0</v>
      </c>
      <c r="AQ1219" s="3">
        <v>0</v>
      </c>
      <c r="AR1219" s="2" t="s">
        <v>5</v>
      </c>
      <c r="AS1219" s="2" t="s">
        <v>16</v>
      </c>
      <c r="AT1219" s="5" t="str">
        <f>HYPERLINK("http://catalog.hathitrust.org/Record/004311377","HathiTrust Record")</f>
        <v>HathiTrust Record</v>
      </c>
      <c r="AU1219" s="5" t="str">
        <f>HYPERLINK("https://creighton-primo.hosted.exlibrisgroup.com/primo-explore/search?tab=default_tab&amp;search_scope=EVERYTHING&amp;vid=01CRU&amp;lang=en_US&amp;offset=0&amp;query=any,contains,991000345799702656","Catalog Record")</f>
        <v>Catalog Record</v>
      </c>
      <c r="AV1219" s="5" t="str">
        <f>HYPERLINK("http://www.worldcat.org/oclc/51671991","WorldCat Record")</f>
        <v>WorldCat Record</v>
      </c>
      <c r="AW1219" s="2" t="s">
        <v>14683</v>
      </c>
      <c r="AX1219" s="2" t="s">
        <v>14684</v>
      </c>
      <c r="AY1219" s="2" t="s">
        <v>14685</v>
      </c>
      <c r="AZ1219" s="2" t="s">
        <v>14685</v>
      </c>
      <c r="BA1219" s="2" t="s">
        <v>14686</v>
      </c>
      <c r="BB1219" s="2" t="s">
        <v>21</v>
      </c>
      <c r="BD1219" s="2" t="s">
        <v>14687</v>
      </c>
      <c r="BE1219" s="2" t="s">
        <v>14688</v>
      </c>
      <c r="BF1219" s="2" t="s">
        <v>14689</v>
      </c>
    </row>
    <row r="1220" spans="1:58" ht="41.25" customHeight="1" x14ac:dyDescent="0.25">
      <c r="A1220" s="8" t="s">
        <v>5</v>
      </c>
      <c r="B1220" s="1" t="s">
        <v>0</v>
      </c>
      <c r="C1220" s="1" t="s">
        <v>1</v>
      </c>
      <c r="D1220" s="1" t="s">
        <v>14690</v>
      </c>
      <c r="E1220" s="1" t="s">
        <v>14691</v>
      </c>
      <c r="F1220" s="1" t="s">
        <v>14692</v>
      </c>
      <c r="H1220" s="2" t="s">
        <v>5</v>
      </c>
      <c r="I1220" s="2" t="s">
        <v>6</v>
      </c>
      <c r="J1220" s="2" t="s">
        <v>5</v>
      </c>
      <c r="K1220" s="2" t="s">
        <v>5</v>
      </c>
      <c r="L1220" s="2" t="s">
        <v>7</v>
      </c>
      <c r="M1220" s="1" t="s">
        <v>14693</v>
      </c>
      <c r="N1220" s="1" t="s">
        <v>14694</v>
      </c>
      <c r="O1220" s="2" t="s">
        <v>1060</v>
      </c>
      <c r="P1220" s="1" t="s">
        <v>211</v>
      </c>
      <c r="Q1220" s="2" t="s">
        <v>11</v>
      </c>
      <c r="R1220" s="2" t="s">
        <v>12</v>
      </c>
      <c r="T1220" s="2" t="s">
        <v>520</v>
      </c>
      <c r="U1220" s="3">
        <v>1</v>
      </c>
      <c r="V1220" s="3">
        <v>1</v>
      </c>
      <c r="W1220" s="4" t="s">
        <v>10345</v>
      </c>
      <c r="X1220" s="4" t="s">
        <v>10345</v>
      </c>
      <c r="Y1220" s="4" t="s">
        <v>10346</v>
      </c>
      <c r="Z1220" s="4" t="s">
        <v>10346</v>
      </c>
      <c r="AA1220" s="3">
        <v>582</v>
      </c>
      <c r="AB1220" s="3">
        <v>474</v>
      </c>
      <c r="AC1220" s="3">
        <v>527</v>
      </c>
      <c r="AD1220" s="3">
        <v>3</v>
      </c>
      <c r="AE1220" s="3">
        <v>3</v>
      </c>
      <c r="AF1220" s="3">
        <v>15</v>
      </c>
      <c r="AG1220" s="3">
        <v>18</v>
      </c>
      <c r="AH1220" s="3">
        <v>5</v>
      </c>
      <c r="AI1220" s="3">
        <v>6</v>
      </c>
      <c r="AJ1220" s="3">
        <v>2</v>
      </c>
      <c r="AK1220" s="3">
        <v>4</v>
      </c>
      <c r="AL1220" s="3">
        <v>9</v>
      </c>
      <c r="AM1220" s="3">
        <v>10</v>
      </c>
      <c r="AN1220" s="3">
        <v>1</v>
      </c>
      <c r="AO1220" s="3">
        <v>1</v>
      </c>
      <c r="AP1220" s="3">
        <v>0</v>
      </c>
      <c r="AQ1220" s="3">
        <v>0</v>
      </c>
      <c r="AR1220" s="2" t="s">
        <v>5</v>
      </c>
      <c r="AS1220" s="2" t="s">
        <v>16</v>
      </c>
      <c r="AT1220" s="5" t="str">
        <f>HYPERLINK("http://catalog.hathitrust.org/Record/004917448","HathiTrust Record")</f>
        <v>HathiTrust Record</v>
      </c>
      <c r="AU1220" s="5" t="str">
        <f>HYPERLINK("https://creighton-primo.hosted.exlibrisgroup.com/primo-explore/search?tab=default_tab&amp;search_scope=EVERYTHING&amp;vid=01CRU&amp;lang=en_US&amp;offset=0&amp;query=any,contains,991001735749702656","Catalog Record")</f>
        <v>Catalog Record</v>
      </c>
      <c r="AV1220" s="5" t="str">
        <f>HYPERLINK("http://www.worldcat.org/oclc/55587645","WorldCat Record")</f>
        <v>WorldCat Record</v>
      </c>
      <c r="AW1220" s="2" t="s">
        <v>14695</v>
      </c>
      <c r="AX1220" s="2" t="s">
        <v>14696</v>
      </c>
      <c r="AY1220" s="2" t="s">
        <v>14697</v>
      </c>
      <c r="AZ1220" s="2" t="s">
        <v>14697</v>
      </c>
      <c r="BA1220" s="2" t="s">
        <v>14698</v>
      </c>
      <c r="BB1220" s="2" t="s">
        <v>21</v>
      </c>
      <c r="BD1220" s="2" t="s">
        <v>14699</v>
      </c>
      <c r="BE1220" s="2" t="s">
        <v>14700</v>
      </c>
      <c r="BF1220" s="2" t="s">
        <v>14701</v>
      </c>
    </row>
    <row r="1221" spans="1:58" ht="41.25" customHeight="1" x14ac:dyDescent="0.25">
      <c r="A1221" s="8" t="s">
        <v>5</v>
      </c>
      <c r="B1221" s="1" t="s">
        <v>0</v>
      </c>
      <c r="C1221" s="1" t="s">
        <v>1</v>
      </c>
      <c r="D1221" s="1" t="s">
        <v>14702</v>
      </c>
      <c r="E1221" s="1" t="s">
        <v>14703</v>
      </c>
      <c r="F1221" s="1" t="s">
        <v>14704</v>
      </c>
      <c r="H1221" s="2" t="s">
        <v>5</v>
      </c>
      <c r="I1221" s="2" t="s">
        <v>6</v>
      </c>
      <c r="J1221" s="2" t="s">
        <v>5</v>
      </c>
      <c r="K1221" s="2" t="s">
        <v>16</v>
      </c>
      <c r="L1221" s="2" t="s">
        <v>7</v>
      </c>
      <c r="N1221" s="1" t="s">
        <v>9554</v>
      </c>
      <c r="O1221" s="2" t="s">
        <v>1391</v>
      </c>
      <c r="P1221" s="1" t="s">
        <v>1208</v>
      </c>
      <c r="Q1221" s="2" t="s">
        <v>11</v>
      </c>
      <c r="R1221" s="2" t="s">
        <v>31</v>
      </c>
      <c r="T1221" s="2" t="s">
        <v>520</v>
      </c>
      <c r="U1221" s="3">
        <v>3</v>
      </c>
      <c r="V1221" s="3">
        <v>3</v>
      </c>
      <c r="W1221" s="4" t="s">
        <v>14705</v>
      </c>
      <c r="X1221" s="4" t="s">
        <v>14705</v>
      </c>
      <c r="Y1221" s="4" t="s">
        <v>14706</v>
      </c>
      <c r="Z1221" s="4" t="s">
        <v>14706</v>
      </c>
      <c r="AA1221" s="3">
        <v>479</v>
      </c>
      <c r="AB1221" s="3">
        <v>371</v>
      </c>
      <c r="AC1221" s="3">
        <v>1146</v>
      </c>
      <c r="AD1221" s="3">
        <v>3</v>
      </c>
      <c r="AE1221" s="3">
        <v>7</v>
      </c>
      <c r="AF1221" s="3">
        <v>16</v>
      </c>
      <c r="AG1221" s="3">
        <v>31</v>
      </c>
      <c r="AH1221" s="3">
        <v>7</v>
      </c>
      <c r="AI1221" s="3">
        <v>11</v>
      </c>
      <c r="AJ1221" s="3">
        <v>2</v>
      </c>
      <c r="AK1221" s="3">
        <v>6</v>
      </c>
      <c r="AL1221" s="3">
        <v>9</v>
      </c>
      <c r="AM1221" s="3">
        <v>16</v>
      </c>
      <c r="AN1221" s="3">
        <v>2</v>
      </c>
      <c r="AO1221" s="3">
        <v>5</v>
      </c>
      <c r="AP1221" s="3">
        <v>0</v>
      </c>
      <c r="AQ1221" s="3">
        <v>0</v>
      </c>
      <c r="AR1221" s="2" t="s">
        <v>5</v>
      </c>
      <c r="AS1221" s="2" t="s">
        <v>16</v>
      </c>
      <c r="AT1221" s="5" t="str">
        <f>HYPERLINK("http://catalog.hathitrust.org/Record/004352420","HathiTrust Record")</f>
        <v>HathiTrust Record</v>
      </c>
      <c r="AU1221" s="5" t="str">
        <f>HYPERLINK("https://creighton-primo.hosted.exlibrisgroup.com/primo-explore/search?tab=default_tab&amp;search_scope=EVERYTHING&amp;vid=01CRU&amp;lang=en_US&amp;offset=0&amp;query=any,contains,991001724919702656","Catalog Record")</f>
        <v>Catalog Record</v>
      </c>
      <c r="AV1221" s="5" t="str">
        <f>HYPERLINK("http://www.worldcat.org/oclc/52520326","WorldCat Record")</f>
        <v>WorldCat Record</v>
      </c>
      <c r="AW1221" s="2" t="s">
        <v>10459</v>
      </c>
      <c r="AX1221" s="2" t="s">
        <v>14707</v>
      </c>
      <c r="AY1221" s="2" t="s">
        <v>14708</v>
      </c>
      <c r="AZ1221" s="2" t="s">
        <v>14708</v>
      </c>
      <c r="BA1221" s="2" t="s">
        <v>14709</v>
      </c>
      <c r="BB1221" s="2" t="s">
        <v>21</v>
      </c>
      <c r="BD1221" s="2" t="s">
        <v>14710</v>
      </c>
      <c r="BE1221" s="2" t="s">
        <v>14711</v>
      </c>
      <c r="BF1221" s="2" t="s">
        <v>14712</v>
      </c>
    </row>
    <row r="1222" spans="1:58" ht="41.25" customHeight="1" x14ac:dyDescent="0.25">
      <c r="A1222" s="8" t="s">
        <v>5</v>
      </c>
      <c r="B1222" s="1" t="s">
        <v>0</v>
      </c>
      <c r="C1222" s="1" t="s">
        <v>1</v>
      </c>
      <c r="D1222" s="1" t="s">
        <v>14713</v>
      </c>
      <c r="E1222" s="1" t="s">
        <v>14714</v>
      </c>
      <c r="F1222" s="1" t="s">
        <v>14715</v>
      </c>
      <c r="H1222" s="2" t="s">
        <v>5</v>
      </c>
      <c r="I1222" s="2" t="s">
        <v>6</v>
      </c>
      <c r="J1222" s="2" t="s">
        <v>5</v>
      </c>
      <c r="K1222" s="2" t="s">
        <v>5</v>
      </c>
      <c r="L1222" s="2" t="s">
        <v>7</v>
      </c>
      <c r="N1222" s="1" t="s">
        <v>14716</v>
      </c>
      <c r="O1222" s="2" t="s">
        <v>1824</v>
      </c>
      <c r="Q1222" s="2" t="s">
        <v>11</v>
      </c>
      <c r="R1222" s="2" t="s">
        <v>12</v>
      </c>
      <c r="S1222" s="1" t="s">
        <v>14717</v>
      </c>
      <c r="T1222" s="2" t="s">
        <v>520</v>
      </c>
      <c r="U1222" s="3">
        <v>1</v>
      </c>
      <c r="V1222" s="3">
        <v>1</v>
      </c>
      <c r="W1222" s="4" t="s">
        <v>1405</v>
      </c>
      <c r="X1222" s="4" t="s">
        <v>1405</v>
      </c>
      <c r="Y1222" s="4" t="s">
        <v>1249</v>
      </c>
      <c r="Z1222" s="4" t="s">
        <v>1249</v>
      </c>
      <c r="AA1222" s="3">
        <v>22</v>
      </c>
      <c r="AB1222" s="3">
        <v>19</v>
      </c>
      <c r="AC1222" s="3">
        <v>23</v>
      </c>
      <c r="AD1222" s="3">
        <v>1</v>
      </c>
      <c r="AE1222" s="3">
        <v>1</v>
      </c>
      <c r="AF1222" s="3">
        <v>1</v>
      </c>
      <c r="AG1222" s="3">
        <v>1</v>
      </c>
      <c r="AH1222" s="3">
        <v>0</v>
      </c>
      <c r="AI1222" s="3">
        <v>0</v>
      </c>
      <c r="AJ1222" s="3">
        <v>0</v>
      </c>
      <c r="AK1222" s="3">
        <v>0</v>
      </c>
      <c r="AL1222" s="3">
        <v>1</v>
      </c>
      <c r="AM1222" s="3">
        <v>1</v>
      </c>
      <c r="AN1222" s="3">
        <v>0</v>
      </c>
      <c r="AO1222" s="3">
        <v>0</v>
      </c>
      <c r="AP1222" s="3">
        <v>0</v>
      </c>
      <c r="AQ1222" s="3">
        <v>0</v>
      </c>
      <c r="AR1222" s="2" t="s">
        <v>5</v>
      </c>
      <c r="AS1222" s="2" t="s">
        <v>5</v>
      </c>
      <c r="AU1222" s="5" t="str">
        <f>HYPERLINK("https://creighton-primo.hosted.exlibrisgroup.com/primo-explore/search?tab=default_tab&amp;search_scope=EVERYTHING&amp;vid=01CRU&amp;lang=en_US&amp;offset=0&amp;query=any,contains,991001386069702656","Catalog Record")</f>
        <v>Catalog Record</v>
      </c>
      <c r="AV1222" s="5" t="str">
        <f>HYPERLINK("http://www.worldcat.org/oclc/3090555","WorldCat Record")</f>
        <v>WorldCat Record</v>
      </c>
      <c r="AW1222" s="2" t="s">
        <v>14718</v>
      </c>
      <c r="AX1222" s="2" t="s">
        <v>14719</v>
      </c>
      <c r="AY1222" s="2" t="s">
        <v>14720</v>
      </c>
      <c r="AZ1222" s="2" t="s">
        <v>14720</v>
      </c>
      <c r="BA1222" s="2" t="s">
        <v>14721</v>
      </c>
      <c r="BB1222" s="2" t="s">
        <v>21</v>
      </c>
      <c r="BE1222" s="2" t="s">
        <v>14722</v>
      </c>
      <c r="BF1222" s="2" t="s">
        <v>14723</v>
      </c>
    </row>
    <row r="1223" spans="1:58" ht="41.25" customHeight="1" x14ac:dyDescent="0.25">
      <c r="A1223" s="8" t="s">
        <v>5</v>
      </c>
      <c r="B1223" s="1" t="s">
        <v>0</v>
      </c>
      <c r="C1223" s="1" t="s">
        <v>1</v>
      </c>
      <c r="D1223" s="1" t="s">
        <v>14724</v>
      </c>
      <c r="E1223" s="1" t="s">
        <v>14725</v>
      </c>
      <c r="F1223" s="1" t="s">
        <v>14726</v>
      </c>
      <c r="H1223" s="2" t="s">
        <v>5</v>
      </c>
      <c r="I1223" s="2" t="s">
        <v>6</v>
      </c>
      <c r="J1223" s="2" t="s">
        <v>5</v>
      </c>
      <c r="K1223" s="2" t="s">
        <v>5</v>
      </c>
      <c r="L1223" s="2" t="s">
        <v>7</v>
      </c>
      <c r="N1223" s="1" t="s">
        <v>14727</v>
      </c>
      <c r="O1223" s="2" t="s">
        <v>680</v>
      </c>
      <c r="Q1223" s="2" t="s">
        <v>11</v>
      </c>
      <c r="R1223" s="2" t="s">
        <v>12</v>
      </c>
      <c r="T1223" s="2" t="s">
        <v>520</v>
      </c>
      <c r="U1223" s="3">
        <v>1</v>
      </c>
      <c r="V1223" s="3">
        <v>1</v>
      </c>
      <c r="W1223" s="4" t="s">
        <v>2225</v>
      </c>
      <c r="X1223" s="4" t="s">
        <v>2225</v>
      </c>
      <c r="Y1223" s="4" t="s">
        <v>2226</v>
      </c>
      <c r="Z1223" s="4" t="s">
        <v>2226</v>
      </c>
      <c r="AA1223" s="3">
        <v>33</v>
      </c>
      <c r="AB1223" s="3">
        <v>31</v>
      </c>
      <c r="AC1223" s="3">
        <v>37</v>
      </c>
      <c r="AD1223" s="3">
        <v>1</v>
      </c>
      <c r="AE1223" s="3">
        <v>1</v>
      </c>
      <c r="AF1223" s="3">
        <v>1</v>
      </c>
      <c r="AG1223" s="3">
        <v>1</v>
      </c>
      <c r="AH1223" s="3">
        <v>0</v>
      </c>
      <c r="AI1223" s="3">
        <v>0</v>
      </c>
      <c r="AJ1223" s="3">
        <v>0</v>
      </c>
      <c r="AK1223" s="3">
        <v>0</v>
      </c>
      <c r="AL1223" s="3">
        <v>1</v>
      </c>
      <c r="AM1223" s="3">
        <v>1</v>
      </c>
      <c r="AN1223" s="3">
        <v>0</v>
      </c>
      <c r="AO1223" s="3">
        <v>0</v>
      </c>
      <c r="AP1223" s="3">
        <v>0</v>
      </c>
      <c r="AQ1223" s="3">
        <v>0</v>
      </c>
      <c r="AR1223" s="2" t="s">
        <v>16</v>
      </c>
      <c r="AS1223" s="2" t="s">
        <v>5</v>
      </c>
      <c r="AT1223" s="5" t="str">
        <f>HYPERLINK("http://catalog.hathitrust.org/Record/002072743","HathiTrust Record")</f>
        <v>HathiTrust Record</v>
      </c>
      <c r="AU1223" s="5" t="str">
        <f>HYPERLINK("https://creighton-primo.hosted.exlibrisgroup.com/primo-explore/search?tab=default_tab&amp;search_scope=EVERYTHING&amp;vid=01CRU&amp;lang=en_US&amp;offset=0&amp;query=any,contains,991001518259702656","Catalog Record")</f>
        <v>Catalog Record</v>
      </c>
      <c r="AV1223" s="5" t="str">
        <f>HYPERLINK("http://www.worldcat.org/oclc/1575028","WorldCat Record")</f>
        <v>WorldCat Record</v>
      </c>
      <c r="AW1223" s="2" t="s">
        <v>14728</v>
      </c>
      <c r="AX1223" s="2" t="s">
        <v>14729</v>
      </c>
      <c r="AY1223" s="2" t="s">
        <v>14730</v>
      </c>
      <c r="AZ1223" s="2" t="s">
        <v>14730</v>
      </c>
      <c r="BA1223" s="2" t="s">
        <v>14731</v>
      </c>
      <c r="BB1223" s="2" t="s">
        <v>21</v>
      </c>
      <c r="BE1223" s="2" t="s">
        <v>14732</v>
      </c>
      <c r="BF1223" s="2" t="s">
        <v>14733</v>
      </c>
    </row>
    <row r="1224" spans="1:58" ht="41.25" customHeight="1" x14ac:dyDescent="0.25">
      <c r="A1224" s="8" t="s">
        <v>5</v>
      </c>
      <c r="B1224" s="1" t="s">
        <v>0</v>
      </c>
      <c r="C1224" s="1" t="s">
        <v>1</v>
      </c>
      <c r="D1224" s="1" t="s">
        <v>14734</v>
      </c>
      <c r="E1224" s="1" t="s">
        <v>14735</v>
      </c>
      <c r="F1224" s="1" t="s">
        <v>14736</v>
      </c>
      <c r="H1224" s="2" t="s">
        <v>5</v>
      </c>
      <c r="I1224" s="2" t="s">
        <v>6</v>
      </c>
      <c r="J1224" s="2" t="s">
        <v>5</v>
      </c>
      <c r="K1224" s="2" t="s">
        <v>5</v>
      </c>
      <c r="L1224" s="2" t="s">
        <v>7</v>
      </c>
      <c r="N1224" s="1" t="s">
        <v>14737</v>
      </c>
      <c r="O1224" s="2" t="s">
        <v>1195</v>
      </c>
      <c r="Q1224" s="2" t="s">
        <v>11</v>
      </c>
      <c r="R1224" s="2" t="s">
        <v>1325</v>
      </c>
      <c r="S1224" s="1" t="s">
        <v>14738</v>
      </c>
      <c r="T1224" s="2" t="s">
        <v>520</v>
      </c>
      <c r="U1224" s="3">
        <v>1</v>
      </c>
      <c r="V1224" s="3">
        <v>1</v>
      </c>
      <c r="W1224" s="4" t="s">
        <v>9354</v>
      </c>
      <c r="X1224" s="4" t="s">
        <v>9354</v>
      </c>
      <c r="Y1224" s="4" t="s">
        <v>14739</v>
      </c>
      <c r="Z1224" s="4" t="s">
        <v>14739</v>
      </c>
      <c r="AA1224" s="3">
        <v>153</v>
      </c>
      <c r="AB1224" s="3">
        <v>151</v>
      </c>
      <c r="AC1224" s="3">
        <v>154</v>
      </c>
      <c r="AD1224" s="3">
        <v>1</v>
      </c>
      <c r="AE1224" s="3">
        <v>1</v>
      </c>
      <c r="AF1224" s="3">
        <v>11</v>
      </c>
      <c r="AG1224" s="3">
        <v>12</v>
      </c>
      <c r="AH1224" s="3">
        <v>4</v>
      </c>
      <c r="AI1224" s="3">
        <v>5</v>
      </c>
      <c r="AJ1224" s="3">
        <v>3</v>
      </c>
      <c r="AK1224" s="3">
        <v>3</v>
      </c>
      <c r="AL1224" s="3">
        <v>5</v>
      </c>
      <c r="AM1224" s="3">
        <v>6</v>
      </c>
      <c r="AN1224" s="3">
        <v>0</v>
      </c>
      <c r="AO1224" s="3">
        <v>0</v>
      </c>
      <c r="AP1224" s="3">
        <v>0</v>
      </c>
      <c r="AQ1224" s="3">
        <v>0</v>
      </c>
      <c r="AR1224" s="2" t="s">
        <v>5</v>
      </c>
      <c r="AS1224" s="2" t="s">
        <v>16</v>
      </c>
      <c r="AT1224" s="5" t="str">
        <f>HYPERLINK("http://catalog.hathitrust.org/Record/003503175","HathiTrust Record")</f>
        <v>HathiTrust Record</v>
      </c>
      <c r="AU1224" s="5" t="str">
        <f>HYPERLINK("https://creighton-primo.hosted.exlibrisgroup.com/primo-explore/search?tab=default_tab&amp;search_scope=EVERYTHING&amp;vid=01CRU&amp;lang=en_US&amp;offset=0&amp;query=any,contains,991000347249702656","Catalog Record")</f>
        <v>Catalog Record</v>
      </c>
      <c r="AV1224" s="5" t="str">
        <f>HYPERLINK("http://www.worldcat.org/oclc/43286706","WorldCat Record")</f>
        <v>WorldCat Record</v>
      </c>
      <c r="AW1224" s="2" t="s">
        <v>14740</v>
      </c>
      <c r="AX1224" s="2" t="s">
        <v>14741</v>
      </c>
      <c r="AY1224" s="2" t="s">
        <v>14742</v>
      </c>
      <c r="AZ1224" s="2" t="s">
        <v>14742</v>
      </c>
      <c r="BA1224" s="2" t="s">
        <v>14743</v>
      </c>
      <c r="BB1224" s="2" t="s">
        <v>21</v>
      </c>
      <c r="BE1224" s="2" t="s">
        <v>14744</v>
      </c>
      <c r="BF1224" s="2" t="s">
        <v>14745</v>
      </c>
    </row>
    <row r="1225" spans="1:58" ht="41.25" customHeight="1" x14ac:dyDescent="0.25">
      <c r="A1225" s="8" t="s">
        <v>5</v>
      </c>
      <c r="B1225" s="1" t="s">
        <v>0</v>
      </c>
      <c r="C1225" s="1" t="s">
        <v>1</v>
      </c>
      <c r="D1225" s="1" t="s">
        <v>14746</v>
      </c>
      <c r="E1225" s="1" t="s">
        <v>14747</v>
      </c>
      <c r="F1225" s="1" t="s">
        <v>14748</v>
      </c>
      <c r="H1225" s="2" t="s">
        <v>5</v>
      </c>
      <c r="I1225" s="2" t="s">
        <v>6</v>
      </c>
      <c r="J1225" s="2" t="s">
        <v>5</v>
      </c>
      <c r="K1225" s="2" t="s">
        <v>5</v>
      </c>
      <c r="L1225" s="2" t="s">
        <v>7</v>
      </c>
      <c r="N1225" s="1" t="s">
        <v>640</v>
      </c>
      <c r="O1225" s="2" t="s">
        <v>136</v>
      </c>
      <c r="P1225" s="1" t="s">
        <v>1208</v>
      </c>
      <c r="Q1225" s="2" t="s">
        <v>11</v>
      </c>
      <c r="R1225" s="2" t="s">
        <v>426</v>
      </c>
      <c r="T1225" s="2" t="s">
        <v>520</v>
      </c>
      <c r="U1225" s="3">
        <v>8</v>
      </c>
      <c r="V1225" s="3">
        <v>8</v>
      </c>
      <c r="W1225" s="4" t="s">
        <v>9605</v>
      </c>
      <c r="X1225" s="4" t="s">
        <v>9605</v>
      </c>
      <c r="Y1225" s="4" t="s">
        <v>1794</v>
      </c>
      <c r="Z1225" s="4" t="s">
        <v>1794</v>
      </c>
      <c r="AA1225" s="3">
        <v>250</v>
      </c>
      <c r="AB1225" s="3">
        <v>185</v>
      </c>
      <c r="AC1225" s="3">
        <v>381</v>
      </c>
      <c r="AD1225" s="3">
        <v>2</v>
      </c>
      <c r="AE1225" s="3">
        <v>4</v>
      </c>
      <c r="AF1225" s="3">
        <v>8</v>
      </c>
      <c r="AG1225" s="3">
        <v>14</v>
      </c>
      <c r="AH1225" s="3">
        <v>5</v>
      </c>
      <c r="AI1225" s="3">
        <v>7</v>
      </c>
      <c r="AJ1225" s="3">
        <v>1</v>
      </c>
      <c r="AK1225" s="3">
        <v>2</v>
      </c>
      <c r="AL1225" s="3">
        <v>5</v>
      </c>
      <c r="AM1225" s="3">
        <v>7</v>
      </c>
      <c r="AN1225" s="3">
        <v>1</v>
      </c>
      <c r="AO1225" s="3">
        <v>2</v>
      </c>
      <c r="AP1225" s="3">
        <v>0</v>
      </c>
      <c r="AQ1225" s="3">
        <v>0</v>
      </c>
      <c r="AR1225" s="2" t="s">
        <v>5</v>
      </c>
      <c r="AS1225" s="2" t="s">
        <v>16</v>
      </c>
      <c r="AT1225" s="5" t="str">
        <f>HYPERLINK("http://catalog.hathitrust.org/Record/004520244","HathiTrust Record")</f>
        <v>HathiTrust Record</v>
      </c>
      <c r="AU1225" s="5" t="str">
        <f>HYPERLINK("https://creighton-primo.hosted.exlibrisgroup.com/primo-explore/search?tab=default_tab&amp;search_scope=EVERYTHING&amp;vid=01CRU&amp;lang=en_US&amp;offset=0&amp;query=any,contains,991000934669702656","Catalog Record")</f>
        <v>Catalog Record</v>
      </c>
      <c r="AV1225" s="5" t="str">
        <f>HYPERLINK("http://www.worldcat.org/oclc/22910569","WorldCat Record")</f>
        <v>WorldCat Record</v>
      </c>
      <c r="AW1225" s="2" t="s">
        <v>14749</v>
      </c>
      <c r="AX1225" s="2" t="s">
        <v>14750</v>
      </c>
      <c r="AY1225" s="2" t="s">
        <v>14751</v>
      </c>
      <c r="AZ1225" s="2" t="s">
        <v>14751</v>
      </c>
      <c r="BA1225" s="2" t="s">
        <v>14752</v>
      </c>
      <c r="BB1225" s="2" t="s">
        <v>21</v>
      </c>
      <c r="BD1225" s="2" t="s">
        <v>14753</v>
      </c>
      <c r="BE1225" s="2" t="s">
        <v>14754</v>
      </c>
      <c r="BF1225" s="2" t="s">
        <v>14755</v>
      </c>
    </row>
    <row r="1226" spans="1:58" ht="41.25" customHeight="1" x14ac:dyDescent="0.25">
      <c r="A1226" s="8" t="s">
        <v>5</v>
      </c>
      <c r="B1226" s="1" t="s">
        <v>0</v>
      </c>
      <c r="C1226" s="1" t="s">
        <v>1</v>
      </c>
      <c r="D1226" s="1" t="s">
        <v>14756</v>
      </c>
      <c r="E1226" s="1" t="s">
        <v>14757</v>
      </c>
      <c r="F1226" s="1" t="s">
        <v>14758</v>
      </c>
      <c r="G1226" s="2" t="s">
        <v>839</v>
      </c>
      <c r="H1226" s="2" t="s">
        <v>16</v>
      </c>
      <c r="I1226" s="2" t="s">
        <v>6</v>
      </c>
      <c r="J1226" s="2" t="s">
        <v>5</v>
      </c>
      <c r="K1226" s="2" t="s">
        <v>5</v>
      </c>
      <c r="L1226" s="2" t="s">
        <v>7</v>
      </c>
      <c r="N1226" s="1" t="s">
        <v>14759</v>
      </c>
      <c r="O1226" s="2" t="s">
        <v>136</v>
      </c>
      <c r="Q1226" s="2" t="s">
        <v>11</v>
      </c>
      <c r="R1226" s="2" t="s">
        <v>1019</v>
      </c>
      <c r="T1226" s="2" t="s">
        <v>520</v>
      </c>
      <c r="U1226" s="3">
        <v>16</v>
      </c>
      <c r="V1226" s="3">
        <v>40</v>
      </c>
      <c r="W1226" s="4" t="s">
        <v>12078</v>
      </c>
      <c r="X1226" s="4" t="s">
        <v>12078</v>
      </c>
      <c r="Y1226" s="4" t="s">
        <v>14760</v>
      </c>
      <c r="Z1226" s="4" t="s">
        <v>14760</v>
      </c>
      <c r="AA1226" s="3">
        <v>240</v>
      </c>
      <c r="AB1226" s="3">
        <v>195</v>
      </c>
      <c r="AC1226" s="3">
        <v>199</v>
      </c>
      <c r="AD1226" s="3">
        <v>3</v>
      </c>
      <c r="AE1226" s="3">
        <v>3</v>
      </c>
      <c r="AF1226" s="3">
        <v>7</v>
      </c>
      <c r="AG1226" s="3">
        <v>7</v>
      </c>
      <c r="AH1226" s="3">
        <v>2</v>
      </c>
      <c r="AI1226" s="3">
        <v>2</v>
      </c>
      <c r="AJ1226" s="3">
        <v>2</v>
      </c>
      <c r="AK1226" s="3">
        <v>2</v>
      </c>
      <c r="AL1226" s="3">
        <v>4</v>
      </c>
      <c r="AM1226" s="3">
        <v>4</v>
      </c>
      <c r="AN1226" s="3">
        <v>1</v>
      </c>
      <c r="AO1226" s="3">
        <v>1</v>
      </c>
      <c r="AP1226" s="3">
        <v>0</v>
      </c>
      <c r="AQ1226" s="3">
        <v>0</v>
      </c>
      <c r="AR1226" s="2" t="s">
        <v>5</v>
      </c>
      <c r="AS1226" s="2" t="s">
        <v>16</v>
      </c>
      <c r="AT1226" s="5" t="str">
        <f>HYPERLINK("http://catalog.hathitrust.org/Record/002471533","HathiTrust Record")</f>
        <v>HathiTrust Record</v>
      </c>
      <c r="AU1226" s="5" t="str">
        <f>HYPERLINK("https://creighton-primo.hosted.exlibrisgroup.com/primo-explore/search?tab=default_tab&amp;search_scope=EVERYTHING&amp;vid=01CRU&amp;lang=en_US&amp;offset=0&amp;query=any,contains,991000942289702656","Catalog Record")</f>
        <v>Catalog Record</v>
      </c>
      <c r="AV1226" s="5" t="str">
        <f>HYPERLINK("http://www.worldcat.org/oclc/23014655","WorldCat Record")</f>
        <v>WorldCat Record</v>
      </c>
      <c r="AW1226" s="2" t="s">
        <v>14761</v>
      </c>
      <c r="AX1226" s="2" t="s">
        <v>14762</v>
      </c>
      <c r="AY1226" s="2" t="s">
        <v>14763</v>
      </c>
      <c r="AZ1226" s="2" t="s">
        <v>14763</v>
      </c>
      <c r="BA1226" s="2" t="s">
        <v>14764</v>
      </c>
      <c r="BB1226" s="2" t="s">
        <v>21</v>
      </c>
      <c r="BD1226" s="2" t="s">
        <v>14765</v>
      </c>
      <c r="BE1226" s="2" t="s">
        <v>14766</v>
      </c>
      <c r="BF1226" s="2" t="s">
        <v>14767</v>
      </c>
    </row>
    <row r="1227" spans="1:58" ht="41.25" customHeight="1" x14ac:dyDescent="0.25">
      <c r="A1227" s="8" t="s">
        <v>5</v>
      </c>
      <c r="B1227" s="1" t="s">
        <v>0</v>
      </c>
      <c r="C1227" s="1" t="s">
        <v>1</v>
      </c>
      <c r="D1227" s="1" t="s">
        <v>14756</v>
      </c>
      <c r="E1227" s="1" t="s">
        <v>14757</v>
      </c>
      <c r="F1227" s="1" t="s">
        <v>14758</v>
      </c>
      <c r="G1227" s="2" t="s">
        <v>820</v>
      </c>
      <c r="H1227" s="2" t="s">
        <v>16</v>
      </c>
      <c r="I1227" s="2" t="s">
        <v>6</v>
      </c>
      <c r="J1227" s="2" t="s">
        <v>5</v>
      </c>
      <c r="K1227" s="2" t="s">
        <v>5</v>
      </c>
      <c r="L1227" s="2" t="s">
        <v>7</v>
      </c>
      <c r="N1227" s="1" t="s">
        <v>14759</v>
      </c>
      <c r="O1227" s="2" t="s">
        <v>136</v>
      </c>
      <c r="Q1227" s="2" t="s">
        <v>11</v>
      </c>
      <c r="R1227" s="2" t="s">
        <v>1019</v>
      </c>
      <c r="T1227" s="2" t="s">
        <v>520</v>
      </c>
      <c r="U1227" s="3">
        <v>24</v>
      </c>
      <c r="V1227" s="3">
        <v>40</v>
      </c>
      <c r="W1227" s="4" t="s">
        <v>12078</v>
      </c>
      <c r="X1227" s="4" t="s">
        <v>12078</v>
      </c>
      <c r="Y1227" s="4" t="s">
        <v>14760</v>
      </c>
      <c r="Z1227" s="4" t="s">
        <v>14760</v>
      </c>
      <c r="AA1227" s="3">
        <v>240</v>
      </c>
      <c r="AB1227" s="3">
        <v>195</v>
      </c>
      <c r="AC1227" s="3">
        <v>199</v>
      </c>
      <c r="AD1227" s="3">
        <v>3</v>
      </c>
      <c r="AE1227" s="3">
        <v>3</v>
      </c>
      <c r="AF1227" s="3">
        <v>7</v>
      </c>
      <c r="AG1227" s="3">
        <v>7</v>
      </c>
      <c r="AH1227" s="3">
        <v>2</v>
      </c>
      <c r="AI1227" s="3">
        <v>2</v>
      </c>
      <c r="AJ1227" s="3">
        <v>2</v>
      </c>
      <c r="AK1227" s="3">
        <v>2</v>
      </c>
      <c r="AL1227" s="3">
        <v>4</v>
      </c>
      <c r="AM1227" s="3">
        <v>4</v>
      </c>
      <c r="AN1227" s="3">
        <v>1</v>
      </c>
      <c r="AO1227" s="3">
        <v>1</v>
      </c>
      <c r="AP1227" s="3">
        <v>0</v>
      </c>
      <c r="AQ1227" s="3">
        <v>0</v>
      </c>
      <c r="AR1227" s="2" t="s">
        <v>5</v>
      </c>
      <c r="AS1227" s="2" t="s">
        <v>16</v>
      </c>
      <c r="AT1227" s="5" t="str">
        <f>HYPERLINK("http://catalog.hathitrust.org/Record/002471533","HathiTrust Record")</f>
        <v>HathiTrust Record</v>
      </c>
      <c r="AU1227" s="5" t="str">
        <f>HYPERLINK("https://creighton-primo.hosted.exlibrisgroup.com/primo-explore/search?tab=default_tab&amp;search_scope=EVERYTHING&amp;vid=01CRU&amp;lang=en_US&amp;offset=0&amp;query=any,contains,991000942289702656","Catalog Record")</f>
        <v>Catalog Record</v>
      </c>
      <c r="AV1227" s="5" t="str">
        <f>HYPERLINK("http://www.worldcat.org/oclc/23014655","WorldCat Record")</f>
        <v>WorldCat Record</v>
      </c>
      <c r="AW1227" s="2" t="s">
        <v>14761</v>
      </c>
      <c r="AX1227" s="2" t="s">
        <v>14762</v>
      </c>
      <c r="AY1227" s="2" t="s">
        <v>14763</v>
      </c>
      <c r="AZ1227" s="2" t="s">
        <v>14763</v>
      </c>
      <c r="BA1227" s="2" t="s">
        <v>14764</v>
      </c>
      <c r="BB1227" s="2" t="s">
        <v>21</v>
      </c>
      <c r="BD1227" s="2" t="s">
        <v>14765</v>
      </c>
      <c r="BE1227" s="2" t="s">
        <v>14768</v>
      </c>
      <c r="BF1227" s="2" t="s">
        <v>14769</v>
      </c>
    </row>
    <row r="1228" spans="1:58" ht="41.25" customHeight="1" x14ac:dyDescent="0.25">
      <c r="A1228" s="8" t="s">
        <v>5</v>
      </c>
      <c r="B1228" s="1" t="s">
        <v>0</v>
      </c>
      <c r="C1228" s="1" t="s">
        <v>1</v>
      </c>
      <c r="D1228" s="1" t="s">
        <v>14770</v>
      </c>
      <c r="E1228" s="1" t="s">
        <v>14771</v>
      </c>
      <c r="F1228" s="1" t="s">
        <v>14772</v>
      </c>
      <c r="H1228" s="2" t="s">
        <v>5</v>
      </c>
      <c r="I1228" s="2" t="s">
        <v>6</v>
      </c>
      <c r="J1228" s="2" t="s">
        <v>5</v>
      </c>
      <c r="K1228" s="2" t="s">
        <v>5</v>
      </c>
      <c r="L1228" s="2" t="s">
        <v>7</v>
      </c>
      <c r="N1228" s="1" t="s">
        <v>1985</v>
      </c>
      <c r="O1228" s="2" t="s">
        <v>92</v>
      </c>
      <c r="Q1228" s="2" t="s">
        <v>11</v>
      </c>
      <c r="R1228" s="2" t="s">
        <v>12</v>
      </c>
      <c r="S1228" s="1" t="s">
        <v>14773</v>
      </c>
      <c r="T1228" s="2" t="s">
        <v>520</v>
      </c>
      <c r="U1228" s="3">
        <v>1</v>
      </c>
      <c r="V1228" s="3">
        <v>1</v>
      </c>
      <c r="W1228" s="4" t="s">
        <v>5313</v>
      </c>
      <c r="X1228" s="4" t="s">
        <v>5313</v>
      </c>
      <c r="Y1228" s="4" t="s">
        <v>1249</v>
      </c>
      <c r="Z1228" s="4" t="s">
        <v>1249</v>
      </c>
      <c r="AA1228" s="3">
        <v>87</v>
      </c>
      <c r="AB1228" s="3">
        <v>79</v>
      </c>
      <c r="AC1228" s="3">
        <v>81</v>
      </c>
      <c r="AD1228" s="3">
        <v>3</v>
      </c>
      <c r="AE1228" s="3">
        <v>3</v>
      </c>
      <c r="AF1228" s="3">
        <v>4</v>
      </c>
      <c r="AG1228" s="3">
        <v>4</v>
      </c>
      <c r="AH1228" s="3">
        <v>0</v>
      </c>
      <c r="AI1228" s="3">
        <v>0</v>
      </c>
      <c r="AJ1228" s="3">
        <v>1</v>
      </c>
      <c r="AK1228" s="3">
        <v>1</v>
      </c>
      <c r="AL1228" s="3">
        <v>3</v>
      </c>
      <c r="AM1228" s="3">
        <v>3</v>
      </c>
      <c r="AN1228" s="3">
        <v>1</v>
      </c>
      <c r="AO1228" s="3">
        <v>1</v>
      </c>
      <c r="AP1228" s="3">
        <v>0</v>
      </c>
      <c r="AQ1228" s="3">
        <v>0</v>
      </c>
      <c r="AR1228" s="2" t="s">
        <v>5</v>
      </c>
      <c r="AS1228" s="2" t="s">
        <v>16</v>
      </c>
      <c r="AT1228" s="5" t="str">
        <f>HYPERLINK("http://catalog.hathitrust.org/Record/000295256","HathiTrust Record")</f>
        <v>HathiTrust Record</v>
      </c>
      <c r="AU1228" s="5" t="str">
        <f>HYPERLINK("https://creighton-primo.hosted.exlibrisgroup.com/primo-explore/search?tab=default_tab&amp;search_scope=EVERYTHING&amp;vid=01CRU&amp;lang=en_US&amp;offset=0&amp;query=any,contains,991001386409702656","Catalog Record")</f>
        <v>Catalog Record</v>
      </c>
      <c r="AV1228" s="5" t="str">
        <f>HYPERLINK("http://www.worldcat.org/oclc/14384918","WorldCat Record")</f>
        <v>WorldCat Record</v>
      </c>
      <c r="AW1228" s="2" t="s">
        <v>14774</v>
      </c>
      <c r="AX1228" s="2" t="s">
        <v>14775</v>
      </c>
      <c r="AY1228" s="2" t="s">
        <v>14776</v>
      </c>
      <c r="AZ1228" s="2" t="s">
        <v>14776</v>
      </c>
      <c r="BA1228" s="2" t="s">
        <v>14777</v>
      </c>
      <c r="BB1228" s="2" t="s">
        <v>21</v>
      </c>
      <c r="BE1228" s="2" t="s">
        <v>14778</v>
      </c>
      <c r="BF1228" s="2" t="s">
        <v>14779</v>
      </c>
    </row>
    <row r="1229" spans="1:58" ht="41.25" customHeight="1" x14ac:dyDescent="0.25">
      <c r="A1229" s="8" t="s">
        <v>5</v>
      </c>
      <c r="B1229" s="1" t="s">
        <v>0</v>
      </c>
      <c r="C1229" s="1" t="s">
        <v>1</v>
      </c>
      <c r="D1229" s="1" t="s">
        <v>14780</v>
      </c>
      <c r="E1229" s="1" t="s">
        <v>14781</v>
      </c>
      <c r="F1229" s="1" t="s">
        <v>14782</v>
      </c>
      <c r="H1229" s="2" t="s">
        <v>5</v>
      </c>
      <c r="I1229" s="2" t="s">
        <v>6</v>
      </c>
      <c r="J1229" s="2" t="s">
        <v>5</v>
      </c>
      <c r="K1229" s="2" t="s">
        <v>5</v>
      </c>
      <c r="L1229" s="2" t="s">
        <v>7</v>
      </c>
      <c r="M1229" s="1" t="s">
        <v>14783</v>
      </c>
      <c r="N1229" s="1" t="s">
        <v>14784</v>
      </c>
      <c r="O1229" s="2" t="s">
        <v>574</v>
      </c>
      <c r="Q1229" s="2" t="s">
        <v>11</v>
      </c>
      <c r="R1229" s="2" t="s">
        <v>93</v>
      </c>
      <c r="S1229" s="1" t="s">
        <v>14785</v>
      </c>
      <c r="T1229" s="2" t="s">
        <v>520</v>
      </c>
      <c r="U1229" s="3">
        <v>1</v>
      </c>
      <c r="V1229" s="3">
        <v>1</v>
      </c>
      <c r="W1229" s="4" t="s">
        <v>1840</v>
      </c>
      <c r="X1229" s="4" t="s">
        <v>1840</v>
      </c>
      <c r="Y1229" s="4" t="s">
        <v>577</v>
      </c>
      <c r="Z1229" s="4" t="s">
        <v>577</v>
      </c>
      <c r="AA1229" s="3">
        <v>83</v>
      </c>
      <c r="AB1229" s="3">
        <v>74</v>
      </c>
      <c r="AC1229" s="3">
        <v>81</v>
      </c>
      <c r="AD1229" s="3">
        <v>1</v>
      </c>
      <c r="AE1229" s="3">
        <v>1</v>
      </c>
      <c r="AF1229" s="3">
        <v>3</v>
      </c>
      <c r="AG1229" s="3">
        <v>3</v>
      </c>
      <c r="AH1229" s="3">
        <v>0</v>
      </c>
      <c r="AI1229" s="3">
        <v>0</v>
      </c>
      <c r="AJ1229" s="3">
        <v>0</v>
      </c>
      <c r="AK1229" s="3">
        <v>0</v>
      </c>
      <c r="AL1229" s="3">
        <v>3</v>
      </c>
      <c r="AM1229" s="3">
        <v>3</v>
      </c>
      <c r="AN1229" s="3">
        <v>0</v>
      </c>
      <c r="AO1229" s="3">
        <v>0</v>
      </c>
      <c r="AP1229" s="3">
        <v>0</v>
      </c>
      <c r="AQ1229" s="3">
        <v>0</v>
      </c>
      <c r="AR1229" s="2" t="s">
        <v>16</v>
      </c>
      <c r="AS1229" s="2" t="s">
        <v>5</v>
      </c>
      <c r="AT1229" s="5" t="str">
        <f>HYPERLINK("http://catalog.hathitrust.org/Record/002072787","HathiTrust Record")</f>
        <v>HathiTrust Record</v>
      </c>
      <c r="AU1229" s="5" t="str">
        <f>HYPERLINK("https://creighton-primo.hosted.exlibrisgroup.com/primo-explore/search?tab=default_tab&amp;search_scope=EVERYTHING&amp;vid=01CRU&amp;lang=en_US&amp;offset=0&amp;query=any,contains,991001360859702656","Catalog Record")</f>
        <v>Catalog Record</v>
      </c>
      <c r="AV1229" s="5" t="str">
        <f>HYPERLINK("http://www.worldcat.org/oclc/2167576","WorldCat Record")</f>
        <v>WorldCat Record</v>
      </c>
      <c r="AW1229" s="2" t="s">
        <v>14786</v>
      </c>
      <c r="AX1229" s="2" t="s">
        <v>14787</v>
      </c>
      <c r="AY1229" s="2" t="s">
        <v>14788</v>
      </c>
      <c r="AZ1229" s="2" t="s">
        <v>14788</v>
      </c>
      <c r="BA1229" s="2" t="s">
        <v>14789</v>
      </c>
      <c r="BB1229" s="2" t="s">
        <v>21</v>
      </c>
      <c r="BE1229" s="2" t="s">
        <v>14790</v>
      </c>
      <c r="BF1229" s="2" t="s">
        <v>14791</v>
      </c>
    </row>
    <row r="1230" spans="1:58" ht="41.25" customHeight="1" x14ac:dyDescent="0.25">
      <c r="A1230" s="8" t="s">
        <v>5</v>
      </c>
      <c r="B1230" s="1" t="s">
        <v>0</v>
      </c>
      <c r="C1230" s="1" t="s">
        <v>1</v>
      </c>
      <c r="D1230" s="1" t="s">
        <v>14792</v>
      </c>
      <c r="E1230" s="1" t="s">
        <v>14793</v>
      </c>
      <c r="F1230" s="1" t="s">
        <v>14794</v>
      </c>
      <c r="H1230" s="2" t="s">
        <v>5</v>
      </c>
      <c r="I1230" s="2" t="s">
        <v>6</v>
      </c>
      <c r="J1230" s="2" t="s">
        <v>5</v>
      </c>
      <c r="K1230" s="2" t="s">
        <v>5</v>
      </c>
      <c r="L1230" s="2" t="s">
        <v>7</v>
      </c>
      <c r="M1230" s="1" t="s">
        <v>14795</v>
      </c>
      <c r="N1230" s="1" t="s">
        <v>14796</v>
      </c>
      <c r="O1230" s="2" t="s">
        <v>734</v>
      </c>
      <c r="Q1230" s="2" t="s">
        <v>11</v>
      </c>
      <c r="R1230" s="2" t="s">
        <v>426</v>
      </c>
      <c r="S1230" s="1" t="s">
        <v>14797</v>
      </c>
      <c r="T1230" s="2" t="s">
        <v>520</v>
      </c>
      <c r="U1230" s="3">
        <v>4</v>
      </c>
      <c r="V1230" s="3">
        <v>4</v>
      </c>
      <c r="W1230" s="4" t="s">
        <v>10786</v>
      </c>
      <c r="X1230" s="4" t="s">
        <v>10786</v>
      </c>
      <c r="Y1230" s="4" t="s">
        <v>1105</v>
      </c>
      <c r="Z1230" s="4" t="s">
        <v>1105</v>
      </c>
      <c r="AA1230" s="3">
        <v>162</v>
      </c>
      <c r="AB1230" s="3">
        <v>149</v>
      </c>
      <c r="AC1230" s="3">
        <v>160</v>
      </c>
      <c r="AD1230" s="3">
        <v>1</v>
      </c>
      <c r="AE1230" s="3">
        <v>1</v>
      </c>
      <c r="AF1230" s="3">
        <v>8</v>
      </c>
      <c r="AG1230" s="3">
        <v>8</v>
      </c>
      <c r="AH1230" s="3">
        <v>2</v>
      </c>
      <c r="AI1230" s="3">
        <v>2</v>
      </c>
      <c r="AJ1230" s="3">
        <v>2</v>
      </c>
      <c r="AK1230" s="3">
        <v>2</v>
      </c>
      <c r="AL1230" s="3">
        <v>4</v>
      </c>
      <c r="AM1230" s="3">
        <v>4</v>
      </c>
      <c r="AN1230" s="3">
        <v>0</v>
      </c>
      <c r="AO1230" s="3">
        <v>0</v>
      </c>
      <c r="AP1230" s="3">
        <v>0</v>
      </c>
      <c r="AQ1230" s="3">
        <v>0</v>
      </c>
      <c r="AR1230" s="2" t="s">
        <v>5</v>
      </c>
      <c r="AS1230" s="2" t="s">
        <v>16</v>
      </c>
      <c r="AT1230" s="5" t="str">
        <f>HYPERLINK("http://catalog.hathitrust.org/Record/000325129","HathiTrust Record")</f>
        <v>HathiTrust Record</v>
      </c>
      <c r="AU1230" s="5" t="str">
        <f>HYPERLINK("https://creighton-primo.hosted.exlibrisgroup.com/primo-explore/search?tab=default_tab&amp;search_scope=EVERYTHING&amp;vid=01CRU&amp;lang=en_US&amp;offset=0&amp;query=any,contains,991001518989702656","Catalog Record")</f>
        <v>Catalog Record</v>
      </c>
      <c r="AV1230" s="5" t="str">
        <f>HYPERLINK("http://www.worldcat.org/oclc/20754788","WorldCat Record")</f>
        <v>WorldCat Record</v>
      </c>
      <c r="AW1230" s="2" t="s">
        <v>14798</v>
      </c>
      <c r="AX1230" s="2" t="s">
        <v>14799</v>
      </c>
      <c r="AY1230" s="2" t="s">
        <v>14800</v>
      </c>
      <c r="AZ1230" s="2" t="s">
        <v>14800</v>
      </c>
      <c r="BA1230" s="2" t="s">
        <v>14801</v>
      </c>
      <c r="BB1230" s="2" t="s">
        <v>21</v>
      </c>
      <c r="BE1230" s="2" t="s">
        <v>14802</v>
      </c>
      <c r="BF1230" s="2" t="s">
        <v>14803</v>
      </c>
    </row>
    <row r="1231" spans="1:58" ht="41.25" customHeight="1" x14ac:dyDescent="0.25">
      <c r="A1231" s="8" t="s">
        <v>5</v>
      </c>
      <c r="B1231" s="1" t="s">
        <v>0</v>
      </c>
      <c r="C1231" s="1" t="s">
        <v>1</v>
      </c>
      <c r="D1231" s="1" t="s">
        <v>14804</v>
      </c>
      <c r="E1231" s="1" t="s">
        <v>14805</v>
      </c>
      <c r="F1231" s="1" t="s">
        <v>14806</v>
      </c>
      <c r="H1231" s="2" t="s">
        <v>5</v>
      </c>
      <c r="I1231" s="2" t="s">
        <v>6</v>
      </c>
      <c r="J1231" s="2" t="s">
        <v>5</v>
      </c>
      <c r="K1231" s="2" t="s">
        <v>5</v>
      </c>
      <c r="L1231" s="2" t="s">
        <v>7</v>
      </c>
      <c r="M1231" s="1" t="s">
        <v>14807</v>
      </c>
      <c r="N1231" s="1" t="s">
        <v>8637</v>
      </c>
      <c r="O1231" s="2" t="s">
        <v>393</v>
      </c>
      <c r="Q1231" s="2" t="s">
        <v>11</v>
      </c>
      <c r="R1231" s="2" t="s">
        <v>426</v>
      </c>
      <c r="T1231" s="2" t="s">
        <v>520</v>
      </c>
      <c r="U1231" s="3">
        <v>6</v>
      </c>
      <c r="V1231" s="3">
        <v>6</v>
      </c>
      <c r="W1231" s="4" t="s">
        <v>10786</v>
      </c>
      <c r="X1231" s="4" t="s">
        <v>10786</v>
      </c>
      <c r="Y1231" s="4" t="s">
        <v>14808</v>
      </c>
      <c r="Z1231" s="4" t="s">
        <v>14808</v>
      </c>
      <c r="AA1231" s="3">
        <v>273</v>
      </c>
      <c r="AB1231" s="3">
        <v>230</v>
      </c>
      <c r="AC1231" s="3">
        <v>242</v>
      </c>
      <c r="AD1231" s="3">
        <v>1</v>
      </c>
      <c r="AE1231" s="3">
        <v>1</v>
      </c>
      <c r="AF1231" s="3">
        <v>7</v>
      </c>
      <c r="AG1231" s="3">
        <v>9</v>
      </c>
      <c r="AH1231" s="3">
        <v>4</v>
      </c>
      <c r="AI1231" s="3">
        <v>6</v>
      </c>
      <c r="AJ1231" s="3">
        <v>1</v>
      </c>
      <c r="AK1231" s="3">
        <v>1</v>
      </c>
      <c r="AL1231" s="3">
        <v>4</v>
      </c>
      <c r="AM1231" s="3">
        <v>4</v>
      </c>
      <c r="AN1231" s="3">
        <v>0</v>
      </c>
      <c r="AO1231" s="3">
        <v>0</v>
      </c>
      <c r="AP1231" s="3">
        <v>0</v>
      </c>
      <c r="AQ1231" s="3">
        <v>0</v>
      </c>
      <c r="AR1231" s="2" t="s">
        <v>5</v>
      </c>
      <c r="AS1231" s="2" t="s">
        <v>16</v>
      </c>
      <c r="AT1231" s="5" t="str">
        <f>HYPERLINK("http://catalog.hathitrust.org/Record/007474953","HathiTrust Record")</f>
        <v>HathiTrust Record</v>
      </c>
      <c r="AU1231" s="5" t="str">
        <f>HYPERLINK("https://creighton-primo.hosted.exlibrisgroup.com/primo-explore/search?tab=default_tab&amp;search_scope=EVERYTHING&amp;vid=01CRU&amp;lang=en_US&amp;offset=0&amp;query=any,contains,991000735999702656","Catalog Record")</f>
        <v>Catalog Record</v>
      </c>
      <c r="AV1231" s="5" t="str">
        <f>HYPERLINK("http://www.worldcat.org/oclc/7203279","WorldCat Record")</f>
        <v>WorldCat Record</v>
      </c>
      <c r="AW1231" s="2" t="s">
        <v>14809</v>
      </c>
      <c r="AX1231" s="2" t="s">
        <v>14810</v>
      </c>
      <c r="AY1231" s="2" t="s">
        <v>14811</v>
      </c>
      <c r="AZ1231" s="2" t="s">
        <v>14811</v>
      </c>
      <c r="BA1231" s="2" t="s">
        <v>14812</v>
      </c>
      <c r="BB1231" s="2" t="s">
        <v>21</v>
      </c>
      <c r="BD1231" s="2" t="s">
        <v>14813</v>
      </c>
      <c r="BE1231" s="2" t="s">
        <v>14814</v>
      </c>
      <c r="BF1231" s="2" t="s">
        <v>14815</v>
      </c>
    </row>
    <row r="1232" spans="1:58" ht="41.25" customHeight="1" x14ac:dyDescent="0.25">
      <c r="A1232" s="8" t="s">
        <v>5</v>
      </c>
      <c r="B1232" s="1" t="s">
        <v>0</v>
      </c>
      <c r="C1232" s="1" t="s">
        <v>1</v>
      </c>
      <c r="D1232" s="1" t="s">
        <v>14816</v>
      </c>
      <c r="E1232" s="1" t="s">
        <v>14817</v>
      </c>
      <c r="F1232" s="1" t="s">
        <v>14818</v>
      </c>
      <c r="H1232" s="2" t="s">
        <v>5</v>
      </c>
      <c r="I1232" s="2" t="s">
        <v>6</v>
      </c>
      <c r="J1232" s="2" t="s">
        <v>5</v>
      </c>
      <c r="K1232" s="2" t="s">
        <v>5</v>
      </c>
      <c r="L1232" s="2" t="s">
        <v>7</v>
      </c>
      <c r="M1232" s="1" t="s">
        <v>14819</v>
      </c>
      <c r="N1232" s="1" t="s">
        <v>14820</v>
      </c>
      <c r="O1232" s="2" t="s">
        <v>1102</v>
      </c>
      <c r="Q1232" s="2" t="s">
        <v>11</v>
      </c>
      <c r="R1232" s="2" t="s">
        <v>426</v>
      </c>
      <c r="S1232" s="1" t="s">
        <v>14821</v>
      </c>
      <c r="T1232" s="2" t="s">
        <v>520</v>
      </c>
      <c r="U1232" s="3">
        <v>4</v>
      </c>
      <c r="V1232" s="3">
        <v>4</v>
      </c>
      <c r="W1232" s="4" t="s">
        <v>14353</v>
      </c>
      <c r="X1232" s="4" t="s">
        <v>14353</v>
      </c>
      <c r="Y1232" s="4" t="s">
        <v>1105</v>
      </c>
      <c r="Z1232" s="4" t="s">
        <v>1105</v>
      </c>
      <c r="AA1232" s="3">
        <v>172</v>
      </c>
      <c r="AB1232" s="3">
        <v>153</v>
      </c>
      <c r="AC1232" s="3">
        <v>164</v>
      </c>
      <c r="AD1232" s="3">
        <v>1</v>
      </c>
      <c r="AE1232" s="3">
        <v>1</v>
      </c>
      <c r="AF1232" s="3">
        <v>5</v>
      </c>
      <c r="AG1232" s="3">
        <v>5</v>
      </c>
      <c r="AH1232" s="3">
        <v>1</v>
      </c>
      <c r="AI1232" s="3">
        <v>1</v>
      </c>
      <c r="AJ1232" s="3">
        <v>2</v>
      </c>
      <c r="AK1232" s="3">
        <v>2</v>
      </c>
      <c r="AL1232" s="3">
        <v>2</v>
      </c>
      <c r="AM1232" s="3">
        <v>2</v>
      </c>
      <c r="AN1232" s="3">
        <v>0</v>
      </c>
      <c r="AO1232" s="3">
        <v>0</v>
      </c>
      <c r="AP1232" s="3">
        <v>0</v>
      </c>
      <c r="AQ1232" s="3">
        <v>0</v>
      </c>
      <c r="AR1232" s="2" t="s">
        <v>5</v>
      </c>
      <c r="AS1232" s="2" t="s">
        <v>16</v>
      </c>
      <c r="AT1232" s="5" t="str">
        <f>HYPERLINK("http://catalog.hathitrust.org/Record/000807375","HathiTrust Record")</f>
        <v>HathiTrust Record</v>
      </c>
      <c r="AU1232" s="5" t="str">
        <f>HYPERLINK("https://creighton-primo.hosted.exlibrisgroup.com/primo-explore/search?tab=default_tab&amp;search_scope=EVERYTHING&amp;vid=01CRU&amp;lang=en_US&amp;offset=0&amp;query=any,contains,991001519169702656","Catalog Record")</f>
        <v>Catalog Record</v>
      </c>
      <c r="AV1232" s="5" t="str">
        <f>HYPERLINK("http://www.worldcat.org/oclc/15016269","WorldCat Record")</f>
        <v>WorldCat Record</v>
      </c>
      <c r="AW1232" s="2" t="s">
        <v>14822</v>
      </c>
      <c r="AX1232" s="2" t="s">
        <v>14823</v>
      </c>
      <c r="AY1232" s="2" t="s">
        <v>14824</v>
      </c>
      <c r="AZ1232" s="2" t="s">
        <v>14824</v>
      </c>
      <c r="BA1232" s="2" t="s">
        <v>14825</v>
      </c>
      <c r="BB1232" s="2" t="s">
        <v>21</v>
      </c>
      <c r="BE1232" s="2" t="s">
        <v>14826</v>
      </c>
      <c r="BF1232" s="2" t="s">
        <v>14827</v>
      </c>
    </row>
    <row r="1233" spans="1:58" ht="41.25" customHeight="1" x14ac:dyDescent="0.25">
      <c r="A1233" s="8" t="s">
        <v>5</v>
      </c>
      <c r="B1233" s="1" t="s">
        <v>0</v>
      </c>
      <c r="C1233" s="1" t="s">
        <v>1</v>
      </c>
      <c r="D1233" s="1" t="s">
        <v>14828</v>
      </c>
      <c r="E1233" s="1" t="s">
        <v>14829</v>
      </c>
      <c r="F1233" s="1" t="s">
        <v>14830</v>
      </c>
      <c r="H1233" s="2" t="s">
        <v>5</v>
      </c>
      <c r="I1233" s="2" t="s">
        <v>6</v>
      </c>
      <c r="J1233" s="2" t="s">
        <v>5</v>
      </c>
      <c r="K1233" s="2" t="s">
        <v>5</v>
      </c>
      <c r="L1233" s="2" t="s">
        <v>7</v>
      </c>
      <c r="M1233" s="1" t="s">
        <v>14831</v>
      </c>
      <c r="N1233" s="1" t="s">
        <v>11007</v>
      </c>
      <c r="O1233" s="2" t="s">
        <v>872</v>
      </c>
      <c r="Q1233" s="2" t="s">
        <v>11</v>
      </c>
      <c r="R1233" s="2" t="s">
        <v>426</v>
      </c>
      <c r="T1233" s="2" t="s">
        <v>520</v>
      </c>
      <c r="U1233" s="3">
        <v>15</v>
      </c>
      <c r="V1233" s="3">
        <v>15</v>
      </c>
      <c r="W1233" s="4" t="s">
        <v>14832</v>
      </c>
      <c r="X1233" s="4" t="s">
        <v>14832</v>
      </c>
      <c r="Y1233" s="4" t="s">
        <v>11736</v>
      </c>
      <c r="Z1233" s="4" t="s">
        <v>11736</v>
      </c>
      <c r="AA1233" s="3">
        <v>161</v>
      </c>
      <c r="AB1233" s="3">
        <v>127</v>
      </c>
      <c r="AC1233" s="3">
        <v>131</v>
      </c>
      <c r="AD1233" s="3">
        <v>1</v>
      </c>
      <c r="AE1233" s="3">
        <v>1</v>
      </c>
      <c r="AF1233" s="3">
        <v>4</v>
      </c>
      <c r="AG1233" s="3">
        <v>4</v>
      </c>
      <c r="AH1233" s="3">
        <v>0</v>
      </c>
      <c r="AI1233" s="3">
        <v>0</v>
      </c>
      <c r="AJ1233" s="3">
        <v>2</v>
      </c>
      <c r="AK1233" s="3">
        <v>2</v>
      </c>
      <c r="AL1233" s="3">
        <v>2</v>
      </c>
      <c r="AM1233" s="3">
        <v>2</v>
      </c>
      <c r="AN1233" s="3">
        <v>0</v>
      </c>
      <c r="AO1233" s="3">
        <v>0</v>
      </c>
      <c r="AP1233" s="3">
        <v>0</v>
      </c>
      <c r="AQ1233" s="3">
        <v>0</v>
      </c>
      <c r="AR1233" s="2" t="s">
        <v>5</v>
      </c>
      <c r="AS1233" s="2" t="s">
        <v>16</v>
      </c>
      <c r="AT1233" s="5" t="str">
        <f>HYPERLINK("http://catalog.hathitrust.org/Record/001298667","HathiTrust Record")</f>
        <v>HathiTrust Record</v>
      </c>
      <c r="AU1233" s="5" t="str">
        <f>HYPERLINK("https://creighton-primo.hosted.exlibrisgroup.com/primo-explore/search?tab=default_tab&amp;search_scope=EVERYTHING&amp;vid=01CRU&amp;lang=en_US&amp;offset=0&amp;query=any,contains,991001252009702656","Catalog Record")</f>
        <v>Catalog Record</v>
      </c>
      <c r="AV1233" s="5" t="str">
        <f>HYPERLINK("http://www.worldcat.org/oclc/18072812","WorldCat Record")</f>
        <v>WorldCat Record</v>
      </c>
      <c r="AW1233" s="2" t="s">
        <v>14833</v>
      </c>
      <c r="AX1233" s="2" t="s">
        <v>14834</v>
      </c>
      <c r="AY1233" s="2" t="s">
        <v>14835</v>
      </c>
      <c r="AZ1233" s="2" t="s">
        <v>14835</v>
      </c>
      <c r="BA1233" s="2" t="s">
        <v>14836</v>
      </c>
      <c r="BB1233" s="2" t="s">
        <v>21</v>
      </c>
      <c r="BD1233" s="2" t="s">
        <v>14837</v>
      </c>
      <c r="BE1233" s="2" t="s">
        <v>14838</v>
      </c>
      <c r="BF1233" s="2" t="s">
        <v>14839</v>
      </c>
    </row>
    <row r="1234" spans="1:58" ht="41.25" customHeight="1" x14ac:dyDescent="0.25">
      <c r="A1234" s="8" t="s">
        <v>5</v>
      </c>
      <c r="B1234" s="1" t="s">
        <v>0</v>
      </c>
      <c r="C1234" s="1" t="s">
        <v>1</v>
      </c>
      <c r="D1234" s="1" t="s">
        <v>14840</v>
      </c>
      <c r="E1234" s="1" t="s">
        <v>14841</v>
      </c>
      <c r="F1234" s="1" t="s">
        <v>14842</v>
      </c>
      <c r="H1234" s="2" t="s">
        <v>5</v>
      </c>
      <c r="I1234" s="2" t="s">
        <v>6</v>
      </c>
      <c r="J1234" s="2" t="s">
        <v>5</v>
      </c>
      <c r="K1234" s="2" t="s">
        <v>5</v>
      </c>
      <c r="L1234" s="2" t="s">
        <v>7</v>
      </c>
      <c r="M1234" s="1" t="s">
        <v>14843</v>
      </c>
      <c r="N1234" s="1" t="s">
        <v>14844</v>
      </c>
      <c r="O1234" s="2" t="s">
        <v>62</v>
      </c>
      <c r="Q1234" s="2" t="s">
        <v>11</v>
      </c>
      <c r="R1234" s="2" t="s">
        <v>12</v>
      </c>
      <c r="T1234" s="2" t="s">
        <v>520</v>
      </c>
      <c r="U1234" s="3">
        <v>8</v>
      </c>
      <c r="V1234" s="3">
        <v>8</v>
      </c>
      <c r="W1234" s="4" t="s">
        <v>14845</v>
      </c>
      <c r="X1234" s="4" t="s">
        <v>14845</v>
      </c>
      <c r="Y1234" s="4" t="s">
        <v>14808</v>
      </c>
      <c r="Z1234" s="4" t="s">
        <v>14808</v>
      </c>
      <c r="AA1234" s="3">
        <v>390</v>
      </c>
      <c r="AB1234" s="3">
        <v>318</v>
      </c>
      <c r="AC1234" s="3">
        <v>326</v>
      </c>
      <c r="AD1234" s="3">
        <v>2</v>
      </c>
      <c r="AE1234" s="3">
        <v>2</v>
      </c>
      <c r="AF1234" s="3">
        <v>4</v>
      </c>
      <c r="AG1234" s="3">
        <v>4</v>
      </c>
      <c r="AH1234" s="3">
        <v>1</v>
      </c>
      <c r="AI1234" s="3">
        <v>1</v>
      </c>
      <c r="AJ1234" s="3">
        <v>0</v>
      </c>
      <c r="AK1234" s="3">
        <v>0</v>
      </c>
      <c r="AL1234" s="3">
        <v>2</v>
      </c>
      <c r="AM1234" s="3">
        <v>2</v>
      </c>
      <c r="AN1234" s="3">
        <v>1</v>
      </c>
      <c r="AO1234" s="3">
        <v>1</v>
      </c>
      <c r="AP1234" s="3">
        <v>0</v>
      </c>
      <c r="AQ1234" s="3">
        <v>0</v>
      </c>
      <c r="AR1234" s="2" t="s">
        <v>5</v>
      </c>
      <c r="AS1234" s="2" t="s">
        <v>16</v>
      </c>
      <c r="AT1234" s="5" t="str">
        <f>HYPERLINK("http://catalog.hathitrust.org/Record/000137172","HathiTrust Record")</f>
        <v>HathiTrust Record</v>
      </c>
      <c r="AU1234" s="5" t="str">
        <f>HYPERLINK("https://creighton-primo.hosted.exlibrisgroup.com/primo-explore/search?tab=default_tab&amp;search_scope=EVERYTHING&amp;vid=01CRU&amp;lang=en_US&amp;offset=0&amp;query=any,contains,991000736039702656","Catalog Record")</f>
        <v>Catalog Record</v>
      </c>
      <c r="AV1234" s="5" t="str">
        <f>HYPERLINK("http://www.worldcat.org/oclc/3892727","WorldCat Record")</f>
        <v>WorldCat Record</v>
      </c>
      <c r="AW1234" s="2" t="s">
        <v>14846</v>
      </c>
      <c r="AX1234" s="2" t="s">
        <v>14847</v>
      </c>
      <c r="AY1234" s="2" t="s">
        <v>14848</v>
      </c>
      <c r="AZ1234" s="2" t="s">
        <v>14848</v>
      </c>
      <c r="BA1234" s="2" t="s">
        <v>14849</v>
      </c>
      <c r="BB1234" s="2" t="s">
        <v>21</v>
      </c>
      <c r="BD1234" s="2" t="s">
        <v>14850</v>
      </c>
      <c r="BE1234" s="2" t="s">
        <v>14851</v>
      </c>
      <c r="BF1234" s="2" t="s">
        <v>14852</v>
      </c>
    </row>
    <row r="1235" spans="1:58" ht="41.25" customHeight="1" x14ac:dyDescent="0.25">
      <c r="A1235" s="8" t="s">
        <v>5</v>
      </c>
      <c r="B1235" s="1" t="s">
        <v>0</v>
      </c>
      <c r="C1235" s="1" t="s">
        <v>1</v>
      </c>
      <c r="D1235" s="1" t="s">
        <v>14853</v>
      </c>
      <c r="E1235" s="1" t="s">
        <v>14854</v>
      </c>
      <c r="F1235" s="1" t="s">
        <v>14855</v>
      </c>
      <c r="H1235" s="2" t="s">
        <v>5</v>
      </c>
      <c r="I1235" s="2" t="s">
        <v>6</v>
      </c>
      <c r="J1235" s="2" t="s">
        <v>5</v>
      </c>
      <c r="K1235" s="2" t="s">
        <v>5</v>
      </c>
      <c r="L1235" s="2" t="s">
        <v>7</v>
      </c>
      <c r="N1235" s="1" t="s">
        <v>14856</v>
      </c>
      <c r="O1235" s="2" t="s">
        <v>601</v>
      </c>
      <c r="Q1235" s="2" t="s">
        <v>11</v>
      </c>
      <c r="R1235" s="2" t="s">
        <v>1140</v>
      </c>
      <c r="T1235" s="2" t="s">
        <v>520</v>
      </c>
      <c r="U1235" s="3">
        <v>4</v>
      </c>
      <c r="V1235" s="3">
        <v>4</v>
      </c>
      <c r="W1235" s="4" t="s">
        <v>14857</v>
      </c>
      <c r="X1235" s="4" t="s">
        <v>14857</v>
      </c>
      <c r="Y1235" s="4" t="s">
        <v>10557</v>
      </c>
      <c r="Z1235" s="4" t="s">
        <v>10557</v>
      </c>
      <c r="AA1235" s="3">
        <v>456</v>
      </c>
      <c r="AB1235" s="3">
        <v>392</v>
      </c>
      <c r="AC1235" s="3">
        <v>394</v>
      </c>
      <c r="AD1235" s="3">
        <v>1</v>
      </c>
      <c r="AE1235" s="3">
        <v>1</v>
      </c>
      <c r="AF1235" s="3">
        <v>20</v>
      </c>
      <c r="AG1235" s="3">
        <v>20</v>
      </c>
      <c r="AH1235" s="3">
        <v>7</v>
      </c>
      <c r="AI1235" s="3">
        <v>7</v>
      </c>
      <c r="AJ1235" s="3">
        <v>9</v>
      </c>
      <c r="AK1235" s="3">
        <v>9</v>
      </c>
      <c r="AL1235" s="3">
        <v>10</v>
      </c>
      <c r="AM1235" s="3">
        <v>10</v>
      </c>
      <c r="AN1235" s="3">
        <v>0</v>
      </c>
      <c r="AO1235" s="3">
        <v>0</v>
      </c>
      <c r="AP1235" s="3">
        <v>1</v>
      </c>
      <c r="AQ1235" s="3">
        <v>1</v>
      </c>
      <c r="AR1235" s="2" t="s">
        <v>5</v>
      </c>
      <c r="AS1235" s="2" t="s">
        <v>16</v>
      </c>
      <c r="AT1235" s="5" t="str">
        <f>HYPERLINK("http://catalog.hathitrust.org/Record/003010331","HathiTrust Record")</f>
        <v>HathiTrust Record</v>
      </c>
      <c r="AU1235" s="5" t="str">
        <f>HYPERLINK("https://creighton-primo.hosted.exlibrisgroup.com/primo-explore/search?tab=default_tab&amp;search_scope=EVERYTHING&amp;vid=01CRU&amp;lang=en_US&amp;offset=0&amp;query=any,contains,991000836079702656","Catalog Record")</f>
        <v>Catalog Record</v>
      </c>
      <c r="AV1235" s="5" t="str">
        <f>HYPERLINK("http://www.worldcat.org/oclc/32205669","WorldCat Record")</f>
        <v>WorldCat Record</v>
      </c>
      <c r="AW1235" s="2" t="s">
        <v>14858</v>
      </c>
      <c r="AX1235" s="2" t="s">
        <v>14859</v>
      </c>
      <c r="AY1235" s="2" t="s">
        <v>14860</v>
      </c>
      <c r="AZ1235" s="2" t="s">
        <v>14860</v>
      </c>
      <c r="BA1235" s="2" t="s">
        <v>14861</v>
      </c>
      <c r="BB1235" s="2" t="s">
        <v>21</v>
      </c>
      <c r="BD1235" s="2" t="s">
        <v>14862</v>
      </c>
      <c r="BE1235" s="2" t="s">
        <v>14863</v>
      </c>
      <c r="BF1235" s="2" t="s">
        <v>14864</v>
      </c>
    </row>
    <row r="1236" spans="1:58" ht="41.25" customHeight="1" x14ac:dyDescent="0.25">
      <c r="A1236" s="8" t="s">
        <v>5</v>
      </c>
      <c r="B1236" s="1" t="s">
        <v>0</v>
      </c>
      <c r="C1236" s="1" t="s">
        <v>1</v>
      </c>
      <c r="D1236" s="1" t="s">
        <v>14865</v>
      </c>
      <c r="E1236" s="1" t="s">
        <v>14866</v>
      </c>
      <c r="F1236" s="1" t="s">
        <v>14867</v>
      </c>
      <c r="H1236" s="2" t="s">
        <v>5</v>
      </c>
      <c r="I1236" s="2" t="s">
        <v>6</v>
      </c>
      <c r="J1236" s="2" t="s">
        <v>5</v>
      </c>
      <c r="K1236" s="2" t="s">
        <v>5</v>
      </c>
      <c r="L1236" s="2" t="s">
        <v>7</v>
      </c>
      <c r="N1236" s="1" t="s">
        <v>3451</v>
      </c>
      <c r="O1236" s="2" t="s">
        <v>872</v>
      </c>
      <c r="Q1236" s="2" t="s">
        <v>11</v>
      </c>
      <c r="R1236" s="2" t="s">
        <v>426</v>
      </c>
      <c r="T1236" s="2" t="s">
        <v>520</v>
      </c>
      <c r="U1236" s="3">
        <v>11</v>
      </c>
      <c r="V1236" s="3">
        <v>11</v>
      </c>
      <c r="W1236" s="4" t="s">
        <v>14868</v>
      </c>
      <c r="X1236" s="4" t="s">
        <v>14868</v>
      </c>
      <c r="Y1236" s="4" t="s">
        <v>3308</v>
      </c>
      <c r="Z1236" s="4" t="s">
        <v>3308</v>
      </c>
      <c r="AA1236" s="3">
        <v>71</v>
      </c>
      <c r="AB1236" s="3">
        <v>67</v>
      </c>
      <c r="AC1236" s="3">
        <v>69</v>
      </c>
      <c r="AD1236" s="3">
        <v>1</v>
      </c>
      <c r="AE1236" s="3">
        <v>1</v>
      </c>
      <c r="AF1236" s="3">
        <v>5</v>
      </c>
      <c r="AG1236" s="3">
        <v>5</v>
      </c>
      <c r="AH1236" s="3">
        <v>1</v>
      </c>
      <c r="AI1236" s="3">
        <v>1</v>
      </c>
      <c r="AJ1236" s="3">
        <v>2</v>
      </c>
      <c r="AK1236" s="3">
        <v>2</v>
      </c>
      <c r="AL1236" s="3">
        <v>3</v>
      </c>
      <c r="AM1236" s="3">
        <v>3</v>
      </c>
      <c r="AN1236" s="3">
        <v>0</v>
      </c>
      <c r="AO1236" s="3">
        <v>0</v>
      </c>
      <c r="AP1236" s="3">
        <v>0</v>
      </c>
      <c r="AQ1236" s="3">
        <v>0</v>
      </c>
      <c r="AR1236" s="2" t="s">
        <v>5</v>
      </c>
      <c r="AS1236" s="2" t="s">
        <v>16</v>
      </c>
      <c r="AT1236" s="5" t="str">
        <f>HYPERLINK("http://catalog.hathitrust.org/Record/004443013","HathiTrust Record")</f>
        <v>HathiTrust Record</v>
      </c>
      <c r="AU1236" s="5" t="str">
        <f>HYPERLINK("https://creighton-primo.hosted.exlibrisgroup.com/primo-explore/search?tab=default_tab&amp;search_scope=EVERYTHING&amp;vid=01CRU&amp;lang=en_US&amp;offset=0&amp;query=any,contains,991001361289702656","Catalog Record")</f>
        <v>Catalog Record</v>
      </c>
      <c r="AV1236" s="5" t="str">
        <f>HYPERLINK("http://www.worldcat.org/oclc/18378903","WorldCat Record")</f>
        <v>WorldCat Record</v>
      </c>
      <c r="AW1236" s="2" t="s">
        <v>14869</v>
      </c>
      <c r="AX1236" s="2" t="s">
        <v>14870</v>
      </c>
      <c r="AY1236" s="2" t="s">
        <v>14871</v>
      </c>
      <c r="AZ1236" s="2" t="s">
        <v>14871</v>
      </c>
      <c r="BA1236" s="2" t="s">
        <v>14872</v>
      </c>
      <c r="BB1236" s="2" t="s">
        <v>21</v>
      </c>
      <c r="BD1236" s="2" t="s">
        <v>14873</v>
      </c>
      <c r="BE1236" s="2" t="s">
        <v>14874</v>
      </c>
      <c r="BF1236" s="2" t="s">
        <v>14875</v>
      </c>
    </row>
    <row r="1237" spans="1:58" ht="41.25" customHeight="1" x14ac:dyDescent="0.25">
      <c r="A1237" s="8" t="s">
        <v>5</v>
      </c>
      <c r="B1237" s="1" t="s">
        <v>0</v>
      </c>
      <c r="C1237" s="1" t="s">
        <v>1</v>
      </c>
      <c r="D1237" s="1" t="s">
        <v>14876</v>
      </c>
      <c r="E1237" s="1" t="s">
        <v>14877</v>
      </c>
      <c r="F1237" s="1" t="s">
        <v>14878</v>
      </c>
      <c r="H1237" s="2" t="s">
        <v>5</v>
      </c>
      <c r="I1237" s="2" t="s">
        <v>6</v>
      </c>
      <c r="J1237" s="2" t="s">
        <v>5</v>
      </c>
      <c r="K1237" s="2" t="s">
        <v>16</v>
      </c>
      <c r="L1237" s="2" t="s">
        <v>7</v>
      </c>
      <c r="N1237" s="1" t="s">
        <v>14879</v>
      </c>
      <c r="O1237" s="2" t="s">
        <v>1887</v>
      </c>
      <c r="Q1237" s="2" t="s">
        <v>11</v>
      </c>
      <c r="R1237" s="2" t="s">
        <v>1140</v>
      </c>
      <c r="T1237" s="2" t="s">
        <v>520</v>
      </c>
      <c r="U1237" s="3">
        <v>11</v>
      </c>
      <c r="V1237" s="3">
        <v>11</v>
      </c>
      <c r="W1237" s="4" t="s">
        <v>14880</v>
      </c>
      <c r="X1237" s="4" t="s">
        <v>14880</v>
      </c>
      <c r="Y1237" s="4" t="s">
        <v>10878</v>
      </c>
      <c r="Z1237" s="4" t="s">
        <v>10878</v>
      </c>
      <c r="AA1237" s="3">
        <v>166</v>
      </c>
      <c r="AB1237" s="3">
        <v>148</v>
      </c>
      <c r="AC1237" s="3">
        <v>252</v>
      </c>
      <c r="AD1237" s="3">
        <v>1</v>
      </c>
      <c r="AE1237" s="3">
        <v>1</v>
      </c>
      <c r="AF1237" s="3">
        <v>4</v>
      </c>
      <c r="AG1237" s="3">
        <v>6</v>
      </c>
      <c r="AH1237" s="3">
        <v>1</v>
      </c>
      <c r="AI1237" s="3">
        <v>1</v>
      </c>
      <c r="AJ1237" s="3">
        <v>1</v>
      </c>
      <c r="AK1237" s="3">
        <v>1</v>
      </c>
      <c r="AL1237" s="3">
        <v>4</v>
      </c>
      <c r="AM1237" s="3">
        <v>6</v>
      </c>
      <c r="AN1237" s="3">
        <v>0</v>
      </c>
      <c r="AO1237" s="3">
        <v>0</v>
      </c>
      <c r="AP1237" s="3">
        <v>0</v>
      </c>
      <c r="AQ1237" s="3">
        <v>0</v>
      </c>
      <c r="AR1237" s="2" t="s">
        <v>5</v>
      </c>
      <c r="AS1237" s="2" t="s">
        <v>16</v>
      </c>
      <c r="AT1237" s="5" t="str">
        <f>HYPERLINK("http://catalog.hathitrust.org/Record/002726506","HathiTrust Record")</f>
        <v>HathiTrust Record</v>
      </c>
      <c r="AU1237" s="5" t="str">
        <f>HYPERLINK("https://creighton-primo.hosted.exlibrisgroup.com/primo-explore/search?tab=default_tab&amp;search_scope=EVERYTHING&amp;vid=01CRU&amp;lang=en_US&amp;offset=0&amp;query=any,contains,991001485159702656","Catalog Record")</f>
        <v>Catalog Record</v>
      </c>
      <c r="AV1237" s="5" t="str">
        <f>HYPERLINK("http://www.worldcat.org/oclc/27936900","WorldCat Record")</f>
        <v>WorldCat Record</v>
      </c>
      <c r="AW1237" s="2" t="s">
        <v>14881</v>
      </c>
      <c r="AX1237" s="2" t="s">
        <v>14882</v>
      </c>
      <c r="AY1237" s="2" t="s">
        <v>14883</v>
      </c>
      <c r="AZ1237" s="2" t="s">
        <v>14883</v>
      </c>
      <c r="BA1237" s="2" t="s">
        <v>14884</v>
      </c>
      <c r="BB1237" s="2" t="s">
        <v>21</v>
      </c>
      <c r="BD1237" s="2" t="s">
        <v>14885</v>
      </c>
      <c r="BE1237" s="2" t="s">
        <v>14886</v>
      </c>
      <c r="BF1237" s="2" t="s">
        <v>14887</v>
      </c>
    </row>
    <row r="1238" spans="1:58" ht="41.25" customHeight="1" x14ac:dyDescent="0.25">
      <c r="A1238" s="8" t="s">
        <v>5</v>
      </c>
      <c r="B1238" s="1" t="s">
        <v>0</v>
      </c>
      <c r="C1238" s="1" t="s">
        <v>1</v>
      </c>
      <c r="D1238" s="1" t="s">
        <v>14888</v>
      </c>
      <c r="E1238" s="1" t="s">
        <v>14889</v>
      </c>
      <c r="F1238" s="1" t="s">
        <v>14890</v>
      </c>
      <c r="H1238" s="2" t="s">
        <v>5</v>
      </c>
      <c r="I1238" s="2" t="s">
        <v>6</v>
      </c>
      <c r="J1238" s="2" t="s">
        <v>5</v>
      </c>
      <c r="K1238" s="2" t="s">
        <v>5</v>
      </c>
      <c r="L1238" s="2" t="s">
        <v>7</v>
      </c>
      <c r="M1238" s="1" t="s">
        <v>14891</v>
      </c>
      <c r="N1238" s="1" t="s">
        <v>14892</v>
      </c>
      <c r="O1238" s="2" t="s">
        <v>989</v>
      </c>
      <c r="Q1238" s="2" t="s">
        <v>11</v>
      </c>
      <c r="R1238" s="2" t="s">
        <v>78</v>
      </c>
      <c r="T1238" s="2" t="s">
        <v>520</v>
      </c>
      <c r="U1238" s="3">
        <v>6</v>
      </c>
      <c r="V1238" s="3">
        <v>6</v>
      </c>
      <c r="W1238" s="4" t="s">
        <v>11547</v>
      </c>
      <c r="X1238" s="4" t="s">
        <v>11547</v>
      </c>
      <c r="Y1238" s="4" t="s">
        <v>1143</v>
      </c>
      <c r="Z1238" s="4" t="s">
        <v>1143</v>
      </c>
      <c r="AA1238" s="3">
        <v>180</v>
      </c>
      <c r="AB1238" s="3">
        <v>140</v>
      </c>
      <c r="AC1238" s="3">
        <v>144</v>
      </c>
      <c r="AD1238" s="3">
        <v>3</v>
      </c>
      <c r="AE1238" s="3">
        <v>3</v>
      </c>
      <c r="AF1238" s="3">
        <v>9</v>
      </c>
      <c r="AG1238" s="3">
        <v>9</v>
      </c>
      <c r="AH1238" s="3">
        <v>3</v>
      </c>
      <c r="AI1238" s="3">
        <v>3</v>
      </c>
      <c r="AJ1238" s="3">
        <v>2</v>
      </c>
      <c r="AK1238" s="3">
        <v>2</v>
      </c>
      <c r="AL1238" s="3">
        <v>5</v>
      </c>
      <c r="AM1238" s="3">
        <v>5</v>
      </c>
      <c r="AN1238" s="3">
        <v>2</v>
      </c>
      <c r="AO1238" s="3">
        <v>2</v>
      </c>
      <c r="AP1238" s="3">
        <v>0</v>
      </c>
      <c r="AQ1238" s="3">
        <v>0</v>
      </c>
      <c r="AR1238" s="2" t="s">
        <v>5</v>
      </c>
      <c r="AS1238" s="2" t="s">
        <v>16</v>
      </c>
      <c r="AT1238" s="5" t="str">
        <f>HYPERLINK("http://catalog.hathitrust.org/Record/002721688","HathiTrust Record")</f>
        <v>HathiTrust Record</v>
      </c>
      <c r="AU1238" s="5" t="str">
        <f>HYPERLINK("https://creighton-primo.hosted.exlibrisgroup.com/primo-explore/search?tab=default_tab&amp;search_scope=EVERYTHING&amp;vid=01CRU&amp;lang=en_US&amp;offset=0&amp;query=any,contains,991001473939702656","Catalog Record")</f>
        <v>Catalog Record</v>
      </c>
      <c r="AV1238" s="5" t="str">
        <f>HYPERLINK("http://www.worldcat.org/oclc/20353849","WorldCat Record")</f>
        <v>WorldCat Record</v>
      </c>
      <c r="AW1238" s="2" t="s">
        <v>14893</v>
      </c>
      <c r="AX1238" s="2" t="s">
        <v>14894</v>
      </c>
      <c r="AY1238" s="2" t="s">
        <v>14895</v>
      </c>
      <c r="AZ1238" s="2" t="s">
        <v>14895</v>
      </c>
      <c r="BA1238" s="2" t="s">
        <v>14896</v>
      </c>
      <c r="BB1238" s="2" t="s">
        <v>21</v>
      </c>
      <c r="BD1238" s="2" t="s">
        <v>14897</v>
      </c>
      <c r="BE1238" s="2" t="s">
        <v>14898</v>
      </c>
      <c r="BF1238" s="2" t="s">
        <v>14899</v>
      </c>
    </row>
    <row r="1239" spans="1:58" ht="41.25" customHeight="1" x14ac:dyDescent="0.25">
      <c r="A1239" s="8" t="s">
        <v>5</v>
      </c>
      <c r="B1239" s="1" t="s">
        <v>0</v>
      </c>
      <c r="C1239" s="1" t="s">
        <v>1</v>
      </c>
      <c r="D1239" s="1" t="s">
        <v>14900</v>
      </c>
      <c r="E1239" s="1" t="s">
        <v>14901</v>
      </c>
      <c r="F1239" s="1" t="s">
        <v>14902</v>
      </c>
      <c r="H1239" s="2" t="s">
        <v>5</v>
      </c>
      <c r="I1239" s="2" t="s">
        <v>6</v>
      </c>
      <c r="J1239" s="2" t="s">
        <v>5</v>
      </c>
      <c r="K1239" s="2" t="s">
        <v>5</v>
      </c>
      <c r="L1239" s="2" t="s">
        <v>7</v>
      </c>
      <c r="M1239" s="1" t="s">
        <v>14903</v>
      </c>
      <c r="N1239" s="1" t="s">
        <v>13789</v>
      </c>
      <c r="O1239" s="2" t="s">
        <v>872</v>
      </c>
      <c r="Q1239" s="2" t="s">
        <v>11</v>
      </c>
      <c r="R1239" s="2" t="s">
        <v>1140</v>
      </c>
      <c r="S1239" s="1" t="s">
        <v>14904</v>
      </c>
      <c r="T1239" s="2" t="s">
        <v>520</v>
      </c>
      <c r="U1239" s="3">
        <v>9</v>
      </c>
      <c r="V1239" s="3">
        <v>9</v>
      </c>
      <c r="W1239" s="4" t="s">
        <v>10421</v>
      </c>
      <c r="X1239" s="4" t="s">
        <v>10421</v>
      </c>
      <c r="Y1239" s="4" t="s">
        <v>3308</v>
      </c>
      <c r="Z1239" s="4" t="s">
        <v>3308</v>
      </c>
      <c r="AA1239" s="3">
        <v>145</v>
      </c>
      <c r="AB1239" s="3">
        <v>117</v>
      </c>
      <c r="AC1239" s="3">
        <v>119</v>
      </c>
      <c r="AD1239" s="3">
        <v>1</v>
      </c>
      <c r="AE1239" s="3">
        <v>1</v>
      </c>
      <c r="AF1239" s="3">
        <v>4</v>
      </c>
      <c r="AG1239" s="3">
        <v>4</v>
      </c>
      <c r="AH1239" s="3">
        <v>1</v>
      </c>
      <c r="AI1239" s="3">
        <v>1</v>
      </c>
      <c r="AJ1239" s="3">
        <v>2</v>
      </c>
      <c r="AK1239" s="3">
        <v>2</v>
      </c>
      <c r="AL1239" s="3">
        <v>3</v>
      </c>
      <c r="AM1239" s="3">
        <v>3</v>
      </c>
      <c r="AN1239" s="3">
        <v>0</v>
      </c>
      <c r="AO1239" s="3">
        <v>0</v>
      </c>
      <c r="AP1239" s="3">
        <v>0</v>
      </c>
      <c r="AQ1239" s="3">
        <v>0</v>
      </c>
      <c r="AR1239" s="2" t="s">
        <v>5</v>
      </c>
      <c r="AS1239" s="2" t="s">
        <v>16</v>
      </c>
      <c r="AT1239" s="5" t="str">
        <f>HYPERLINK("http://catalog.hathitrust.org/Record/001819018","HathiTrust Record")</f>
        <v>HathiTrust Record</v>
      </c>
      <c r="AU1239" s="5" t="str">
        <f>HYPERLINK("https://creighton-primo.hosted.exlibrisgroup.com/primo-explore/search?tab=default_tab&amp;search_scope=EVERYTHING&amp;vid=01CRU&amp;lang=en_US&amp;offset=0&amp;query=any,contains,991001361029702656","Catalog Record")</f>
        <v>Catalog Record</v>
      </c>
      <c r="AV1239" s="5" t="str">
        <f>HYPERLINK("http://www.worldcat.org/oclc/18683183","WorldCat Record")</f>
        <v>WorldCat Record</v>
      </c>
      <c r="AW1239" s="2" t="s">
        <v>14905</v>
      </c>
      <c r="AX1239" s="2" t="s">
        <v>14906</v>
      </c>
      <c r="AY1239" s="2" t="s">
        <v>14907</v>
      </c>
      <c r="AZ1239" s="2" t="s">
        <v>14907</v>
      </c>
      <c r="BA1239" s="2" t="s">
        <v>14908</v>
      </c>
      <c r="BB1239" s="2" t="s">
        <v>21</v>
      </c>
      <c r="BD1239" s="2" t="s">
        <v>14909</v>
      </c>
      <c r="BE1239" s="2" t="s">
        <v>14910</v>
      </c>
      <c r="BF1239" s="2" t="s">
        <v>14911</v>
      </c>
    </row>
    <row r="1240" spans="1:58" ht="41.25" customHeight="1" x14ac:dyDescent="0.25">
      <c r="A1240" s="8" t="s">
        <v>5</v>
      </c>
      <c r="B1240" s="1" t="s">
        <v>0</v>
      </c>
      <c r="C1240" s="1" t="s">
        <v>1</v>
      </c>
      <c r="D1240" s="1" t="s">
        <v>14912</v>
      </c>
      <c r="E1240" s="1" t="s">
        <v>14913</v>
      </c>
      <c r="F1240" s="1" t="s">
        <v>14914</v>
      </c>
      <c r="H1240" s="2" t="s">
        <v>5</v>
      </c>
      <c r="I1240" s="2" t="s">
        <v>6</v>
      </c>
      <c r="J1240" s="2" t="s">
        <v>5</v>
      </c>
      <c r="K1240" s="2" t="s">
        <v>5</v>
      </c>
      <c r="L1240" s="2" t="s">
        <v>7</v>
      </c>
      <c r="N1240" s="1" t="s">
        <v>1220</v>
      </c>
      <c r="O1240" s="2" t="s">
        <v>62</v>
      </c>
      <c r="Q1240" s="2" t="s">
        <v>11</v>
      </c>
      <c r="R1240" s="2" t="s">
        <v>12</v>
      </c>
      <c r="S1240" s="1" t="s">
        <v>14915</v>
      </c>
      <c r="T1240" s="2" t="s">
        <v>520</v>
      </c>
      <c r="U1240" s="3">
        <v>2</v>
      </c>
      <c r="V1240" s="3">
        <v>2</v>
      </c>
      <c r="W1240" s="4" t="s">
        <v>5313</v>
      </c>
      <c r="X1240" s="4" t="s">
        <v>5313</v>
      </c>
      <c r="Y1240" s="4" t="s">
        <v>1249</v>
      </c>
      <c r="Z1240" s="4" t="s">
        <v>1249</v>
      </c>
      <c r="AA1240" s="3">
        <v>76</v>
      </c>
      <c r="AB1240" s="3">
        <v>64</v>
      </c>
      <c r="AC1240" s="3">
        <v>64</v>
      </c>
      <c r="AD1240" s="3">
        <v>1</v>
      </c>
      <c r="AE1240" s="3">
        <v>1</v>
      </c>
      <c r="AF1240" s="3">
        <v>3</v>
      </c>
      <c r="AG1240" s="3">
        <v>3</v>
      </c>
      <c r="AH1240" s="3">
        <v>0</v>
      </c>
      <c r="AI1240" s="3">
        <v>0</v>
      </c>
      <c r="AJ1240" s="3">
        <v>1</v>
      </c>
      <c r="AK1240" s="3">
        <v>1</v>
      </c>
      <c r="AL1240" s="3">
        <v>3</v>
      </c>
      <c r="AM1240" s="3">
        <v>3</v>
      </c>
      <c r="AN1240" s="3">
        <v>0</v>
      </c>
      <c r="AO1240" s="3">
        <v>0</v>
      </c>
      <c r="AP1240" s="3">
        <v>0</v>
      </c>
      <c r="AQ1240" s="3">
        <v>0</v>
      </c>
      <c r="AR1240" s="2" t="s">
        <v>5</v>
      </c>
      <c r="AS1240" s="2" t="s">
        <v>5</v>
      </c>
      <c r="AU1240" s="5" t="str">
        <f>HYPERLINK("https://creighton-primo.hosted.exlibrisgroup.com/primo-explore/search?tab=default_tab&amp;search_scope=EVERYTHING&amp;vid=01CRU&amp;lang=en_US&amp;offset=0&amp;query=any,contains,991001386909702656","Catalog Record")</f>
        <v>Catalog Record</v>
      </c>
      <c r="AV1240" s="5" t="str">
        <f>HYPERLINK("http://www.worldcat.org/oclc/6485884","WorldCat Record")</f>
        <v>WorldCat Record</v>
      </c>
      <c r="AW1240" s="2" t="s">
        <v>14916</v>
      </c>
      <c r="AX1240" s="2" t="s">
        <v>14917</v>
      </c>
      <c r="AY1240" s="2" t="s">
        <v>14918</v>
      </c>
      <c r="AZ1240" s="2" t="s">
        <v>14918</v>
      </c>
      <c r="BA1240" s="2" t="s">
        <v>14919</v>
      </c>
      <c r="BB1240" s="2" t="s">
        <v>21</v>
      </c>
      <c r="BE1240" s="2" t="s">
        <v>14920</v>
      </c>
      <c r="BF1240" s="2" t="s">
        <v>14921</v>
      </c>
    </row>
    <row r="1241" spans="1:58" ht="41.25" customHeight="1" x14ac:dyDescent="0.25">
      <c r="A1241" s="8" t="s">
        <v>5</v>
      </c>
      <c r="B1241" s="1" t="s">
        <v>0</v>
      </c>
      <c r="C1241" s="1" t="s">
        <v>1</v>
      </c>
      <c r="D1241" s="1" t="s">
        <v>14922</v>
      </c>
      <c r="E1241" s="1" t="s">
        <v>14923</v>
      </c>
      <c r="F1241" s="1" t="s">
        <v>14924</v>
      </c>
      <c r="H1241" s="2" t="s">
        <v>5</v>
      </c>
      <c r="I1241" s="2" t="s">
        <v>6</v>
      </c>
      <c r="J1241" s="2" t="s">
        <v>5</v>
      </c>
      <c r="K1241" s="2" t="s">
        <v>5</v>
      </c>
      <c r="L1241" s="2" t="s">
        <v>7</v>
      </c>
      <c r="M1241" s="1" t="s">
        <v>14925</v>
      </c>
      <c r="N1241" s="1" t="s">
        <v>7116</v>
      </c>
      <c r="O1241" s="2" t="s">
        <v>1339</v>
      </c>
      <c r="Q1241" s="2" t="s">
        <v>11</v>
      </c>
      <c r="R1241" s="2" t="s">
        <v>426</v>
      </c>
      <c r="T1241" s="2" t="s">
        <v>520</v>
      </c>
      <c r="U1241" s="3">
        <v>13</v>
      </c>
      <c r="V1241" s="3">
        <v>13</v>
      </c>
      <c r="W1241" s="4" t="s">
        <v>14926</v>
      </c>
      <c r="X1241" s="4" t="s">
        <v>14926</v>
      </c>
      <c r="Y1241" s="4" t="s">
        <v>197</v>
      </c>
      <c r="Z1241" s="4" t="s">
        <v>197</v>
      </c>
      <c r="AA1241" s="3">
        <v>71</v>
      </c>
      <c r="AB1241" s="3">
        <v>65</v>
      </c>
      <c r="AC1241" s="3">
        <v>65</v>
      </c>
      <c r="AD1241" s="3">
        <v>1</v>
      </c>
      <c r="AE1241" s="3">
        <v>1</v>
      </c>
      <c r="AF1241" s="3">
        <v>4</v>
      </c>
      <c r="AG1241" s="3">
        <v>4</v>
      </c>
      <c r="AH1241" s="3">
        <v>1</v>
      </c>
      <c r="AI1241" s="3">
        <v>1</v>
      </c>
      <c r="AJ1241" s="3">
        <v>1</v>
      </c>
      <c r="AK1241" s="3">
        <v>1</v>
      </c>
      <c r="AL1241" s="3">
        <v>3</v>
      </c>
      <c r="AM1241" s="3">
        <v>3</v>
      </c>
      <c r="AN1241" s="3">
        <v>0</v>
      </c>
      <c r="AO1241" s="3">
        <v>0</v>
      </c>
      <c r="AP1241" s="3">
        <v>0</v>
      </c>
      <c r="AQ1241" s="3">
        <v>0</v>
      </c>
      <c r="AR1241" s="2" t="s">
        <v>5</v>
      </c>
      <c r="AS1241" s="2" t="s">
        <v>5</v>
      </c>
      <c r="AU1241" s="5" t="str">
        <f>HYPERLINK("https://creighton-primo.hosted.exlibrisgroup.com/primo-explore/search?tab=default_tab&amp;search_scope=EVERYTHING&amp;vid=01CRU&amp;lang=en_US&amp;offset=0&amp;query=any,contains,991001266999702656","Catalog Record")</f>
        <v>Catalog Record</v>
      </c>
      <c r="AV1241" s="5" t="str">
        <f>HYPERLINK("http://www.worldcat.org/oclc/15108360","WorldCat Record")</f>
        <v>WorldCat Record</v>
      </c>
      <c r="AW1241" s="2" t="s">
        <v>14927</v>
      </c>
      <c r="AX1241" s="2" t="s">
        <v>14928</v>
      </c>
      <c r="AY1241" s="2" t="s">
        <v>14929</v>
      </c>
      <c r="AZ1241" s="2" t="s">
        <v>14929</v>
      </c>
      <c r="BA1241" s="2" t="s">
        <v>14930</v>
      </c>
      <c r="BB1241" s="2" t="s">
        <v>21</v>
      </c>
      <c r="BD1241" s="2" t="s">
        <v>14931</v>
      </c>
      <c r="BE1241" s="2" t="s">
        <v>14932</v>
      </c>
      <c r="BF1241" s="2" t="s">
        <v>14933</v>
      </c>
    </row>
    <row r="1242" spans="1:58" ht="41.25" customHeight="1" x14ac:dyDescent="0.25">
      <c r="A1242" s="8" t="s">
        <v>5</v>
      </c>
      <c r="B1242" s="1" t="s">
        <v>0</v>
      </c>
      <c r="C1242" s="1" t="s">
        <v>1</v>
      </c>
      <c r="D1242" s="1" t="s">
        <v>14934</v>
      </c>
      <c r="E1242" s="1" t="s">
        <v>14935</v>
      </c>
      <c r="F1242" s="1" t="s">
        <v>14936</v>
      </c>
      <c r="H1242" s="2" t="s">
        <v>5</v>
      </c>
      <c r="I1242" s="2" t="s">
        <v>6</v>
      </c>
      <c r="J1242" s="2" t="s">
        <v>16</v>
      </c>
      <c r="K1242" s="2" t="s">
        <v>5</v>
      </c>
      <c r="L1242" s="2" t="s">
        <v>7</v>
      </c>
      <c r="M1242" s="1" t="s">
        <v>14937</v>
      </c>
      <c r="N1242" s="1" t="s">
        <v>8296</v>
      </c>
      <c r="O1242" s="2" t="s">
        <v>989</v>
      </c>
      <c r="Q1242" s="2" t="s">
        <v>11</v>
      </c>
      <c r="R1242" s="2" t="s">
        <v>426</v>
      </c>
      <c r="T1242" s="2" t="s">
        <v>520</v>
      </c>
      <c r="U1242" s="3">
        <v>20</v>
      </c>
      <c r="V1242" s="3">
        <v>20</v>
      </c>
      <c r="W1242" s="4" t="s">
        <v>14938</v>
      </c>
      <c r="X1242" s="4" t="s">
        <v>14938</v>
      </c>
      <c r="Y1242" s="4" t="s">
        <v>1484</v>
      </c>
      <c r="Z1242" s="4" t="s">
        <v>1484</v>
      </c>
      <c r="AA1242" s="3">
        <v>419</v>
      </c>
      <c r="AB1242" s="3">
        <v>359</v>
      </c>
      <c r="AC1242" s="3">
        <v>365</v>
      </c>
      <c r="AD1242" s="3">
        <v>4</v>
      </c>
      <c r="AE1242" s="3">
        <v>4</v>
      </c>
      <c r="AF1242" s="3">
        <v>22</v>
      </c>
      <c r="AG1242" s="3">
        <v>22</v>
      </c>
      <c r="AH1242" s="3">
        <v>7</v>
      </c>
      <c r="AI1242" s="3">
        <v>7</v>
      </c>
      <c r="AJ1242" s="3">
        <v>3</v>
      </c>
      <c r="AK1242" s="3">
        <v>3</v>
      </c>
      <c r="AL1242" s="3">
        <v>9</v>
      </c>
      <c r="AM1242" s="3">
        <v>9</v>
      </c>
      <c r="AN1242" s="3">
        <v>1</v>
      </c>
      <c r="AO1242" s="3">
        <v>1</v>
      </c>
      <c r="AP1242" s="3">
        <v>7</v>
      </c>
      <c r="AQ1242" s="3">
        <v>7</v>
      </c>
      <c r="AR1242" s="2" t="s">
        <v>5</v>
      </c>
      <c r="AS1242" s="2" t="s">
        <v>5</v>
      </c>
      <c r="AU1242" s="5" t="str">
        <f>HYPERLINK("https://creighton-primo.hosted.exlibrisgroup.com/primo-explore/search?tab=default_tab&amp;search_scope=EVERYTHING&amp;vid=01CRU&amp;lang=en_US&amp;offset=0&amp;query=any,contains,991000766109702656","Catalog Record")</f>
        <v>Catalog Record</v>
      </c>
      <c r="AV1242" s="5" t="str">
        <f>HYPERLINK("http://www.worldcat.org/oclc/21949784","WorldCat Record")</f>
        <v>WorldCat Record</v>
      </c>
      <c r="AW1242" s="2" t="s">
        <v>14939</v>
      </c>
      <c r="AX1242" s="2" t="s">
        <v>14940</v>
      </c>
      <c r="AY1242" s="2" t="s">
        <v>14941</v>
      </c>
      <c r="AZ1242" s="2" t="s">
        <v>14941</v>
      </c>
      <c r="BA1242" s="2" t="s">
        <v>14942</v>
      </c>
      <c r="BB1242" s="2" t="s">
        <v>21</v>
      </c>
      <c r="BD1242" s="2" t="s">
        <v>14943</v>
      </c>
      <c r="BE1242" s="2" t="s">
        <v>14944</v>
      </c>
      <c r="BF1242" s="2" t="s">
        <v>14945</v>
      </c>
    </row>
    <row r="1243" spans="1:58" ht="41.25" customHeight="1" x14ac:dyDescent="0.25">
      <c r="A1243" s="8" t="s">
        <v>5</v>
      </c>
      <c r="B1243" s="1" t="s">
        <v>0</v>
      </c>
      <c r="C1243" s="1" t="s">
        <v>1</v>
      </c>
      <c r="D1243" s="1" t="s">
        <v>14946</v>
      </c>
      <c r="E1243" s="1" t="s">
        <v>14947</v>
      </c>
      <c r="F1243" s="1" t="s">
        <v>14948</v>
      </c>
      <c r="H1243" s="2" t="s">
        <v>5</v>
      </c>
      <c r="I1243" s="2" t="s">
        <v>6</v>
      </c>
      <c r="J1243" s="2" t="s">
        <v>5</v>
      </c>
      <c r="K1243" s="2" t="s">
        <v>5</v>
      </c>
      <c r="L1243" s="2" t="s">
        <v>7</v>
      </c>
      <c r="M1243" s="1" t="s">
        <v>14937</v>
      </c>
      <c r="N1243" s="1" t="s">
        <v>7116</v>
      </c>
      <c r="O1243" s="2" t="s">
        <v>1339</v>
      </c>
      <c r="Q1243" s="2" t="s">
        <v>11</v>
      </c>
      <c r="R1243" s="2" t="s">
        <v>426</v>
      </c>
      <c r="T1243" s="2" t="s">
        <v>520</v>
      </c>
      <c r="U1243" s="3">
        <v>38</v>
      </c>
      <c r="V1243" s="3">
        <v>38</v>
      </c>
      <c r="W1243" s="4" t="s">
        <v>13939</v>
      </c>
      <c r="X1243" s="4" t="s">
        <v>13939</v>
      </c>
      <c r="Y1243" s="4" t="s">
        <v>124</v>
      </c>
      <c r="Z1243" s="4" t="s">
        <v>124</v>
      </c>
      <c r="AA1243" s="3">
        <v>163</v>
      </c>
      <c r="AB1243" s="3">
        <v>154</v>
      </c>
      <c r="AC1243" s="3">
        <v>159</v>
      </c>
      <c r="AD1243" s="3">
        <v>2</v>
      </c>
      <c r="AE1243" s="3">
        <v>2</v>
      </c>
      <c r="AF1243" s="3">
        <v>7</v>
      </c>
      <c r="AG1243" s="3">
        <v>7</v>
      </c>
      <c r="AH1243" s="3">
        <v>4</v>
      </c>
      <c r="AI1243" s="3">
        <v>4</v>
      </c>
      <c r="AJ1243" s="3">
        <v>1</v>
      </c>
      <c r="AK1243" s="3">
        <v>1</v>
      </c>
      <c r="AL1243" s="3">
        <v>6</v>
      </c>
      <c r="AM1243" s="3">
        <v>6</v>
      </c>
      <c r="AN1243" s="3">
        <v>0</v>
      </c>
      <c r="AO1243" s="3">
        <v>0</v>
      </c>
      <c r="AP1243" s="3">
        <v>0</v>
      </c>
      <c r="AQ1243" s="3">
        <v>0</v>
      </c>
      <c r="AR1243" s="2" t="s">
        <v>5</v>
      </c>
      <c r="AS1243" s="2" t="s">
        <v>5</v>
      </c>
      <c r="AU1243" s="5" t="str">
        <f>HYPERLINK("https://creighton-primo.hosted.exlibrisgroup.com/primo-explore/search?tab=default_tab&amp;search_scope=EVERYTHING&amp;vid=01CRU&amp;lang=en_US&amp;offset=0&amp;query=any,contains,991001528509702656","Catalog Record")</f>
        <v>Catalog Record</v>
      </c>
      <c r="AV1243" s="5" t="str">
        <f>HYPERLINK("http://www.worldcat.org/oclc/15489673","WorldCat Record")</f>
        <v>WorldCat Record</v>
      </c>
      <c r="AW1243" s="2" t="s">
        <v>14949</v>
      </c>
      <c r="AX1243" s="2" t="s">
        <v>14950</v>
      </c>
      <c r="AY1243" s="2" t="s">
        <v>14951</v>
      </c>
      <c r="AZ1243" s="2" t="s">
        <v>14951</v>
      </c>
      <c r="BA1243" s="2" t="s">
        <v>14952</v>
      </c>
      <c r="BB1243" s="2" t="s">
        <v>21</v>
      </c>
      <c r="BD1243" s="2" t="s">
        <v>14953</v>
      </c>
      <c r="BE1243" s="2" t="s">
        <v>14954</v>
      </c>
      <c r="BF1243" s="2" t="s">
        <v>14955</v>
      </c>
    </row>
    <row r="1244" spans="1:58" ht="41.25" customHeight="1" x14ac:dyDescent="0.25">
      <c r="A1244" s="8" t="s">
        <v>5</v>
      </c>
      <c r="B1244" s="1" t="s">
        <v>0</v>
      </c>
      <c r="C1244" s="1" t="s">
        <v>1</v>
      </c>
      <c r="D1244" s="1" t="s">
        <v>14956</v>
      </c>
      <c r="E1244" s="1" t="s">
        <v>14957</v>
      </c>
      <c r="F1244" s="1" t="s">
        <v>14958</v>
      </c>
      <c r="H1244" s="2" t="s">
        <v>5</v>
      </c>
      <c r="I1244" s="2" t="s">
        <v>6</v>
      </c>
      <c r="J1244" s="2" t="s">
        <v>5</v>
      </c>
      <c r="K1244" s="2" t="s">
        <v>5</v>
      </c>
      <c r="L1244" s="2" t="s">
        <v>7</v>
      </c>
      <c r="N1244" s="1" t="s">
        <v>5218</v>
      </c>
      <c r="O1244" s="2" t="s">
        <v>1283</v>
      </c>
      <c r="P1244" s="1" t="s">
        <v>211</v>
      </c>
      <c r="Q1244" s="2" t="s">
        <v>11</v>
      </c>
      <c r="R1244" s="2" t="s">
        <v>1140</v>
      </c>
      <c r="T1244" s="2" t="s">
        <v>520</v>
      </c>
      <c r="U1244" s="3">
        <v>5</v>
      </c>
      <c r="V1244" s="3">
        <v>5</v>
      </c>
      <c r="W1244" s="4" t="s">
        <v>14959</v>
      </c>
      <c r="X1244" s="4" t="s">
        <v>14959</v>
      </c>
      <c r="Y1244" s="4" t="s">
        <v>6662</v>
      </c>
      <c r="Z1244" s="4" t="s">
        <v>6662</v>
      </c>
      <c r="AA1244" s="3">
        <v>213</v>
      </c>
      <c r="AB1244" s="3">
        <v>182</v>
      </c>
      <c r="AC1244" s="3">
        <v>491</v>
      </c>
      <c r="AD1244" s="3">
        <v>1</v>
      </c>
      <c r="AE1244" s="3">
        <v>3</v>
      </c>
      <c r="AF1244" s="3">
        <v>7</v>
      </c>
      <c r="AG1244" s="3">
        <v>22</v>
      </c>
      <c r="AH1244" s="3">
        <v>2</v>
      </c>
      <c r="AI1244" s="3">
        <v>7</v>
      </c>
      <c r="AJ1244" s="3">
        <v>3</v>
      </c>
      <c r="AK1244" s="3">
        <v>5</v>
      </c>
      <c r="AL1244" s="3">
        <v>4</v>
      </c>
      <c r="AM1244" s="3">
        <v>12</v>
      </c>
      <c r="AN1244" s="3">
        <v>0</v>
      </c>
      <c r="AO1244" s="3">
        <v>2</v>
      </c>
      <c r="AP1244" s="3">
        <v>0</v>
      </c>
      <c r="AQ1244" s="3">
        <v>1</v>
      </c>
      <c r="AR1244" s="2" t="s">
        <v>5</v>
      </c>
      <c r="AS1244" s="2" t="s">
        <v>16</v>
      </c>
      <c r="AT1244" s="5" t="str">
        <f>HYPERLINK("http://catalog.hathitrust.org/Record/003184833","HathiTrust Record")</f>
        <v>HathiTrust Record</v>
      </c>
      <c r="AU1244" s="5" t="str">
        <f>HYPERLINK("https://creighton-primo.hosted.exlibrisgroup.com/primo-explore/search?tab=default_tab&amp;search_scope=EVERYTHING&amp;vid=01CRU&amp;lang=en_US&amp;offset=0&amp;query=any,contains,991001135549702656","Catalog Record")</f>
        <v>Catalog Record</v>
      </c>
      <c r="AV1244" s="5" t="str">
        <f>HYPERLINK("http://www.worldcat.org/oclc/36510779","WorldCat Record")</f>
        <v>WorldCat Record</v>
      </c>
      <c r="AW1244" s="2" t="s">
        <v>14960</v>
      </c>
      <c r="AX1244" s="2" t="s">
        <v>14961</v>
      </c>
      <c r="AY1244" s="2" t="s">
        <v>14962</v>
      </c>
      <c r="AZ1244" s="2" t="s">
        <v>14962</v>
      </c>
      <c r="BA1244" s="2" t="s">
        <v>14963</v>
      </c>
      <c r="BB1244" s="2" t="s">
        <v>21</v>
      </c>
      <c r="BD1244" s="2" t="s">
        <v>14964</v>
      </c>
      <c r="BE1244" s="2" t="s">
        <v>14965</v>
      </c>
      <c r="BF1244" s="2" t="s">
        <v>14966</v>
      </c>
    </row>
    <row r="1245" spans="1:58" ht="41.25" customHeight="1" x14ac:dyDescent="0.25">
      <c r="A1245" s="8" t="s">
        <v>5</v>
      </c>
      <c r="B1245" s="1" t="s">
        <v>0</v>
      </c>
      <c r="C1245" s="1" t="s">
        <v>1</v>
      </c>
      <c r="D1245" s="1" t="s">
        <v>14967</v>
      </c>
      <c r="E1245" s="1" t="s">
        <v>14968</v>
      </c>
      <c r="F1245" s="1" t="s">
        <v>14969</v>
      </c>
      <c r="H1245" s="2" t="s">
        <v>5</v>
      </c>
      <c r="I1245" s="2" t="s">
        <v>6</v>
      </c>
      <c r="J1245" s="2" t="s">
        <v>5</v>
      </c>
      <c r="K1245" s="2" t="s">
        <v>5</v>
      </c>
      <c r="L1245" s="2" t="s">
        <v>7</v>
      </c>
      <c r="M1245" s="1" t="s">
        <v>13462</v>
      </c>
      <c r="N1245" s="1" t="s">
        <v>14970</v>
      </c>
      <c r="O1245" s="2" t="s">
        <v>1004</v>
      </c>
      <c r="Q1245" s="2" t="s">
        <v>11</v>
      </c>
      <c r="R1245" s="2" t="s">
        <v>1140</v>
      </c>
      <c r="T1245" s="2" t="s">
        <v>520</v>
      </c>
      <c r="U1245" s="3">
        <v>3</v>
      </c>
      <c r="V1245" s="3">
        <v>3</v>
      </c>
      <c r="W1245" s="4" t="s">
        <v>14971</v>
      </c>
      <c r="X1245" s="4" t="s">
        <v>14971</v>
      </c>
      <c r="Y1245" s="4" t="s">
        <v>14971</v>
      </c>
      <c r="Z1245" s="4" t="s">
        <v>14971</v>
      </c>
      <c r="AA1245" s="3">
        <v>221</v>
      </c>
      <c r="AB1245" s="3">
        <v>199</v>
      </c>
      <c r="AC1245" s="3">
        <v>206</v>
      </c>
      <c r="AD1245" s="3">
        <v>1</v>
      </c>
      <c r="AE1245" s="3">
        <v>1</v>
      </c>
      <c r="AF1245" s="3">
        <v>7</v>
      </c>
      <c r="AG1245" s="3">
        <v>7</v>
      </c>
      <c r="AH1245" s="3">
        <v>2</v>
      </c>
      <c r="AI1245" s="3">
        <v>2</v>
      </c>
      <c r="AJ1245" s="3">
        <v>1</v>
      </c>
      <c r="AK1245" s="3">
        <v>1</v>
      </c>
      <c r="AL1245" s="3">
        <v>5</v>
      </c>
      <c r="AM1245" s="3">
        <v>5</v>
      </c>
      <c r="AN1245" s="3">
        <v>0</v>
      </c>
      <c r="AO1245" s="3">
        <v>0</v>
      </c>
      <c r="AP1245" s="3">
        <v>0</v>
      </c>
      <c r="AQ1245" s="3">
        <v>0</v>
      </c>
      <c r="AR1245" s="2" t="s">
        <v>5</v>
      </c>
      <c r="AS1245" s="2" t="s">
        <v>16</v>
      </c>
      <c r="AT1245" s="5" t="str">
        <f>HYPERLINK("http://catalog.hathitrust.org/Record/004017049","HathiTrust Record")</f>
        <v>HathiTrust Record</v>
      </c>
      <c r="AU1245" s="5" t="str">
        <f>HYPERLINK("https://creighton-primo.hosted.exlibrisgroup.com/primo-explore/search?tab=default_tab&amp;search_scope=EVERYTHING&amp;vid=01CRU&amp;lang=en_US&amp;offset=0&amp;query=any,contains,991001567669702656","Catalog Record")</f>
        <v>Catalog Record</v>
      </c>
      <c r="AV1245" s="5" t="str">
        <f>HYPERLINK("http://www.worldcat.org/oclc/39982639","WorldCat Record")</f>
        <v>WorldCat Record</v>
      </c>
      <c r="AW1245" s="2" t="s">
        <v>14972</v>
      </c>
      <c r="AX1245" s="2" t="s">
        <v>14973</v>
      </c>
      <c r="AY1245" s="2" t="s">
        <v>14974</v>
      </c>
      <c r="AZ1245" s="2" t="s">
        <v>14974</v>
      </c>
      <c r="BA1245" s="2" t="s">
        <v>14975</v>
      </c>
      <c r="BB1245" s="2" t="s">
        <v>21</v>
      </c>
      <c r="BD1245" s="2" t="s">
        <v>14976</v>
      </c>
      <c r="BE1245" s="2" t="s">
        <v>14977</v>
      </c>
      <c r="BF1245" s="2" t="s">
        <v>14978</v>
      </c>
    </row>
    <row r="1246" spans="1:58" ht="41.25" customHeight="1" x14ac:dyDescent="0.25">
      <c r="A1246" s="8" t="s">
        <v>5</v>
      </c>
      <c r="B1246" s="1" t="s">
        <v>0</v>
      </c>
      <c r="C1246" s="1" t="s">
        <v>1</v>
      </c>
      <c r="D1246" s="1" t="s">
        <v>14979</v>
      </c>
      <c r="E1246" s="1" t="s">
        <v>14980</v>
      </c>
      <c r="F1246" s="1" t="s">
        <v>14981</v>
      </c>
      <c r="H1246" s="2" t="s">
        <v>5</v>
      </c>
      <c r="I1246" s="2" t="s">
        <v>6</v>
      </c>
      <c r="J1246" s="2" t="s">
        <v>5</v>
      </c>
      <c r="K1246" s="2" t="s">
        <v>5</v>
      </c>
      <c r="L1246" s="2" t="s">
        <v>7</v>
      </c>
      <c r="N1246" s="1" t="s">
        <v>6384</v>
      </c>
      <c r="O1246" s="2" t="s">
        <v>1004</v>
      </c>
      <c r="Q1246" s="2" t="s">
        <v>11</v>
      </c>
      <c r="R1246" s="2" t="s">
        <v>78</v>
      </c>
      <c r="T1246" s="2" t="s">
        <v>520</v>
      </c>
      <c r="U1246" s="3">
        <v>3</v>
      </c>
      <c r="V1246" s="3">
        <v>3</v>
      </c>
      <c r="W1246" s="4" t="s">
        <v>11913</v>
      </c>
      <c r="X1246" s="4" t="s">
        <v>11913</v>
      </c>
      <c r="Y1246" s="4" t="s">
        <v>14982</v>
      </c>
      <c r="Z1246" s="4" t="s">
        <v>14982</v>
      </c>
      <c r="AA1246" s="3">
        <v>323</v>
      </c>
      <c r="AB1246" s="3">
        <v>257</v>
      </c>
      <c r="AC1246" s="3">
        <v>264</v>
      </c>
      <c r="AD1246" s="3">
        <v>1</v>
      </c>
      <c r="AE1246" s="3">
        <v>1</v>
      </c>
      <c r="AF1246" s="3">
        <v>7</v>
      </c>
      <c r="AG1246" s="3">
        <v>7</v>
      </c>
      <c r="AH1246" s="3">
        <v>1</v>
      </c>
      <c r="AI1246" s="3">
        <v>1</v>
      </c>
      <c r="AJ1246" s="3">
        <v>1</v>
      </c>
      <c r="AK1246" s="3">
        <v>1</v>
      </c>
      <c r="AL1246" s="3">
        <v>7</v>
      </c>
      <c r="AM1246" s="3">
        <v>7</v>
      </c>
      <c r="AN1246" s="3">
        <v>0</v>
      </c>
      <c r="AO1246" s="3">
        <v>0</v>
      </c>
      <c r="AP1246" s="3">
        <v>0</v>
      </c>
      <c r="AQ1246" s="3">
        <v>0</v>
      </c>
      <c r="AR1246" s="2" t="s">
        <v>5</v>
      </c>
      <c r="AS1246" s="2" t="s">
        <v>16</v>
      </c>
      <c r="AT1246" s="5" t="str">
        <f>HYPERLINK("http://catalog.hathitrust.org/Record/004027466","HathiTrust Record")</f>
        <v>HathiTrust Record</v>
      </c>
      <c r="AU1246" s="5" t="str">
        <f>HYPERLINK("https://creighton-primo.hosted.exlibrisgroup.com/primo-explore/search?tab=default_tab&amp;search_scope=EVERYTHING&amp;vid=01CRU&amp;lang=en_US&amp;offset=0&amp;query=any,contains,991000313939702656","Catalog Record")</f>
        <v>Catalog Record</v>
      </c>
      <c r="AV1246" s="5" t="str">
        <f>HYPERLINK("http://www.worldcat.org/oclc/39094238","WorldCat Record")</f>
        <v>WorldCat Record</v>
      </c>
      <c r="AW1246" s="2" t="s">
        <v>14983</v>
      </c>
      <c r="AX1246" s="2" t="s">
        <v>14984</v>
      </c>
      <c r="AY1246" s="2" t="s">
        <v>14985</v>
      </c>
      <c r="AZ1246" s="2" t="s">
        <v>14985</v>
      </c>
      <c r="BA1246" s="2" t="s">
        <v>14986</v>
      </c>
      <c r="BB1246" s="2" t="s">
        <v>21</v>
      </c>
      <c r="BD1246" s="2" t="s">
        <v>14987</v>
      </c>
      <c r="BE1246" s="2" t="s">
        <v>14988</v>
      </c>
      <c r="BF1246" s="2" t="s">
        <v>14989</v>
      </c>
    </row>
    <row r="1247" spans="1:58" ht="41.25" customHeight="1" x14ac:dyDescent="0.25">
      <c r="A1247" s="8" t="s">
        <v>5</v>
      </c>
      <c r="B1247" s="1" t="s">
        <v>0</v>
      </c>
      <c r="C1247" s="1" t="s">
        <v>1</v>
      </c>
      <c r="D1247" s="1" t="s">
        <v>14990</v>
      </c>
      <c r="E1247" s="1" t="s">
        <v>14991</v>
      </c>
      <c r="F1247" s="1" t="s">
        <v>14992</v>
      </c>
      <c r="H1247" s="2" t="s">
        <v>5</v>
      </c>
      <c r="I1247" s="2" t="s">
        <v>6</v>
      </c>
      <c r="J1247" s="2" t="s">
        <v>5</v>
      </c>
      <c r="K1247" s="2" t="s">
        <v>5</v>
      </c>
      <c r="L1247" s="2" t="s">
        <v>7</v>
      </c>
      <c r="N1247" s="1" t="s">
        <v>14993</v>
      </c>
      <c r="O1247" s="2" t="s">
        <v>1283</v>
      </c>
      <c r="Q1247" s="2" t="s">
        <v>11</v>
      </c>
      <c r="R1247" s="2" t="s">
        <v>5245</v>
      </c>
      <c r="T1247" s="2" t="s">
        <v>520</v>
      </c>
      <c r="U1247" s="3">
        <v>4</v>
      </c>
      <c r="V1247" s="3">
        <v>4</v>
      </c>
      <c r="W1247" s="4" t="s">
        <v>14994</v>
      </c>
      <c r="X1247" s="4" t="s">
        <v>14994</v>
      </c>
      <c r="Y1247" s="4" t="s">
        <v>14995</v>
      </c>
      <c r="Z1247" s="4" t="s">
        <v>14995</v>
      </c>
      <c r="AA1247" s="3">
        <v>218</v>
      </c>
      <c r="AB1247" s="3">
        <v>178</v>
      </c>
      <c r="AC1247" s="3">
        <v>183</v>
      </c>
      <c r="AD1247" s="3">
        <v>2</v>
      </c>
      <c r="AE1247" s="3">
        <v>2</v>
      </c>
      <c r="AF1247" s="3">
        <v>9</v>
      </c>
      <c r="AG1247" s="3">
        <v>9</v>
      </c>
      <c r="AH1247" s="3">
        <v>5</v>
      </c>
      <c r="AI1247" s="3">
        <v>5</v>
      </c>
      <c r="AJ1247" s="3">
        <v>2</v>
      </c>
      <c r="AK1247" s="3">
        <v>2</v>
      </c>
      <c r="AL1247" s="3">
        <v>3</v>
      </c>
      <c r="AM1247" s="3">
        <v>3</v>
      </c>
      <c r="AN1247" s="3">
        <v>1</v>
      </c>
      <c r="AO1247" s="3">
        <v>1</v>
      </c>
      <c r="AP1247" s="3">
        <v>0</v>
      </c>
      <c r="AQ1247" s="3">
        <v>0</v>
      </c>
      <c r="AR1247" s="2" t="s">
        <v>5</v>
      </c>
      <c r="AS1247" s="2" t="s">
        <v>5</v>
      </c>
      <c r="AU1247" s="5" t="str">
        <f>HYPERLINK("https://creighton-primo.hosted.exlibrisgroup.com/primo-explore/search?tab=default_tab&amp;search_scope=EVERYTHING&amp;vid=01CRU&amp;lang=en_US&amp;offset=0&amp;query=any,contains,991000837959702656","Catalog Record")</f>
        <v>Catalog Record</v>
      </c>
      <c r="AV1247" s="5" t="str">
        <f>HYPERLINK("http://www.worldcat.org/oclc/35657356","WorldCat Record")</f>
        <v>WorldCat Record</v>
      </c>
      <c r="AW1247" s="2" t="s">
        <v>14996</v>
      </c>
      <c r="AX1247" s="2" t="s">
        <v>14997</v>
      </c>
      <c r="AY1247" s="2" t="s">
        <v>14998</v>
      </c>
      <c r="AZ1247" s="2" t="s">
        <v>14998</v>
      </c>
      <c r="BA1247" s="2" t="s">
        <v>14999</v>
      </c>
      <c r="BB1247" s="2" t="s">
        <v>21</v>
      </c>
      <c r="BD1247" s="2" t="s">
        <v>15000</v>
      </c>
      <c r="BE1247" s="2" t="s">
        <v>15001</v>
      </c>
      <c r="BF1247" s="2" t="s">
        <v>15002</v>
      </c>
    </row>
    <row r="1248" spans="1:58" ht="41.25" customHeight="1" x14ac:dyDescent="0.25">
      <c r="A1248" s="8" t="s">
        <v>5</v>
      </c>
      <c r="B1248" s="1" t="s">
        <v>0</v>
      </c>
      <c r="C1248" s="1" t="s">
        <v>1</v>
      </c>
      <c r="D1248" s="1" t="s">
        <v>15003</v>
      </c>
      <c r="E1248" s="1" t="s">
        <v>15004</v>
      </c>
      <c r="F1248" s="1" t="s">
        <v>15005</v>
      </c>
      <c r="H1248" s="2" t="s">
        <v>5</v>
      </c>
      <c r="I1248" s="2" t="s">
        <v>6</v>
      </c>
      <c r="J1248" s="2" t="s">
        <v>5</v>
      </c>
      <c r="K1248" s="2" t="s">
        <v>5</v>
      </c>
      <c r="L1248" s="2" t="s">
        <v>7</v>
      </c>
      <c r="N1248" s="1" t="s">
        <v>2887</v>
      </c>
      <c r="O1248" s="2" t="s">
        <v>10</v>
      </c>
      <c r="Q1248" s="2" t="s">
        <v>11</v>
      </c>
      <c r="R1248" s="2" t="s">
        <v>12</v>
      </c>
      <c r="S1248" s="1" t="s">
        <v>15006</v>
      </c>
      <c r="T1248" s="2" t="s">
        <v>520</v>
      </c>
      <c r="U1248" s="3">
        <v>1</v>
      </c>
      <c r="V1248" s="3">
        <v>1</v>
      </c>
      <c r="W1248" s="4" t="s">
        <v>2659</v>
      </c>
      <c r="X1248" s="4" t="s">
        <v>2659</v>
      </c>
      <c r="Y1248" s="4" t="s">
        <v>1249</v>
      </c>
      <c r="Z1248" s="4" t="s">
        <v>1249</v>
      </c>
      <c r="AA1248" s="3">
        <v>77</v>
      </c>
      <c r="AB1248" s="3">
        <v>69</v>
      </c>
      <c r="AC1248" s="3">
        <v>71</v>
      </c>
      <c r="AD1248" s="3">
        <v>1</v>
      </c>
      <c r="AE1248" s="3">
        <v>1</v>
      </c>
      <c r="AF1248" s="3">
        <v>2</v>
      </c>
      <c r="AG1248" s="3">
        <v>2</v>
      </c>
      <c r="AH1248" s="3">
        <v>0</v>
      </c>
      <c r="AI1248" s="3">
        <v>0</v>
      </c>
      <c r="AJ1248" s="3">
        <v>1</v>
      </c>
      <c r="AK1248" s="3">
        <v>1</v>
      </c>
      <c r="AL1248" s="3">
        <v>2</v>
      </c>
      <c r="AM1248" s="3">
        <v>2</v>
      </c>
      <c r="AN1248" s="3">
        <v>0</v>
      </c>
      <c r="AO1248" s="3">
        <v>0</v>
      </c>
      <c r="AP1248" s="3">
        <v>0</v>
      </c>
      <c r="AQ1248" s="3">
        <v>0</v>
      </c>
      <c r="AR1248" s="2" t="s">
        <v>5</v>
      </c>
      <c r="AS1248" s="2" t="s">
        <v>16</v>
      </c>
      <c r="AT1248" s="5" t="str">
        <f>HYPERLINK("http://catalog.hathitrust.org/Record/002185390","HathiTrust Record")</f>
        <v>HathiTrust Record</v>
      </c>
      <c r="AU1248" s="5" t="str">
        <f>HYPERLINK("https://creighton-primo.hosted.exlibrisgroup.com/primo-explore/search?tab=default_tab&amp;search_scope=EVERYTHING&amp;vid=01CRU&amp;lang=en_US&amp;offset=0&amp;query=any,contains,991001386679702656","Catalog Record")</f>
        <v>Catalog Record</v>
      </c>
      <c r="AV1248" s="5" t="str">
        <f>HYPERLINK("http://www.worldcat.org/oclc/14385566","WorldCat Record")</f>
        <v>WorldCat Record</v>
      </c>
      <c r="AW1248" s="2" t="s">
        <v>15007</v>
      </c>
      <c r="AX1248" s="2" t="s">
        <v>15008</v>
      </c>
      <c r="AY1248" s="2" t="s">
        <v>15009</v>
      </c>
      <c r="AZ1248" s="2" t="s">
        <v>15009</v>
      </c>
      <c r="BA1248" s="2" t="s">
        <v>15010</v>
      </c>
      <c r="BB1248" s="2" t="s">
        <v>21</v>
      </c>
      <c r="BE1248" s="2" t="s">
        <v>15011</v>
      </c>
      <c r="BF1248" s="2" t="s">
        <v>15012</v>
      </c>
    </row>
    <row r="1249" spans="1:58" ht="41.25" customHeight="1" x14ac:dyDescent="0.25">
      <c r="A1249" s="8" t="s">
        <v>5</v>
      </c>
      <c r="B1249" s="1" t="s">
        <v>0</v>
      </c>
      <c r="C1249" s="1" t="s">
        <v>1</v>
      </c>
      <c r="D1249" s="1" t="s">
        <v>15013</v>
      </c>
      <c r="E1249" s="1" t="s">
        <v>15014</v>
      </c>
      <c r="F1249" s="1" t="s">
        <v>15015</v>
      </c>
      <c r="H1249" s="2" t="s">
        <v>5</v>
      </c>
      <c r="I1249" s="2" t="s">
        <v>6</v>
      </c>
      <c r="J1249" s="2" t="s">
        <v>5</v>
      </c>
      <c r="K1249" s="2" t="s">
        <v>5</v>
      </c>
      <c r="L1249" s="2" t="s">
        <v>7</v>
      </c>
      <c r="N1249" s="1" t="s">
        <v>10383</v>
      </c>
      <c r="O1249" s="2" t="s">
        <v>210</v>
      </c>
      <c r="Q1249" s="2" t="s">
        <v>11</v>
      </c>
      <c r="R1249" s="2" t="s">
        <v>31</v>
      </c>
      <c r="T1249" s="2" t="s">
        <v>520</v>
      </c>
      <c r="U1249" s="3">
        <v>7</v>
      </c>
      <c r="V1249" s="3">
        <v>7</v>
      </c>
      <c r="W1249" s="4" t="s">
        <v>15016</v>
      </c>
      <c r="X1249" s="4" t="s">
        <v>15016</v>
      </c>
      <c r="Y1249" s="4" t="s">
        <v>15017</v>
      </c>
      <c r="Z1249" s="4" t="s">
        <v>15017</v>
      </c>
      <c r="AA1249" s="3">
        <v>214</v>
      </c>
      <c r="AB1249" s="3">
        <v>172</v>
      </c>
      <c r="AC1249" s="3">
        <v>387</v>
      </c>
      <c r="AD1249" s="3">
        <v>1</v>
      </c>
      <c r="AE1249" s="3">
        <v>2</v>
      </c>
      <c r="AF1249" s="3">
        <v>6</v>
      </c>
      <c r="AG1249" s="3">
        <v>15</v>
      </c>
      <c r="AH1249" s="3">
        <v>3</v>
      </c>
      <c r="AI1249" s="3">
        <v>6</v>
      </c>
      <c r="AJ1249" s="3">
        <v>1</v>
      </c>
      <c r="AK1249" s="3">
        <v>3</v>
      </c>
      <c r="AL1249" s="3">
        <v>4</v>
      </c>
      <c r="AM1249" s="3">
        <v>9</v>
      </c>
      <c r="AN1249" s="3">
        <v>0</v>
      </c>
      <c r="AO1249" s="3">
        <v>1</v>
      </c>
      <c r="AP1249" s="3">
        <v>0</v>
      </c>
      <c r="AQ1249" s="3">
        <v>0</v>
      </c>
      <c r="AR1249" s="2" t="s">
        <v>5</v>
      </c>
      <c r="AS1249" s="2" t="s">
        <v>16</v>
      </c>
      <c r="AT1249" s="5" t="str">
        <f>HYPERLINK("http://catalog.hathitrust.org/Record/002525617","HathiTrust Record")</f>
        <v>HathiTrust Record</v>
      </c>
      <c r="AU1249" s="5" t="str">
        <f>HYPERLINK("https://creighton-primo.hosted.exlibrisgroup.com/primo-explore/search?tab=default_tab&amp;search_scope=EVERYTHING&amp;vid=01CRU&amp;lang=en_US&amp;offset=0&amp;query=any,contains,991001431689702656","Catalog Record")</f>
        <v>Catalog Record</v>
      </c>
      <c r="AV1249" s="5" t="str">
        <f>HYPERLINK("http://www.worldcat.org/oclc/24793617","WorldCat Record")</f>
        <v>WorldCat Record</v>
      </c>
      <c r="AW1249" s="2" t="s">
        <v>15018</v>
      </c>
      <c r="AX1249" s="2" t="s">
        <v>15019</v>
      </c>
      <c r="AY1249" s="2" t="s">
        <v>15020</v>
      </c>
      <c r="AZ1249" s="2" t="s">
        <v>15020</v>
      </c>
      <c r="BA1249" s="2" t="s">
        <v>15021</v>
      </c>
      <c r="BB1249" s="2" t="s">
        <v>21</v>
      </c>
      <c r="BD1249" s="2" t="s">
        <v>15022</v>
      </c>
      <c r="BE1249" s="2" t="s">
        <v>15023</v>
      </c>
      <c r="BF1249" s="2" t="s">
        <v>15024</v>
      </c>
    </row>
    <row r="1250" spans="1:58" ht="41.25" customHeight="1" x14ac:dyDescent="0.25">
      <c r="A1250" s="8" t="s">
        <v>5</v>
      </c>
      <c r="B1250" s="1" t="s">
        <v>0</v>
      </c>
      <c r="C1250" s="1" t="s">
        <v>1</v>
      </c>
      <c r="D1250" s="1" t="s">
        <v>15025</v>
      </c>
      <c r="E1250" s="1" t="s">
        <v>15026</v>
      </c>
      <c r="F1250" s="1" t="s">
        <v>15027</v>
      </c>
      <c r="H1250" s="2" t="s">
        <v>5</v>
      </c>
      <c r="I1250" s="2" t="s">
        <v>6</v>
      </c>
      <c r="J1250" s="2" t="s">
        <v>5</v>
      </c>
      <c r="K1250" s="2" t="s">
        <v>5</v>
      </c>
      <c r="L1250" s="2" t="s">
        <v>7</v>
      </c>
      <c r="N1250" s="1" t="s">
        <v>15028</v>
      </c>
      <c r="O1250" s="2" t="s">
        <v>210</v>
      </c>
      <c r="Q1250" s="2" t="s">
        <v>11</v>
      </c>
      <c r="R1250" s="2" t="s">
        <v>1140</v>
      </c>
      <c r="T1250" s="2" t="s">
        <v>520</v>
      </c>
      <c r="U1250" s="3">
        <v>10</v>
      </c>
      <c r="V1250" s="3">
        <v>10</v>
      </c>
      <c r="W1250" s="4" t="s">
        <v>15029</v>
      </c>
      <c r="X1250" s="4" t="s">
        <v>15029</v>
      </c>
      <c r="Y1250" s="4" t="s">
        <v>10227</v>
      </c>
      <c r="Z1250" s="4" t="s">
        <v>10227</v>
      </c>
      <c r="AA1250" s="3">
        <v>114</v>
      </c>
      <c r="AB1250" s="3">
        <v>91</v>
      </c>
      <c r="AC1250" s="3">
        <v>93</v>
      </c>
      <c r="AD1250" s="3">
        <v>2</v>
      </c>
      <c r="AE1250" s="3">
        <v>2</v>
      </c>
      <c r="AF1250" s="3">
        <v>0</v>
      </c>
      <c r="AG1250" s="3">
        <v>0</v>
      </c>
      <c r="AH1250" s="3">
        <v>0</v>
      </c>
      <c r="AI1250" s="3">
        <v>0</v>
      </c>
      <c r="AJ1250" s="3">
        <v>0</v>
      </c>
      <c r="AK1250" s="3">
        <v>0</v>
      </c>
      <c r="AL1250" s="3">
        <v>0</v>
      </c>
      <c r="AM1250" s="3">
        <v>0</v>
      </c>
      <c r="AN1250" s="3">
        <v>0</v>
      </c>
      <c r="AO1250" s="3">
        <v>0</v>
      </c>
      <c r="AP1250" s="3">
        <v>0</v>
      </c>
      <c r="AQ1250" s="3">
        <v>0</v>
      </c>
      <c r="AR1250" s="2" t="s">
        <v>5</v>
      </c>
      <c r="AS1250" s="2" t="s">
        <v>16</v>
      </c>
      <c r="AT1250" s="5" t="str">
        <f>HYPERLINK("http://catalog.hathitrust.org/Record/002551501","HathiTrust Record")</f>
        <v>HathiTrust Record</v>
      </c>
      <c r="AU1250" s="5" t="str">
        <f>HYPERLINK("https://creighton-primo.hosted.exlibrisgroup.com/primo-explore/search?tab=default_tab&amp;search_scope=EVERYTHING&amp;vid=01CRU&amp;lang=en_US&amp;offset=0&amp;query=any,contains,991001307299702656","Catalog Record")</f>
        <v>Catalog Record</v>
      </c>
      <c r="AV1250" s="5" t="str">
        <f>HYPERLINK("http://www.worldcat.org/oclc/24143108","WorldCat Record")</f>
        <v>WorldCat Record</v>
      </c>
      <c r="AW1250" s="2" t="s">
        <v>15030</v>
      </c>
      <c r="AX1250" s="2" t="s">
        <v>15031</v>
      </c>
      <c r="AY1250" s="2" t="s">
        <v>15032</v>
      </c>
      <c r="AZ1250" s="2" t="s">
        <v>15032</v>
      </c>
      <c r="BA1250" s="2" t="s">
        <v>15033</v>
      </c>
      <c r="BB1250" s="2" t="s">
        <v>21</v>
      </c>
      <c r="BD1250" s="2" t="s">
        <v>15034</v>
      </c>
      <c r="BE1250" s="2" t="s">
        <v>15035</v>
      </c>
      <c r="BF1250" s="2" t="s">
        <v>15036</v>
      </c>
    </row>
    <row r="1251" spans="1:58" ht="41.25" customHeight="1" x14ac:dyDescent="0.25">
      <c r="A1251" s="8" t="s">
        <v>5</v>
      </c>
      <c r="B1251" s="1" t="s">
        <v>0</v>
      </c>
      <c r="C1251" s="1" t="s">
        <v>1</v>
      </c>
      <c r="D1251" s="1" t="s">
        <v>15037</v>
      </c>
      <c r="E1251" s="1" t="s">
        <v>15038</v>
      </c>
      <c r="F1251" s="1" t="s">
        <v>15039</v>
      </c>
      <c r="H1251" s="2" t="s">
        <v>5</v>
      </c>
      <c r="I1251" s="2" t="s">
        <v>6</v>
      </c>
      <c r="J1251" s="2" t="s">
        <v>5</v>
      </c>
      <c r="K1251" s="2" t="s">
        <v>5</v>
      </c>
      <c r="L1251" s="2" t="s">
        <v>7</v>
      </c>
      <c r="M1251" s="1" t="s">
        <v>15040</v>
      </c>
      <c r="N1251" s="1" t="s">
        <v>4756</v>
      </c>
      <c r="O1251" s="2" t="s">
        <v>939</v>
      </c>
      <c r="Q1251" s="2" t="s">
        <v>11</v>
      </c>
      <c r="R1251" s="2" t="s">
        <v>1140</v>
      </c>
      <c r="T1251" s="2" t="s">
        <v>520</v>
      </c>
      <c r="U1251" s="3">
        <v>14</v>
      </c>
      <c r="V1251" s="3">
        <v>14</v>
      </c>
      <c r="W1251" s="4" t="s">
        <v>15041</v>
      </c>
      <c r="X1251" s="4" t="s">
        <v>15041</v>
      </c>
      <c r="Y1251" s="4" t="s">
        <v>15042</v>
      </c>
      <c r="Z1251" s="4" t="s">
        <v>15042</v>
      </c>
      <c r="AA1251" s="3">
        <v>123</v>
      </c>
      <c r="AB1251" s="3">
        <v>109</v>
      </c>
      <c r="AC1251" s="3">
        <v>109</v>
      </c>
      <c r="AD1251" s="3">
        <v>1</v>
      </c>
      <c r="AE1251" s="3">
        <v>1</v>
      </c>
      <c r="AF1251" s="3">
        <v>6</v>
      </c>
      <c r="AG1251" s="3">
        <v>6</v>
      </c>
      <c r="AH1251" s="3">
        <v>3</v>
      </c>
      <c r="AI1251" s="3">
        <v>3</v>
      </c>
      <c r="AJ1251" s="3">
        <v>1</v>
      </c>
      <c r="AK1251" s="3">
        <v>1</v>
      </c>
      <c r="AL1251" s="3">
        <v>3</v>
      </c>
      <c r="AM1251" s="3">
        <v>3</v>
      </c>
      <c r="AN1251" s="3">
        <v>0</v>
      </c>
      <c r="AO1251" s="3">
        <v>0</v>
      </c>
      <c r="AP1251" s="3">
        <v>0</v>
      </c>
      <c r="AQ1251" s="3">
        <v>0</v>
      </c>
      <c r="AR1251" s="2" t="s">
        <v>5</v>
      </c>
      <c r="AS1251" s="2" t="s">
        <v>5</v>
      </c>
      <c r="AU1251" s="5" t="str">
        <f>HYPERLINK("https://creighton-primo.hosted.exlibrisgroup.com/primo-explore/search?tab=default_tab&amp;search_scope=EVERYTHING&amp;vid=01CRU&amp;lang=en_US&amp;offset=0&amp;query=any,contains,991001414739702656","Catalog Record")</f>
        <v>Catalog Record</v>
      </c>
      <c r="AV1251" s="5" t="str">
        <f>HYPERLINK("http://www.worldcat.org/oclc/17547227","WorldCat Record")</f>
        <v>WorldCat Record</v>
      </c>
      <c r="AW1251" s="2" t="s">
        <v>15043</v>
      </c>
      <c r="AX1251" s="2" t="s">
        <v>15044</v>
      </c>
      <c r="AY1251" s="2" t="s">
        <v>15045</v>
      </c>
      <c r="AZ1251" s="2" t="s">
        <v>15045</v>
      </c>
      <c r="BA1251" s="2" t="s">
        <v>15046</v>
      </c>
      <c r="BB1251" s="2" t="s">
        <v>21</v>
      </c>
      <c r="BD1251" s="2" t="s">
        <v>15047</v>
      </c>
      <c r="BE1251" s="2" t="s">
        <v>15048</v>
      </c>
      <c r="BF1251" s="2" t="s">
        <v>15049</v>
      </c>
    </row>
    <row r="1252" spans="1:58" ht="41.25" customHeight="1" x14ac:dyDescent="0.25">
      <c r="A1252" s="8" t="s">
        <v>5</v>
      </c>
      <c r="B1252" s="1" t="s">
        <v>0</v>
      </c>
      <c r="C1252" s="1" t="s">
        <v>1</v>
      </c>
      <c r="D1252" s="1" t="s">
        <v>15050</v>
      </c>
      <c r="E1252" s="1" t="s">
        <v>15051</v>
      </c>
      <c r="F1252" s="1" t="s">
        <v>15052</v>
      </c>
      <c r="H1252" s="2" t="s">
        <v>5</v>
      </c>
      <c r="I1252" s="2" t="s">
        <v>6</v>
      </c>
      <c r="J1252" s="2" t="s">
        <v>5</v>
      </c>
      <c r="K1252" s="2" t="s">
        <v>5</v>
      </c>
      <c r="L1252" s="2" t="s">
        <v>7</v>
      </c>
      <c r="M1252" s="1" t="s">
        <v>15053</v>
      </c>
      <c r="N1252" s="1" t="s">
        <v>8372</v>
      </c>
      <c r="O1252" s="2" t="s">
        <v>939</v>
      </c>
      <c r="Q1252" s="2" t="s">
        <v>11</v>
      </c>
      <c r="R1252" s="2" t="s">
        <v>426</v>
      </c>
      <c r="T1252" s="2" t="s">
        <v>520</v>
      </c>
      <c r="U1252" s="3">
        <v>9</v>
      </c>
      <c r="V1252" s="3">
        <v>9</v>
      </c>
      <c r="W1252" s="4" t="s">
        <v>15054</v>
      </c>
      <c r="X1252" s="4" t="s">
        <v>15054</v>
      </c>
      <c r="Y1252" s="4" t="s">
        <v>15055</v>
      </c>
      <c r="Z1252" s="4" t="s">
        <v>15055</v>
      </c>
      <c r="AA1252" s="3">
        <v>226</v>
      </c>
      <c r="AB1252" s="3">
        <v>183</v>
      </c>
      <c r="AC1252" s="3">
        <v>200</v>
      </c>
      <c r="AD1252" s="3">
        <v>1</v>
      </c>
      <c r="AE1252" s="3">
        <v>1</v>
      </c>
      <c r="AF1252" s="3">
        <v>7</v>
      </c>
      <c r="AG1252" s="3">
        <v>9</v>
      </c>
      <c r="AH1252" s="3">
        <v>4</v>
      </c>
      <c r="AI1252" s="3">
        <v>5</v>
      </c>
      <c r="AJ1252" s="3">
        <v>0</v>
      </c>
      <c r="AK1252" s="3">
        <v>1</v>
      </c>
      <c r="AL1252" s="3">
        <v>4</v>
      </c>
      <c r="AM1252" s="3">
        <v>4</v>
      </c>
      <c r="AN1252" s="3">
        <v>0</v>
      </c>
      <c r="AO1252" s="3">
        <v>0</v>
      </c>
      <c r="AP1252" s="3">
        <v>0</v>
      </c>
      <c r="AQ1252" s="3">
        <v>0</v>
      </c>
      <c r="AR1252" s="2" t="s">
        <v>5</v>
      </c>
      <c r="AS1252" s="2" t="s">
        <v>16</v>
      </c>
      <c r="AT1252" s="5" t="str">
        <f>HYPERLINK("http://catalog.hathitrust.org/Record/000907611","HathiTrust Record")</f>
        <v>HathiTrust Record</v>
      </c>
      <c r="AU1252" s="5" t="str">
        <f>HYPERLINK("https://creighton-primo.hosted.exlibrisgroup.com/primo-explore/search?tab=default_tab&amp;search_scope=EVERYTHING&amp;vid=01CRU&amp;lang=en_US&amp;offset=0&amp;query=any,contains,991001421879702656","Catalog Record")</f>
        <v>Catalog Record</v>
      </c>
      <c r="AV1252" s="5" t="str">
        <f>HYPERLINK("http://www.worldcat.org/oclc/15659625","WorldCat Record")</f>
        <v>WorldCat Record</v>
      </c>
      <c r="AW1252" s="2" t="s">
        <v>15056</v>
      </c>
      <c r="AX1252" s="2" t="s">
        <v>15057</v>
      </c>
      <c r="AY1252" s="2" t="s">
        <v>15058</v>
      </c>
      <c r="AZ1252" s="2" t="s">
        <v>15058</v>
      </c>
      <c r="BA1252" s="2" t="s">
        <v>15059</v>
      </c>
      <c r="BB1252" s="2" t="s">
        <v>21</v>
      </c>
      <c r="BD1252" s="2" t="s">
        <v>15060</v>
      </c>
      <c r="BE1252" s="2" t="s">
        <v>15061</v>
      </c>
      <c r="BF1252" s="2" t="s">
        <v>15062</v>
      </c>
    </row>
    <row r="1253" spans="1:58" ht="41.25" customHeight="1" x14ac:dyDescent="0.25">
      <c r="A1253" s="8" t="s">
        <v>5</v>
      </c>
      <c r="B1253" s="1" t="s">
        <v>0</v>
      </c>
      <c r="C1253" s="1" t="s">
        <v>1</v>
      </c>
      <c r="D1253" s="1" t="s">
        <v>15063</v>
      </c>
      <c r="E1253" s="1" t="s">
        <v>15064</v>
      </c>
      <c r="F1253" s="1" t="s">
        <v>15065</v>
      </c>
      <c r="H1253" s="2" t="s">
        <v>5</v>
      </c>
      <c r="I1253" s="2" t="s">
        <v>6</v>
      </c>
      <c r="J1253" s="2" t="s">
        <v>5</v>
      </c>
      <c r="K1253" s="2" t="s">
        <v>5</v>
      </c>
      <c r="L1253" s="2" t="s">
        <v>7</v>
      </c>
      <c r="M1253" s="1" t="s">
        <v>15066</v>
      </c>
      <c r="N1253" s="1" t="s">
        <v>3451</v>
      </c>
      <c r="O1253" s="2" t="s">
        <v>872</v>
      </c>
      <c r="Q1253" s="2" t="s">
        <v>11</v>
      </c>
      <c r="R1253" s="2" t="s">
        <v>1140</v>
      </c>
      <c r="T1253" s="2" t="s">
        <v>520</v>
      </c>
      <c r="U1253" s="3">
        <v>15</v>
      </c>
      <c r="V1253" s="3">
        <v>15</v>
      </c>
      <c r="W1253" s="4" t="s">
        <v>3668</v>
      </c>
      <c r="X1253" s="4" t="s">
        <v>3668</v>
      </c>
      <c r="Y1253" s="4" t="s">
        <v>3668</v>
      </c>
      <c r="Z1253" s="4" t="s">
        <v>3668</v>
      </c>
      <c r="AA1253" s="3">
        <v>161</v>
      </c>
      <c r="AB1253" s="3">
        <v>135</v>
      </c>
      <c r="AC1253" s="3">
        <v>137</v>
      </c>
      <c r="AD1253" s="3">
        <v>2</v>
      </c>
      <c r="AE1253" s="3">
        <v>2</v>
      </c>
      <c r="AF1253" s="3">
        <v>6</v>
      </c>
      <c r="AG1253" s="3">
        <v>6</v>
      </c>
      <c r="AH1253" s="3">
        <v>1</v>
      </c>
      <c r="AI1253" s="3">
        <v>1</v>
      </c>
      <c r="AJ1253" s="3">
        <v>2</v>
      </c>
      <c r="AK1253" s="3">
        <v>2</v>
      </c>
      <c r="AL1253" s="3">
        <v>5</v>
      </c>
      <c r="AM1253" s="3">
        <v>5</v>
      </c>
      <c r="AN1253" s="3">
        <v>0</v>
      </c>
      <c r="AO1253" s="3">
        <v>0</v>
      </c>
      <c r="AP1253" s="3">
        <v>0</v>
      </c>
      <c r="AQ1253" s="3">
        <v>0</v>
      </c>
      <c r="AR1253" s="2" t="s">
        <v>5</v>
      </c>
      <c r="AS1253" s="2" t="s">
        <v>16</v>
      </c>
      <c r="AT1253" s="5" t="str">
        <f>HYPERLINK("http://catalog.hathitrust.org/Record/004516856","HathiTrust Record")</f>
        <v>HathiTrust Record</v>
      </c>
      <c r="AU1253" s="5" t="str">
        <f>HYPERLINK("https://creighton-primo.hosted.exlibrisgroup.com/primo-explore/search?tab=default_tab&amp;search_scope=EVERYTHING&amp;vid=01CRU&amp;lang=en_US&amp;offset=0&amp;query=any,contains,991001346829702656","Catalog Record")</f>
        <v>Catalog Record</v>
      </c>
      <c r="AV1253" s="5" t="str">
        <f>HYPERLINK("http://www.worldcat.org/oclc/18464116","WorldCat Record")</f>
        <v>WorldCat Record</v>
      </c>
      <c r="AW1253" s="2" t="s">
        <v>15067</v>
      </c>
      <c r="AX1253" s="2" t="s">
        <v>15068</v>
      </c>
      <c r="AY1253" s="2" t="s">
        <v>15069</v>
      </c>
      <c r="AZ1253" s="2" t="s">
        <v>15069</v>
      </c>
      <c r="BA1253" s="2" t="s">
        <v>15070</v>
      </c>
      <c r="BB1253" s="2" t="s">
        <v>21</v>
      </c>
      <c r="BD1253" s="2" t="s">
        <v>15071</v>
      </c>
      <c r="BE1253" s="2" t="s">
        <v>15072</v>
      </c>
      <c r="BF1253" s="2" t="s">
        <v>15073</v>
      </c>
    </row>
    <row r="1254" spans="1:58" ht="41.25" customHeight="1" x14ac:dyDescent="0.25">
      <c r="A1254" s="8" t="s">
        <v>5</v>
      </c>
      <c r="B1254" s="1" t="s">
        <v>0</v>
      </c>
      <c r="C1254" s="1" t="s">
        <v>1</v>
      </c>
      <c r="D1254" s="1" t="s">
        <v>15074</v>
      </c>
      <c r="E1254" s="1" t="s">
        <v>15075</v>
      </c>
      <c r="F1254" s="1" t="s">
        <v>15076</v>
      </c>
      <c r="H1254" s="2" t="s">
        <v>5</v>
      </c>
      <c r="I1254" s="2" t="s">
        <v>6</v>
      </c>
      <c r="J1254" s="2" t="s">
        <v>5</v>
      </c>
      <c r="K1254" s="2" t="s">
        <v>5</v>
      </c>
      <c r="L1254" s="2" t="s">
        <v>7</v>
      </c>
      <c r="M1254" s="1" t="s">
        <v>15077</v>
      </c>
      <c r="N1254" s="1" t="s">
        <v>3451</v>
      </c>
      <c r="O1254" s="2" t="s">
        <v>872</v>
      </c>
      <c r="Q1254" s="2" t="s">
        <v>11</v>
      </c>
      <c r="R1254" s="2" t="s">
        <v>426</v>
      </c>
      <c r="T1254" s="2" t="s">
        <v>520</v>
      </c>
      <c r="U1254" s="3">
        <v>12</v>
      </c>
      <c r="V1254" s="3">
        <v>12</v>
      </c>
      <c r="W1254" s="4" t="s">
        <v>14832</v>
      </c>
      <c r="X1254" s="4" t="s">
        <v>14832</v>
      </c>
      <c r="Y1254" s="4" t="s">
        <v>2715</v>
      </c>
      <c r="Z1254" s="4" t="s">
        <v>2715</v>
      </c>
      <c r="AA1254" s="3">
        <v>147</v>
      </c>
      <c r="AB1254" s="3">
        <v>126</v>
      </c>
      <c r="AC1254" s="3">
        <v>233</v>
      </c>
      <c r="AD1254" s="3">
        <v>1</v>
      </c>
      <c r="AE1254" s="3">
        <v>2</v>
      </c>
      <c r="AF1254" s="3">
        <v>2</v>
      </c>
      <c r="AG1254" s="3">
        <v>8</v>
      </c>
      <c r="AH1254" s="3">
        <v>0</v>
      </c>
      <c r="AI1254" s="3">
        <v>2</v>
      </c>
      <c r="AJ1254" s="3">
        <v>1</v>
      </c>
      <c r="AK1254" s="3">
        <v>2</v>
      </c>
      <c r="AL1254" s="3">
        <v>2</v>
      </c>
      <c r="AM1254" s="3">
        <v>5</v>
      </c>
      <c r="AN1254" s="3">
        <v>0</v>
      </c>
      <c r="AO1254" s="3">
        <v>1</v>
      </c>
      <c r="AP1254" s="3">
        <v>0</v>
      </c>
      <c r="AQ1254" s="3">
        <v>0</v>
      </c>
      <c r="AR1254" s="2" t="s">
        <v>5</v>
      </c>
      <c r="AS1254" s="2" t="s">
        <v>16</v>
      </c>
      <c r="AT1254" s="5" t="str">
        <f>HYPERLINK("http://catalog.hathitrust.org/Record/001818931","HathiTrust Record")</f>
        <v>HathiTrust Record</v>
      </c>
      <c r="AU1254" s="5" t="str">
        <f>HYPERLINK("https://creighton-primo.hosted.exlibrisgroup.com/primo-explore/search?tab=default_tab&amp;search_scope=EVERYTHING&amp;vid=01CRU&amp;lang=en_US&amp;offset=0&amp;query=any,contains,991001355699702656","Catalog Record")</f>
        <v>Catalog Record</v>
      </c>
      <c r="AV1254" s="5" t="str">
        <f>HYPERLINK("http://www.worldcat.org/oclc/18715874","WorldCat Record")</f>
        <v>WorldCat Record</v>
      </c>
      <c r="AW1254" s="2" t="s">
        <v>15078</v>
      </c>
      <c r="AX1254" s="2" t="s">
        <v>15079</v>
      </c>
      <c r="AY1254" s="2" t="s">
        <v>15080</v>
      </c>
      <c r="AZ1254" s="2" t="s">
        <v>15080</v>
      </c>
      <c r="BA1254" s="2" t="s">
        <v>15081</v>
      </c>
      <c r="BB1254" s="2" t="s">
        <v>21</v>
      </c>
      <c r="BD1254" s="2" t="s">
        <v>15082</v>
      </c>
      <c r="BE1254" s="2" t="s">
        <v>15083</v>
      </c>
      <c r="BF1254" s="2" t="s">
        <v>15084</v>
      </c>
    </row>
    <row r="1255" spans="1:58" ht="41.25" customHeight="1" x14ac:dyDescent="0.25">
      <c r="A1255" s="8" t="s">
        <v>5</v>
      </c>
      <c r="B1255" s="1" t="s">
        <v>0</v>
      </c>
      <c r="C1255" s="1" t="s">
        <v>1</v>
      </c>
      <c r="D1255" s="1" t="s">
        <v>15085</v>
      </c>
      <c r="E1255" s="1" t="s">
        <v>15086</v>
      </c>
      <c r="F1255" s="1" t="s">
        <v>15087</v>
      </c>
      <c r="H1255" s="2" t="s">
        <v>5</v>
      </c>
      <c r="I1255" s="2" t="s">
        <v>6</v>
      </c>
      <c r="J1255" s="2" t="s">
        <v>5</v>
      </c>
      <c r="K1255" s="2" t="s">
        <v>5</v>
      </c>
      <c r="L1255" s="2" t="s">
        <v>7</v>
      </c>
      <c r="M1255" s="1" t="s">
        <v>15088</v>
      </c>
      <c r="N1255" s="1" t="s">
        <v>1911</v>
      </c>
      <c r="O1255" s="2" t="s">
        <v>734</v>
      </c>
      <c r="Q1255" s="2" t="s">
        <v>11</v>
      </c>
      <c r="R1255" s="2" t="s">
        <v>426</v>
      </c>
      <c r="T1255" s="2" t="s">
        <v>520</v>
      </c>
      <c r="U1255" s="3">
        <v>7</v>
      </c>
      <c r="V1255" s="3">
        <v>7</v>
      </c>
      <c r="W1255" s="4" t="s">
        <v>15089</v>
      </c>
      <c r="X1255" s="4" t="s">
        <v>15089</v>
      </c>
      <c r="Y1255" s="4" t="s">
        <v>197</v>
      </c>
      <c r="Z1255" s="4" t="s">
        <v>197</v>
      </c>
      <c r="AA1255" s="3">
        <v>417</v>
      </c>
      <c r="AB1255" s="3">
        <v>396</v>
      </c>
      <c r="AC1255" s="3">
        <v>398</v>
      </c>
      <c r="AD1255" s="3">
        <v>2</v>
      </c>
      <c r="AE1255" s="3">
        <v>2</v>
      </c>
      <c r="AF1255" s="3">
        <v>18</v>
      </c>
      <c r="AG1255" s="3">
        <v>18</v>
      </c>
      <c r="AH1255" s="3">
        <v>6</v>
      </c>
      <c r="AI1255" s="3">
        <v>6</v>
      </c>
      <c r="AJ1255" s="3">
        <v>7</v>
      </c>
      <c r="AK1255" s="3">
        <v>7</v>
      </c>
      <c r="AL1255" s="3">
        <v>9</v>
      </c>
      <c r="AM1255" s="3">
        <v>9</v>
      </c>
      <c r="AN1255" s="3">
        <v>1</v>
      </c>
      <c r="AO1255" s="3">
        <v>1</v>
      </c>
      <c r="AP1255" s="3">
        <v>0</v>
      </c>
      <c r="AQ1255" s="3">
        <v>0</v>
      </c>
      <c r="AR1255" s="2" t="s">
        <v>5</v>
      </c>
      <c r="AS1255" s="2" t="s">
        <v>16</v>
      </c>
      <c r="AT1255" s="5" t="str">
        <f>HYPERLINK("http://catalog.hathitrust.org/Record/000160184","HathiTrust Record")</f>
        <v>HathiTrust Record</v>
      </c>
      <c r="AU1255" s="5" t="str">
        <f>HYPERLINK("https://creighton-primo.hosted.exlibrisgroup.com/primo-explore/search?tab=default_tab&amp;search_scope=EVERYTHING&amp;vid=01CRU&amp;lang=en_US&amp;offset=0&amp;query=any,contains,991001084149702656","Catalog Record")</f>
        <v>Catalog Record</v>
      </c>
      <c r="AV1255" s="5" t="str">
        <f>HYPERLINK("http://www.worldcat.org/oclc/9622319","WorldCat Record")</f>
        <v>WorldCat Record</v>
      </c>
      <c r="AW1255" s="2" t="s">
        <v>15090</v>
      </c>
      <c r="AX1255" s="2" t="s">
        <v>15091</v>
      </c>
      <c r="AY1255" s="2" t="s">
        <v>15092</v>
      </c>
      <c r="AZ1255" s="2" t="s">
        <v>15092</v>
      </c>
      <c r="BA1255" s="2" t="s">
        <v>15093</v>
      </c>
      <c r="BB1255" s="2" t="s">
        <v>21</v>
      </c>
      <c r="BD1255" s="2" t="s">
        <v>15094</v>
      </c>
      <c r="BE1255" s="2" t="s">
        <v>15095</v>
      </c>
      <c r="BF1255" s="2" t="s">
        <v>15096</v>
      </c>
    </row>
    <row r="1256" spans="1:58" ht="41.25" customHeight="1" x14ac:dyDescent="0.25">
      <c r="A1256" s="8" t="s">
        <v>5</v>
      </c>
      <c r="B1256" s="1" t="s">
        <v>0</v>
      </c>
      <c r="C1256" s="1" t="s">
        <v>1</v>
      </c>
      <c r="D1256" s="1" t="s">
        <v>15097</v>
      </c>
      <c r="E1256" s="1" t="s">
        <v>15098</v>
      </c>
      <c r="F1256" s="1" t="s">
        <v>15099</v>
      </c>
      <c r="H1256" s="2" t="s">
        <v>5</v>
      </c>
      <c r="I1256" s="2" t="s">
        <v>6</v>
      </c>
      <c r="J1256" s="2" t="s">
        <v>5</v>
      </c>
      <c r="K1256" s="2" t="s">
        <v>5</v>
      </c>
      <c r="L1256" s="2" t="s">
        <v>7</v>
      </c>
      <c r="M1256" s="1" t="s">
        <v>15100</v>
      </c>
      <c r="N1256" s="1" t="s">
        <v>871</v>
      </c>
      <c r="O1256" s="2" t="s">
        <v>872</v>
      </c>
      <c r="Q1256" s="2" t="s">
        <v>11</v>
      </c>
      <c r="R1256" s="2" t="s">
        <v>12</v>
      </c>
      <c r="S1256" s="1" t="s">
        <v>15101</v>
      </c>
      <c r="T1256" s="2" t="s">
        <v>520</v>
      </c>
      <c r="U1256" s="3">
        <v>6</v>
      </c>
      <c r="V1256" s="3">
        <v>6</v>
      </c>
      <c r="W1256" s="4" t="s">
        <v>14353</v>
      </c>
      <c r="X1256" s="4" t="s">
        <v>14353</v>
      </c>
      <c r="Y1256" s="4" t="s">
        <v>4575</v>
      </c>
      <c r="Z1256" s="4" t="s">
        <v>4575</v>
      </c>
      <c r="AA1256" s="3">
        <v>141</v>
      </c>
      <c r="AB1256" s="3">
        <v>129</v>
      </c>
      <c r="AC1256" s="3">
        <v>135</v>
      </c>
      <c r="AD1256" s="3">
        <v>1</v>
      </c>
      <c r="AE1256" s="3">
        <v>1</v>
      </c>
      <c r="AF1256" s="3">
        <v>5</v>
      </c>
      <c r="AG1256" s="3">
        <v>6</v>
      </c>
      <c r="AH1256" s="3">
        <v>0</v>
      </c>
      <c r="AI1256" s="3">
        <v>0</v>
      </c>
      <c r="AJ1256" s="3">
        <v>2</v>
      </c>
      <c r="AK1256" s="3">
        <v>3</v>
      </c>
      <c r="AL1256" s="3">
        <v>4</v>
      </c>
      <c r="AM1256" s="3">
        <v>4</v>
      </c>
      <c r="AN1256" s="3">
        <v>0</v>
      </c>
      <c r="AO1256" s="3">
        <v>0</v>
      </c>
      <c r="AP1256" s="3">
        <v>0</v>
      </c>
      <c r="AQ1256" s="3">
        <v>0</v>
      </c>
      <c r="AR1256" s="2" t="s">
        <v>5</v>
      </c>
      <c r="AS1256" s="2" t="s">
        <v>5</v>
      </c>
      <c r="AU1256" s="5" t="str">
        <f>HYPERLINK("https://creighton-primo.hosted.exlibrisgroup.com/primo-explore/search?tab=default_tab&amp;search_scope=EVERYTHING&amp;vid=01CRU&amp;lang=en_US&amp;offset=0&amp;query=any,contains,991001446459702656","Catalog Record")</f>
        <v>Catalog Record</v>
      </c>
      <c r="AV1256" s="5" t="str">
        <f>HYPERLINK("http://www.worldcat.org/oclc/22665887","WorldCat Record")</f>
        <v>WorldCat Record</v>
      </c>
      <c r="AW1256" s="2" t="s">
        <v>15102</v>
      </c>
      <c r="AX1256" s="2" t="s">
        <v>15103</v>
      </c>
      <c r="AY1256" s="2" t="s">
        <v>15104</v>
      </c>
      <c r="AZ1256" s="2" t="s">
        <v>15104</v>
      </c>
      <c r="BA1256" s="2" t="s">
        <v>15105</v>
      </c>
      <c r="BB1256" s="2" t="s">
        <v>21</v>
      </c>
      <c r="BD1256" s="2" t="s">
        <v>15106</v>
      </c>
      <c r="BE1256" s="2" t="s">
        <v>15107</v>
      </c>
      <c r="BF1256" s="2" t="s">
        <v>15108</v>
      </c>
    </row>
    <row r="1257" spans="1:58" ht="41.25" customHeight="1" x14ac:dyDescent="0.25">
      <c r="A1257" s="8" t="s">
        <v>5</v>
      </c>
      <c r="B1257" s="1" t="s">
        <v>0</v>
      </c>
      <c r="C1257" s="1" t="s">
        <v>1</v>
      </c>
      <c r="D1257" s="1" t="s">
        <v>15109</v>
      </c>
      <c r="E1257" s="1" t="s">
        <v>15110</v>
      </c>
      <c r="F1257" s="1" t="s">
        <v>15111</v>
      </c>
      <c r="H1257" s="2" t="s">
        <v>5</v>
      </c>
      <c r="I1257" s="2" t="s">
        <v>6</v>
      </c>
      <c r="J1257" s="2" t="s">
        <v>5</v>
      </c>
      <c r="K1257" s="2" t="s">
        <v>5</v>
      </c>
      <c r="L1257" s="2" t="s">
        <v>7</v>
      </c>
      <c r="N1257" s="1" t="s">
        <v>15112</v>
      </c>
      <c r="O1257" s="2" t="s">
        <v>939</v>
      </c>
      <c r="Q1257" s="2" t="s">
        <v>11</v>
      </c>
      <c r="R1257" s="2" t="s">
        <v>426</v>
      </c>
      <c r="T1257" s="2" t="s">
        <v>520</v>
      </c>
      <c r="U1257" s="3">
        <v>18</v>
      </c>
      <c r="V1257" s="3">
        <v>18</v>
      </c>
      <c r="W1257" s="4" t="s">
        <v>15016</v>
      </c>
      <c r="X1257" s="4" t="s">
        <v>15016</v>
      </c>
      <c r="Y1257" s="4" t="s">
        <v>15113</v>
      </c>
      <c r="Z1257" s="4" t="s">
        <v>15113</v>
      </c>
      <c r="AA1257" s="3">
        <v>93</v>
      </c>
      <c r="AB1257" s="3">
        <v>71</v>
      </c>
      <c r="AC1257" s="3">
        <v>73</v>
      </c>
      <c r="AD1257" s="3">
        <v>1</v>
      </c>
      <c r="AE1257" s="3">
        <v>1</v>
      </c>
      <c r="AF1257" s="3">
        <v>4</v>
      </c>
      <c r="AG1257" s="3">
        <v>4</v>
      </c>
      <c r="AH1257" s="3">
        <v>1</v>
      </c>
      <c r="AI1257" s="3">
        <v>1</v>
      </c>
      <c r="AJ1257" s="3">
        <v>0</v>
      </c>
      <c r="AK1257" s="3">
        <v>0</v>
      </c>
      <c r="AL1257" s="3">
        <v>3</v>
      </c>
      <c r="AM1257" s="3">
        <v>3</v>
      </c>
      <c r="AN1257" s="3">
        <v>0</v>
      </c>
      <c r="AO1257" s="3">
        <v>0</v>
      </c>
      <c r="AP1257" s="3">
        <v>0</v>
      </c>
      <c r="AQ1257" s="3">
        <v>0</v>
      </c>
      <c r="AR1257" s="2" t="s">
        <v>5</v>
      </c>
      <c r="AS1257" s="2" t="s">
        <v>16</v>
      </c>
      <c r="AT1257" s="5" t="str">
        <f>HYPERLINK("http://catalog.hathitrust.org/Record/000949045","HathiTrust Record")</f>
        <v>HathiTrust Record</v>
      </c>
      <c r="AU1257" s="5" t="str">
        <f>HYPERLINK("https://creighton-primo.hosted.exlibrisgroup.com/primo-explore/search?tab=default_tab&amp;search_scope=EVERYTHING&amp;vid=01CRU&amp;lang=en_US&amp;offset=0&amp;query=any,contains,991001114949702656","Catalog Record")</f>
        <v>Catalog Record</v>
      </c>
      <c r="AV1257" s="5" t="str">
        <f>HYPERLINK("http://www.worldcat.org/oclc/17917823","WorldCat Record")</f>
        <v>WorldCat Record</v>
      </c>
      <c r="AW1257" s="2" t="s">
        <v>15114</v>
      </c>
      <c r="AX1257" s="2" t="s">
        <v>15115</v>
      </c>
      <c r="AY1257" s="2" t="s">
        <v>15116</v>
      </c>
      <c r="AZ1257" s="2" t="s">
        <v>15116</v>
      </c>
      <c r="BA1257" s="2" t="s">
        <v>15117</v>
      </c>
      <c r="BB1257" s="2" t="s">
        <v>21</v>
      </c>
      <c r="BD1257" s="2" t="s">
        <v>15118</v>
      </c>
      <c r="BE1257" s="2" t="s">
        <v>15119</v>
      </c>
      <c r="BF1257" s="2" t="s">
        <v>15120</v>
      </c>
    </row>
    <row r="1258" spans="1:58" ht="41.25" customHeight="1" x14ac:dyDescent="0.25">
      <c r="A1258" s="8" t="s">
        <v>5</v>
      </c>
      <c r="B1258" s="1" t="s">
        <v>0</v>
      </c>
      <c r="C1258" s="1" t="s">
        <v>1</v>
      </c>
      <c r="D1258" s="1" t="s">
        <v>15121</v>
      </c>
      <c r="E1258" s="1" t="s">
        <v>15122</v>
      </c>
      <c r="F1258" s="1" t="s">
        <v>15123</v>
      </c>
      <c r="H1258" s="2" t="s">
        <v>5</v>
      </c>
      <c r="I1258" s="2" t="s">
        <v>6</v>
      </c>
      <c r="J1258" s="2" t="s">
        <v>5</v>
      </c>
      <c r="K1258" s="2" t="s">
        <v>5</v>
      </c>
      <c r="L1258" s="2" t="s">
        <v>7</v>
      </c>
      <c r="N1258" s="1" t="s">
        <v>2272</v>
      </c>
      <c r="O1258" s="2" t="s">
        <v>354</v>
      </c>
      <c r="Q1258" s="2" t="s">
        <v>11</v>
      </c>
      <c r="R1258" s="2" t="s">
        <v>426</v>
      </c>
      <c r="S1258" s="1" t="s">
        <v>15124</v>
      </c>
      <c r="T1258" s="2" t="s">
        <v>520</v>
      </c>
      <c r="U1258" s="3">
        <v>3</v>
      </c>
      <c r="V1258" s="3">
        <v>3</v>
      </c>
      <c r="W1258" s="4" t="s">
        <v>14353</v>
      </c>
      <c r="X1258" s="4" t="s">
        <v>14353</v>
      </c>
      <c r="Y1258" s="4" t="s">
        <v>1249</v>
      </c>
      <c r="Z1258" s="4" t="s">
        <v>1249</v>
      </c>
      <c r="AA1258" s="3">
        <v>76</v>
      </c>
      <c r="AB1258" s="3">
        <v>66</v>
      </c>
      <c r="AC1258" s="3">
        <v>68</v>
      </c>
      <c r="AD1258" s="3">
        <v>1</v>
      </c>
      <c r="AE1258" s="3">
        <v>1</v>
      </c>
      <c r="AF1258" s="3">
        <v>4</v>
      </c>
      <c r="AG1258" s="3">
        <v>4</v>
      </c>
      <c r="AH1258" s="3">
        <v>1</v>
      </c>
      <c r="AI1258" s="3">
        <v>1</v>
      </c>
      <c r="AJ1258" s="3">
        <v>1</v>
      </c>
      <c r="AK1258" s="3">
        <v>1</v>
      </c>
      <c r="AL1258" s="3">
        <v>3</v>
      </c>
      <c r="AM1258" s="3">
        <v>3</v>
      </c>
      <c r="AN1258" s="3">
        <v>0</v>
      </c>
      <c r="AO1258" s="3">
        <v>0</v>
      </c>
      <c r="AP1258" s="3">
        <v>0</v>
      </c>
      <c r="AQ1258" s="3">
        <v>0</v>
      </c>
      <c r="AR1258" s="2" t="s">
        <v>5</v>
      </c>
      <c r="AS1258" s="2" t="s">
        <v>16</v>
      </c>
      <c r="AT1258" s="5" t="str">
        <f>HYPERLINK("http://catalog.hathitrust.org/Record/001548868","HathiTrust Record")</f>
        <v>HathiTrust Record</v>
      </c>
      <c r="AU1258" s="5" t="str">
        <f>HYPERLINK("https://creighton-primo.hosted.exlibrisgroup.com/primo-explore/search?tab=default_tab&amp;search_scope=EVERYTHING&amp;vid=01CRU&amp;lang=en_US&amp;offset=0&amp;query=any,contains,991001384669702656","Catalog Record")</f>
        <v>Catalog Record</v>
      </c>
      <c r="AV1258" s="5" t="str">
        <f>HYPERLINK("http://www.worldcat.org/oclc/7008709","WorldCat Record")</f>
        <v>WorldCat Record</v>
      </c>
      <c r="AW1258" s="2" t="s">
        <v>15125</v>
      </c>
      <c r="AX1258" s="2" t="s">
        <v>15126</v>
      </c>
      <c r="AY1258" s="2" t="s">
        <v>15127</v>
      </c>
      <c r="AZ1258" s="2" t="s">
        <v>15127</v>
      </c>
      <c r="BA1258" s="2" t="s">
        <v>15128</v>
      </c>
      <c r="BB1258" s="2" t="s">
        <v>21</v>
      </c>
      <c r="BE1258" s="2" t="s">
        <v>15129</v>
      </c>
      <c r="BF1258" s="2" t="s">
        <v>15130</v>
      </c>
    </row>
    <row r="1259" spans="1:58" ht="41.25" customHeight="1" x14ac:dyDescent="0.25">
      <c r="A1259" s="8" t="s">
        <v>5</v>
      </c>
      <c r="B1259" s="1" t="s">
        <v>0</v>
      </c>
      <c r="C1259" s="1" t="s">
        <v>1</v>
      </c>
      <c r="D1259" s="1" t="s">
        <v>15131</v>
      </c>
      <c r="E1259" s="1" t="s">
        <v>15132</v>
      </c>
      <c r="F1259" s="1" t="s">
        <v>15133</v>
      </c>
      <c r="H1259" s="2" t="s">
        <v>5</v>
      </c>
      <c r="I1259" s="2" t="s">
        <v>6</v>
      </c>
      <c r="J1259" s="2" t="s">
        <v>5</v>
      </c>
      <c r="K1259" s="2" t="s">
        <v>5</v>
      </c>
      <c r="L1259" s="2" t="s">
        <v>7</v>
      </c>
      <c r="N1259" s="1" t="s">
        <v>15134</v>
      </c>
      <c r="O1259" s="2" t="s">
        <v>1339</v>
      </c>
      <c r="Q1259" s="2" t="s">
        <v>11</v>
      </c>
      <c r="R1259" s="2" t="s">
        <v>78</v>
      </c>
      <c r="T1259" s="2" t="s">
        <v>520</v>
      </c>
      <c r="U1259" s="3">
        <v>6</v>
      </c>
      <c r="V1259" s="3">
        <v>6</v>
      </c>
      <c r="W1259" s="4" t="s">
        <v>1826</v>
      </c>
      <c r="X1259" s="4" t="s">
        <v>1826</v>
      </c>
      <c r="Y1259" s="4" t="s">
        <v>197</v>
      </c>
      <c r="Z1259" s="4" t="s">
        <v>197</v>
      </c>
      <c r="AA1259" s="3">
        <v>185</v>
      </c>
      <c r="AB1259" s="3">
        <v>152</v>
      </c>
      <c r="AC1259" s="3">
        <v>154</v>
      </c>
      <c r="AD1259" s="3">
        <v>2</v>
      </c>
      <c r="AE1259" s="3">
        <v>2</v>
      </c>
      <c r="AF1259" s="3">
        <v>6</v>
      </c>
      <c r="AG1259" s="3">
        <v>6</v>
      </c>
      <c r="AH1259" s="3">
        <v>2</v>
      </c>
      <c r="AI1259" s="3">
        <v>2</v>
      </c>
      <c r="AJ1259" s="3">
        <v>2</v>
      </c>
      <c r="AK1259" s="3">
        <v>2</v>
      </c>
      <c r="AL1259" s="3">
        <v>4</v>
      </c>
      <c r="AM1259" s="3">
        <v>4</v>
      </c>
      <c r="AN1259" s="3">
        <v>0</v>
      </c>
      <c r="AO1259" s="3">
        <v>0</v>
      </c>
      <c r="AP1259" s="3">
        <v>0</v>
      </c>
      <c r="AQ1259" s="3">
        <v>0</v>
      </c>
      <c r="AR1259" s="2" t="s">
        <v>5</v>
      </c>
      <c r="AS1259" s="2" t="s">
        <v>16</v>
      </c>
      <c r="AT1259" s="5" t="str">
        <f>HYPERLINK("http://catalog.hathitrust.org/Record/000833633","HathiTrust Record")</f>
        <v>HathiTrust Record</v>
      </c>
      <c r="AU1259" s="5" t="str">
        <f>HYPERLINK("https://creighton-primo.hosted.exlibrisgroup.com/primo-explore/search?tab=default_tab&amp;search_scope=EVERYTHING&amp;vid=01CRU&amp;lang=en_US&amp;offset=0&amp;query=any,contains,991001264929702656","Catalog Record")</f>
        <v>Catalog Record</v>
      </c>
      <c r="AV1259" s="5" t="str">
        <f>HYPERLINK("http://www.worldcat.org/oclc/14128077","WorldCat Record")</f>
        <v>WorldCat Record</v>
      </c>
      <c r="AW1259" s="2" t="s">
        <v>15135</v>
      </c>
      <c r="AX1259" s="2" t="s">
        <v>15136</v>
      </c>
      <c r="AY1259" s="2" t="s">
        <v>15137</v>
      </c>
      <c r="AZ1259" s="2" t="s">
        <v>15137</v>
      </c>
      <c r="BA1259" s="2" t="s">
        <v>15138</v>
      </c>
      <c r="BB1259" s="2" t="s">
        <v>21</v>
      </c>
      <c r="BE1259" s="2" t="s">
        <v>15139</v>
      </c>
      <c r="BF1259" s="2" t="s">
        <v>15140</v>
      </c>
    </row>
    <row r="1260" spans="1:58" ht="41.25" customHeight="1" x14ac:dyDescent="0.25">
      <c r="A1260" s="8" t="s">
        <v>5</v>
      </c>
      <c r="B1260" s="1" t="s">
        <v>0</v>
      </c>
      <c r="C1260" s="1" t="s">
        <v>1</v>
      </c>
      <c r="D1260" s="1" t="s">
        <v>15141</v>
      </c>
      <c r="E1260" s="1" t="s">
        <v>15142</v>
      </c>
      <c r="F1260" s="1" t="s">
        <v>15143</v>
      </c>
      <c r="H1260" s="2" t="s">
        <v>5</v>
      </c>
      <c r="I1260" s="2" t="s">
        <v>6</v>
      </c>
      <c r="J1260" s="2" t="s">
        <v>5</v>
      </c>
      <c r="K1260" s="2" t="s">
        <v>5</v>
      </c>
      <c r="L1260" s="2" t="s">
        <v>7</v>
      </c>
      <c r="M1260" s="1" t="s">
        <v>15144</v>
      </c>
      <c r="N1260" s="1" t="s">
        <v>14970</v>
      </c>
      <c r="O1260" s="2" t="s">
        <v>1004</v>
      </c>
      <c r="Q1260" s="2" t="s">
        <v>11</v>
      </c>
      <c r="R1260" s="2" t="s">
        <v>1140</v>
      </c>
      <c r="T1260" s="2" t="s">
        <v>520</v>
      </c>
      <c r="U1260" s="3">
        <v>3</v>
      </c>
      <c r="V1260" s="3">
        <v>3</v>
      </c>
      <c r="W1260" s="4" t="s">
        <v>15145</v>
      </c>
      <c r="X1260" s="4" t="s">
        <v>15145</v>
      </c>
      <c r="Y1260" s="4" t="s">
        <v>15146</v>
      </c>
      <c r="Z1260" s="4" t="s">
        <v>15146</v>
      </c>
      <c r="AA1260" s="3">
        <v>240</v>
      </c>
      <c r="AB1260" s="3">
        <v>204</v>
      </c>
      <c r="AC1260" s="3">
        <v>211</v>
      </c>
      <c r="AD1260" s="3">
        <v>1</v>
      </c>
      <c r="AE1260" s="3">
        <v>1</v>
      </c>
      <c r="AF1260" s="3">
        <v>8</v>
      </c>
      <c r="AG1260" s="3">
        <v>8</v>
      </c>
      <c r="AH1260" s="3">
        <v>2</v>
      </c>
      <c r="AI1260" s="3">
        <v>2</v>
      </c>
      <c r="AJ1260" s="3">
        <v>2</v>
      </c>
      <c r="AK1260" s="3">
        <v>2</v>
      </c>
      <c r="AL1260" s="3">
        <v>6</v>
      </c>
      <c r="AM1260" s="3">
        <v>6</v>
      </c>
      <c r="AN1260" s="3">
        <v>0</v>
      </c>
      <c r="AO1260" s="3">
        <v>0</v>
      </c>
      <c r="AP1260" s="3">
        <v>0</v>
      </c>
      <c r="AQ1260" s="3">
        <v>0</v>
      </c>
      <c r="AR1260" s="2" t="s">
        <v>5</v>
      </c>
      <c r="AS1260" s="2" t="s">
        <v>16</v>
      </c>
      <c r="AT1260" s="5" t="str">
        <f>HYPERLINK("http://catalog.hathitrust.org/Record/004120405","HathiTrust Record")</f>
        <v>HathiTrust Record</v>
      </c>
      <c r="AU1260" s="5" t="str">
        <f>HYPERLINK("https://creighton-primo.hosted.exlibrisgroup.com/primo-explore/search?tab=default_tab&amp;search_scope=EVERYTHING&amp;vid=01CRU&amp;lang=en_US&amp;offset=0&amp;query=any,contains,991000759209702656","Catalog Record")</f>
        <v>Catalog Record</v>
      </c>
      <c r="AV1260" s="5" t="str">
        <f>HYPERLINK("http://www.worldcat.org/oclc/40452931","WorldCat Record")</f>
        <v>WorldCat Record</v>
      </c>
      <c r="AW1260" s="2" t="s">
        <v>15147</v>
      </c>
      <c r="AX1260" s="2" t="s">
        <v>15148</v>
      </c>
      <c r="AY1260" s="2" t="s">
        <v>15149</v>
      </c>
      <c r="AZ1260" s="2" t="s">
        <v>15149</v>
      </c>
      <c r="BA1260" s="2" t="s">
        <v>15150</v>
      </c>
      <c r="BB1260" s="2" t="s">
        <v>21</v>
      </c>
      <c r="BD1260" s="2" t="s">
        <v>15151</v>
      </c>
      <c r="BE1260" s="2" t="s">
        <v>15152</v>
      </c>
      <c r="BF1260" s="2" t="s">
        <v>15153</v>
      </c>
    </row>
    <row r="1261" spans="1:58" ht="41.25" customHeight="1" x14ac:dyDescent="0.25">
      <c r="A1261" s="8" t="s">
        <v>5</v>
      </c>
      <c r="B1261" s="1" t="s">
        <v>0</v>
      </c>
      <c r="C1261" s="1" t="s">
        <v>1</v>
      </c>
      <c r="D1261" s="1" t="s">
        <v>15154</v>
      </c>
      <c r="E1261" s="1" t="s">
        <v>15155</v>
      </c>
      <c r="F1261" s="1" t="s">
        <v>15156</v>
      </c>
      <c r="H1261" s="2" t="s">
        <v>5</v>
      </c>
      <c r="I1261" s="2" t="s">
        <v>6</v>
      </c>
      <c r="J1261" s="2" t="s">
        <v>5</v>
      </c>
      <c r="K1261" s="2" t="s">
        <v>16</v>
      </c>
      <c r="L1261" s="2" t="s">
        <v>7</v>
      </c>
      <c r="M1261" s="1" t="s">
        <v>15157</v>
      </c>
      <c r="N1261" s="1" t="s">
        <v>15158</v>
      </c>
      <c r="O1261" s="2" t="s">
        <v>1863</v>
      </c>
      <c r="P1261" s="1" t="s">
        <v>901</v>
      </c>
      <c r="Q1261" s="2" t="s">
        <v>11</v>
      </c>
      <c r="R1261" s="2" t="s">
        <v>31</v>
      </c>
      <c r="T1261" s="2" t="s">
        <v>520</v>
      </c>
      <c r="U1261" s="3">
        <v>1</v>
      </c>
      <c r="V1261" s="3">
        <v>1</v>
      </c>
      <c r="W1261" s="4" t="s">
        <v>8782</v>
      </c>
      <c r="X1261" s="4" t="s">
        <v>8782</v>
      </c>
      <c r="Y1261" s="4" t="s">
        <v>8782</v>
      </c>
      <c r="Z1261" s="4" t="s">
        <v>8782</v>
      </c>
      <c r="AA1261" s="3">
        <v>324</v>
      </c>
      <c r="AB1261" s="3">
        <v>265</v>
      </c>
      <c r="AC1261" s="3">
        <v>497</v>
      </c>
      <c r="AD1261" s="3">
        <v>1</v>
      </c>
      <c r="AE1261" s="3">
        <v>3</v>
      </c>
      <c r="AF1261" s="3">
        <v>6</v>
      </c>
      <c r="AG1261" s="3">
        <v>15</v>
      </c>
      <c r="AH1261" s="3">
        <v>4</v>
      </c>
      <c r="AI1261" s="3">
        <v>6</v>
      </c>
      <c r="AJ1261" s="3">
        <v>1</v>
      </c>
      <c r="AK1261" s="3">
        <v>4</v>
      </c>
      <c r="AL1261" s="3">
        <v>2</v>
      </c>
      <c r="AM1261" s="3">
        <v>6</v>
      </c>
      <c r="AN1261" s="3">
        <v>0</v>
      </c>
      <c r="AO1261" s="3">
        <v>2</v>
      </c>
      <c r="AP1261" s="3">
        <v>0</v>
      </c>
      <c r="AQ1261" s="3">
        <v>0</v>
      </c>
      <c r="AR1261" s="2" t="s">
        <v>5</v>
      </c>
      <c r="AS1261" s="2" t="s">
        <v>16</v>
      </c>
      <c r="AT1261" s="5" t="str">
        <f>HYPERLINK("http://catalog.hathitrust.org/Record/004597959","HathiTrust Record")</f>
        <v>HathiTrust Record</v>
      </c>
      <c r="AU1261" s="5" t="str">
        <f>HYPERLINK("https://creighton-primo.hosted.exlibrisgroup.com/primo-explore/search?tab=default_tab&amp;search_scope=EVERYTHING&amp;vid=01CRU&amp;lang=en_US&amp;offset=0&amp;query=any,contains,991000348389702656","Catalog Record")</f>
        <v>Catalog Record</v>
      </c>
      <c r="AV1261" s="5" t="str">
        <f>HYPERLINK("http://www.worldcat.org/oclc/45002115","WorldCat Record")</f>
        <v>WorldCat Record</v>
      </c>
      <c r="AW1261" s="2" t="s">
        <v>15159</v>
      </c>
      <c r="AX1261" s="2" t="s">
        <v>15160</v>
      </c>
      <c r="AY1261" s="2" t="s">
        <v>15161</v>
      </c>
      <c r="AZ1261" s="2" t="s">
        <v>15161</v>
      </c>
      <c r="BA1261" s="2" t="s">
        <v>15162</v>
      </c>
      <c r="BB1261" s="2" t="s">
        <v>21</v>
      </c>
      <c r="BD1261" s="2" t="s">
        <v>15163</v>
      </c>
      <c r="BE1261" s="2" t="s">
        <v>15164</v>
      </c>
      <c r="BF1261" s="2" t="s">
        <v>15165</v>
      </c>
    </row>
    <row r="1262" spans="1:58" ht="41.25" customHeight="1" x14ac:dyDescent="0.25">
      <c r="A1262" s="8" t="s">
        <v>5</v>
      </c>
      <c r="B1262" s="1" t="s">
        <v>0</v>
      </c>
      <c r="C1262" s="1" t="s">
        <v>1</v>
      </c>
      <c r="D1262" s="1" t="s">
        <v>15166</v>
      </c>
      <c r="E1262" s="1" t="s">
        <v>15167</v>
      </c>
      <c r="F1262" s="1" t="s">
        <v>15168</v>
      </c>
      <c r="H1262" s="2" t="s">
        <v>5</v>
      </c>
      <c r="I1262" s="2" t="s">
        <v>6</v>
      </c>
      <c r="J1262" s="2" t="s">
        <v>5</v>
      </c>
      <c r="K1262" s="2" t="s">
        <v>5</v>
      </c>
      <c r="L1262" s="2" t="s">
        <v>7</v>
      </c>
      <c r="M1262" s="1" t="s">
        <v>15169</v>
      </c>
      <c r="N1262" s="1" t="s">
        <v>1220</v>
      </c>
      <c r="O1262" s="2" t="s">
        <v>62</v>
      </c>
      <c r="Q1262" s="2" t="s">
        <v>11</v>
      </c>
      <c r="R1262" s="2" t="s">
        <v>12</v>
      </c>
      <c r="S1262" s="1" t="s">
        <v>15170</v>
      </c>
      <c r="T1262" s="2" t="s">
        <v>520</v>
      </c>
      <c r="U1262" s="3">
        <v>3</v>
      </c>
      <c r="V1262" s="3">
        <v>3</v>
      </c>
      <c r="W1262" s="4" t="s">
        <v>5313</v>
      </c>
      <c r="X1262" s="4" t="s">
        <v>5313</v>
      </c>
      <c r="Y1262" s="4" t="s">
        <v>1249</v>
      </c>
      <c r="Z1262" s="4" t="s">
        <v>1249</v>
      </c>
      <c r="AA1262" s="3">
        <v>67</v>
      </c>
      <c r="AB1262" s="3">
        <v>60</v>
      </c>
      <c r="AC1262" s="3">
        <v>60</v>
      </c>
      <c r="AD1262" s="3">
        <v>1</v>
      </c>
      <c r="AE1262" s="3">
        <v>1</v>
      </c>
      <c r="AF1262" s="3">
        <v>4</v>
      </c>
      <c r="AG1262" s="3">
        <v>4</v>
      </c>
      <c r="AH1262" s="3">
        <v>1</v>
      </c>
      <c r="AI1262" s="3">
        <v>1</v>
      </c>
      <c r="AJ1262" s="3">
        <v>1</v>
      </c>
      <c r="AK1262" s="3">
        <v>1</v>
      </c>
      <c r="AL1262" s="3">
        <v>3</v>
      </c>
      <c r="AM1262" s="3">
        <v>3</v>
      </c>
      <c r="AN1262" s="3">
        <v>0</v>
      </c>
      <c r="AO1262" s="3">
        <v>0</v>
      </c>
      <c r="AP1262" s="3">
        <v>0</v>
      </c>
      <c r="AQ1262" s="3">
        <v>0</v>
      </c>
      <c r="AR1262" s="2" t="s">
        <v>5</v>
      </c>
      <c r="AS1262" s="2" t="s">
        <v>5</v>
      </c>
      <c r="AU1262" s="5" t="str">
        <f>HYPERLINK("https://creighton-primo.hosted.exlibrisgroup.com/primo-explore/search?tab=default_tab&amp;search_scope=EVERYTHING&amp;vid=01CRU&amp;lang=en_US&amp;offset=0&amp;query=any,contains,991001387009702656","Catalog Record")</f>
        <v>Catalog Record</v>
      </c>
      <c r="AV1262" s="5" t="str">
        <f>HYPERLINK("http://www.worldcat.org/oclc/4335713","WorldCat Record")</f>
        <v>WorldCat Record</v>
      </c>
      <c r="AW1262" s="2" t="s">
        <v>15171</v>
      </c>
      <c r="AX1262" s="2" t="s">
        <v>15172</v>
      </c>
      <c r="AY1262" s="2" t="s">
        <v>15173</v>
      </c>
      <c r="AZ1262" s="2" t="s">
        <v>15173</v>
      </c>
      <c r="BA1262" s="2" t="s">
        <v>15174</v>
      </c>
      <c r="BB1262" s="2" t="s">
        <v>21</v>
      </c>
      <c r="BE1262" s="2" t="s">
        <v>15175</v>
      </c>
      <c r="BF1262" s="2" t="s">
        <v>15176</v>
      </c>
    </row>
    <row r="1263" spans="1:58" ht="41.25" customHeight="1" x14ac:dyDescent="0.25">
      <c r="A1263" s="8" t="s">
        <v>5</v>
      </c>
      <c r="B1263" s="1" t="s">
        <v>0</v>
      </c>
      <c r="C1263" s="1" t="s">
        <v>1</v>
      </c>
      <c r="D1263" s="1" t="s">
        <v>15177</v>
      </c>
      <c r="E1263" s="1" t="s">
        <v>15178</v>
      </c>
      <c r="F1263" s="1" t="s">
        <v>15179</v>
      </c>
      <c r="H1263" s="2" t="s">
        <v>5</v>
      </c>
      <c r="I1263" s="2" t="s">
        <v>6</v>
      </c>
      <c r="J1263" s="2" t="s">
        <v>5</v>
      </c>
      <c r="K1263" s="2" t="s">
        <v>5</v>
      </c>
      <c r="L1263" s="2" t="s">
        <v>7</v>
      </c>
      <c r="M1263" s="1" t="s">
        <v>15180</v>
      </c>
      <c r="N1263" s="1" t="s">
        <v>15181</v>
      </c>
      <c r="O1263" s="2" t="s">
        <v>872</v>
      </c>
      <c r="Q1263" s="2" t="s">
        <v>11</v>
      </c>
      <c r="R1263" s="2" t="s">
        <v>78</v>
      </c>
      <c r="T1263" s="2" t="s">
        <v>520</v>
      </c>
      <c r="U1263" s="3">
        <v>44</v>
      </c>
      <c r="V1263" s="3">
        <v>44</v>
      </c>
      <c r="W1263" s="4" t="s">
        <v>15182</v>
      </c>
      <c r="X1263" s="4" t="s">
        <v>15182</v>
      </c>
      <c r="Y1263" s="4" t="s">
        <v>15183</v>
      </c>
      <c r="Z1263" s="4" t="s">
        <v>15183</v>
      </c>
      <c r="AA1263" s="3">
        <v>159</v>
      </c>
      <c r="AB1263" s="3">
        <v>125</v>
      </c>
      <c r="AC1263" s="3">
        <v>221</v>
      </c>
      <c r="AD1263" s="3">
        <v>3</v>
      </c>
      <c r="AE1263" s="3">
        <v>3</v>
      </c>
      <c r="AF1263" s="3">
        <v>3</v>
      </c>
      <c r="AG1263" s="3">
        <v>5</v>
      </c>
      <c r="AH1263" s="3">
        <v>1</v>
      </c>
      <c r="AI1263" s="3">
        <v>2</v>
      </c>
      <c r="AJ1263" s="3">
        <v>0</v>
      </c>
      <c r="AK1263" s="3">
        <v>0</v>
      </c>
      <c r="AL1263" s="3">
        <v>1</v>
      </c>
      <c r="AM1263" s="3">
        <v>2</v>
      </c>
      <c r="AN1263" s="3">
        <v>1</v>
      </c>
      <c r="AO1263" s="3">
        <v>1</v>
      </c>
      <c r="AP1263" s="3">
        <v>0</v>
      </c>
      <c r="AQ1263" s="3">
        <v>0</v>
      </c>
      <c r="AR1263" s="2" t="s">
        <v>5</v>
      </c>
      <c r="AS1263" s="2" t="s">
        <v>16</v>
      </c>
      <c r="AT1263" s="5" t="str">
        <f>HYPERLINK("http://catalog.hathitrust.org/Record/002451499","HathiTrust Record")</f>
        <v>HathiTrust Record</v>
      </c>
      <c r="AU1263" s="5" t="str">
        <f>HYPERLINK("https://creighton-primo.hosted.exlibrisgroup.com/primo-explore/search?tab=default_tab&amp;search_scope=EVERYTHING&amp;vid=01CRU&amp;lang=en_US&amp;offset=0&amp;query=any,contains,991001360499702656","Catalog Record")</f>
        <v>Catalog Record</v>
      </c>
      <c r="AV1263" s="5" t="str">
        <f>HYPERLINK("http://www.worldcat.org/oclc/18561138","WorldCat Record")</f>
        <v>WorldCat Record</v>
      </c>
      <c r="AW1263" s="2" t="s">
        <v>15184</v>
      </c>
      <c r="AX1263" s="2" t="s">
        <v>15185</v>
      </c>
      <c r="AY1263" s="2" t="s">
        <v>15186</v>
      </c>
      <c r="AZ1263" s="2" t="s">
        <v>15186</v>
      </c>
      <c r="BA1263" s="2" t="s">
        <v>15187</v>
      </c>
      <c r="BB1263" s="2" t="s">
        <v>21</v>
      </c>
      <c r="BD1263" s="2" t="s">
        <v>15188</v>
      </c>
      <c r="BE1263" s="2" t="s">
        <v>15189</v>
      </c>
      <c r="BF1263" s="2" t="s">
        <v>15190</v>
      </c>
    </row>
    <row r="1264" spans="1:58" ht="41.25" customHeight="1" x14ac:dyDescent="0.25">
      <c r="A1264" s="8" t="s">
        <v>5</v>
      </c>
      <c r="B1264" s="1" t="s">
        <v>0</v>
      </c>
      <c r="C1264" s="1" t="s">
        <v>1</v>
      </c>
      <c r="D1264" s="1" t="s">
        <v>15191</v>
      </c>
      <c r="E1264" s="1" t="s">
        <v>15192</v>
      </c>
      <c r="F1264" s="1" t="s">
        <v>15193</v>
      </c>
      <c r="H1264" s="2" t="s">
        <v>5</v>
      </c>
      <c r="I1264" s="2" t="s">
        <v>6</v>
      </c>
      <c r="J1264" s="2" t="s">
        <v>5</v>
      </c>
      <c r="K1264" s="2" t="s">
        <v>5</v>
      </c>
      <c r="L1264" s="2" t="s">
        <v>7</v>
      </c>
      <c r="M1264" s="1" t="s">
        <v>15180</v>
      </c>
      <c r="N1264" s="1" t="s">
        <v>6543</v>
      </c>
      <c r="O1264" s="2" t="s">
        <v>872</v>
      </c>
      <c r="Q1264" s="2" t="s">
        <v>11</v>
      </c>
      <c r="R1264" s="2" t="s">
        <v>426</v>
      </c>
      <c r="T1264" s="2" t="s">
        <v>520</v>
      </c>
      <c r="U1264" s="3">
        <v>30</v>
      </c>
      <c r="V1264" s="3">
        <v>30</v>
      </c>
      <c r="W1264" s="4" t="s">
        <v>15194</v>
      </c>
      <c r="X1264" s="4" t="s">
        <v>15194</v>
      </c>
      <c r="Y1264" s="4" t="s">
        <v>15183</v>
      </c>
      <c r="Z1264" s="4" t="s">
        <v>15183</v>
      </c>
      <c r="AA1264" s="3">
        <v>164</v>
      </c>
      <c r="AB1264" s="3">
        <v>124</v>
      </c>
      <c r="AC1264" s="3">
        <v>127</v>
      </c>
      <c r="AD1264" s="3">
        <v>2</v>
      </c>
      <c r="AE1264" s="3">
        <v>2</v>
      </c>
      <c r="AF1264" s="3">
        <v>4</v>
      </c>
      <c r="AG1264" s="3">
        <v>4</v>
      </c>
      <c r="AH1264" s="3">
        <v>2</v>
      </c>
      <c r="AI1264" s="3">
        <v>2</v>
      </c>
      <c r="AJ1264" s="3">
        <v>1</v>
      </c>
      <c r="AK1264" s="3">
        <v>1</v>
      </c>
      <c r="AL1264" s="3">
        <v>2</v>
      </c>
      <c r="AM1264" s="3">
        <v>2</v>
      </c>
      <c r="AN1264" s="3">
        <v>0</v>
      </c>
      <c r="AO1264" s="3">
        <v>0</v>
      </c>
      <c r="AP1264" s="3">
        <v>0</v>
      </c>
      <c r="AQ1264" s="3">
        <v>0</v>
      </c>
      <c r="AR1264" s="2" t="s">
        <v>5</v>
      </c>
      <c r="AS1264" s="2" t="s">
        <v>16</v>
      </c>
      <c r="AT1264" s="5" t="str">
        <f>HYPERLINK("http://catalog.hathitrust.org/Record/001292267","HathiTrust Record")</f>
        <v>HathiTrust Record</v>
      </c>
      <c r="AU1264" s="5" t="str">
        <f>HYPERLINK("https://creighton-primo.hosted.exlibrisgroup.com/primo-explore/search?tab=default_tab&amp;search_scope=EVERYTHING&amp;vid=01CRU&amp;lang=en_US&amp;offset=0&amp;query=any,contains,991001360449702656","Catalog Record")</f>
        <v>Catalog Record</v>
      </c>
      <c r="AV1264" s="5" t="str">
        <f>HYPERLINK("http://www.worldcat.org/oclc/18378702","WorldCat Record")</f>
        <v>WorldCat Record</v>
      </c>
      <c r="AW1264" s="2" t="s">
        <v>15195</v>
      </c>
      <c r="AX1264" s="2" t="s">
        <v>15196</v>
      </c>
      <c r="AY1264" s="2" t="s">
        <v>15197</v>
      </c>
      <c r="AZ1264" s="2" t="s">
        <v>15197</v>
      </c>
      <c r="BA1264" s="2" t="s">
        <v>15198</v>
      </c>
      <c r="BB1264" s="2" t="s">
        <v>21</v>
      </c>
      <c r="BD1264" s="2" t="s">
        <v>15199</v>
      </c>
      <c r="BE1264" s="2" t="s">
        <v>15200</v>
      </c>
      <c r="BF1264" s="2" t="s">
        <v>15201</v>
      </c>
    </row>
    <row r="1265" spans="1:58" ht="41.25" customHeight="1" x14ac:dyDescent="0.25">
      <c r="A1265" s="8" t="s">
        <v>5</v>
      </c>
      <c r="B1265" s="1" t="s">
        <v>0</v>
      </c>
      <c r="C1265" s="1" t="s">
        <v>1</v>
      </c>
      <c r="D1265" s="1" t="s">
        <v>15202</v>
      </c>
      <c r="E1265" s="1" t="s">
        <v>15203</v>
      </c>
      <c r="F1265" s="1" t="s">
        <v>15204</v>
      </c>
      <c r="H1265" s="2" t="s">
        <v>5</v>
      </c>
      <c r="I1265" s="2" t="s">
        <v>6</v>
      </c>
      <c r="J1265" s="2" t="s">
        <v>5</v>
      </c>
      <c r="K1265" s="2" t="s">
        <v>5</v>
      </c>
      <c r="L1265" s="2" t="s">
        <v>7</v>
      </c>
      <c r="M1265" s="1" t="s">
        <v>15205</v>
      </c>
      <c r="N1265" s="1" t="s">
        <v>1403</v>
      </c>
      <c r="O1265" s="2" t="s">
        <v>285</v>
      </c>
      <c r="Q1265" s="2" t="s">
        <v>11</v>
      </c>
      <c r="R1265" s="2" t="s">
        <v>12</v>
      </c>
      <c r="S1265" s="1" t="s">
        <v>15206</v>
      </c>
      <c r="T1265" s="2" t="s">
        <v>520</v>
      </c>
      <c r="U1265" s="3">
        <v>3</v>
      </c>
      <c r="V1265" s="3">
        <v>3</v>
      </c>
      <c r="W1265" s="4" t="s">
        <v>5313</v>
      </c>
      <c r="X1265" s="4" t="s">
        <v>5313</v>
      </c>
      <c r="Y1265" s="4" t="s">
        <v>1249</v>
      </c>
      <c r="Z1265" s="4" t="s">
        <v>1249</v>
      </c>
      <c r="AA1265" s="3">
        <v>101</v>
      </c>
      <c r="AB1265" s="3">
        <v>92</v>
      </c>
      <c r="AC1265" s="3">
        <v>92</v>
      </c>
      <c r="AD1265" s="3">
        <v>1</v>
      </c>
      <c r="AE1265" s="3">
        <v>1</v>
      </c>
      <c r="AF1265" s="3">
        <v>5</v>
      </c>
      <c r="AG1265" s="3">
        <v>5</v>
      </c>
      <c r="AH1265" s="3">
        <v>1</v>
      </c>
      <c r="AI1265" s="3">
        <v>1</v>
      </c>
      <c r="AJ1265" s="3">
        <v>1</v>
      </c>
      <c r="AK1265" s="3">
        <v>1</v>
      </c>
      <c r="AL1265" s="3">
        <v>4</v>
      </c>
      <c r="AM1265" s="3">
        <v>4</v>
      </c>
      <c r="AN1265" s="3">
        <v>0</v>
      </c>
      <c r="AO1265" s="3">
        <v>0</v>
      </c>
      <c r="AP1265" s="3">
        <v>0</v>
      </c>
      <c r="AQ1265" s="3">
        <v>0</v>
      </c>
      <c r="AR1265" s="2" t="s">
        <v>5</v>
      </c>
      <c r="AS1265" s="2" t="s">
        <v>5</v>
      </c>
      <c r="AU1265" s="5" t="str">
        <f>HYPERLINK("https://creighton-primo.hosted.exlibrisgroup.com/primo-explore/search?tab=default_tab&amp;search_scope=EVERYTHING&amp;vid=01CRU&amp;lang=en_US&amp;offset=0&amp;query=any,contains,991001387099702656","Catalog Record")</f>
        <v>Catalog Record</v>
      </c>
      <c r="AV1265" s="5" t="str">
        <f>HYPERLINK("http://www.worldcat.org/oclc/4732359","WorldCat Record")</f>
        <v>WorldCat Record</v>
      </c>
      <c r="AW1265" s="2" t="s">
        <v>15207</v>
      </c>
      <c r="AX1265" s="2" t="s">
        <v>15208</v>
      </c>
      <c r="AY1265" s="2" t="s">
        <v>15209</v>
      </c>
      <c r="AZ1265" s="2" t="s">
        <v>15209</v>
      </c>
      <c r="BA1265" s="2" t="s">
        <v>15210</v>
      </c>
      <c r="BB1265" s="2" t="s">
        <v>21</v>
      </c>
      <c r="BE1265" s="2" t="s">
        <v>15211</v>
      </c>
      <c r="BF1265" s="2" t="s">
        <v>15212</v>
      </c>
    </row>
    <row r="1266" spans="1:58" ht="41.25" customHeight="1" x14ac:dyDescent="0.25">
      <c r="A1266" s="8" t="s">
        <v>5</v>
      </c>
      <c r="B1266" s="1" t="s">
        <v>0</v>
      </c>
      <c r="C1266" s="1" t="s">
        <v>1</v>
      </c>
      <c r="D1266" s="1" t="s">
        <v>15213</v>
      </c>
      <c r="E1266" s="1" t="s">
        <v>15214</v>
      </c>
      <c r="F1266" s="1" t="s">
        <v>15215</v>
      </c>
      <c r="H1266" s="2" t="s">
        <v>5</v>
      </c>
      <c r="I1266" s="2" t="s">
        <v>6</v>
      </c>
      <c r="J1266" s="2" t="s">
        <v>5</v>
      </c>
      <c r="K1266" s="2" t="s">
        <v>5</v>
      </c>
      <c r="L1266" s="2" t="s">
        <v>7</v>
      </c>
      <c r="M1266" s="1" t="s">
        <v>15216</v>
      </c>
      <c r="N1266" s="1" t="s">
        <v>15217</v>
      </c>
      <c r="O1266" s="2" t="s">
        <v>1339</v>
      </c>
      <c r="P1266" s="1" t="s">
        <v>211</v>
      </c>
      <c r="Q1266" s="2" t="s">
        <v>11</v>
      </c>
      <c r="R1266" s="2" t="s">
        <v>426</v>
      </c>
      <c r="T1266" s="2" t="s">
        <v>520</v>
      </c>
      <c r="U1266" s="3">
        <v>26</v>
      </c>
      <c r="V1266" s="3">
        <v>26</v>
      </c>
      <c r="W1266" s="4" t="s">
        <v>1498</v>
      </c>
      <c r="X1266" s="4" t="s">
        <v>1498</v>
      </c>
      <c r="Y1266" s="4" t="s">
        <v>3308</v>
      </c>
      <c r="Z1266" s="4" t="s">
        <v>3308</v>
      </c>
      <c r="AA1266" s="3">
        <v>146</v>
      </c>
      <c r="AB1266" s="3">
        <v>143</v>
      </c>
      <c r="AC1266" s="3">
        <v>258</v>
      </c>
      <c r="AD1266" s="3">
        <v>4</v>
      </c>
      <c r="AE1266" s="3">
        <v>4</v>
      </c>
      <c r="AF1266" s="3">
        <v>4</v>
      </c>
      <c r="AG1266" s="3">
        <v>11</v>
      </c>
      <c r="AH1266" s="3">
        <v>0</v>
      </c>
      <c r="AI1266" s="3">
        <v>1</v>
      </c>
      <c r="AJ1266" s="3">
        <v>1</v>
      </c>
      <c r="AK1266" s="3">
        <v>5</v>
      </c>
      <c r="AL1266" s="3">
        <v>0</v>
      </c>
      <c r="AM1266" s="3">
        <v>6</v>
      </c>
      <c r="AN1266" s="3">
        <v>2</v>
      </c>
      <c r="AO1266" s="3">
        <v>2</v>
      </c>
      <c r="AP1266" s="3">
        <v>1</v>
      </c>
      <c r="AQ1266" s="3">
        <v>1</v>
      </c>
      <c r="AR1266" s="2" t="s">
        <v>5</v>
      </c>
      <c r="AS1266" s="2" t="s">
        <v>5</v>
      </c>
      <c r="AU1266" s="5" t="str">
        <f>HYPERLINK("https://creighton-primo.hosted.exlibrisgroup.com/primo-explore/search?tab=default_tab&amp;search_scope=EVERYTHING&amp;vid=01CRU&amp;lang=en_US&amp;offset=0&amp;query=any,contains,991001361259702656","Catalog Record")</f>
        <v>Catalog Record</v>
      </c>
      <c r="AV1266" s="5" t="str">
        <f>HYPERLINK("http://www.worldcat.org/oclc/15539592","WorldCat Record")</f>
        <v>WorldCat Record</v>
      </c>
      <c r="AW1266" s="2" t="s">
        <v>15218</v>
      </c>
      <c r="AX1266" s="2" t="s">
        <v>15219</v>
      </c>
      <c r="AY1266" s="2" t="s">
        <v>15220</v>
      </c>
      <c r="AZ1266" s="2" t="s">
        <v>15220</v>
      </c>
      <c r="BA1266" s="2" t="s">
        <v>15221</v>
      </c>
      <c r="BB1266" s="2" t="s">
        <v>21</v>
      </c>
      <c r="BD1266" s="2" t="s">
        <v>15222</v>
      </c>
      <c r="BE1266" s="2" t="s">
        <v>15223</v>
      </c>
      <c r="BF1266" s="2" t="s">
        <v>15224</v>
      </c>
    </row>
    <row r="1267" spans="1:58" ht="41.25" customHeight="1" x14ac:dyDescent="0.25">
      <c r="A1267" s="8" t="s">
        <v>5</v>
      </c>
      <c r="B1267" s="1" t="s">
        <v>0</v>
      </c>
      <c r="C1267" s="1" t="s">
        <v>1</v>
      </c>
      <c r="D1267" s="1" t="s">
        <v>15225</v>
      </c>
      <c r="E1267" s="1" t="s">
        <v>15226</v>
      </c>
      <c r="F1267" s="1" t="s">
        <v>15227</v>
      </c>
      <c r="H1267" s="2" t="s">
        <v>5</v>
      </c>
      <c r="I1267" s="2" t="s">
        <v>6</v>
      </c>
      <c r="J1267" s="2" t="s">
        <v>5</v>
      </c>
      <c r="K1267" s="2" t="s">
        <v>5</v>
      </c>
      <c r="L1267" s="2" t="s">
        <v>7</v>
      </c>
      <c r="M1267" s="1" t="s">
        <v>15228</v>
      </c>
      <c r="N1267" s="1" t="s">
        <v>15229</v>
      </c>
      <c r="O1267" s="2" t="s">
        <v>1102</v>
      </c>
      <c r="Q1267" s="2" t="s">
        <v>11</v>
      </c>
      <c r="R1267" s="2" t="s">
        <v>78</v>
      </c>
      <c r="T1267" s="2" t="s">
        <v>520</v>
      </c>
      <c r="U1267" s="3">
        <v>7</v>
      </c>
      <c r="V1267" s="3">
        <v>7</v>
      </c>
      <c r="W1267" s="4" t="s">
        <v>15230</v>
      </c>
      <c r="X1267" s="4" t="s">
        <v>15230</v>
      </c>
      <c r="Y1267" s="4" t="s">
        <v>197</v>
      </c>
      <c r="Z1267" s="4" t="s">
        <v>197</v>
      </c>
      <c r="AA1267" s="3">
        <v>115</v>
      </c>
      <c r="AB1267" s="3">
        <v>109</v>
      </c>
      <c r="AC1267" s="3">
        <v>111</v>
      </c>
      <c r="AD1267" s="3">
        <v>1</v>
      </c>
      <c r="AE1267" s="3">
        <v>1</v>
      </c>
      <c r="AF1267" s="3">
        <v>2</v>
      </c>
      <c r="AG1267" s="3">
        <v>2</v>
      </c>
      <c r="AH1267" s="3">
        <v>1</v>
      </c>
      <c r="AI1267" s="3">
        <v>1</v>
      </c>
      <c r="AJ1267" s="3">
        <v>0</v>
      </c>
      <c r="AK1267" s="3">
        <v>0</v>
      </c>
      <c r="AL1267" s="3">
        <v>1</v>
      </c>
      <c r="AM1267" s="3">
        <v>1</v>
      </c>
      <c r="AN1267" s="3">
        <v>0</v>
      </c>
      <c r="AO1267" s="3">
        <v>0</v>
      </c>
      <c r="AP1267" s="3">
        <v>0</v>
      </c>
      <c r="AQ1267" s="3">
        <v>0</v>
      </c>
      <c r="AR1267" s="2" t="s">
        <v>5</v>
      </c>
      <c r="AS1267" s="2" t="s">
        <v>16</v>
      </c>
      <c r="AT1267" s="5" t="str">
        <f>HYPERLINK("http://catalog.hathitrust.org/Record/012275868","HathiTrust Record")</f>
        <v>HathiTrust Record</v>
      </c>
      <c r="AU1267" s="5" t="str">
        <f>HYPERLINK("https://creighton-primo.hosted.exlibrisgroup.com/primo-explore/search?tab=default_tab&amp;search_scope=EVERYTHING&amp;vid=01CRU&amp;lang=en_US&amp;offset=0&amp;query=any,contains,991001202279702656","Catalog Record")</f>
        <v>Catalog Record</v>
      </c>
      <c r="AV1267" s="5" t="str">
        <f>HYPERLINK("http://www.worldcat.org/oclc/13312016","WorldCat Record")</f>
        <v>WorldCat Record</v>
      </c>
      <c r="AW1267" s="2" t="s">
        <v>15231</v>
      </c>
      <c r="AX1267" s="2" t="s">
        <v>15232</v>
      </c>
      <c r="AY1267" s="2" t="s">
        <v>15233</v>
      </c>
      <c r="AZ1267" s="2" t="s">
        <v>15233</v>
      </c>
      <c r="BA1267" s="2" t="s">
        <v>15234</v>
      </c>
      <c r="BB1267" s="2" t="s">
        <v>21</v>
      </c>
      <c r="BD1267" s="2" t="s">
        <v>15235</v>
      </c>
      <c r="BE1267" s="2" t="s">
        <v>15236</v>
      </c>
      <c r="BF1267" s="2" t="s">
        <v>15237</v>
      </c>
    </row>
    <row r="1268" spans="1:58" ht="41.25" customHeight="1" x14ac:dyDescent="0.25">
      <c r="A1268" s="8" t="s">
        <v>5</v>
      </c>
      <c r="B1268" s="1" t="s">
        <v>0</v>
      </c>
      <c r="C1268" s="1" t="s">
        <v>1</v>
      </c>
      <c r="D1268" s="1" t="s">
        <v>15238</v>
      </c>
      <c r="E1268" s="1" t="s">
        <v>15239</v>
      </c>
      <c r="F1268" s="1" t="s">
        <v>15240</v>
      </c>
      <c r="H1268" s="2" t="s">
        <v>5</v>
      </c>
      <c r="I1268" s="2" t="s">
        <v>6</v>
      </c>
      <c r="J1268" s="2" t="s">
        <v>5</v>
      </c>
      <c r="K1268" s="2" t="s">
        <v>5</v>
      </c>
      <c r="L1268" s="2" t="s">
        <v>7</v>
      </c>
      <c r="M1268" s="1" t="s">
        <v>15241</v>
      </c>
      <c r="N1268" s="1" t="s">
        <v>15134</v>
      </c>
      <c r="O1268" s="2" t="s">
        <v>1339</v>
      </c>
      <c r="Q1268" s="2" t="s">
        <v>11</v>
      </c>
      <c r="R1268" s="2" t="s">
        <v>426</v>
      </c>
      <c r="T1268" s="2" t="s">
        <v>520</v>
      </c>
      <c r="U1268" s="3">
        <v>17</v>
      </c>
      <c r="V1268" s="3">
        <v>17</v>
      </c>
      <c r="W1268" s="4" t="s">
        <v>8183</v>
      </c>
      <c r="X1268" s="4" t="s">
        <v>8183</v>
      </c>
      <c r="Y1268" s="4" t="s">
        <v>15242</v>
      </c>
      <c r="Z1268" s="4" t="s">
        <v>15242</v>
      </c>
      <c r="AA1268" s="3">
        <v>179</v>
      </c>
      <c r="AB1268" s="3">
        <v>158</v>
      </c>
      <c r="AC1268" s="3">
        <v>159</v>
      </c>
      <c r="AD1268" s="3">
        <v>1</v>
      </c>
      <c r="AE1268" s="3">
        <v>1</v>
      </c>
      <c r="AF1268" s="3">
        <v>5</v>
      </c>
      <c r="AG1268" s="3">
        <v>5</v>
      </c>
      <c r="AH1268" s="3">
        <v>1</v>
      </c>
      <c r="AI1268" s="3">
        <v>1</v>
      </c>
      <c r="AJ1268" s="3">
        <v>2</v>
      </c>
      <c r="AK1268" s="3">
        <v>2</v>
      </c>
      <c r="AL1268" s="3">
        <v>3</v>
      </c>
      <c r="AM1268" s="3">
        <v>3</v>
      </c>
      <c r="AN1268" s="3">
        <v>0</v>
      </c>
      <c r="AO1268" s="3">
        <v>0</v>
      </c>
      <c r="AP1268" s="3">
        <v>0</v>
      </c>
      <c r="AQ1268" s="3">
        <v>0</v>
      </c>
      <c r="AR1268" s="2" t="s">
        <v>5</v>
      </c>
      <c r="AS1268" s="2" t="s">
        <v>16</v>
      </c>
      <c r="AT1268" s="5" t="str">
        <f>HYPERLINK("http://catalog.hathitrust.org/Record/000826707","HathiTrust Record")</f>
        <v>HathiTrust Record</v>
      </c>
      <c r="AU1268" s="5" t="str">
        <f>HYPERLINK("https://creighton-primo.hosted.exlibrisgroup.com/primo-explore/search?tab=default_tab&amp;search_scope=EVERYTHING&amp;vid=01CRU&amp;lang=en_US&amp;offset=0&amp;query=any,contains,991001530479702656","Catalog Record")</f>
        <v>Catalog Record</v>
      </c>
      <c r="AV1268" s="5" t="str">
        <f>HYPERLINK("http://www.worldcat.org/oclc/14067643","WorldCat Record")</f>
        <v>WorldCat Record</v>
      </c>
      <c r="AW1268" s="2" t="s">
        <v>15243</v>
      </c>
      <c r="AX1268" s="2" t="s">
        <v>15244</v>
      </c>
      <c r="AY1268" s="2" t="s">
        <v>15245</v>
      </c>
      <c r="AZ1268" s="2" t="s">
        <v>15245</v>
      </c>
      <c r="BA1268" s="2" t="s">
        <v>15246</v>
      </c>
      <c r="BB1268" s="2" t="s">
        <v>21</v>
      </c>
      <c r="BD1268" s="2" t="s">
        <v>15247</v>
      </c>
      <c r="BE1268" s="2" t="s">
        <v>15248</v>
      </c>
      <c r="BF1268" s="2" t="s">
        <v>15249</v>
      </c>
    </row>
    <row r="1269" spans="1:58" ht="41.25" customHeight="1" x14ac:dyDescent="0.25">
      <c r="A1269" s="8" t="s">
        <v>5</v>
      </c>
      <c r="B1269" s="1" t="s">
        <v>0</v>
      </c>
      <c r="C1269" s="1" t="s">
        <v>1</v>
      </c>
      <c r="D1269" s="1" t="s">
        <v>15250</v>
      </c>
      <c r="E1269" s="1" t="s">
        <v>15251</v>
      </c>
      <c r="F1269" s="1" t="s">
        <v>15252</v>
      </c>
      <c r="H1269" s="2" t="s">
        <v>5</v>
      </c>
      <c r="I1269" s="2" t="s">
        <v>6</v>
      </c>
      <c r="J1269" s="2" t="s">
        <v>5</v>
      </c>
      <c r="K1269" s="2" t="s">
        <v>5</v>
      </c>
      <c r="L1269" s="2" t="s">
        <v>6</v>
      </c>
      <c r="M1269" s="1" t="s">
        <v>15253</v>
      </c>
      <c r="N1269" s="1" t="s">
        <v>15254</v>
      </c>
      <c r="O1269" s="2" t="s">
        <v>989</v>
      </c>
      <c r="Q1269" s="2" t="s">
        <v>11</v>
      </c>
      <c r="R1269" s="2" t="s">
        <v>1019</v>
      </c>
      <c r="T1269" s="2" t="s">
        <v>520</v>
      </c>
      <c r="U1269" s="3">
        <v>5</v>
      </c>
      <c r="V1269" s="3">
        <v>5</v>
      </c>
      <c r="W1269" s="4" t="s">
        <v>15255</v>
      </c>
      <c r="X1269" s="4" t="s">
        <v>15255</v>
      </c>
      <c r="Y1269" s="4" t="s">
        <v>15256</v>
      </c>
      <c r="Z1269" s="4" t="s">
        <v>15256</v>
      </c>
      <c r="AA1269" s="3">
        <v>390</v>
      </c>
      <c r="AB1269" s="3">
        <v>313</v>
      </c>
      <c r="AC1269" s="3">
        <v>1134</v>
      </c>
      <c r="AD1269" s="3">
        <v>4</v>
      </c>
      <c r="AE1269" s="3">
        <v>16</v>
      </c>
      <c r="AF1269" s="3">
        <v>19</v>
      </c>
      <c r="AG1269" s="3">
        <v>43</v>
      </c>
      <c r="AH1269" s="3">
        <v>6</v>
      </c>
      <c r="AI1269" s="3">
        <v>12</v>
      </c>
      <c r="AJ1269" s="3">
        <v>5</v>
      </c>
      <c r="AK1269" s="3">
        <v>9</v>
      </c>
      <c r="AL1269" s="3">
        <v>9</v>
      </c>
      <c r="AM1269" s="3">
        <v>14</v>
      </c>
      <c r="AN1269" s="3">
        <v>3</v>
      </c>
      <c r="AO1269" s="3">
        <v>14</v>
      </c>
      <c r="AP1269" s="3">
        <v>0</v>
      </c>
      <c r="AQ1269" s="3">
        <v>1</v>
      </c>
      <c r="AR1269" s="2" t="s">
        <v>5</v>
      </c>
      <c r="AS1269" s="2" t="s">
        <v>16</v>
      </c>
      <c r="AT1269" s="5" t="str">
        <f>HYPERLINK("http://catalog.hathitrust.org/Record/002057829","HathiTrust Record")</f>
        <v>HathiTrust Record</v>
      </c>
      <c r="AU1269" s="5" t="str">
        <f>HYPERLINK("https://creighton-primo.hosted.exlibrisgroup.com/primo-explore/search?tab=default_tab&amp;search_scope=EVERYTHING&amp;vid=01CRU&amp;lang=en_US&amp;offset=0&amp;query=any,contains,991001340649702656","Catalog Record")</f>
        <v>Catalog Record</v>
      </c>
      <c r="AV1269" s="5" t="str">
        <f>HYPERLINK("http://www.worldcat.org/oclc/20530668","WorldCat Record")</f>
        <v>WorldCat Record</v>
      </c>
      <c r="AW1269" s="2" t="s">
        <v>15257</v>
      </c>
      <c r="AX1269" s="2" t="s">
        <v>15258</v>
      </c>
      <c r="AY1269" s="2" t="s">
        <v>15259</v>
      </c>
      <c r="AZ1269" s="2" t="s">
        <v>15259</v>
      </c>
      <c r="BA1269" s="2" t="s">
        <v>15260</v>
      </c>
      <c r="BB1269" s="2" t="s">
        <v>21</v>
      </c>
      <c r="BD1269" s="2" t="s">
        <v>15261</v>
      </c>
      <c r="BE1269" s="2" t="s">
        <v>15262</v>
      </c>
      <c r="BF1269" s="2" t="s">
        <v>15263</v>
      </c>
    </row>
    <row r="1270" spans="1:58" ht="41.25" customHeight="1" x14ac:dyDescent="0.25">
      <c r="A1270" s="8" t="s">
        <v>5</v>
      </c>
      <c r="B1270" s="1" t="s">
        <v>0</v>
      </c>
      <c r="C1270" s="1" t="s">
        <v>1</v>
      </c>
      <c r="D1270" s="1" t="s">
        <v>15264</v>
      </c>
      <c r="E1270" s="1" t="s">
        <v>15265</v>
      </c>
      <c r="F1270" s="1" t="s">
        <v>15266</v>
      </c>
      <c r="H1270" s="2" t="s">
        <v>5</v>
      </c>
      <c r="I1270" s="2" t="s">
        <v>6</v>
      </c>
      <c r="J1270" s="2" t="s">
        <v>5</v>
      </c>
      <c r="K1270" s="2" t="s">
        <v>5</v>
      </c>
      <c r="L1270" s="2" t="s">
        <v>7</v>
      </c>
      <c r="N1270" s="1" t="s">
        <v>1985</v>
      </c>
      <c r="O1270" s="2" t="s">
        <v>92</v>
      </c>
      <c r="Q1270" s="2" t="s">
        <v>11</v>
      </c>
      <c r="R1270" s="2" t="s">
        <v>12</v>
      </c>
      <c r="S1270" s="1" t="s">
        <v>15267</v>
      </c>
      <c r="T1270" s="2" t="s">
        <v>520</v>
      </c>
      <c r="U1270" s="3">
        <v>1</v>
      </c>
      <c r="V1270" s="3">
        <v>1</v>
      </c>
      <c r="W1270" s="4" t="s">
        <v>5313</v>
      </c>
      <c r="X1270" s="4" t="s">
        <v>5313</v>
      </c>
      <c r="Y1270" s="4" t="s">
        <v>1249</v>
      </c>
      <c r="Z1270" s="4" t="s">
        <v>1249</v>
      </c>
      <c r="AA1270" s="3">
        <v>72</v>
      </c>
      <c r="AB1270" s="3">
        <v>62</v>
      </c>
      <c r="AC1270" s="3">
        <v>64</v>
      </c>
      <c r="AD1270" s="3">
        <v>2</v>
      </c>
      <c r="AE1270" s="3">
        <v>2</v>
      </c>
      <c r="AF1270" s="3">
        <v>3</v>
      </c>
      <c r="AG1270" s="3">
        <v>3</v>
      </c>
      <c r="AH1270" s="3">
        <v>0</v>
      </c>
      <c r="AI1270" s="3">
        <v>0</v>
      </c>
      <c r="AJ1270" s="3">
        <v>0</v>
      </c>
      <c r="AK1270" s="3">
        <v>0</v>
      </c>
      <c r="AL1270" s="3">
        <v>2</v>
      </c>
      <c r="AM1270" s="3">
        <v>2</v>
      </c>
      <c r="AN1270" s="3">
        <v>1</v>
      </c>
      <c r="AO1270" s="3">
        <v>1</v>
      </c>
      <c r="AP1270" s="3">
        <v>0</v>
      </c>
      <c r="AQ1270" s="3">
        <v>0</v>
      </c>
      <c r="AR1270" s="2" t="s">
        <v>5</v>
      </c>
      <c r="AS1270" s="2" t="s">
        <v>16</v>
      </c>
      <c r="AT1270" s="5" t="str">
        <f>HYPERLINK("http://catalog.hathitrust.org/Record/001545331","HathiTrust Record")</f>
        <v>HathiTrust Record</v>
      </c>
      <c r="AU1270" s="5" t="str">
        <f>HYPERLINK("https://creighton-primo.hosted.exlibrisgroup.com/primo-explore/search?tab=default_tab&amp;search_scope=EVERYTHING&amp;vid=01CRU&amp;lang=en_US&amp;offset=0&amp;query=any,contains,991001386639702656","Catalog Record")</f>
        <v>Catalog Record</v>
      </c>
      <c r="AV1270" s="5" t="str">
        <f>HYPERLINK("http://www.worldcat.org/oclc/2801798","WorldCat Record")</f>
        <v>WorldCat Record</v>
      </c>
      <c r="AW1270" s="2" t="s">
        <v>15268</v>
      </c>
      <c r="AX1270" s="2" t="s">
        <v>15269</v>
      </c>
      <c r="AY1270" s="2" t="s">
        <v>15270</v>
      </c>
      <c r="AZ1270" s="2" t="s">
        <v>15270</v>
      </c>
      <c r="BA1270" s="2" t="s">
        <v>15271</v>
      </c>
      <c r="BB1270" s="2" t="s">
        <v>21</v>
      </c>
      <c r="BE1270" s="2" t="s">
        <v>15272</v>
      </c>
      <c r="BF1270" s="2" t="s">
        <v>15273</v>
      </c>
    </row>
    <row r="1271" spans="1:58" ht="41.25" customHeight="1" x14ac:dyDescent="0.25">
      <c r="A1271" s="8" t="s">
        <v>5</v>
      </c>
      <c r="B1271" s="1" t="s">
        <v>0</v>
      </c>
      <c r="C1271" s="1" t="s">
        <v>1</v>
      </c>
      <c r="D1271" s="1" t="s">
        <v>15274</v>
      </c>
      <c r="E1271" s="1" t="s">
        <v>15275</v>
      </c>
      <c r="F1271" s="1" t="s">
        <v>15276</v>
      </c>
      <c r="H1271" s="2" t="s">
        <v>5</v>
      </c>
      <c r="I1271" s="2" t="s">
        <v>6</v>
      </c>
      <c r="J1271" s="2" t="s">
        <v>5</v>
      </c>
      <c r="K1271" s="2" t="s">
        <v>5</v>
      </c>
      <c r="L1271" s="2" t="s">
        <v>6</v>
      </c>
      <c r="M1271" s="1" t="s">
        <v>15277</v>
      </c>
      <c r="N1271" s="1" t="s">
        <v>15278</v>
      </c>
      <c r="O1271" s="2" t="s">
        <v>1863</v>
      </c>
      <c r="Q1271" s="2" t="s">
        <v>11</v>
      </c>
      <c r="R1271" s="2" t="s">
        <v>1427</v>
      </c>
      <c r="T1271" s="2" t="s">
        <v>520</v>
      </c>
      <c r="U1271" s="3">
        <v>0</v>
      </c>
      <c r="V1271" s="3">
        <v>0</v>
      </c>
      <c r="W1271" s="4" t="s">
        <v>9354</v>
      </c>
      <c r="X1271" s="4" t="s">
        <v>9354</v>
      </c>
      <c r="Y1271" s="4" t="s">
        <v>2140</v>
      </c>
      <c r="Z1271" s="4" t="s">
        <v>2140</v>
      </c>
      <c r="AA1271" s="3">
        <v>189</v>
      </c>
      <c r="AB1271" s="3">
        <v>89</v>
      </c>
      <c r="AC1271" s="3">
        <v>1605</v>
      </c>
      <c r="AD1271" s="3">
        <v>1</v>
      </c>
      <c r="AE1271" s="3">
        <v>15</v>
      </c>
      <c r="AF1271" s="3">
        <v>3</v>
      </c>
      <c r="AG1271" s="3">
        <v>45</v>
      </c>
      <c r="AH1271" s="3">
        <v>0</v>
      </c>
      <c r="AI1271" s="3">
        <v>14</v>
      </c>
      <c r="AJ1271" s="3">
        <v>1</v>
      </c>
      <c r="AK1271" s="3">
        <v>9</v>
      </c>
      <c r="AL1271" s="3">
        <v>2</v>
      </c>
      <c r="AM1271" s="3">
        <v>14</v>
      </c>
      <c r="AN1271" s="3">
        <v>0</v>
      </c>
      <c r="AO1271" s="3">
        <v>13</v>
      </c>
      <c r="AP1271" s="3">
        <v>0</v>
      </c>
      <c r="AQ1271" s="3">
        <v>2</v>
      </c>
      <c r="AR1271" s="2" t="s">
        <v>5</v>
      </c>
      <c r="AS1271" s="2" t="s">
        <v>5</v>
      </c>
      <c r="AU1271" s="5" t="str">
        <f>HYPERLINK("https://creighton-primo.hosted.exlibrisgroup.com/primo-explore/search?tab=default_tab&amp;search_scope=EVERYTHING&amp;vid=01CRU&amp;lang=en_US&amp;offset=0&amp;query=any,contains,991000319469702656","Catalog Record")</f>
        <v>Catalog Record</v>
      </c>
      <c r="AV1271" s="5" t="str">
        <f>HYPERLINK("http://www.worldcat.org/oclc/43936768","WorldCat Record")</f>
        <v>WorldCat Record</v>
      </c>
      <c r="AW1271" s="2" t="s">
        <v>15279</v>
      </c>
      <c r="AX1271" s="2" t="s">
        <v>15280</v>
      </c>
      <c r="AY1271" s="2" t="s">
        <v>15281</v>
      </c>
      <c r="AZ1271" s="2" t="s">
        <v>15281</v>
      </c>
      <c r="BA1271" s="2" t="s">
        <v>15282</v>
      </c>
      <c r="BB1271" s="2" t="s">
        <v>21</v>
      </c>
      <c r="BD1271" s="2" t="s">
        <v>15283</v>
      </c>
      <c r="BE1271" s="2" t="s">
        <v>15284</v>
      </c>
      <c r="BF1271" s="2" t="s">
        <v>15285</v>
      </c>
    </row>
    <row r="1272" spans="1:58" ht="41.25" customHeight="1" x14ac:dyDescent="0.25">
      <c r="A1272" s="8" t="s">
        <v>5</v>
      </c>
      <c r="B1272" s="1" t="s">
        <v>0</v>
      </c>
      <c r="C1272" s="1" t="s">
        <v>1</v>
      </c>
      <c r="D1272" s="1" t="s">
        <v>15286</v>
      </c>
      <c r="E1272" s="1" t="s">
        <v>15287</v>
      </c>
      <c r="F1272" s="1" t="s">
        <v>15288</v>
      </c>
      <c r="H1272" s="2" t="s">
        <v>5</v>
      </c>
      <c r="I1272" s="2" t="s">
        <v>6</v>
      </c>
      <c r="J1272" s="2" t="s">
        <v>5</v>
      </c>
      <c r="K1272" s="2" t="s">
        <v>5</v>
      </c>
      <c r="L1272" s="2" t="s">
        <v>7</v>
      </c>
      <c r="M1272" s="1" t="s">
        <v>15289</v>
      </c>
      <c r="N1272" s="1" t="s">
        <v>13926</v>
      </c>
      <c r="O1272" s="2" t="s">
        <v>561</v>
      </c>
      <c r="Q1272" s="2" t="s">
        <v>11</v>
      </c>
      <c r="R1272" s="2" t="s">
        <v>12</v>
      </c>
      <c r="S1272" s="1" t="s">
        <v>15290</v>
      </c>
      <c r="T1272" s="2" t="s">
        <v>520</v>
      </c>
      <c r="U1272" s="3">
        <v>1</v>
      </c>
      <c r="V1272" s="3">
        <v>1</v>
      </c>
      <c r="W1272" s="4" t="s">
        <v>1248</v>
      </c>
      <c r="X1272" s="4" t="s">
        <v>1248</v>
      </c>
      <c r="Y1272" s="4" t="s">
        <v>1249</v>
      </c>
      <c r="Z1272" s="4" t="s">
        <v>1249</v>
      </c>
      <c r="AA1272" s="3">
        <v>35</v>
      </c>
      <c r="AB1272" s="3">
        <v>33</v>
      </c>
      <c r="AC1272" s="3">
        <v>33</v>
      </c>
      <c r="AD1272" s="3">
        <v>1</v>
      </c>
      <c r="AE1272" s="3">
        <v>1</v>
      </c>
      <c r="AF1272" s="3">
        <v>2</v>
      </c>
      <c r="AG1272" s="3">
        <v>2</v>
      </c>
      <c r="AH1272" s="3">
        <v>0</v>
      </c>
      <c r="AI1272" s="3">
        <v>0</v>
      </c>
      <c r="AJ1272" s="3">
        <v>0</v>
      </c>
      <c r="AK1272" s="3">
        <v>0</v>
      </c>
      <c r="AL1272" s="3">
        <v>2</v>
      </c>
      <c r="AM1272" s="3">
        <v>2</v>
      </c>
      <c r="AN1272" s="3">
        <v>0</v>
      </c>
      <c r="AO1272" s="3">
        <v>0</v>
      </c>
      <c r="AP1272" s="3">
        <v>0</v>
      </c>
      <c r="AQ1272" s="3">
        <v>0</v>
      </c>
      <c r="AR1272" s="2" t="s">
        <v>5</v>
      </c>
      <c r="AS1272" s="2" t="s">
        <v>5</v>
      </c>
      <c r="AU1272" s="5" t="str">
        <f>HYPERLINK("https://creighton-primo.hosted.exlibrisgroup.com/primo-explore/search?tab=default_tab&amp;search_scope=EVERYTHING&amp;vid=01CRU&amp;lang=en_US&amp;offset=0&amp;query=any,contains,991001384039702656","Catalog Record")</f>
        <v>Catalog Record</v>
      </c>
      <c r="AV1272" s="5" t="str">
        <f>HYPERLINK("http://www.worldcat.org/oclc/1925807","WorldCat Record")</f>
        <v>WorldCat Record</v>
      </c>
      <c r="AW1272" s="2" t="s">
        <v>15291</v>
      </c>
      <c r="AX1272" s="2" t="s">
        <v>15292</v>
      </c>
      <c r="AY1272" s="2" t="s">
        <v>15293</v>
      </c>
      <c r="AZ1272" s="2" t="s">
        <v>15293</v>
      </c>
      <c r="BA1272" s="2" t="s">
        <v>15294</v>
      </c>
      <c r="BB1272" s="2" t="s">
        <v>21</v>
      </c>
      <c r="BE1272" s="2" t="s">
        <v>15295</v>
      </c>
      <c r="BF1272" s="2" t="s">
        <v>15296</v>
      </c>
    </row>
    <row r="1273" spans="1:58" ht="41.25" customHeight="1" x14ac:dyDescent="0.25">
      <c r="A1273" s="8" t="s">
        <v>5</v>
      </c>
      <c r="B1273" s="1" t="s">
        <v>0</v>
      </c>
      <c r="C1273" s="1" t="s">
        <v>1</v>
      </c>
      <c r="D1273" s="1" t="s">
        <v>15297</v>
      </c>
      <c r="E1273" s="1" t="s">
        <v>15298</v>
      </c>
      <c r="F1273" s="1" t="s">
        <v>15299</v>
      </c>
      <c r="H1273" s="2" t="s">
        <v>5</v>
      </c>
      <c r="I1273" s="2" t="s">
        <v>6</v>
      </c>
      <c r="J1273" s="2" t="s">
        <v>5</v>
      </c>
      <c r="K1273" s="2" t="s">
        <v>5</v>
      </c>
      <c r="L1273" s="2" t="s">
        <v>7</v>
      </c>
      <c r="N1273" s="1" t="s">
        <v>15300</v>
      </c>
      <c r="O1273" s="2" t="s">
        <v>3501</v>
      </c>
      <c r="Q1273" s="2" t="s">
        <v>11</v>
      </c>
      <c r="R1273" s="2" t="s">
        <v>12</v>
      </c>
      <c r="S1273" s="1" t="s">
        <v>15301</v>
      </c>
      <c r="T1273" s="2" t="s">
        <v>520</v>
      </c>
      <c r="U1273" s="3">
        <v>1</v>
      </c>
      <c r="V1273" s="3">
        <v>1</v>
      </c>
      <c r="W1273" s="4" t="s">
        <v>1975</v>
      </c>
      <c r="X1273" s="4" t="s">
        <v>1975</v>
      </c>
      <c r="Y1273" s="4" t="s">
        <v>1249</v>
      </c>
      <c r="Z1273" s="4" t="s">
        <v>1249</v>
      </c>
      <c r="AA1273" s="3">
        <v>60</v>
      </c>
      <c r="AB1273" s="3">
        <v>56</v>
      </c>
      <c r="AC1273" s="3">
        <v>58</v>
      </c>
      <c r="AD1273" s="3">
        <v>1</v>
      </c>
      <c r="AE1273" s="3">
        <v>1</v>
      </c>
      <c r="AF1273" s="3">
        <v>3</v>
      </c>
      <c r="AG1273" s="3">
        <v>3</v>
      </c>
      <c r="AH1273" s="3">
        <v>0</v>
      </c>
      <c r="AI1273" s="3">
        <v>0</v>
      </c>
      <c r="AJ1273" s="3">
        <v>0</v>
      </c>
      <c r="AK1273" s="3">
        <v>0</v>
      </c>
      <c r="AL1273" s="3">
        <v>3</v>
      </c>
      <c r="AM1273" s="3">
        <v>3</v>
      </c>
      <c r="AN1273" s="3">
        <v>0</v>
      </c>
      <c r="AO1273" s="3">
        <v>0</v>
      </c>
      <c r="AP1273" s="3">
        <v>0</v>
      </c>
      <c r="AQ1273" s="3">
        <v>0</v>
      </c>
      <c r="AR1273" s="2" t="s">
        <v>5</v>
      </c>
      <c r="AS1273" s="2" t="s">
        <v>5</v>
      </c>
      <c r="AT1273" s="5" t="str">
        <f>HYPERLINK("http://catalog.hathitrust.org/Record/002071245","HathiTrust Record")</f>
        <v>HathiTrust Record</v>
      </c>
      <c r="AU1273" s="5" t="str">
        <f>HYPERLINK("https://creighton-primo.hosted.exlibrisgroup.com/primo-explore/search?tab=default_tab&amp;search_scope=EVERYTHING&amp;vid=01CRU&amp;lang=en_US&amp;offset=0&amp;query=any,contains,991001383859702656","Catalog Record")</f>
        <v>Catalog Record</v>
      </c>
      <c r="AV1273" s="5" t="str">
        <f>HYPERLINK("http://www.worldcat.org/oclc/1687575","WorldCat Record")</f>
        <v>WorldCat Record</v>
      </c>
      <c r="AW1273" s="2" t="s">
        <v>15302</v>
      </c>
      <c r="AX1273" s="2" t="s">
        <v>15303</v>
      </c>
      <c r="AY1273" s="2" t="s">
        <v>15304</v>
      </c>
      <c r="AZ1273" s="2" t="s">
        <v>15304</v>
      </c>
      <c r="BA1273" s="2" t="s">
        <v>15305</v>
      </c>
      <c r="BB1273" s="2" t="s">
        <v>21</v>
      </c>
      <c r="BE1273" s="2" t="s">
        <v>15306</v>
      </c>
      <c r="BF1273" s="2" t="s">
        <v>15307</v>
      </c>
    </row>
    <row r="1274" spans="1:58" ht="41.25" customHeight="1" x14ac:dyDescent="0.25">
      <c r="A1274" s="8" t="s">
        <v>5</v>
      </c>
      <c r="B1274" s="1" t="s">
        <v>0</v>
      </c>
      <c r="C1274" s="1" t="s">
        <v>1</v>
      </c>
      <c r="D1274" s="1" t="s">
        <v>15308</v>
      </c>
      <c r="E1274" s="1" t="s">
        <v>15309</v>
      </c>
      <c r="F1274" s="1" t="s">
        <v>15310</v>
      </c>
      <c r="H1274" s="2" t="s">
        <v>5</v>
      </c>
      <c r="I1274" s="2" t="s">
        <v>6</v>
      </c>
      <c r="J1274" s="2" t="s">
        <v>5</v>
      </c>
      <c r="K1274" s="2" t="s">
        <v>5</v>
      </c>
      <c r="L1274" s="2" t="s">
        <v>7</v>
      </c>
      <c r="N1274" s="1" t="s">
        <v>2250</v>
      </c>
      <c r="O1274" s="2" t="s">
        <v>228</v>
      </c>
      <c r="Q1274" s="2" t="s">
        <v>11</v>
      </c>
      <c r="R1274" s="2" t="s">
        <v>426</v>
      </c>
      <c r="T1274" s="2" t="s">
        <v>520</v>
      </c>
      <c r="U1274" s="3">
        <v>9</v>
      </c>
      <c r="V1274" s="3">
        <v>9</v>
      </c>
      <c r="W1274" s="4" t="s">
        <v>15311</v>
      </c>
      <c r="X1274" s="4" t="s">
        <v>15311</v>
      </c>
      <c r="Y1274" s="4" t="s">
        <v>197</v>
      </c>
      <c r="Z1274" s="4" t="s">
        <v>197</v>
      </c>
      <c r="AA1274" s="3">
        <v>293</v>
      </c>
      <c r="AB1274" s="3">
        <v>221</v>
      </c>
      <c r="AC1274" s="3">
        <v>223</v>
      </c>
      <c r="AD1274" s="3">
        <v>1</v>
      </c>
      <c r="AE1274" s="3">
        <v>1</v>
      </c>
      <c r="AF1274" s="3">
        <v>7</v>
      </c>
      <c r="AG1274" s="3">
        <v>7</v>
      </c>
      <c r="AH1274" s="3">
        <v>3</v>
      </c>
      <c r="AI1274" s="3">
        <v>3</v>
      </c>
      <c r="AJ1274" s="3">
        <v>1</v>
      </c>
      <c r="AK1274" s="3">
        <v>1</v>
      </c>
      <c r="AL1274" s="3">
        <v>4</v>
      </c>
      <c r="AM1274" s="3">
        <v>4</v>
      </c>
      <c r="AN1274" s="3">
        <v>0</v>
      </c>
      <c r="AO1274" s="3">
        <v>0</v>
      </c>
      <c r="AP1274" s="3">
        <v>0</v>
      </c>
      <c r="AQ1274" s="3">
        <v>0</v>
      </c>
      <c r="AR1274" s="2" t="s">
        <v>5</v>
      </c>
      <c r="AS1274" s="2" t="s">
        <v>16</v>
      </c>
      <c r="AT1274" s="5" t="str">
        <f>HYPERLINK("http://catalog.hathitrust.org/Record/000198734","HathiTrust Record")</f>
        <v>HathiTrust Record</v>
      </c>
      <c r="AU1274" s="5" t="str">
        <f>HYPERLINK("https://creighton-primo.hosted.exlibrisgroup.com/primo-explore/search?tab=default_tab&amp;search_scope=EVERYTHING&amp;vid=01CRU&amp;lang=en_US&amp;offset=0&amp;query=any,contains,991001084229702656","Catalog Record")</f>
        <v>Catalog Record</v>
      </c>
      <c r="AV1274" s="5" t="str">
        <f>HYPERLINK("http://www.worldcat.org/oclc/7946387","WorldCat Record")</f>
        <v>WorldCat Record</v>
      </c>
      <c r="AW1274" s="2" t="s">
        <v>15312</v>
      </c>
      <c r="AX1274" s="2" t="s">
        <v>15313</v>
      </c>
      <c r="AY1274" s="2" t="s">
        <v>15314</v>
      </c>
      <c r="AZ1274" s="2" t="s">
        <v>15314</v>
      </c>
      <c r="BA1274" s="2" t="s">
        <v>15315</v>
      </c>
      <c r="BB1274" s="2" t="s">
        <v>21</v>
      </c>
      <c r="BD1274" s="2" t="s">
        <v>15316</v>
      </c>
      <c r="BE1274" s="2" t="s">
        <v>15317</v>
      </c>
      <c r="BF1274" s="2" t="s">
        <v>15318</v>
      </c>
    </row>
    <row r="1275" spans="1:58" ht="41.25" customHeight="1" x14ac:dyDescent="0.25">
      <c r="A1275" s="8" t="s">
        <v>5</v>
      </c>
      <c r="B1275" s="1" t="s">
        <v>0</v>
      </c>
      <c r="C1275" s="1" t="s">
        <v>1</v>
      </c>
      <c r="D1275" s="1" t="s">
        <v>15319</v>
      </c>
      <c r="E1275" s="1" t="s">
        <v>15320</v>
      </c>
      <c r="F1275" s="1" t="s">
        <v>15321</v>
      </c>
      <c r="H1275" s="2" t="s">
        <v>5</v>
      </c>
      <c r="I1275" s="2" t="s">
        <v>6</v>
      </c>
      <c r="J1275" s="2" t="s">
        <v>5</v>
      </c>
      <c r="K1275" s="2" t="s">
        <v>5</v>
      </c>
      <c r="L1275" s="2" t="s">
        <v>7</v>
      </c>
      <c r="N1275" s="1" t="s">
        <v>7022</v>
      </c>
      <c r="O1275" s="2" t="s">
        <v>989</v>
      </c>
      <c r="Q1275" s="2" t="s">
        <v>11</v>
      </c>
      <c r="R1275" s="2" t="s">
        <v>6660</v>
      </c>
      <c r="T1275" s="2" t="s">
        <v>520</v>
      </c>
      <c r="U1275" s="3">
        <v>4</v>
      </c>
      <c r="V1275" s="3">
        <v>4</v>
      </c>
      <c r="W1275" s="4" t="s">
        <v>15322</v>
      </c>
      <c r="X1275" s="4" t="s">
        <v>15322</v>
      </c>
      <c r="Y1275" s="4" t="s">
        <v>15323</v>
      </c>
      <c r="Z1275" s="4" t="s">
        <v>15323</v>
      </c>
      <c r="AA1275" s="3">
        <v>79</v>
      </c>
      <c r="AB1275" s="3">
        <v>69</v>
      </c>
      <c r="AC1275" s="3">
        <v>71</v>
      </c>
      <c r="AD1275" s="3">
        <v>1</v>
      </c>
      <c r="AE1275" s="3">
        <v>1</v>
      </c>
      <c r="AF1275" s="3">
        <v>3</v>
      </c>
      <c r="AG1275" s="3">
        <v>3</v>
      </c>
      <c r="AH1275" s="3">
        <v>0</v>
      </c>
      <c r="AI1275" s="3">
        <v>0</v>
      </c>
      <c r="AJ1275" s="3">
        <v>1</v>
      </c>
      <c r="AK1275" s="3">
        <v>1</v>
      </c>
      <c r="AL1275" s="3">
        <v>2</v>
      </c>
      <c r="AM1275" s="3">
        <v>2</v>
      </c>
      <c r="AN1275" s="3">
        <v>0</v>
      </c>
      <c r="AO1275" s="3">
        <v>0</v>
      </c>
      <c r="AP1275" s="3">
        <v>0</v>
      </c>
      <c r="AQ1275" s="3">
        <v>0</v>
      </c>
      <c r="AR1275" s="2" t="s">
        <v>5</v>
      </c>
      <c r="AS1275" s="2" t="s">
        <v>16</v>
      </c>
      <c r="AT1275" s="5" t="str">
        <f>HYPERLINK("http://catalog.hathitrust.org/Record/004498703","HathiTrust Record")</f>
        <v>HathiTrust Record</v>
      </c>
      <c r="AU1275" s="5" t="str">
        <f>HYPERLINK("https://creighton-primo.hosted.exlibrisgroup.com/primo-explore/search?tab=default_tab&amp;search_scope=EVERYTHING&amp;vid=01CRU&amp;lang=en_US&amp;offset=0&amp;query=any,contains,991001450779702656","Catalog Record")</f>
        <v>Catalog Record</v>
      </c>
      <c r="AV1275" s="5" t="str">
        <f>HYPERLINK("http://www.worldcat.org/oclc/23838499","WorldCat Record")</f>
        <v>WorldCat Record</v>
      </c>
      <c r="AW1275" s="2" t="s">
        <v>15324</v>
      </c>
      <c r="AX1275" s="2" t="s">
        <v>15325</v>
      </c>
      <c r="AY1275" s="2" t="s">
        <v>15326</v>
      </c>
      <c r="AZ1275" s="2" t="s">
        <v>15326</v>
      </c>
      <c r="BA1275" s="2" t="s">
        <v>15327</v>
      </c>
      <c r="BB1275" s="2" t="s">
        <v>21</v>
      </c>
      <c r="BD1275" s="2" t="s">
        <v>15328</v>
      </c>
      <c r="BE1275" s="2" t="s">
        <v>15329</v>
      </c>
      <c r="BF1275" s="2" t="s">
        <v>15330</v>
      </c>
    </row>
    <row r="1276" spans="1:58" ht="41.25" customHeight="1" x14ac:dyDescent="0.25">
      <c r="A1276" s="8" t="s">
        <v>5</v>
      </c>
      <c r="B1276" s="1" t="s">
        <v>0</v>
      </c>
      <c r="C1276" s="1" t="s">
        <v>1</v>
      </c>
      <c r="D1276" s="1" t="s">
        <v>15331</v>
      </c>
      <c r="E1276" s="1" t="s">
        <v>15332</v>
      </c>
      <c r="F1276" s="1" t="s">
        <v>15333</v>
      </c>
      <c r="G1276" s="2" t="s">
        <v>2942</v>
      </c>
      <c r="H1276" s="2" t="s">
        <v>5</v>
      </c>
      <c r="I1276" s="2" t="s">
        <v>6</v>
      </c>
      <c r="J1276" s="2" t="s">
        <v>5</v>
      </c>
      <c r="K1276" s="2" t="s">
        <v>5</v>
      </c>
      <c r="L1276" s="2" t="s">
        <v>7</v>
      </c>
      <c r="M1276" s="1" t="s">
        <v>15334</v>
      </c>
      <c r="N1276" s="1" t="s">
        <v>15335</v>
      </c>
      <c r="O1276" s="2" t="s">
        <v>1441</v>
      </c>
      <c r="Q1276" s="2" t="s">
        <v>11</v>
      </c>
      <c r="R1276" s="2" t="s">
        <v>426</v>
      </c>
      <c r="S1276" s="1" t="s">
        <v>15336</v>
      </c>
      <c r="T1276" s="2" t="s">
        <v>520</v>
      </c>
      <c r="U1276" s="3">
        <v>2</v>
      </c>
      <c r="V1276" s="3">
        <v>2</v>
      </c>
      <c r="W1276" s="4" t="s">
        <v>1248</v>
      </c>
      <c r="X1276" s="4" t="s">
        <v>1248</v>
      </c>
      <c r="Y1276" s="4" t="s">
        <v>1249</v>
      </c>
      <c r="Z1276" s="4" t="s">
        <v>1249</v>
      </c>
      <c r="AA1276" s="3">
        <v>26</v>
      </c>
      <c r="AB1276" s="3">
        <v>25</v>
      </c>
      <c r="AC1276" s="3">
        <v>27</v>
      </c>
      <c r="AD1276" s="3">
        <v>1</v>
      </c>
      <c r="AE1276" s="3">
        <v>1</v>
      </c>
      <c r="AF1276" s="3">
        <v>1</v>
      </c>
      <c r="AG1276" s="3">
        <v>1</v>
      </c>
      <c r="AH1276" s="3">
        <v>0</v>
      </c>
      <c r="AI1276" s="3">
        <v>0</v>
      </c>
      <c r="AJ1276" s="3">
        <v>0</v>
      </c>
      <c r="AK1276" s="3">
        <v>0</v>
      </c>
      <c r="AL1276" s="3">
        <v>1</v>
      </c>
      <c r="AM1276" s="3">
        <v>1</v>
      </c>
      <c r="AN1276" s="3">
        <v>0</v>
      </c>
      <c r="AO1276" s="3">
        <v>0</v>
      </c>
      <c r="AP1276" s="3">
        <v>0</v>
      </c>
      <c r="AQ1276" s="3">
        <v>0</v>
      </c>
      <c r="AR1276" s="2" t="s">
        <v>5</v>
      </c>
      <c r="AS1276" s="2" t="s">
        <v>5</v>
      </c>
      <c r="AU1276" s="5" t="str">
        <f>HYPERLINK("https://creighton-primo.hosted.exlibrisgroup.com/primo-explore/search?tab=default_tab&amp;search_scope=EVERYTHING&amp;vid=01CRU&amp;lang=en_US&amp;offset=0&amp;query=any,contains,991001384539702656","Catalog Record")</f>
        <v>Catalog Record</v>
      </c>
      <c r="AV1276" s="5" t="str">
        <f>HYPERLINK("http://www.worldcat.org/oclc/14427253","WorldCat Record")</f>
        <v>WorldCat Record</v>
      </c>
      <c r="AW1276" s="2" t="s">
        <v>15337</v>
      </c>
      <c r="AX1276" s="2" t="s">
        <v>15338</v>
      </c>
      <c r="AY1276" s="2" t="s">
        <v>15339</v>
      </c>
      <c r="AZ1276" s="2" t="s">
        <v>15339</v>
      </c>
      <c r="BA1276" s="2" t="s">
        <v>15340</v>
      </c>
      <c r="BB1276" s="2" t="s">
        <v>21</v>
      </c>
      <c r="BE1276" s="2" t="s">
        <v>15341</v>
      </c>
      <c r="BF1276" s="2" t="s">
        <v>15342</v>
      </c>
    </row>
    <row r="1277" spans="1:58" ht="41.25" customHeight="1" x14ac:dyDescent="0.25">
      <c r="A1277" s="8" t="s">
        <v>5</v>
      </c>
      <c r="B1277" s="1" t="s">
        <v>0</v>
      </c>
      <c r="C1277" s="1" t="s">
        <v>1</v>
      </c>
      <c r="D1277" s="1" t="s">
        <v>15343</v>
      </c>
      <c r="E1277" s="1" t="s">
        <v>15344</v>
      </c>
      <c r="F1277" s="1" t="s">
        <v>15345</v>
      </c>
      <c r="H1277" s="2" t="s">
        <v>5</v>
      </c>
      <c r="I1277" s="2" t="s">
        <v>6</v>
      </c>
      <c r="J1277" s="2" t="s">
        <v>5</v>
      </c>
      <c r="K1277" s="2" t="s">
        <v>5</v>
      </c>
      <c r="L1277" s="2" t="s">
        <v>7</v>
      </c>
      <c r="M1277" s="1" t="s">
        <v>15346</v>
      </c>
      <c r="N1277" s="1" t="s">
        <v>15347</v>
      </c>
      <c r="O1277" s="2" t="s">
        <v>414</v>
      </c>
      <c r="Q1277" s="2" t="s">
        <v>11</v>
      </c>
      <c r="R1277" s="2" t="s">
        <v>12</v>
      </c>
      <c r="S1277" s="1" t="s">
        <v>15348</v>
      </c>
      <c r="T1277" s="2" t="s">
        <v>520</v>
      </c>
      <c r="U1277" s="3">
        <v>1</v>
      </c>
      <c r="V1277" s="3">
        <v>1</v>
      </c>
      <c r="W1277" s="4" t="s">
        <v>2659</v>
      </c>
      <c r="X1277" s="4" t="s">
        <v>2659</v>
      </c>
      <c r="Y1277" s="4" t="s">
        <v>2632</v>
      </c>
      <c r="Z1277" s="4" t="s">
        <v>2632</v>
      </c>
      <c r="AA1277" s="3">
        <v>60</v>
      </c>
      <c r="AB1277" s="3">
        <v>52</v>
      </c>
      <c r="AC1277" s="3">
        <v>66</v>
      </c>
      <c r="AD1277" s="3">
        <v>1</v>
      </c>
      <c r="AE1277" s="3">
        <v>1</v>
      </c>
      <c r="AF1277" s="3">
        <v>3</v>
      </c>
      <c r="AG1277" s="3">
        <v>3</v>
      </c>
      <c r="AH1277" s="3">
        <v>0</v>
      </c>
      <c r="AI1277" s="3">
        <v>0</v>
      </c>
      <c r="AJ1277" s="3">
        <v>0</v>
      </c>
      <c r="AK1277" s="3">
        <v>0</v>
      </c>
      <c r="AL1277" s="3">
        <v>3</v>
      </c>
      <c r="AM1277" s="3">
        <v>3</v>
      </c>
      <c r="AN1277" s="3">
        <v>0</v>
      </c>
      <c r="AO1277" s="3">
        <v>0</v>
      </c>
      <c r="AP1277" s="3">
        <v>0</v>
      </c>
      <c r="AQ1277" s="3">
        <v>0</v>
      </c>
      <c r="AR1277" s="2" t="s">
        <v>5</v>
      </c>
      <c r="AS1277" s="2" t="s">
        <v>5</v>
      </c>
      <c r="AU1277" s="5" t="str">
        <f>HYPERLINK("https://creighton-primo.hosted.exlibrisgroup.com/primo-explore/search?tab=default_tab&amp;search_scope=EVERYTHING&amp;vid=01CRU&amp;lang=en_US&amp;offset=0&amp;query=any,contains,991001387559702656","Catalog Record")</f>
        <v>Catalog Record</v>
      </c>
      <c r="AV1277" s="5" t="str">
        <f>HYPERLINK("http://www.worldcat.org/oclc/138918","WorldCat Record")</f>
        <v>WorldCat Record</v>
      </c>
      <c r="AW1277" s="2" t="s">
        <v>15349</v>
      </c>
      <c r="AX1277" s="2" t="s">
        <v>15350</v>
      </c>
      <c r="AY1277" s="2" t="s">
        <v>15351</v>
      </c>
      <c r="AZ1277" s="2" t="s">
        <v>15351</v>
      </c>
      <c r="BA1277" s="2" t="s">
        <v>15352</v>
      </c>
      <c r="BB1277" s="2" t="s">
        <v>21</v>
      </c>
      <c r="BE1277" s="2" t="s">
        <v>15353</v>
      </c>
      <c r="BF1277" s="2" t="s">
        <v>15354</v>
      </c>
    </row>
    <row r="1278" spans="1:58" ht="41.25" customHeight="1" x14ac:dyDescent="0.25">
      <c r="A1278" s="8" t="s">
        <v>5</v>
      </c>
      <c r="B1278" s="1" t="s">
        <v>0</v>
      </c>
      <c r="C1278" s="1" t="s">
        <v>1</v>
      </c>
      <c r="D1278" s="1" t="s">
        <v>15355</v>
      </c>
      <c r="E1278" s="1" t="s">
        <v>15356</v>
      </c>
      <c r="F1278" s="1" t="s">
        <v>15357</v>
      </c>
      <c r="H1278" s="2" t="s">
        <v>5</v>
      </c>
      <c r="I1278" s="2" t="s">
        <v>6</v>
      </c>
      <c r="J1278" s="2" t="s">
        <v>5</v>
      </c>
      <c r="K1278" s="2" t="s">
        <v>5</v>
      </c>
      <c r="L1278" s="2" t="s">
        <v>7</v>
      </c>
      <c r="N1278" s="1" t="s">
        <v>12349</v>
      </c>
      <c r="O1278" s="2" t="s">
        <v>4599</v>
      </c>
      <c r="Q1278" s="2" t="s">
        <v>11</v>
      </c>
      <c r="R1278" s="2" t="s">
        <v>12</v>
      </c>
      <c r="S1278" s="1" t="s">
        <v>15358</v>
      </c>
      <c r="T1278" s="2" t="s">
        <v>520</v>
      </c>
      <c r="U1278" s="3">
        <v>1</v>
      </c>
      <c r="V1278" s="3">
        <v>1</v>
      </c>
      <c r="W1278" s="4" t="s">
        <v>1405</v>
      </c>
      <c r="X1278" s="4" t="s">
        <v>1405</v>
      </c>
      <c r="Y1278" s="4" t="s">
        <v>1249</v>
      </c>
      <c r="Z1278" s="4" t="s">
        <v>1249</v>
      </c>
      <c r="AA1278" s="3">
        <v>17</v>
      </c>
      <c r="AB1278" s="3">
        <v>14</v>
      </c>
      <c r="AC1278" s="3">
        <v>51</v>
      </c>
      <c r="AD1278" s="3">
        <v>1</v>
      </c>
      <c r="AE1278" s="3">
        <v>1</v>
      </c>
      <c r="AF1278" s="3">
        <v>0</v>
      </c>
      <c r="AG1278" s="3">
        <v>2</v>
      </c>
      <c r="AH1278" s="3">
        <v>0</v>
      </c>
      <c r="AI1278" s="3">
        <v>0</v>
      </c>
      <c r="AJ1278" s="3">
        <v>0</v>
      </c>
      <c r="AK1278" s="3">
        <v>0</v>
      </c>
      <c r="AL1278" s="3">
        <v>0</v>
      </c>
      <c r="AM1278" s="3">
        <v>2</v>
      </c>
      <c r="AN1278" s="3">
        <v>0</v>
      </c>
      <c r="AO1278" s="3">
        <v>0</v>
      </c>
      <c r="AP1278" s="3">
        <v>0</v>
      </c>
      <c r="AQ1278" s="3">
        <v>0</v>
      </c>
      <c r="AR1278" s="2" t="s">
        <v>5</v>
      </c>
      <c r="AS1278" s="2" t="s">
        <v>5</v>
      </c>
      <c r="AT1278" s="5" t="str">
        <f>HYPERLINK("http://catalog.hathitrust.org/Record/002071706","HathiTrust Record")</f>
        <v>HathiTrust Record</v>
      </c>
      <c r="AU1278" s="5" t="str">
        <f>HYPERLINK("https://creighton-primo.hosted.exlibrisgroup.com/primo-explore/search?tab=default_tab&amp;search_scope=EVERYTHING&amp;vid=01CRU&amp;lang=en_US&amp;offset=0&amp;query=any,contains,991001383639702656","Catalog Record")</f>
        <v>Catalog Record</v>
      </c>
      <c r="AV1278" s="5" t="str">
        <f>HYPERLINK("http://www.worldcat.org/oclc/21486575","WorldCat Record")</f>
        <v>WorldCat Record</v>
      </c>
      <c r="AW1278" s="2" t="s">
        <v>15359</v>
      </c>
      <c r="AX1278" s="2" t="s">
        <v>15360</v>
      </c>
      <c r="AY1278" s="2" t="s">
        <v>15361</v>
      </c>
      <c r="AZ1278" s="2" t="s">
        <v>15361</v>
      </c>
      <c r="BA1278" s="2" t="s">
        <v>15362</v>
      </c>
      <c r="BB1278" s="2" t="s">
        <v>21</v>
      </c>
      <c r="BE1278" s="2" t="s">
        <v>15363</v>
      </c>
      <c r="BF1278" s="2" t="s">
        <v>15364</v>
      </c>
    </row>
    <row r="1279" spans="1:58" ht="41.25" customHeight="1" x14ac:dyDescent="0.25">
      <c r="A1279" s="8" t="s">
        <v>5</v>
      </c>
      <c r="B1279" s="1" t="s">
        <v>0</v>
      </c>
      <c r="C1279" s="1" t="s">
        <v>1</v>
      </c>
      <c r="D1279" s="1" t="s">
        <v>15365</v>
      </c>
      <c r="E1279" s="1" t="s">
        <v>15366</v>
      </c>
      <c r="F1279" s="1" t="s">
        <v>15367</v>
      </c>
      <c r="H1279" s="2" t="s">
        <v>5</v>
      </c>
      <c r="I1279" s="2" t="s">
        <v>6</v>
      </c>
      <c r="J1279" s="2" t="s">
        <v>5</v>
      </c>
      <c r="K1279" s="2" t="s">
        <v>5</v>
      </c>
      <c r="L1279" s="2" t="s">
        <v>7</v>
      </c>
      <c r="O1279" s="2" t="s">
        <v>734</v>
      </c>
      <c r="Q1279" s="2" t="s">
        <v>11</v>
      </c>
      <c r="R1279" s="2" t="s">
        <v>31</v>
      </c>
      <c r="S1279" s="1" t="s">
        <v>15368</v>
      </c>
      <c r="T1279" s="2" t="s">
        <v>520</v>
      </c>
      <c r="U1279" s="3">
        <v>2</v>
      </c>
      <c r="V1279" s="3">
        <v>2</v>
      </c>
      <c r="W1279" s="4" t="s">
        <v>12952</v>
      </c>
      <c r="X1279" s="4" t="s">
        <v>12952</v>
      </c>
      <c r="Y1279" s="4" t="s">
        <v>15369</v>
      </c>
      <c r="Z1279" s="4" t="s">
        <v>15369</v>
      </c>
      <c r="AA1279" s="3">
        <v>127</v>
      </c>
      <c r="AB1279" s="3">
        <v>117</v>
      </c>
      <c r="AC1279" s="3">
        <v>243</v>
      </c>
      <c r="AD1279" s="3">
        <v>1</v>
      </c>
      <c r="AE1279" s="3">
        <v>2</v>
      </c>
      <c r="AF1279" s="3">
        <v>3</v>
      </c>
      <c r="AG1279" s="3">
        <v>10</v>
      </c>
      <c r="AH1279" s="3">
        <v>0</v>
      </c>
      <c r="AI1279" s="3">
        <v>3</v>
      </c>
      <c r="AJ1279" s="3">
        <v>1</v>
      </c>
      <c r="AK1279" s="3">
        <v>1</v>
      </c>
      <c r="AL1279" s="3">
        <v>2</v>
      </c>
      <c r="AM1279" s="3">
        <v>5</v>
      </c>
      <c r="AN1279" s="3">
        <v>0</v>
      </c>
      <c r="AO1279" s="3">
        <v>1</v>
      </c>
      <c r="AP1279" s="3">
        <v>0</v>
      </c>
      <c r="AQ1279" s="3">
        <v>0</v>
      </c>
      <c r="AR1279" s="2" t="s">
        <v>5</v>
      </c>
      <c r="AS1279" s="2" t="s">
        <v>16</v>
      </c>
      <c r="AT1279" s="5" t="str">
        <f>HYPERLINK("http://catalog.hathitrust.org/Record/000246323","HathiTrust Record")</f>
        <v>HathiTrust Record</v>
      </c>
      <c r="AU1279" s="5" t="str">
        <f>HYPERLINK("https://creighton-primo.hosted.exlibrisgroup.com/primo-explore/search?tab=default_tab&amp;search_scope=EVERYTHING&amp;vid=01CRU&amp;lang=en_US&amp;offset=0&amp;query=any,contains,991001084339702656","Catalog Record")</f>
        <v>Catalog Record</v>
      </c>
      <c r="AV1279" s="5" t="str">
        <f>HYPERLINK("http://www.worldcat.org/oclc/9393045","WorldCat Record")</f>
        <v>WorldCat Record</v>
      </c>
      <c r="AW1279" s="2" t="s">
        <v>15370</v>
      </c>
      <c r="AX1279" s="2" t="s">
        <v>15371</v>
      </c>
      <c r="AY1279" s="2" t="s">
        <v>15372</v>
      </c>
      <c r="AZ1279" s="2" t="s">
        <v>15372</v>
      </c>
      <c r="BA1279" s="2" t="s">
        <v>15373</v>
      </c>
      <c r="BB1279" s="2" t="s">
        <v>21</v>
      </c>
      <c r="BE1279" s="2" t="s">
        <v>15374</v>
      </c>
      <c r="BF1279" s="2" t="s">
        <v>15375</v>
      </c>
    </row>
    <row r="1280" spans="1:58" ht="41.25" customHeight="1" x14ac:dyDescent="0.25">
      <c r="A1280" s="8" t="s">
        <v>5</v>
      </c>
      <c r="B1280" s="1" t="s">
        <v>0</v>
      </c>
      <c r="C1280" s="1" t="s">
        <v>1</v>
      </c>
      <c r="D1280" s="1" t="s">
        <v>15376</v>
      </c>
      <c r="E1280" s="1" t="s">
        <v>15377</v>
      </c>
      <c r="F1280" s="1" t="s">
        <v>15378</v>
      </c>
      <c r="H1280" s="2" t="s">
        <v>5</v>
      </c>
      <c r="I1280" s="2" t="s">
        <v>6</v>
      </c>
      <c r="J1280" s="2" t="s">
        <v>5</v>
      </c>
      <c r="K1280" s="2" t="s">
        <v>5</v>
      </c>
      <c r="L1280" s="2" t="s">
        <v>7</v>
      </c>
      <c r="M1280" s="1" t="s">
        <v>15379</v>
      </c>
      <c r="N1280" s="1" t="s">
        <v>15380</v>
      </c>
      <c r="O1280" s="2" t="s">
        <v>721</v>
      </c>
      <c r="Q1280" s="2" t="s">
        <v>11</v>
      </c>
      <c r="R1280" s="2" t="s">
        <v>93</v>
      </c>
      <c r="S1280" s="1" t="s">
        <v>15381</v>
      </c>
      <c r="T1280" s="2" t="s">
        <v>520</v>
      </c>
      <c r="U1280" s="3">
        <v>1</v>
      </c>
      <c r="V1280" s="3">
        <v>1</v>
      </c>
      <c r="W1280" s="4" t="s">
        <v>1840</v>
      </c>
      <c r="X1280" s="4" t="s">
        <v>1840</v>
      </c>
      <c r="Y1280" s="4" t="s">
        <v>577</v>
      </c>
      <c r="Z1280" s="4" t="s">
        <v>577</v>
      </c>
      <c r="AA1280" s="3">
        <v>53</v>
      </c>
      <c r="AB1280" s="3">
        <v>48</v>
      </c>
      <c r="AC1280" s="3">
        <v>50</v>
      </c>
      <c r="AD1280" s="3">
        <v>1</v>
      </c>
      <c r="AE1280" s="3">
        <v>1</v>
      </c>
      <c r="AF1280" s="3">
        <v>0</v>
      </c>
      <c r="AG1280" s="3">
        <v>0</v>
      </c>
      <c r="AH1280" s="3">
        <v>0</v>
      </c>
      <c r="AI1280" s="3">
        <v>0</v>
      </c>
      <c r="AJ1280" s="3">
        <v>0</v>
      </c>
      <c r="AK1280" s="3">
        <v>0</v>
      </c>
      <c r="AL1280" s="3">
        <v>0</v>
      </c>
      <c r="AM1280" s="3">
        <v>0</v>
      </c>
      <c r="AN1280" s="3">
        <v>0</v>
      </c>
      <c r="AO1280" s="3">
        <v>0</v>
      </c>
      <c r="AP1280" s="3">
        <v>0</v>
      </c>
      <c r="AQ1280" s="3">
        <v>0</v>
      </c>
      <c r="AR1280" s="2" t="s">
        <v>5</v>
      </c>
      <c r="AS1280" s="2" t="s">
        <v>16</v>
      </c>
      <c r="AT1280" s="5" t="str">
        <f>HYPERLINK("http://catalog.hathitrust.org/Record/002071247","HathiTrust Record")</f>
        <v>HathiTrust Record</v>
      </c>
      <c r="AU1280" s="5" t="str">
        <f>HYPERLINK("https://creighton-primo.hosted.exlibrisgroup.com/primo-explore/search?tab=default_tab&amp;search_scope=EVERYTHING&amp;vid=01CRU&amp;lang=en_US&amp;offset=0&amp;query=any,contains,991001361769702656","Catalog Record")</f>
        <v>Catalog Record</v>
      </c>
      <c r="AV1280" s="5" t="str">
        <f>HYPERLINK("http://www.worldcat.org/oclc/5144179","WorldCat Record")</f>
        <v>WorldCat Record</v>
      </c>
      <c r="AW1280" s="2" t="s">
        <v>15382</v>
      </c>
      <c r="AX1280" s="2" t="s">
        <v>15383</v>
      </c>
      <c r="AY1280" s="2" t="s">
        <v>15384</v>
      </c>
      <c r="AZ1280" s="2" t="s">
        <v>15384</v>
      </c>
      <c r="BA1280" s="2" t="s">
        <v>15385</v>
      </c>
      <c r="BB1280" s="2" t="s">
        <v>21</v>
      </c>
      <c r="BE1280" s="2" t="s">
        <v>15386</v>
      </c>
      <c r="BF1280" s="2" t="s">
        <v>15387</v>
      </c>
    </row>
    <row r="1281" spans="1:58" ht="41.25" customHeight="1" x14ac:dyDescent="0.25">
      <c r="A1281" s="8" t="s">
        <v>5</v>
      </c>
      <c r="B1281" s="1" t="s">
        <v>0</v>
      </c>
      <c r="C1281" s="1" t="s">
        <v>1</v>
      </c>
      <c r="D1281" s="1" t="s">
        <v>15388</v>
      </c>
      <c r="E1281" s="1" t="s">
        <v>15389</v>
      </c>
      <c r="F1281" s="1" t="s">
        <v>15390</v>
      </c>
      <c r="H1281" s="2" t="s">
        <v>5</v>
      </c>
      <c r="I1281" s="2" t="s">
        <v>6</v>
      </c>
      <c r="J1281" s="2" t="s">
        <v>5</v>
      </c>
      <c r="K1281" s="2" t="s">
        <v>5</v>
      </c>
      <c r="L1281" s="2" t="s">
        <v>7</v>
      </c>
      <c r="N1281" s="1" t="s">
        <v>15391</v>
      </c>
      <c r="O1281" s="2" t="s">
        <v>4853</v>
      </c>
      <c r="Q1281" s="2" t="s">
        <v>11</v>
      </c>
      <c r="R1281" s="2" t="s">
        <v>426</v>
      </c>
      <c r="S1281" s="1" t="s">
        <v>15392</v>
      </c>
      <c r="T1281" s="2" t="s">
        <v>520</v>
      </c>
      <c r="U1281" s="3">
        <v>1</v>
      </c>
      <c r="V1281" s="3">
        <v>1</v>
      </c>
      <c r="W1281" s="4" t="s">
        <v>1248</v>
      </c>
      <c r="X1281" s="4" t="s">
        <v>1248</v>
      </c>
      <c r="Y1281" s="4" t="s">
        <v>1249</v>
      </c>
      <c r="Z1281" s="4" t="s">
        <v>1249</v>
      </c>
      <c r="AA1281" s="3">
        <v>37</v>
      </c>
      <c r="AB1281" s="3">
        <v>34</v>
      </c>
      <c r="AC1281" s="3">
        <v>37</v>
      </c>
      <c r="AD1281" s="3">
        <v>1</v>
      </c>
      <c r="AE1281" s="3">
        <v>1</v>
      </c>
      <c r="AF1281" s="3">
        <v>1</v>
      </c>
      <c r="AG1281" s="3">
        <v>1</v>
      </c>
      <c r="AH1281" s="3">
        <v>0</v>
      </c>
      <c r="AI1281" s="3">
        <v>0</v>
      </c>
      <c r="AJ1281" s="3">
        <v>0</v>
      </c>
      <c r="AK1281" s="3">
        <v>0</v>
      </c>
      <c r="AL1281" s="3">
        <v>1</v>
      </c>
      <c r="AM1281" s="3">
        <v>1</v>
      </c>
      <c r="AN1281" s="3">
        <v>0</v>
      </c>
      <c r="AO1281" s="3">
        <v>0</v>
      </c>
      <c r="AP1281" s="3">
        <v>0</v>
      </c>
      <c r="AQ1281" s="3">
        <v>0</v>
      </c>
      <c r="AR1281" s="2" t="s">
        <v>5</v>
      </c>
      <c r="AS1281" s="2" t="s">
        <v>16</v>
      </c>
      <c r="AT1281" s="5" t="str">
        <f>HYPERLINK("http://catalog.hathitrust.org/Record/006755186","HathiTrust Record")</f>
        <v>HathiTrust Record</v>
      </c>
      <c r="AU1281" s="5" t="str">
        <f>HYPERLINK("https://creighton-primo.hosted.exlibrisgroup.com/primo-explore/search?tab=default_tab&amp;search_scope=EVERYTHING&amp;vid=01CRU&amp;lang=en_US&amp;offset=0&amp;query=any,contains,991001383839702656","Catalog Record")</f>
        <v>Catalog Record</v>
      </c>
      <c r="AV1281" s="5" t="str">
        <f>HYPERLINK("http://www.worldcat.org/oclc/6706904","WorldCat Record")</f>
        <v>WorldCat Record</v>
      </c>
      <c r="AW1281" s="2" t="s">
        <v>15393</v>
      </c>
      <c r="AX1281" s="2" t="s">
        <v>15394</v>
      </c>
      <c r="AY1281" s="2" t="s">
        <v>15395</v>
      </c>
      <c r="AZ1281" s="2" t="s">
        <v>15395</v>
      </c>
      <c r="BA1281" s="2" t="s">
        <v>15396</v>
      </c>
      <c r="BB1281" s="2" t="s">
        <v>21</v>
      </c>
      <c r="BE1281" s="2" t="s">
        <v>15397</v>
      </c>
      <c r="BF1281" s="2" t="s">
        <v>15398</v>
      </c>
    </row>
    <row r="1282" spans="1:58" ht="41.25" customHeight="1" x14ac:dyDescent="0.25">
      <c r="A1282" s="8" t="s">
        <v>5</v>
      </c>
      <c r="B1282" s="1" t="s">
        <v>0</v>
      </c>
      <c r="C1282" s="1" t="s">
        <v>1</v>
      </c>
      <c r="D1282" s="1" t="s">
        <v>15399</v>
      </c>
      <c r="E1282" s="1" t="s">
        <v>15400</v>
      </c>
      <c r="F1282" s="1" t="s">
        <v>15401</v>
      </c>
      <c r="H1282" s="2" t="s">
        <v>5</v>
      </c>
      <c r="I1282" s="2" t="s">
        <v>6</v>
      </c>
      <c r="J1282" s="2" t="s">
        <v>5</v>
      </c>
      <c r="K1282" s="2" t="s">
        <v>5</v>
      </c>
      <c r="L1282" s="2" t="s">
        <v>7</v>
      </c>
      <c r="N1282" s="1" t="s">
        <v>15402</v>
      </c>
      <c r="O1282" s="2" t="s">
        <v>721</v>
      </c>
      <c r="Q1282" s="2" t="s">
        <v>11</v>
      </c>
      <c r="R1282" s="2" t="s">
        <v>15403</v>
      </c>
      <c r="S1282" s="1" t="s">
        <v>15404</v>
      </c>
      <c r="T1282" s="2" t="s">
        <v>520</v>
      </c>
      <c r="U1282" s="3">
        <v>1</v>
      </c>
      <c r="V1282" s="3">
        <v>1</v>
      </c>
      <c r="W1282" s="4" t="s">
        <v>1248</v>
      </c>
      <c r="X1282" s="4" t="s">
        <v>1248</v>
      </c>
      <c r="Y1282" s="4" t="s">
        <v>1249</v>
      </c>
      <c r="Z1282" s="4" t="s">
        <v>1249</v>
      </c>
      <c r="AA1282" s="3">
        <v>21</v>
      </c>
      <c r="AB1282" s="3">
        <v>19</v>
      </c>
      <c r="AC1282" s="3">
        <v>22</v>
      </c>
      <c r="AD1282" s="3">
        <v>1</v>
      </c>
      <c r="AE1282" s="3">
        <v>1</v>
      </c>
      <c r="AF1282" s="3">
        <v>1</v>
      </c>
      <c r="AG1282" s="3">
        <v>1</v>
      </c>
      <c r="AH1282" s="3">
        <v>0</v>
      </c>
      <c r="AI1282" s="3">
        <v>0</v>
      </c>
      <c r="AJ1282" s="3">
        <v>0</v>
      </c>
      <c r="AK1282" s="3">
        <v>0</v>
      </c>
      <c r="AL1282" s="3">
        <v>1</v>
      </c>
      <c r="AM1282" s="3">
        <v>1</v>
      </c>
      <c r="AN1282" s="3">
        <v>0</v>
      </c>
      <c r="AO1282" s="3">
        <v>0</v>
      </c>
      <c r="AP1282" s="3">
        <v>0</v>
      </c>
      <c r="AQ1282" s="3">
        <v>0</v>
      </c>
      <c r="AR1282" s="2" t="s">
        <v>5</v>
      </c>
      <c r="AS1282" s="2" t="s">
        <v>16</v>
      </c>
      <c r="AT1282" s="5" t="str">
        <f>HYPERLINK("http://catalog.hathitrust.org/Record/002071644","HathiTrust Record")</f>
        <v>HathiTrust Record</v>
      </c>
      <c r="AU1282" s="5" t="str">
        <f>HYPERLINK("https://creighton-primo.hosted.exlibrisgroup.com/primo-explore/search?tab=default_tab&amp;search_scope=EVERYTHING&amp;vid=01CRU&amp;lang=en_US&amp;offset=0&amp;query=any,contains,991001383969702656","Catalog Record")</f>
        <v>Catalog Record</v>
      </c>
      <c r="AV1282" s="5" t="str">
        <f>HYPERLINK("http://www.worldcat.org/oclc/7494322","WorldCat Record")</f>
        <v>WorldCat Record</v>
      </c>
      <c r="AW1282" s="2" t="s">
        <v>15405</v>
      </c>
      <c r="AX1282" s="2" t="s">
        <v>15406</v>
      </c>
      <c r="AY1282" s="2" t="s">
        <v>15407</v>
      </c>
      <c r="AZ1282" s="2" t="s">
        <v>15407</v>
      </c>
      <c r="BA1282" s="2" t="s">
        <v>15408</v>
      </c>
      <c r="BB1282" s="2" t="s">
        <v>21</v>
      </c>
      <c r="BE1282" s="2" t="s">
        <v>15409</v>
      </c>
      <c r="BF1282" s="2" t="s">
        <v>15410</v>
      </c>
    </row>
    <row r="1283" spans="1:58" ht="41.25" customHeight="1" x14ac:dyDescent="0.25">
      <c r="A1283" s="8" t="s">
        <v>5</v>
      </c>
      <c r="B1283" s="1" t="s">
        <v>0</v>
      </c>
      <c r="C1283" s="1" t="s">
        <v>1</v>
      </c>
      <c r="D1283" s="1" t="s">
        <v>15411</v>
      </c>
      <c r="E1283" s="1" t="s">
        <v>15412</v>
      </c>
      <c r="F1283" s="1" t="s">
        <v>15413</v>
      </c>
      <c r="H1283" s="2" t="s">
        <v>5</v>
      </c>
      <c r="I1283" s="2" t="s">
        <v>6</v>
      </c>
      <c r="J1283" s="2" t="s">
        <v>5</v>
      </c>
      <c r="K1283" s="2" t="s">
        <v>5</v>
      </c>
      <c r="L1283" s="2" t="s">
        <v>7</v>
      </c>
      <c r="M1283" s="1" t="s">
        <v>15414</v>
      </c>
      <c r="N1283" s="1" t="s">
        <v>15415</v>
      </c>
      <c r="O1283" s="2" t="s">
        <v>574</v>
      </c>
      <c r="Q1283" s="2" t="s">
        <v>11</v>
      </c>
      <c r="R1283" s="2" t="s">
        <v>12</v>
      </c>
      <c r="S1283" s="1" t="s">
        <v>15416</v>
      </c>
      <c r="T1283" s="2" t="s">
        <v>520</v>
      </c>
      <c r="U1283" s="3">
        <v>1</v>
      </c>
      <c r="V1283" s="3">
        <v>1</v>
      </c>
      <c r="W1283" s="4" t="s">
        <v>1405</v>
      </c>
      <c r="X1283" s="4" t="s">
        <v>1405</v>
      </c>
      <c r="Y1283" s="4" t="s">
        <v>1249</v>
      </c>
      <c r="Z1283" s="4" t="s">
        <v>1249</v>
      </c>
      <c r="AA1283" s="3">
        <v>34</v>
      </c>
      <c r="AB1283" s="3">
        <v>28</v>
      </c>
      <c r="AC1283" s="3">
        <v>28</v>
      </c>
      <c r="AD1283" s="3">
        <v>1</v>
      </c>
      <c r="AE1283" s="3">
        <v>1</v>
      </c>
      <c r="AF1283" s="3">
        <v>1</v>
      </c>
      <c r="AG1283" s="3">
        <v>1</v>
      </c>
      <c r="AH1283" s="3">
        <v>0</v>
      </c>
      <c r="AI1283" s="3">
        <v>0</v>
      </c>
      <c r="AJ1283" s="3">
        <v>0</v>
      </c>
      <c r="AK1283" s="3">
        <v>0</v>
      </c>
      <c r="AL1283" s="3">
        <v>1</v>
      </c>
      <c r="AM1283" s="3">
        <v>1</v>
      </c>
      <c r="AN1283" s="3">
        <v>0</v>
      </c>
      <c r="AO1283" s="3">
        <v>0</v>
      </c>
      <c r="AP1283" s="3">
        <v>0</v>
      </c>
      <c r="AQ1283" s="3">
        <v>0</v>
      </c>
      <c r="AR1283" s="2" t="s">
        <v>5</v>
      </c>
      <c r="AS1283" s="2" t="s">
        <v>5</v>
      </c>
      <c r="AU1283" s="5" t="str">
        <f>HYPERLINK("https://creighton-primo.hosted.exlibrisgroup.com/primo-explore/search?tab=default_tab&amp;search_scope=EVERYTHING&amp;vid=01CRU&amp;lang=en_US&amp;offset=0&amp;query=any,contains,991001383799702656","Catalog Record")</f>
        <v>Catalog Record</v>
      </c>
      <c r="AV1283" s="5" t="str">
        <f>HYPERLINK("http://www.worldcat.org/oclc/3937961","WorldCat Record")</f>
        <v>WorldCat Record</v>
      </c>
      <c r="AW1283" s="2" t="s">
        <v>15417</v>
      </c>
      <c r="AX1283" s="2" t="s">
        <v>15418</v>
      </c>
      <c r="AY1283" s="2" t="s">
        <v>15419</v>
      </c>
      <c r="AZ1283" s="2" t="s">
        <v>15419</v>
      </c>
      <c r="BA1283" s="2" t="s">
        <v>15420</v>
      </c>
      <c r="BB1283" s="2" t="s">
        <v>21</v>
      </c>
      <c r="BE1283" s="2" t="s">
        <v>15421</v>
      </c>
      <c r="BF1283" s="2" t="s">
        <v>15422</v>
      </c>
    </row>
    <row r="1284" spans="1:58" ht="41.25" customHeight="1" x14ac:dyDescent="0.25">
      <c r="A1284" s="8" t="s">
        <v>5</v>
      </c>
      <c r="B1284" s="1" t="s">
        <v>0</v>
      </c>
      <c r="C1284" s="1" t="s">
        <v>1</v>
      </c>
      <c r="D1284" s="1" t="s">
        <v>15423</v>
      </c>
      <c r="E1284" s="1" t="s">
        <v>15424</v>
      </c>
      <c r="F1284" s="1" t="s">
        <v>2174</v>
      </c>
      <c r="H1284" s="2" t="s">
        <v>5</v>
      </c>
      <c r="I1284" s="2" t="s">
        <v>6</v>
      </c>
      <c r="J1284" s="2" t="s">
        <v>16</v>
      </c>
      <c r="K1284" s="2" t="s">
        <v>5</v>
      </c>
      <c r="L1284" s="2" t="s">
        <v>7</v>
      </c>
      <c r="N1284" s="1" t="s">
        <v>2175</v>
      </c>
      <c r="O1284" s="2" t="s">
        <v>382</v>
      </c>
      <c r="Q1284" s="2" t="s">
        <v>11</v>
      </c>
      <c r="R1284" s="2" t="s">
        <v>426</v>
      </c>
      <c r="T1284" s="2" t="s">
        <v>520</v>
      </c>
      <c r="U1284" s="3">
        <v>6</v>
      </c>
      <c r="V1284" s="3">
        <v>6</v>
      </c>
      <c r="W1284" s="4" t="s">
        <v>1563</v>
      </c>
      <c r="X1284" s="4" t="s">
        <v>1563</v>
      </c>
      <c r="Y1284" s="4" t="s">
        <v>15425</v>
      </c>
      <c r="Z1284" s="4" t="s">
        <v>15425</v>
      </c>
      <c r="AA1284" s="3">
        <v>304</v>
      </c>
      <c r="AB1284" s="3">
        <v>279</v>
      </c>
      <c r="AC1284" s="3">
        <v>286</v>
      </c>
      <c r="AD1284" s="3">
        <v>4</v>
      </c>
      <c r="AE1284" s="3">
        <v>4</v>
      </c>
      <c r="AF1284" s="3">
        <v>13</v>
      </c>
      <c r="AG1284" s="3">
        <v>13</v>
      </c>
      <c r="AH1284" s="3">
        <v>2</v>
      </c>
      <c r="AI1284" s="3">
        <v>2</v>
      </c>
      <c r="AJ1284" s="3">
        <v>3</v>
      </c>
      <c r="AK1284" s="3">
        <v>3</v>
      </c>
      <c r="AL1284" s="3">
        <v>6</v>
      </c>
      <c r="AM1284" s="3">
        <v>6</v>
      </c>
      <c r="AN1284" s="3">
        <v>2</v>
      </c>
      <c r="AO1284" s="3">
        <v>2</v>
      </c>
      <c r="AP1284" s="3">
        <v>1</v>
      </c>
      <c r="AQ1284" s="3">
        <v>1</v>
      </c>
      <c r="AR1284" s="2" t="s">
        <v>5</v>
      </c>
      <c r="AS1284" s="2" t="s">
        <v>16</v>
      </c>
      <c r="AT1284" s="5" t="str">
        <f>HYPERLINK("http://catalog.hathitrust.org/Record/000571090","HathiTrust Record")</f>
        <v>HathiTrust Record</v>
      </c>
      <c r="AU1284" s="5" t="str">
        <f>HYPERLINK("https://creighton-primo.hosted.exlibrisgroup.com/primo-explore/search?tab=default_tab&amp;search_scope=EVERYTHING&amp;vid=01CRU&amp;lang=en_US&amp;offset=0&amp;query=any,contains,991001019849702656","Catalog Record")</f>
        <v>Catalog Record</v>
      </c>
      <c r="AV1284" s="5" t="str">
        <f>HYPERLINK("http://www.worldcat.org/oclc/11786179","WorldCat Record")</f>
        <v>WorldCat Record</v>
      </c>
      <c r="AW1284" s="2" t="s">
        <v>2177</v>
      </c>
      <c r="AX1284" s="2" t="s">
        <v>2178</v>
      </c>
      <c r="AY1284" s="2" t="s">
        <v>15426</v>
      </c>
      <c r="AZ1284" s="2" t="s">
        <v>15426</v>
      </c>
      <c r="BA1284" s="2" t="s">
        <v>15427</v>
      </c>
      <c r="BB1284" s="2" t="s">
        <v>21</v>
      </c>
      <c r="BD1284" s="2" t="s">
        <v>2181</v>
      </c>
      <c r="BE1284" s="2" t="s">
        <v>15428</v>
      </c>
      <c r="BF1284" s="2" t="s">
        <v>15429</v>
      </c>
    </row>
    <row r="1285" spans="1:58" ht="41.25" customHeight="1" x14ac:dyDescent="0.25">
      <c r="A1285" s="8" t="s">
        <v>5</v>
      </c>
      <c r="B1285" s="1" t="s">
        <v>0</v>
      </c>
      <c r="C1285" s="1" t="s">
        <v>1</v>
      </c>
      <c r="D1285" s="1" t="s">
        <v>15430</v>
      </c>
      <c r="E1285" s="1" t="s">
        <v>15431</v>
      </c>
      <c r="F1285" s="1" t="s">
        <v>15432</v>
      </c>
      <c r="H1285" s="2" t="s">
        <v>5</v>
      </c>
      <c r="I1285" s="2" t="s">
        <v>6</v>
      </c>
      <c r="J1285" s="2" t="s">
        <v>5</v>
      </c>
      <c r="K1285" s="2" t="s">
        <v>5</v>
      </c>
      <c r="L1285" s="2" t="s">
        <v>7</v>
      </c>
      <c r="N1285" s="1" t="s">
        <v>3500</v>
      </c>
      <c r="O1285" s="2" t="s">
        <v>3501</v>
      </c>
      <c r="Q1285" s="2" t="s">
        <v>11</v>
      </c>
      <c r="R1285" s="2" t="s">
        <v>12</v>
      </c>
      <c r="S1285" s="1" t="s">
        <v>15433</v>
      </c>
      <c r="T1285" s="2" t="s">
        <v>520</v>
      </c>
      <c r="U1285" s="3">
        <v>1</v>
      </c>
      <c r="V1285" s="3">
        <v>1</v>
      </c>
      <c r="W1285" s="4" t="s">
        <v>1405</v>
      </c>
      <c r="X1285" s="4" t="s">
        <v>1405</v>
      </c>
      <c r="Y1285" s="4" t="s">
        <v>1249</v>
      </c>
      <c r="Z1285" s="4" t="s">
        <v>1249</v>
      </c>
      <c r="AA1285" s="3">
        <v>40</v>
      </c>
      <c r="AB1285" s="3">
        <v>34</v>
      </c>
      <c r="AC1285" s="3">
        <v>34</v>
      </c>
      <c r="AD1285" s="3">
        <v>1</v>
      </c>
      <c r="AE1285" s="3">
        <v>1</v>
      </c>
      <c r="AF1285" s="3">
        <v>3</v>
      </c>
      <c r="AG1285" s="3">
        <v>3</v>
      </c>
      <c r="AH1285" s="3">
        <v>0</v>
      </c>
      <c r="AI1285" s="3">
        <v>0</v>
      </c>
      <c r="AJ1285" s="3">
        <v>1</v>
      </c>
      <c r="AK1285" s="3">
        <v>1</v>
      </c>
      <c r="AL1285" s="3">
        <v>3</v>
      </c>
      <c r="AM1285" s="3">
        <v>3</v>
      </c>
      <c r="AN1285" s="3">
        <v>0</v>
      </c>
      <c r="AO1285" s="3">
        <v>0</v>
      </c>
      <c r="AP1285" s="3">
        <v>0</v>
      </c>
      <c r="AQ1285" s="3">
        <v>0</v>
      </c>
      <c r="AR1285" s="2" t="s">
        <v>5</v>
      </c>
      <c r="AS1285" s="2" t="s">
        <v>5</v>
      </c>
      <c r="AU1285" s="5" t="str">
        <f>HYPERLINK("https://creighton-primo.hosted.exlibrisgroup.com/primo-explore/search?tab=default_tab&amp;search_scope=EVERYTHING&amp;vid=01CRU&amp;lang=en_US&amp;offset=0&amp;query=any,contains,991001383669702656","Catalog Record")</f>
        <v>Catalog Record</v>
      </c>
      <c r="AV1285" s="5" t="str">
        <f>HYPERLINK("http://www.worldcat.org/oclc/2304047","WorldCat Record")</f>
        <v>WorldCat Record</v>
      </c>
      <c r="AW1285" s="2" t="s">
        <v>15434</v>
      </c>
      <c r="AX1285" s="2" t="s">
        <v>15435</v>
      </c>
      <c r="AY1285" s="2" t="s">
        <v>15436</v>
      </c>
      <c r="AZ1285" s="2" t="s">
        <v>15436</v>
      </c>
      <c r="BA1285" s="2" t="s">
        <v>15437</v>
      </c>
      <c r="BB1285" s="2" t="s">
        <v>21</v>
      </c>
      <c r="BE1285" s="2" t="s">
        <v>15438</v>
      </c>
      <c r="BF1285" s="2" t="s">
        <v>15439</v>
      </c>
    </row>
    <row r="1286" spans="1:58" ht="41.25" customHeight="1" x14ac:dyDescent="0.25">
      <c r="A1286" s="8" t="s">
        <v>5</v>
      </c>
      <c r="B1286" s="1" t="s">
        <v>0</v>
      </c>
      <c r="C1286" s="1" t="s">
        <v>1</v>
      </c>
      <c r="D1286" s="1" t="s">
        <v>15440</v>
      </c>
      <c r="E1286" s="1" t="s">
        <v>15441</v>
      </c>
      <c r="F1286" s="1" t="s">
        <v>15442</v>
      </c>
      <c r="H1286" s="2" t="s">
        <v>5</v>
      </c>
      <c r="I1286" s="2" t="s">
        <v>6</v>
      </c>
      <c r="J1286" s="2" t="s">
        <v>5</v>
      </c>
      <c r="K1286" s="2" t="s">
        <v>5</v>
      </c>
      <c r="L1286" s="2" t="s">
        <v>7</v>
      </c>
      <c r="N1286" s="1" t="s">
        <v>3402</v>
      </c>
      <c r="O1286" s="2" t="s">
        <v>151</v>
      </c>
      <c r="Q1286" s="2" t="s">
        <v>11</v>
      </c>
      <c r="R1286" s="2" t="s">
        <v>426</v>
      </c>
      <c r="S1286" s="1" t="s">
        <v>15443</v>
      </c>
      <c r="T1286" s="2" t="s">
        <v>520</v>
      </c>
      <c r="U1286" s="3">
        <v>1</v>
      </c>
      <c r="V1286" s="3">
        <v>1</v>
      </c>
      <c r="W1286" s="4" t="s">
        <v>2072</v>
      </c>
      <c r="X1286" s="4" t="s">
        <v>2072</v>
      </c>
      <c r="Y1286" s="4" t="s">
        <v>1249</v>
      </c>
      <c r="Z1286" s="4" t="s">
        <v>1249</v>
      </c>
      <c r="AA1286" s="3">
        <v>83</v>
      </c>
      <c r="AB1286" s="3">
        <v>74</v>
      </c>
      <c r="AC1286" s="3">
        <v>78</v>
      </c>
      <c r="AD1286" s="3">
        <v>3</v>
      </c>
      <c r="AE1286" s="3">
        <v>3</v>
      </c>
      <c r="AF1286" s="3">
        <v>2</v>
      </c>
      <c r="AG1286" s="3">
        <v>2</v>
      </c>
      <c r="AH1286" s="3">
        <v>0</v>
      </c>
      <c r="AI1286" s="3">
        <v>0</v>
      </c>
      <c r="AJ1286" s="3">
        <v>0</v>
      </c>
      <c r="AK1286" s="3">
        <v>0</v>
      </c>
      <c r="AL1286" s="3">
        <v>1</v>
      </c>
      <c r="AM1286" s="3">
        <v>1</v>
      </c>
      <c r="AN1286" s="3">
        <v>1</v>
      </c>
      <c r="AO1286" s="3">
        <v>1</v>
      </c>
      <c r="AP1286" s="3">
        <v>0</v>
      </c>
      <c r="AQ1286" s="3">
        <v>0</v>
      </c>
      <c r="AR1286" s="2" t="s">
        <v>5</v>
      </c>
      <c r="AS1286" s="2" t="s">
        <v>16</v>
      </c>
      <c r="AT1286" s="5" t="str">
        <f>HYPERLINK("http://catalog.hathitrust.org/Record/000017887","HathiTrust Record")</f>
        <v>HathiTrust Record</v>
      </c>
      <c r="AU1286" s="5" t="str">
        <f>HYPERLINK("https://creighton-primo.hosted.exlibrisgroup.com/primo-explore/search?tab=default_tab&amp;search_scope=EVERYTHING&amp;vid=01CRU&amp;lang=en_US&amp;offset=0&amp;query=any,contains,991001384569702656","Catalog Record")</f>
        <v>Catalog Record</v>
      </c>
      <c r="AV1286" s="5" t="str">
        <f>HYPERLINK("http://www.worldcat.org/oclc/1365360","WorldCat Record")</f>
        <v>WorldCat Record</v>
      </c>
      <c r="AW1286" s="2" t="s">
        <v>15444</v>
      </c>
      <c r="AX1286" s="2" t="s">
        <v>15445</v>
      </c>
      <c r="AY1286" s="2" t="s">
        <v>15446</v>
      </c>
      <c r="AZ1286" s="2" t="s">
        <v>15446</v>
      </c>
      <c r="BA1286" s="2" t="s">
        <v>15447</v>
      </c>
      <c r="BB1286" s="2" t="s">
        <v>21</v>
      </c>
      <c r="BE1286" s="2" t="s">
        <v>15448</v>
      </c>
      <c r="BF1286" s="2" t="s">
        <v>15449</v>
      </c>
    </row>
    <row r="1287" spans="1:58" ht="41.25" customHeight="1" x14ac:dyDescent="0.25">
      <c r="A1287" s="8" t="s">
        <v>5</v>
      </c>
      <c r="B1287" s="1" t="s">
        <v>0</v>
      </c>
      <c r="C1287" s="1" t="s">
        <v>1</v>
      </c>
      <c r="D1287" s="1" t="s">
        <v>15450</v>
      </c>
      <c r="E1287" s="1" t="s">
        <v>15451</v>
      </c>
      <c r="F1287" s="1" t="s">
        <v>15452</v>
      </c>
      <c r="H1287" s="2" t="s">
        <v>5</v>
      </c>
      <c r="I1287" s="2" t="s">
        <v>6</v>
      </c>
      <c r="J1287" s="2" t="s">
        <v>5</v>
      </c>
      <c r="K1287" s="2" t="s">
        <v>5</v>
      </c>
      <c r="L1287" s="2" t="s">
        <v>7</v>
      </c>
      <c r="M1287" s="1" t="s">
        <v>15453</v>
      </c>
      <c r="N1287" s="1" t="s">
        <v>15454</v>
      </c>
      <c r="O1287" s="2" t="s">
        <v>939</v>
      </c>
      <c r="Q1287" s="2" t="s">
        <v>11</v>
      </c>
      <c r="R1287" s="2" t="s">
        <v>31</v>
      </c>
      <c r="T1287" s="2" t="s">
        <v>520</v>
      </c>
      <c r="U1287" s="3">
        <v>5</v>
      </c>
      <c r="V1287" s="3">
        <v>5</v>
      </c>
      <c r="W1287" s="4" t="s">
        <v>15455</v>
      </c>
      <c r="X1287" s="4" t="s">
        <v>15455</v>
      </c>
      <c r="Y1287" s="4" t="s">
        <v>14485</v>
      </c>
      <c r="Z1287" s="4" t="s">
        <v>14485</v>
      </c>
      <c r="AA1287" s="3">
        <v>107</v>
      </c>
      <c r="AB1287" s="3">
        <v>103</v>
      </c>
      <c r="AC1287" s="3">
        <v>114</v>
      </c>
      <c r="AD1287" s="3">
        <v>2</v>
      </c>
      <c r="AE1287" s="3">
        <v>2</v>
      </c>
      <c r="AF1287" s="3">
        <v>3</v>
      </c>
      <c r="AG1287" s="3">
        <v>3</v>
      </c>
      <c r="AH1287" s="3">
        <v>1</v>
      </c>
      <c r="AI1287" s="3">
        <v>1</v>
      </c>
      <c r="AJ1287" s="3">
        <v>0</v>
      </c>
      <c r="AK1287" s="3">
        <v>0</v>
      </c>
      <c r="AL1287" s="3">
        <v>2</v>
      </c>
      <c r="AM1287" s="3">
        <v>2</v>
      </c>
      <c r="AN1287" s="3">
        <v>0</v>
      </c>
      <c r="AO1287" s="3">
        <v>0</v>
      </c>
      <c r="AP1287" s="3">
        <v>0</v>
      </c>
      <c r="AQ1287" s="3">
        <v>0</v>
      </c>
      <c r="AR1287" s="2" t="s">
        <v>5</v>
      </c>
      <c r="AS1287" s="2" t="s">
        <v>16</v>
      </c>
      <c r="AT1287" s="5" t="str">
        <f>HYPERLINK("http://catalog.hathitrust.org/Record/000950661","HathiTrust Record")</f>
        <v>HathiTrust Record</v>
      </c>
      <c r="AU1287" s="5" t="str">
        <f>HYPERLINK("https://creighton-primo.hosted.exlibrisgroup.com/primo-explore/search?tab=default_tab&amp;search_scope=EVERYTHING&amp;vid=01CRU&amp;lang=en_US&amp;offset=0&amp;query=any,contains,991001423599702656","Catalog Record")</f>
        <v>Catalog Record</v>
      </c>
      <c r="AV1287" s="5" t="str">
        <f>HYPERLINK("http://www.worldcat.org/oclc/18343461","WorldCat Record")</f>
        <v>WorldCat Record</v>
      </c>
      <c r="AW1287" s="2" t="s">
        <v>15456</v>
      </c>
      <c r="AX1287" s="2" t="s">
        <v>15457</v>
      </c>
      <c r="AY1287" s="2" t="s">
        <v>15458</v>
      </c>
      <c r="AZ1287" s="2" t="s">
        <v>15458</v>
      </c>
      <c r="BA1287" s="2" t="s">
        <v>15459</v>
      </c>
      <c r="BB1287" s="2" t="s">
        <v>21</v>
      </c>
      <c r="BE1287" s="2" t="s">
        <v>15460</v>
      </c>
      <c r="BF1287" s="2" t="s">
        <v>15461</v>
      </c>
    </row>
    <row r="1288" spans="1:58" ht="41.25" customHeight="1" x14ac:dyDescent="0.25">
      <c r="A1288" s="8" t="s">
        <v>5</v>
      </c>
      <c r="B1288" s="1" t="s">
        <v>0</v>
      </c>
      <c r="C1288" s="1" t="s">
        <v>1</v>
      </c>
      <c r="D1288" s="1" t="s">
        <v>15462</v>
      </c>
      <c r="E1288" s="1" t="s">
        <v>15463</v>
      </c>
      <c r="F1288" s="1" t="s">
        <v>15464</v>
      </c>
      <c r="H1288" s="2" t="s">
        <v>5</v>
      </c>
      <c r="I1288" s="2" t="s">
        <v>6</v>
      </c>
      <c r="J1288" s="2" t="s">
        <v>5</v>
      </c>
      <c r="K1288" s="2" t="s">
        <v>5</v>
      </c>
      <c r="L1288" s="2" t="s">
        <v>7</v>
      </c>
      <c r="M1288" s="1" t="s">
        <v>15465</v>
      </c>
      <c r="N1288" s="1" t="s">
        <v>15466</v>
      </c>
      <c r="O1288" s="2" t="s">
        <v>1339</v>
      </c>
      <c r="Q1288" s="2" t="s">
        <v>11</v>
      </c>
      <c r="R1288" s="2" t="s">
        <v>426</v>
      </c>
      <c r="S1288" s="1" t="s">
        <v>15467</v>
      </c>
      <c r="T1288" s="2" t="s">
        <v>520</v>
      </c>
      <c r="U1288" s="3">
        <v>6</v>
      </c>
      <c r="V1288" s="3">
        <v>6</v>
      </c>
      <c r="W1288" s="4" t="s">
        <v>15468</v>
      </c>
      <c r="X1288" s="4" t="s">
        <v>15468</v>
      </c>
      <c r="Y1288" s="4" t="s">
        <v>1105</v>
      </c>
      <c r="Z1288" s="4" t="s">
        <v>1105</v>
      </c>
      <c r="AA1288" s="3">
        <v>153</v>
      </c>
      <c r="AB1288" s="3">
        <v>141</v>
      </c>
      <c r="AC1288" s="3">
        <v>152</v>
      </c>
      <c r="AD1288" s="3">
        <v>1</v>
      </c>
      <c r="AE1288" s="3">
        <v>1</v>
      </c>
      <c r="AF1288" s="3">
        <v>7</v>
      </c>
      <c r="AG1288" s="3">
        <v>7</v>
      </c>
      <c r="AH1288" s="3">
        <v>3</v>
      </c>
      <c r="AI1288" s="3">
        <v>3</v>
      </c>
      <c r="AJ1288" s="3">
        <v>1</v>
      </c>
      <c r="AK1288" s="3">
        <v>1</v>
      </c>
      <c r="AL1288" s="3">
        <v>4</v>
      </c>
      <c r="AM1288" s="3">
        <v>4</v>
      </c>
      <c r="AN1288" s="3">
        <v>0</v>
      </c>
      <c r="AO1288" s="3">
        <v>0</v>
      </c>
      <c r="AP1288" s="3">
        <v>0</v>
      </c>
      <c r="AQ1288" s="3">
        <v>0</v>
      </c>
      <c r="AR1288" s="2" t="s">
        <v>5</v>
      </c>
      <c r="AS1288" s="2" t="s">
        <v>16</v>
      </c>
      <c r="AT1288" s="5" t="str">
        <f>HYPERLINK("http://catalog.hathitrust.org/Record/000846164","HathiTrust Record")</f>
        <v>HathiTrust Record</v>
      </c>
      <c r="AU1288" s="5" t="str">
        <f>HYPERLINK("https://creighton-primo.hosted.exlibrisgroup.com/primo-explore/search?tab=default_tab&amp;search_scope=EVERYTHING&amp;vid=01CRU&amp;lang=en_US&amp;offset=0&amp;query=any,contains,991001528339702656","Catalog Record")</f>
        <v>Catalog Record</v>
      </c>
      <c r="AV1288" s="5" t="str">
        <f>HYPERLINK("http://www.worldcat.org/oclc/15697048","WorldCat Record")</f>
        <v>WorldCat Record</v>
      </c>
      <c r="AW1288" s="2" t="s">
        <v>15469</v>
      </c>
      <c r="AX1288" s="2" t="s">
        <v>15470</v>
      </c>
      <c r="AY1288" s="2" t="s">
        <v>15471</v>
      </c>
      <c r="AZ1288" s="2" t="s">
        <v>15471</v>
      </c>
      <c r="BA1288" s="2" t="s">
        <v>15472</v>
      </c>
      <c r="BB1288" s="2" t="s">
        <v>21</v>
      </c>
      <c r="BE1288" s="2" t="s">
        <v>15473</v>
      </c>
      <c r="BF1288" s="2" t="s">
        <v>15474</v>
      </c>
    </row>
    <row r="1289" spans="1:58" ht="41.25" customHeight="1" x14ac:dyDescent="0.25">
      <c r="A1289" s="8" t="s">
        <v>5</v>
      </c>
      <c r="B1289" s="1" t="s">
        <v>0</v>
      </c>
      <c r="C1289" s="1" t="s">
        <v>1</v>
      </c>
      <c r="D1289" s="1" t="s">
        <v>15475</v>
      </c>
      <c r="E1289" s="1" t="s">
        <v>15476</v>
      </c>
      <c r="F1289" s="1" t="s">
        <v>15477</v>
      </c>
      <c r="H1289" s="2" t="s">
        <v>5</v>
      </c>
      <c r="I1289" s="2" t="s">
        <v>6</v>
      </c>
      <c r="J1289" s="2" t="s">
        <v>5</v>
      </c>
      <c r="K1289" s="2" t="s">
        <v>16</v>
      </c>
      <c r="L1289" s="2" t="s">
        <v>7</v>
      </c>
      <c r="M1289" s="1" t="s">
        <v>15478</v>
      </c>
      <c r="N1289" s="1" t="s">
        <v>14970</v>
      </c>
      <c r="O1289" s="2" t="s">
        <v>1004</v>
      </c>
      <c r="Q1289" s="2" t="s">
        <v>11</v>
      </c>
      <c r="R1289" s="2" t="s">
        <v>1140</v>
      </c>
      <c r="T1289" s="2" t="s">
        <v>520</v>
      </c>
      <c r="U1289" s="3">
        <v>9</v>
      </c>
      <c r="V1289" s="3">
        <v>9</v>
      </c>
      <c r="W1289" s="4" t="s">
        <v>15455</v>
      </c>
      <c r="X1289" s="4" t="s">
        <v>15455</v>
      </c>
      <c r="Y1289" s="4" t="s">
        <v>7443</v>
      </c>
      <c r="Z1289" s="4" t="s">
        <v>7443</v>
      </c>
      <c r="AA1289" s="3">
        <v>183</v>
      </c>
      <c r="AB1289" s="3">
        <v>171</v>
      </c>
      <c r="AC1289" s="3">
        <v>670</v>
      </c>
      <c r="AD1289" s="3">
        <v>1</v>
      </c>
      <c r="AE1289" s="3">
        <v>3</v>
      </c>
      <c r="AF1289" s="3">
        <v>3</v>
      </c>
      <c r="AG1289" s="3">
        <v>32</v>
      </c>
      <c r="AH1289" s="3">
        <v>0</v>
      </c>
      <c r="AI1289" s="3">
        <v>11</v>
      </c>
      <c r="AJ1289" s="3">
        <v>0</v>
      </c>
      <c r="AK1289" s="3">
        <v>5</v>
      </c>
      <c r="AL1289" s="3">
        <v>2</v>
      </c>
      <c r="AM1289" s="3">
        <v>15</v>
      </c>
      <c r="AN1289" s="3">
        <v>0</v>
      </c>
      <c r="AO1289" s="3">
        <v>2</v>
      </c>
      <c r="AP1289" s="3">
        <v>1</v>
      </c>
      <c r="AQ1289" s="3">
        <v>5</v>
      </c>
      <c r="AR1289" s="2" t="s">
        <v>5</v>
      </c>
      <c r="AS1289" s="2" t="s">
        <v>16</v>
      </c>
      <c r="AT1289" s="5" t="str">
        <f>HYPERLINK("http://catalog.hathitrust.org/Record/004011237","HathiTrust Record")</f>
        <v>HathiTrust Record</v>
      </c>
      <c r="AU1289" s="5" t="str">
        <f>HYPERLINK("https://creighton-primo.hosted.exlibrisgroup.com/primo-explore/search?tab=default_tab&amp;search_scope=EVERYTHING&amp;vid=01CRU&amp;lang=en_US&amp;offset=0&amp;query=any,contains,991001338219702656","Catalog Record")</f>
        <v>Catalog Record</v>
      </c>
      <c r="AV1289" s="5" t="str">
        <f>HYPERLINK("http://www.worldcat.org/oclc/39658252","WorldCat Record")</f>
        <v>WorldCat Record</v>
      </c>
      <c r="AW1289" s="2" t="s">
        <v>15479</v>
      </c>
      <c r="AX1289" s="2" t="s">
        <v>15480</v>
      </c>
      <c r="AY1289" s="2" t="s">
        <v>15481</v>
      </c>
      <c r="AZ1289" s="2" t="s">
        <v>15481</v>
      </c>
      <c r="BA1289" s="2" t="s">
        <v>15482</v>
      </c>
      <c r="BB1289" s="2" t="s">
        <v>21</v>
      </c>
      <c r="BD1289" s="2" t="s">
        <v>15483</v>
      </c>
      <c r="BE1289" s="2" t="s">
        <v>15484</v>
      </c>
      <c r="BF1289" s="2" t="s">
        <v>15485</v>
      </c>
    </row>
    <row r="1290" spans="1:58" ht="41.25" customHeight="1" x14ac:dyDescent="0.25">
      <c r="A1290" s="8" t="s">
        <v>5</v>
      </c>
      <c r="B1290" s="1" t="s">
        <v>0</v>
      </c>
      <c r="C1290" s="1" t="s">
        <v>1</v>
      </c>
      <c r="D1290" s="1" t="s">
        <v>15486</v>
      </c>
      <c r="E1290" s="1" t="s">
        <v>15487</v>
      </c>
      <c r="F1290" s="1" t="s">
        <v>15488</v>
      </c>
      <c r="H1290" s="2" t="s">
        <v>5</v>
      </c>
      <c r="I1290" s="2" t="s">
        <v>6</v>
      </c>
      <c r="J1290" s="2" t="s">
        <v>5</v>
      </c>
      <c r="K1290" s="2" t="s">
        <v>5</v>
      </c>
      <c r="L1290" s="2" t="s">
        <v>7</v>
      </c>
      <c r="N1290" s="1" t="s">
        <v>8296</v>
      </c>
      <c r="O1290" s="2" t="s">
        <v>989</v>
      </c>
      <c r="Q1290" s="2" t="s">
        <v>11</v>
      </c>
      <c r="R1290" s="2" t="s">
        <v>426</v>
      </c>
      <c r="T1290" s="2" t="s">
        <v>520</v>
      </c>
      <c r="U1290" s="3">
        <v>26</v>
      </c>
      <c r="V1290" s="3">
        <v>26</v>
      </c>
      <c r="W1290" s="4" t="s">
        <v>1285</v>
      </c>
      <c r="X1290" s="4" t="s">
        <v>1285</v>
      </c>
      <c r="Y1290" s="4" t="s">
        <v>15489</v>
      </c>
      <c r="Z1290" s="4" t="s">
        <v>15489</v>
      </c>
      <c r="AA1290" s="3">
        <v>282</v>
      </c>
      <c r="AB1290" s="3">
        <v>227</v>
      </c>
      <c r="AC1290" s="3">
        <v>237</v>
      </c>
      <c r="AD1290" s="3">
        <v>2</v>
      </c>
      <c r="AE1290" s="3">
        <v>2</v>
      </c>
      <c r="AF1290" s="3">
        <v>14</v>
      </c>
      <c r="AG1290" s="3">
        <v>14</v>
      </c>
      <c r="AH1290" s="3">
        <v>5</v>
      </c>
      <c r="AI1290" s="3">
        <v>5</v>
      </c>
      <c r="AJ1290" s="3">
        <v>3</v>
      </c>
      <c r="AK1290" s="3">
        <v>3</v>
      </c>
      <c r="AL1290" s="3">
        <v>9</v>
      </c>
      <c r="AM1290" s="3">
        <v>9</v>
      </c>
      <c r="AN1290" s="3">
        <v>1</v>
      </c>
      <c r="AO1290" s="3">
        <v>1</v>
      </c>
      <c r="AP1290" s="3">
        <v>0</v>
      </c>
      <c r="AQ1290" s="3">
        <v>0</v>
      </c>
      <c r="AR1290" s="2" t="s">
        <v>5</v>
      </c>
      <c r="AS1290" s="2" t="s">
        <v>16</v>
      </c>
      <c r="AT1290" s="5" t="str">
        <f>HYPERLINK("http://catalog.hathitrust.org/Record/001826522","HathiTrust Record")</f>
        <v>HathiTrust Record</v>
      </c>
      <c r="AU1290" s="5" t="str">
        <f>HYPERLINK("https://creighton-primo.hosted.exlibrisgroup.com/primo-explore/search?tab=default_tab&amp;search_scope=EVERYTHING&amp;vid=01CRU&amp;lang=en_US&amp;offset=0&amp;query=any,contains,991000944309702656","Catalog Record")</f>
        <v>Catalog Record</v>
      </c>
      <c r="AV1290" s="5" t="str">
        <f>HYPERLINK("http://www.worldcat.org/oclc/19517334","WorldCat Record")</f>
        <v>WorldCat Record</v>
      </c>
      <c r="AW1290" s="2" t="s">
        <v>15490</v>
      </c>
      <c r="AX1290" s="2" t="s">
        <v>15491</v>
      </c>
      <c r="AY1290" s="2" t="s">
        <v>15492</v>
      </c>
      <c r="AZ1290" s="2" t="s">
        <v>15492</v>
      </c>
      <c r="BA1290" s="2" t="s">
        <v>15493</v>
      </c>
      <c r="BB1290" s="2" t="s">
        <v>21</v>
      </c>
      <c r="BD1290" s="2" t="s">
        <v>15494</v>
      </c>
      <c r="BE1290" s="2" t="s">
        <v>15495</v>
      </c>
      <c r="BF1290" s="2" t="s">
        <v>15496</v>
      </c>
    </row>
    <row r="1291" spans="1:58" ht="41.25" customHeight="1" x14ac:dyDescent="0.25">
      <c r="A1291" s="8" t="s">
        <v>5</v>
      </c>
      <c r="B1291" s="1" t="s">
        <v>0</v>
      </c>
      <c r="C1291" s="1" t="s">
        <v>1</v>
      </c>
      <c r="D1291" s="1" t="s">
        <v>15497</v>
      </c>
      <c r="E1291" s="1" t="s">
        <v>15498</v>
      </c>
      <c r="F1291" s="1" t="s">
        <v>15499</v>
      </c>
      <c r="H1291" s="2" t="s">
        <v>5</v>
      </c>
      <c r="I1291" s="2" t="s">
        <v>6</v>
      </c>
      <c r="J1291" s="2" t="s">
        <v>5</v>
      </c>
      <c r="K1291" s="2" t="s">
        <v>5</v>
      </c>
      <c r="L1291" s="2" t="s">
        <v>7</v>
      </c>
      <c r="N1291" s="1" t="s">
        <v>6543</v>
      </c>
      <c r="O1291" s="2" t="s">
        <v>872</v>
      </c>
      <c r="P1291" s="1" t="s">
        <v>211</v>
      </c>
      <c r="Q1291" s="2" t="s">
        <v>11</v>
      </c>
      <c r="R1291" s="2" t="s">
        <v>78</v>
      </c>
      <c r="T1291" s="2" t="s">
        <v>520</v>
      </c>
      <c r="U1291" s="3">
        <v>54</v>
      </c>
      <c r="V1291" s="3">
        <v>54</v>
      </c>
      <c r="W1291" s="4" t="s">
        <v>1285</v>
      </c>
      <c r="X1291" s="4" t="s">
        <v>1285</v>
      </c>
      <c r="Y1291" s="4" t="s">
        <v>15500</v>
      </c>
      <c r="Z1291" s="4" t="s">
        <v>15500</v>
      </c>
      <c r="AA1291" s="3">
        <v>344</v>
      </c>
      <c r="AB1291" s="3">
        <v>236</v>
      </c>
      <c r="AC1291" s="3">
        <v>328</v>
      </c>
      <c r="AD1291" s="3">
        <v>2</v>
      </c>
      <c r="AE1291" s="3">
        <v>2</v>
      </c>
      <c r="AF1291" s="3">
        <v>12</v>
      </c>
      <c r="AG1291" s="3">
        <v>16</v>
      </c>
      <c r="AH1291" s="3">
        <v>4</v>
      </c>
      <c r="AI1291" s="3">
        <v>7</v>
      </c>
      <c r="AJ1291" s="3">
        <v>3</v>
      </c>
      <c r="AK1291" s="3">
        <v>3</v>
      </c>
      <c r="AL1291" s="3">
        <v>6</v>
      </c>
      <c r="AM1291" s="3">
        <v>9</v>
      </c>
      <c r="AN1291" s="3">
        <v>1</v>
      </c>
      <c r="AO1291" s="3">
        <v>1</v>
      </c>
      <c r="AP1291" s="3">
        <v>0</v>
      </c>
      <c r="AQ1291" s="3">
        <v>0</v>
      </c>
      <c r="AR1291" s="2" t="s">
        <v>5</v>
      </c>
      <c r="AS1291" s="2" t="s">
        <v>16</v>
      </c>
      <c r="AT1291" s="5" t="str">
        <f>HYPERLINK("http://catalog.hathitrust.org/Record/001085652","HathiTrust Record")</f>
        <v>HathiTrust Record</v>
      </c>
      <c r="AU1291" s="5" t="str">
        <f>HYPERLINK("https://creighton-primo.hosted.exlibrisgroup.com/primo-explore/search?tab=default_tab&amp;search_scope=EVERYTHING&amp;vid=01CRU&amp;lang=en_US&amp;offset=0&amp;query=any,contains,991000682559702656","Catalog Record")</f>
        <v>Catalog Record</v>
      </c>
      <c r="AV1291" s="5" t="str">
        <f>HYPERLINK("http://www.worldcat.org/oclc/18557615","WorldCat Record")</f>
        <v>WorldCat Record</v>
      </c>
      <c r="AW1291" s="2" t="s">
        <v>15501</v>
      </c>
      <c r="AX1291" s="2" t="s">
        <v>15502</v>
      </c>
      <c r="AY1291" s="2" t="s">
        <v>15503</v>
      </c>
      <c r="AZ1291" s="2" t="s">
        <v>15503</v>
      </c>
      <c r="BA1291" s="2" t="s">
        <v>15504</v>
      </c>
      <c r="BB1291" s="2" t="s">
        <v>21</v>
      </c>
      <c r="BD1291" s="2" t="s">
        <v>15505</v>
      </c>
      <c r="BE1291" s="2" t="s">
        <v>15506</v>
      </c>
      <c r="BF1291" s="2" t="s">
        <v>15507</v>
      </c>
    </row>
    <row r="1292" spans="1:58" ht="41.25" customHeight="1" x14ac:dyDescent="0.25">
      <c r="A1292" s="8" t="s">
        <v>5</v>
      </c>
      <c r="B1292" s="1" t="s">
        <v>0</v>
      </c>
      <c r="C1292" s="1" t="s">
        <v>1</v>
      </c>
      <c r="D1292" s="1" t="s">
        <v>15508</v>
      </c>
      <c r="E1292" s="1" t="s">
        <v>15509</v>
      </c>
      <c r="F1292" s="1" t="s">
        <v>15510</v>
      </c>
      <c r="H1292" s="2" t="s">
        <v>5</v>
      </c>
      <c r="I1292" s="2" t="s">
        <v>6</v>
      </c>
      <c r="J1292" s="2" t="s">
        <v>5</v>
      </c>
      <c r="K1292" s="2" t="s">
        <v>16</v>
      </c>
      <c r="L1292" s="2" t="s">
        <v>7</v>
      </c>
      <c r="M1292" s="1" t="s">
        <v>15511</v>
      </c>
      <c r="N1292" s="1" t="s">
        <v>11686</v>
      </c>
      <c r="O1292" s="2" t="s">
        <v>1283</v>
      </c>
      <c r="Q1292" s="2" t="s">
        <v>11</v>
      </c>
      <c r="R1292" s="2" t="s">
        <v>78</v>
      </c>
      <c r="T1292" s="2" t="s">
        <v>520</v>
      </c>
      <c r="U1292" s="3">
        <v>17</v>
      </c>
      <c r="V1292" s="3">
        <v>17</v>
      </c>
      <c r="W1292" s="4" t="s">
        <v>15512</v>
      </c>
      <c r="X1292" s="4" t="s">
        <v>15512</v>
      </c>
      <c r="Y1292" s="4" t="s">
        <v>15513</v>
      </c>
      <c r="Z1292" s="4" t="s">
        <v>15513</v>
      </c>
      <c r="AA1292" s="3">
        <v>175</v>
      </c>
      <c r="AB1292" s="3">
        <v>140</v>
      </c>
      <c r="AC1292" s="3">
        <v>503</v>
      </c>
      <c r="AD1292" s="3">
        <v>2</v>
      </c>
      <c r="AE1292" s="3">
        <v>3</v>
      </c>
      <c r="AF1292" s="3">
        <v>6</v>
      </c>
      <c r="AG1292" s="3">
        <v>20</v>
      </c>
      <c r="AH1292" s="3">
        <v>3</v>
      </c>
      <c r="AI1292" s="3">
        <v>7</v>
      </c>
      <c r="AJ1292" s="3">
        <v>1</v>
      </c>
      <c r="AK1292" s="3">
        <v>4</v>
      </c>
      <c r="AL1292" s="3">
        <v>2</v>
      </c>
      <c r="AM1292" s="3">
        <v>11</v>
      </c>
      <c r="AN1292" s="3">
        <v>1</v>
      </c>
      <c r="AO1292" s="3">
        <v>2</v>
      </c>
      <c r="AP1292" s="3">
        <v>0</v>
      </c>
      <c r="AQ1292" s="3">
        <v>0</v>
      </c>
      <c r="AR1292" s="2" t="s">
        <v>5</v>
      </c>
      <c r="AS1292" s="2" t="s">
        <v>16</v>
      </c>
      <c r="AT1292" s="5" t="str">
        <f>HYPERLINK("http://catalog.hathitrust.org/Record/003165409","HathiTrust Record")</f>
        <v>HathiTrust Record</v>
      </c>
      <c r="AU1292" s="5" t="str">
        <f>HYPERLINK("https://creighton-primo.hosted.exlibrisgroup.com/primo-explore/search?tab=default_tab&amp;search_scope=EVERYTHING&amp;vid=01CRU&amp;lang=en_US&amp;offset=0&amp;query=any,contains,991001226819702656","Catalog Record")</f>
        <v>Catalog Record</v>
      </c>
      <c r="AV1292" s="5" t="str">
        <f>HYPERLINK("http://www.worldcat.org/oclc/35836748","WorldCat Record")</f>
        <v>WorldCat Record</v>
      </c>
      <c r="AW1292" s="2" t="s">
        <v>15514</v>
      </c>
      <c r="AX1292" s="2" t="s">
        <v>15515</v>
      </c>
      <c r="AY1292" s="2" t="s">
        <v>15516</v>
      </c>
      <c r="AZ1292" s="2" t="s">
        <v>15516</v>
      </c>
      <c r="BA1292" s="2" t="s">
        <v>15517</v>
      </c>
      <c r="BB1292" s="2" t="s">
        <v>21</v>
      </c>
      <c r="BD1292" s="2" t="s">
        <v>15518</v>
      </c>
      <c r="BE1292" s="2" t="s">
        <v>15519</v>
      </c>
      <c r="BF1292" s="2" t="s">
        <v>15520</v>
      </c>
    </row>
    <row r="1293" spans="1:58" ht="41.25" customHeight="1" x14ac:dyDescent="0.25">
      <c r="A1293" s="8" t="s">
        <v>5</v>
      </c>
      <c r="B1293" s="1" t="s">
        <v>0</v>
      </c>
      <c r="C1293" s="1" t="s">
        <v>1</v>
      </c>
      <c r="D1293" s="1" t="s">
        <v>15521</v>
      </c>
      <c r="E1293" s="1" t="s">
        <v>15522</v>
      </c>
      <c r="F1293" s="1" t="s">
        <v>15510</v>
      </c>
      <c r="H1293" s="2" t="s">
        <v>5</v>
      </c>
      <c r="I1293" s="2" t="s">
        <v>6</v>
      </c>
      <c r="J1293" s="2" t="s">
        <v>5</v>
      </c>
      <c r="K1293" s="2" t="s">
        <v>16</v>
      </c>
      <c r="L1293" s="2" t="s">
        <v>7</v>
      </c>
      <c r="M1293" s="1" t="s">
        <v>15511</v>
      </c>
      <c r="N1293" s="1" t="s">
        <v>15523</v>
      </c>
      <c r="O1293" s="2" t="s">
        <v>1195</v>
      </c>
      <c r="P1293" s="1" t="s">
        <v>211</v>
      </c>
      <c r="Q1293" s="2" t="s">
        <v>11</v>
      </c>
      <c r="R1293" s="2" t="s">
        <v>78</v>
      </c>
      <c r="T1293" s="2" t="s">
        <v>520</v>
      </c>
      <c r="U1293" s="3">
        <v>3</v>
      </c>
      <c r="V1293" s="3">
        <v>3</v>
      </c>
      <c r="W1293" s="4" t="s">
        <v>15524</v>
      </c>
      <c r="X1293" s="4" t="s">
        <v>15524</v>
      </c>
      <c r="Y1293" s="4" t="s">
        <v>15525</v>
      </c>
      <c r="Z1293" s="4" t="s">
        <v>15525</v>
      </c>
      <c r="AA1293" s="3">
        <v>214</v>
      </c>
      <c r="AB1293" s="3">
        <v>173</v>
      </c>
      <c r="AC1293" s="3">
        <v>503</v>
      </c>
      <c r="AD1293" s="3">
        <v>0</v>
      </c>
      <c r="AE1293" s="3">
        <v>3</v>
      </c>
      <c r="AF1293" s="3">
        <v>6</v>
      </c>
      <c r="AG1293" s="3">
        <v>20</v>
      </c>
      <c r="AH1293" s="3">
        <v>3</v>
      </c>
      <c r="AI1293" s="3">
        <v>7</v>
      </c>
      <c r="AJ1293" s="3">
        <v>0</v>
      </c>
      <c r="AK1293" s="3">
        <v>4</v>
      </c>
      <c r="AL1293" s="3">
        <v>4</v>
      </c>
      <c r="AM1293" s="3">
        <v>11</v>
      </c>
      <c r="AN1293" s="3">
        <v>0</v>
      </c>
      <c r="AO1293" s="3">
        <v>2</v>
      </c>
      <c r="AP1293" s="3">
        <v>0</v>
      </c>
      <c r="AQ1293" s="3">
        <v>0</v>
      </c>
      <c r="AR1293" s="2" t="s">
        <v>5</v>
      </c>
      <c r="AS1293" s="2" t="s">
        <v>16</v>
      </c>
      <c r="AT1293" s="5" t="str">
        <f>HYPERLINK("http://catalog.hathitrust.org/Record/004090980","HathiTrust Record")</f>
        <v>HathiTrust Record</v>
      </c>
      <c r="AU1293" s="5" t="str">
        <f>HYPERLINK("https://creighton-primo.hosted.exlibrisgroup.com/primo-explore/search?tab=default_tab&amp;search_scope=EVERYTHING&amp;vid=01CRU&amp;lang=en_US&amp;offset=0&amp;query=any,contains,991001709899702656","Catalog Record")</f>
        <v>Catalog Record</v>
      </c>
      <c r="AV1293" s="5" t="str">
        <f>HYPERLINK("http://www.worldcat.org/oclc/42598322","WorldCat Record")</f>
        <v>WorldCat Record</v>
      </c>
      <c r="AW1293" s="2" t="s">
        <v>15514</v>
      </c>
      <c r="AX1293" s="2" t="s">
        <v>15526</v>
      </c>
      <c r="AY1293" s="2" t="s">
        <v>15527</v>
      </c>
      <c r="AZ1293" s="2" t="s">
        <v>15527</v>
      </c>
      <c r="BA1293" s="2" t="s">
        <v>15528</v>
      </c>
      <c r="BB1293" s="2" t="s">
        <v>21</v>
      </c>
      <c r="BD1293" s="2" t="s">
        <v>15529</v>
      </c>
      <c r="BE1293" s="2" t="s">
        <v>15530</v>
      </c>
      <c r="BF1293" s="2" t="s">
        <v>15531</v>
      </c>
    </row>
    <row r="1294" spans="1:58" ht="41.25" customHeight="1" x14ac:dyDescent="0.25">
      <c r="A1294" s="8" t="s">
        <v>5</v>
      </c>
      <c r="B1294" s="1" t="s">
        <v>0</v>
      </c>
      <c r="C1294" s="1" t="s">
        <v>1</v>
      </c>
      <c r="D1294" s="1" t="s">
        <v>15532</v>
      </c>
      <c r="E1294" s="1" t="s">
        <v>15533</v>
      </c>
      <c r="F1294" s="1" t="s">
        <v>15534</v>
      </c>
      <c r="H1294" s="2" t="s">
        <v>5</v>
      </c>
      <c r="I1294" s="2" t="s">
        <v>6</v>
      </c>
      <c r="J1294" s="2" t="s">
        <v>5</v>
      </c>
      <c r="K1294" s="2" t="s">
        <v>5</v>
      </c>
      <c r="L1294" s="2" t="s">
        <v>7</v>
      </c>
      <c r="M1294" s="1" t="s">
        <v>15535</v>
      </c>
      <c r="N1294" s="1" t="s">
        <v>15536</v>
      </c>
      <c r="O1294" s="2" t="s">
        <v>1102</v>
      </c>
      <c r="Q1294" s="2" t="s">
        <v>11</v>
      </c>
      <c r="R1294" s="2" t="s">
        <v>426</v>
      </c>
      <c r="S1294" s="1" t="s">
        <v>15537</v>
      </c>
      <c r="T1294" s="2" t="s">
        <v>520</v>
      </c>
      <c r="U1294" s="3">
        <v>1</v>
      </c>
      <c r="V1294" s="3">
        <v>1</v>
      </c>
      <c r="W1294" s="4" t="s">
        <v>15538</v>
      </c>
      <c r="X1294" s="4" t="s">
        <v>15538</v>
      </c>
      <c r="Y1294" s="4" t="s">
        <v>604</v>
      </c>
      <c r="Z1294" s="4" t="s">
        <v>604</v>
      </c>
      <c r="AA1294" s="3">
        <v>83</v>
      </c>
      <c r="AB1294" s="3">
        <v>81</v>
      </c>
      <c r="AC1294" s="3">
        <v>91</v>
      </c>
      <c r="AD1294" s="3">
        <v>2</v>
      </c>
      <c r="AE1294" s="3">
        <v>2</v>
      </c>
      <c r="AF1294" s="3">
        <v>4</v>
      </c>
      <c r="AG1294" s="3">
        <v>4</v>
      </c>
      <c r="AH1294" s="3">
        <v>1</v>
      </c>
      <c r="AI1294" s="3">
        <v>1</v>
      </c>
      <c r="AJ1294" s="3">
        <v>1</v>
      </c>
      <c r="AK1294" s="3">
        <v>1</v>
      </c>
      <c r="AL1294" s="3">
        <v>4</v>
      </c>
      <c r="AM1294" s="3">
        <v>4</v>
      </c>
      <c r="AN1294" s="3">
        <v>0</v>
      </c>
      <c r="AO1294" s="3">
        <v>0</v>
      </c>
      <c r="AP1294" s="3">
        <v>0</v>
      </c>
      <c r="AQ1294" s="3">
        <v>0</v>
      </c>
      <c r="AR1294" s="2" t="s">
        <v>5</v>
      </c>
      <c r="AS1294" s="2" t="s">
        <v>16</v>
      </c>
      <c r="AT1294" s="5" t="str">
        <f>HYPERLINK("http://catalog.hathitrust.org/Record/000634528","HathiTrust Record")</f>
        <v>HathiTrust Record</v>
      </c>
      <c r="AU1294" s="5" t="str">
        <f>HYPERLINK("https://creighton-primo.hosted.exlibrisgroup.com/primo-explore/search?tab=default_tab&amp;search_scope=EVERYTHING&amp;vid=01CRU&amp;lang=en_US&amp;offset=0&amp;query=any,contains,991000216349702656","Catalog Record")</f>
        <v>Catalog Record</v>
      </c>
      <c r="AV1294" s="5" t="str">
        <f>HYPERLINK("http://www.worldcat.org/oclc/14283461","WorldCat Record")</f>
        <v>WorldCat Record</v>
      </c>
      <c r="AW1294" s="2" t="s">
        <v>15539</v>
      </c>
      <c r="AX1294" s="2" t="s">
        <v>15540</v>
      </c>
      <c r="AY1294" s="2" t="s">
        <v>15541</v>
      </c>
      <c r="AZ1294" s="2" t="s">
        <v>15541</v>
      </c>
      <c r="BA1294" s="2" t="s">
        <v>15542</v>
      </c>
      <c r="BB1294" s="2" t="s">
        <v>21</v>
      </c>
      <c r="BE1294" s="2" t="s">
        <v>15543</v>
      </c>
      <c r="BF1294" s="2" t="s">
        <v>15544</v>
      </c>
    </row>
    <row r="1295" spans="1:58" ht="41.25" customHeight="1" x14ac:dyDescent="0.25">
      <c r="A1295" s="8" t="s">
        <v>5</v>
      </c>
      <c r="B1295" s="1" t="s">
        <v>0</v>
      </c>
      <c r="C1295" s="1" t="s">
        <v>1</v>
      </c>
      <c r="D1295" s="1" t="s">
        <v>15545</v>
      </c>
      <c r="E1295" s="1" t="s">
        <v>15546</v>
      </c>
      <c r="F1295" s="1" t="s">
        <v>15547</v>
      </c>
      <c r="H1295" s="2" t="s">
        <v>5</v>
      </c>
      <c r="I1295" s="2" t="s">
        <v>6</v>
      </c>
      <c r="J1295" s="2" t="s">
        <v>5</v>
      </c>
      <c r="K1295" s="2" t="s">
        <v>5</v>
      </c>
      <c r="L1295" s="2" t="s">
        <v>7</v>
      </c>
      <c r="M1295" s="1" t="s">
        <v>10041</v>
      </c>
      <c r="N1295" s="1" t="s">
        <v>15548</v>
      </c>
      <c r="O1295" s="2" t="s">
        <v>62</v>
      </c>
      <c r="Q1295" s="2" t="s">
        <v>11</v>
      </c>
      <c r="R1295" s="2" t="s">
        <v>12</v>
      </c>
      <c r="T1295" s="2" t="s">
        <v>520</v>
      </c>
      <c r="U1295" s="3">
        <v>1</v>
      </c>
      <c r="V1295" s="3">
        <v>1</v>
      </c>
      <c r="W1295" s="4" t="s">
        <v>10030</v>
      </c>
      <c r="X1295" s="4" t="s">
        <v>10030</v>
      </c>
      <c r="Y1295" s="4" t="s">
        <v>197</v>
      </c>
      <c r="Z1295" s="4" t="s">
        <v>197</v>
      </c>
      <c r="AA1295" s="3">
        <v>196</v>
      </c>
      <c r="AB1295" s="3">
        <v>167</v>
      </c>
      <c r="AC1295" s="3">
        <v>175</v>
      </c>
      <c r="AD1295" s="3">
        <v>3</v>
      </c>
      <c r="AE1295" s="3">
        <v>3</v>
      </c>
      <c r="AF1295" s="3">
        <v>8</v>
      </c>
      <c r="AG1295" s="3">
        <v>8</v>
      </c>
      <c r="AH1295" s="3">
        <v>2</v>
      </c>
      <c r="AI1295" s="3">
        <v>2</v>
      </c>
      <c r="AJ1295" s="3">
        <v>2</v>
      </c>
      <c r="AK1295" s="3">
        <v>2</v>
      </c>
      <c r="AL1295" s="3">
        <v>4</v>
      </c>
      <c r="AM1295" s="3">
        <v>4</v>
      </c>
      <c r="AN1295" s="3">
        <v>2</v>
      </c>
      <c r="AO1295" s="3">
        <v>2</v>
      </c>
      <c r="AP1295" s="3">
        <v>0</v>
      </c>
      <c r="AQ1295" s="3">
        <v>0</v>
      </c>
      <c r="AR1295" s="2" t="s">
        <v>5</v>
      </c>
      <c r="AS1295" s="2" t="s">
        <v>16</v>
      </c>
      <c r="AT1295" s="5" t="str">
        <f>HYPERLINK("http://catalog.hathitrust.org/Record/000748307","HathiTrust Record")</f>
        <v>HathiTrust Record</v>
      </c>
      <c r="AU1295" s="5" t="str">
        <f>HYPERLINK("https://creighton-primo.hosted.exlibrisgroup.com/primo-explore/search?tab=default_tab&amp;search_scope=EVERYTHING&amp;vid=01CRU&amp;lang=en_US&amp;offset=0&amp;query=any,contains,991001084599702656","Catalog Record")</f>
        <v>Catalog Record</v>
      </c>
      <c r="AV1295" s="5" t="str">
        <f>HYPERLINK("http://www.worldcat.org/oclc/3310297","WorldCat Record")</f>
        <v>WorldCat Record</v>
      </c>
      <c r="AW1295" s="2" t="s">
        <v>15549</v>
      </c>
      <c r="AX1295" s="2" t="s">
        <v>15550</v>
      </c>
      <c r="AY1295" s="2" t="s">
        <v>15551</v>
      </c>
      <c r="AZ1295" s="2" t="s">
        <v>15551</v>
      </c>
      <c r="BA1295" s="2" t="s">
        <v>15552</v>
      </c>
      <c r="BB1295" s="2" t="s">
        <v>21</v>
      </c>
      <c r="BD1295" s="2" t="s">
        <v>15553</v>
      </c>
      <c r="BE1295" s="2" t="s">
        <v>15554</v>
      </c>
      <c r="BF1295" s="2" t="s">
        <v>15555</v>
      </c>
    </row>
    <row r="1296" spans="1:58" ht="41.25" customHeight="1" x14ac:dyDescent="0.25">
      <c r="A1296" s="8" t="s">
        <v>5</v>
      </c>
      <c r="B1296" s="1" t="s">
        <v>0</v>
      </c>
      <c r="C1296" s="1" t="s">
        <v>1</v>
      </c>
      <c r="D1296" s="1" t="s">
        <v>15556</v>
      </c>
      <c r="E1296" s="1" t="s">
        <v>15557</v>
      </c>
      <c r="F1296" s="1" t="s">
        <v>15558</v>
      </c>
      <c r="H1296" s="2" t="s">
        <v>5</v>
      </c>
      <c r="I1296" s="2" t="s">
        <v>6</v>
      </c>
      <c r="J1296" s="2" t="s">
        <v>5</v>
      </c>
      <c r="K1296" s="2" t="s">
        <v>5</v>
      </c>
      <c r="L1296" s="2" t="s">
        <v>7</v>
      </c>
      <c r="N1296" s="1" t="s">
        <v>15559</v>
      </c>
      <c r="O1296" s="2" t="s">
        <v>354</v>
      </c>
      <c r="Q1296" s="2" t="s">
        <v>11</v>
      </c>
      <c r="R1296" s="2" t="s">
        <v>426</v>
      </c>
      <c r="S1296" s="1" t="s">
        <v>15560</v>
      </c>
      <c r="T1296" s="2" t="s">
        <v>520</v>
      </c>
      <c r="U1296" s="3">
        <v>3</v>
      </c>
      <c r="V1296" s="3">
        <v>3</v>
      </c>
      <c r="W1296" s="4" t="s">
        <v>15561</v>
      </c>
      <c r="X1296" s="4" t="s">
        <v>15561</v>
      </c>
      <c r="Y1296" s="4" t="s">
        <v>13589</v>
      </c>
      <c r="Z1296" s="4" t="s">
        <v>13589</v>
      </c>
      <c r="AA1296" s="3">
        <v>55</v>
      </c>
      <c r="AB1296" s="3">
        <v>47</v>
      </c>
      <c r="AC1296" s="3">
        <v>107</v>
      </c>
      <c r="AD1296" s="3">
        <v>1</v>
      </c>
      <c r="AE1296" s="3">
        <v>1</v>
      </c>
      <c r="AF1296" s="3">
        <v>1</v>
      </c>
      <c r="AG1296" s="3">
        <v>1</v>
      </c>
      <c r="AH1296" s="3">
        <v>0</v>
      </c>
      <c r="AI1296" s="3">
        <v>0</v>
      </c>
      <c r="AJ1296" s="3">
        <v>0</v>
      </c>
      <c r="AK1296" s="3">
        <v>0</v>
      </c>
      <c r="AL1296" s="3">
        <v>1</v>
      </c>
      <c r="AM1296" s="3">
        <v>1</v>
      </c>
      <c r="AN1296" s="3">
        <v>0</v>
      </c>
      <c r="AO1296" s="3">
        <v>0</v>
      </c>
      <c r="AP1296" s="3">
        <v>0</v>
      </c>
      <c r="AQ1296" s="3">
        <v>0</v>
      </c>
      <c r="AR1296" s="2" t="s">
        <v>5</v>
      </c>
      <c r="AS1296" s="2" t="s">
        <v>16</v>
      </c>
      <c r="AT1296" s="5" t="str">
        <f>HYPERLINK("http://catalog.hathitrust.org/Record/000225868","HathiTrust Record")</f>
        <v>HathiTrust Record</v>
      </c>
      <c r="AU1296" s="5" t="str">
        <f>HYPERLINK("https://creighton-primo.hosted.exlibrisgroup.com/primo-explore/search?tab=default_tab&amp;search_scope=EVERYTHING&amp;vid=01CRU&amp;lang=en_US&amp;offset=0&amp;query=any,contains,991001520279702656","Catalog Record")</f>
        <v>Catalog Record</v>
      </c>
      <c r="AV1296" s="5" t="str">
        <f>HYPERLINK("http://www.worldcat.org/oclc/7275736","WorldCat Record")</f>
        <v>WorldCat Record</v>
      </c>
      <c r="AW1296" s="2" t="s">
        <v>15562</v>
      </c>
      <c r="AX1296" s="2" t="s">
        <v>15563</v>
      </c>
      <c r="AY1296" s="2" t="s">
        <v>15564</v>
      </c>
      <c r="AZ1296" s="2" t="s">
        <v>15564</v>
      </c>
      <c r="BA1296" s="2" t="s">
        <v>15565</v>
      </c>
      <c r="BB1296" s="2" t="s">
        <v>21</v>
      </c>
      <c r="BE1296" s="2" t="s">
        <v>15566</v>
      </c>
      <c r="BF1296" s="2" t="s">
        <v>15567</v>
      </c>
    </row>
    <row r="1297" spans="1:58" ht="41.25" customHeight="1" x14ac:dyDescent="0.25">
      <c r="A1297" s="8" t="s">
        <v>5</v>
      </c>
      <c r="B1297" s="1" t="s">
        <v>0</v>
      </c>
      <c r="C1297" s="1" t="s">
        <v>1</v>
      </c>
      <c r="D1297" s="1" t="s">
        <v>15568</v>
      </c>
      <c r="E1297" s="1" t="s">
        <v>15569</v>
      </c>
      <c r="F1297" s="1" t="s">
        <v>15570</v>
      </c>
      <c r="H1297" s="2" t="s">
        <v>5</v>
      </c>
      <c r="I1297" s="2" t="s">
        <v>6</v>
      </c>
      <c r="J1297" s="2" t="s">
        <v>5</v>
      </c>
      <c r="K1297" s="2" t="s">
        <v>5</v>
      </c>
      <c r="L1297" s="2" t="s">
        <v>7</v>
      </c>
      <c r="M1297" s="1" t="s">
        <v>4316</v>
      </c>
      <c r="N1297" s="1" t="s">
        <v>15571</v>
      </c>
      <c r="O1297" s="2" t="s">
        <v>151</v>
      </c>
      <c r="Q1297" s="2" t="s">
        <v>11</v>
      </c>
      <c r="R1297" s="2" t="s">
        <v>93</v>
      </c>
      <c r="S1297" s="1" t="s">
        <v>15572</v>
      </c>
      <c r="T1297" s="2" t="s">
        <v>520</v>
      </c>
      <c r="U1297" s="3">
        <v>4</v>
      </c>
      <c r="V1297" s="3">
        <v>4</v>
      </c>
      <c r="W1297" s="4" t="s">
        <v>15573</v>
      </c>
      <c r="X1297" s="4" t="s">
        <v>15573</v>
      </c>
      <c r="Y1297" s="4" t="s">
        <v>124</v>
      </c>
      <c r="Z1297" s="4" t="s">
        <v>124</v>
      </c>
      <c r="AA1297" s="3">
        <v>45</v>
      </c>
      <c r="AB1297" s="3">
        <v>45</v>
      </c>
      <c r="AC1297" s="3">
        <v>45</v>
      </c>
      <c r="AD1297" s="3">
        <v>1</v>
      </c>
      <c r="AE1297" s="3">
        <v>1</v>
      </c>
      <c r="AF1297" s="3">
        <v>2</v>
      </c>
      <c r="AG1297" s="3">
        <v>2</v>
      </c>
      <c r="AH1297" s="3">
        <v>0</v>
      </c>
      <c r="AI1297" s="3">
        <v>0</v>
      </c>
      <c r="AJ1297" s="3">
        <v>0</v>
      </c>
      <c r="AK1297" s="3">
        <v>0</v>
      </c>
      <c r="AL1297" s="3">
        <v>2</v>
      </c>
      <c r="AM1297" s="3">
        <v>2</v>
      </c>
      <c r="AN1297" s="3">
        <v>0</v>
      </c>
      <c r="AO1297" s="3">
        <v>0</v>
      </c>
      <c r="AP1297" s="3">
        <v>0</v>
      </c>
      <c r="AQ1297" s="3">
        <v>0</v>
      </c>
      <c r="AR1297" s="2" t="s">
        <v>5</v>
      </c>
      <c r="AS1297" s="2" t="s">
        <v>5</v>
      </c>
      <c r="AU1297" s="5" t="str">
        <f>HYPERLINK("https://creighton-primo.hosted.exlibrisgroup.com/primo-explore/search?tab=default_tab&amp;search_scope=EVERYTHING&amp;vid=01CRU&amp;lang=en_US&amp;offset=0&amp;query=any,contains,991001368709702656","Catalog Record")</f>
        <v>Catalog Record</v>
      </c>
      <c r="AV1297" s="5" t="str">
        <f>HYPERLINK("http://www.worldcat.org/oclc/1471745","WorldCat Record")</f>
        <v>WorldCat Record</v>
      </c>
      <c r="AW1297" s="2" t="s">
        <v>15574</v>
      </c>
      <c r="AX1297" s="2" t="s">
        <v>15575</v>
      </c>
      <c r="AY1297" s="2" t="s">
        <v>15576</v>
      </c>
      <c r="AZ1297" s="2" t="s">
        <v>15576</v>
      </c>
      <c r="BA1297" s="2" t="s">
        <v>15577</v>
      </c>
      <c r="BB1297" s="2" t="s">
        <v>21</v>
      </c>
      <c r="BE1297" s="2" t="s">
        <v>15578</v>
      </c>
      <c r="BF1297" s="2" t="s">
        <v>15579</v>
      </c>
    </row>
    <row r="1298" spans="1:58" ht="41.25" customHeight="1" x14ac:dyDescent="0.25">
      <c r="A1298" s="8" t="s">
        <v>5</v>
      </c>
      <c r="B1298" s="1" t="s">
        <v>0</v>
      </c>
      <c r="C1298" s="1" t="s">
        <v>1</v>
      </c>
      <c r="D1298" s="1" t="s">
        <v>15580</v>
      </c>
      <c r="E1298" s="1" t="s">
        <v>15581</v>
      </c>
      <c r="F1298" s="1" t="s">
        <v>15582</v>
      </c>
      <c r="H1298" s="2" t="s">
        <v>5</v>
      </c>
      <c r="I1298" s="2" t="s">
        <v>6</v>
      </c>
      <c r="J1298" s="2" t="s">
        <v>5</v>
      </c>
      <c r="K1298" s="2" t="s">
        <v>5</v>
      </c>
      <c r="L1298" s="2" t="s">
        <v>7</v>
      </c>
      <c r="M1298" s="1" t="s">
        <v>15583</v>
      </c>
      <c r="N1298" s="1" t="s">
        <v>15584</v>
      </c>
      <c r="O1298" s="2" t="s">
        <v>2738</v>
      </c>
      <c r="Q1298" s="2" t="s">
        <v>11</v>
      </c>
      <c r="R1298" s="2" t="s">
        <v>426</v>
      </c>
      <c r="T1298" s="2" t="s">
        <v>520</v>
      </c>
      <c r="U1298" s="3">
        <v>4</v>
      </c>
      <c r="V1298" s="3">
        <v>4</v>
      </c>
      <c r="W1298" s="4" t="s">
        <v>3294</v>
      </c>
      <c r="X1298" s="4" t="s">
        <v>3294</v>
      </c>
      <c r="Y1298" s="4" t="s">
        <v>197</v>
      </c>
      <c r="Z1298" s="4" t="s">
        <v>197</v>
      </c>
      <c r="AA1298" s="3">
        <v>27</v>
      </c>
      <c r="AB1298" s="3">
        <v>25</v>
      </c>
      <c r="AC1298" s="3">
        <v>40</v>
      </c>
      <c r="AD1298" s="3">
        <v>1</v>
      </c>
      <c r="AE1298" s="3">
        <v>1</v>
      </c>
      <c r="AF1298" s="3">
        <v>1</v>
      </c>
      <c r="AG1298" s="3">
        <v>2</v>
      </c>
      <c r="AH1298" s="3">
        <v>0</v>
      </c>
      <c r="AI1298" s="3">
        <v>0</v>
      </c>
      <c r="AJ1298" s="3">
        <v>0</v>
      </c>
      <c r="AK1298" s="3">
        <v>1</v>
      </c>
      <c r="AL1298" s="3">
        <v>1</v>
      </c>
      <c r="AM1298" s="3">
        <v>2</v>
      </c>
      <c r="AN1298" s="3">
        <v>0</v>
      </c>
      <c r="AO1298" s="3">
        <v>0</v>
      </c>
      <c r="AP1298" s="3">
        <v>0</v>
      </c>
      <c r="AQ1298" s="3">
        <v>0</v>
      </c>
      <c r="AR1298" s="2" t="s">
        <v>5</v>
      </c>
      <c r="AS1298" s="2" t="s">
        <v>5</v>
      </c>
      <c r="AU1298" s="5" t="str">
        <f>HYPERLINK("https://creighton-primo.hosted.exlibrisgroup.com/primo-explore/search?tab=default_tab&amp;search_scope=EVERYTHING&amp;vid=01CRU&amp;lang=en_US&amp;offset=0&amp;query=any,contains,991001084739702656","Catalog Record")</f>
        <v>Catalog Record</v>
      </c>
      <c r="AV1298" s="5" t="str">
        <f>HYPERLINK("http://www.worldcat.org/oclc/6625255","WorldCat Record")</f>
        <v>WorldCat Record</v>
      </c>
      <c r="AW1298" s="2" t="s">
        <v>15585</v>
      </c>
      <c r="AX1298" s="2" t="s">
        <v>15586</v>
      </c>
      <c r="AY1298" s="2" t="s">
        <v>15587</v>
      </c>
      <c r="AZ1298" s="2" t="s">
        <v>15587</v>
      </c>
      <c r="BA1298" s="2" t="s">
        <v>15588</v>
      </c>
      <c r="BB1298" s="2" t="s">
        <v>21</v>
      </c>
      <c r="BE1298" s="2" t="s">
        <v>15589</v>
      </c>
      <c r="BF1298" s="2" t="s">
        <v>15590</v>
      </c>
    </row>
    <row r="1299" spans="1:58" ht="41.25" customHeight="1" x14ac:dyDescent="0.25">
      <c r="A1299" s="8" t="s">
        <v>5</v>
      </c>
      <c r="B1299" s="1" t="s">
        <v>0</v>
      </c>
      <c r="C1299" s="1" t="s">
        <v>1</v>
      </c>
      <c r="D1299" s="1" t="s">
        <v>15591</v>
      </c>
      <c r="E1299" s="1" t="s">
        <v>15592</v>
      </c>
      <c r="F1299" s="1" t="s">
        <v>15593</v>
      </c>
      <c r="H1299" s="2" t="s">
        <v>5</v>
      </c>
      <c r="I1299" s="2" t="s">
        <v>6</v>
      </c>
      <c r="J1299" s="2" t="s">
        <v>5</v>
      </c>
      <c r="K1299" s="2" t="s">
        <v>5</v>
      </c>
      <c r="L1299" s="2" t="s">
        <v>7</v>
      </c>
      <c r="N1299" s="1" t="s">
        <v>15536</v>
      </c>
      <c r="O1299" s="2" t="s">
        <v>1102</v>
      </c>
      <c r="Q1299" s="2" t="s">
        <v>11</v>
      </c>
      <c r="R1299" s="2" t="s">
        <v>426</v>
      </c>
      <c r="S1299" s="1" t="s">
        <v>15594</v>
      </c>
      <c r="T1299" s="2" t="s">
        <v>520</v>
      </c>
      <c r="U1299" s="3">
        <v>11</v>
      </c>
      <c r="V1299" s="3">
        <v>11</v>
      </c>
      <c r="W1299" s="4" t="s">
        <v>1285</v>
      </c>
      <c r="X1299" s="4" t="s">
        <v>1285</v>
      </c>
      <c r="Y1299" s="4" t="s">
        <v>1105</v>
      </c>
      <c r="Z1299" s="4" t="s">
        <v>1105</v>
      </c>
      <c r="AA1299" s="3">
        <v>11</v>
      </c>
      <c r="AB1299" s="3">
        <v>6</v>
      </c>
      <c r="AC1299" s="3">
        <v>6</v>
      </c>
      <c r="AD1299" s="3">
        <v>1</v>
      </c>
      <c r="AE1299" s="3">
        <v>1</v>
      </c>
      <c r="AF1299" s="3">
        <v>0</v>
      </c>
      <c r="AG1299" s="3">
        <v>0</v>
      </c>
      <c r="AH1299" s="3">
        <v>0</v>
      </c>
      <c r="AI1299" s="3">
        <v>0</v>
      </c>
      <c r="AJ1299" s="3">
        <v>0</v>
      </c>
      <c r="AK1299" s="3">
        <v>0</v>
      </c>
      <c r="AL1299" s="3">
        <v>0</v>
      </c>
      <c r="AM1299" s="3">
        <v>0</v>
      </c>
      <c r="AN1299" s="3">
        <v>0</v>
      </c>
      <c r="AO1299" s="3">
        <v>0</v>
      </c>
      <c r="AP1299" s="3">
        <v>0</v>
      </c>
      <c r="AQ1299" s="3">
        <v>0</v>
      </c>
      <c r="AR1299" s="2" t="s">
        <v>5</v>
      </c>
      <c r="AS1299" s="2" t="s">
        <v>5</v>
      </c>
      <c r="AU1299" s="5" t="str">
        <f>HYPERLINK("https://creighton-primo.hosted.exlibrisgroup.com/primo-explore/search?tab=default_tab&amp;search_scope=EVERYTHING&amp;vid=01CRU&amp;lang=en_US&amp;offset=0&amp;query=any,contains,991001519669702656","Catalog Record")</f>
        <v>Catalog Record</v>
      </c>
      <c r="AV1299" s="5" t="str">
        <f>HYPERLINK("http://www.worldcat.org/oclc/20756946","WorldCat Record")</f>
        <v>WorldCat Record</v>
      </c>
      <c r="AW1299" s="2" t="s">
        <v>15595</v>
      </c>
      <c r="AX1299" s="2" t="s">
        <v>15596</v>
      </c>
      <c r="AY1299" s="2" t="s">
        <v>15597</v>
      </c>
      <c r="AZ1299" s="2" t="s">
        <v>15597</v>
      </c>
      <c r="BA1299" s="2" t="s">
        <v>15598</v>
      </c>
      <c r="BB1299" s="2" t="s">
        <v>21</v>
      </c>
      <c r="BE1299" s="2" t="s">
        <v>15599</v>
      </c>
      <c r="BF1299" s="2" t="s">
        <v>15600</v>
      </c>
    </row>
    <row r="1300" spans="1:58" ht="41.25" customHeight="1" x14ac:dyDescent="0.25">
      <c r="A1300" s="8" t="s">
        <v>5</v>
      </c>
      <c r="B1300" s="1" t="s">
        <v>0</v>
      </c>
      <c r="C1300" s="1" t="s">
        <v>1</v>
      </c>
      <c r="D1300" s="1" t="s">
        <v>15601</v>
      </c>
      <c r="E1300" s="1" t="s">
        <v>15602</v>
      </c>
      <c r="F1300" s="1" t="s">
        <v>15603</v>
      </c>
      <c r="H1300" s="2" t="s">
        <v>5</v>
      </c>
      <c r="I1300" s="2" t="s">
        <v>6</v>
      </c>
      <c r="J1300" s="2" t="s">
        <v>5</v>
      </c>
      <c r="K1300" s="2" t="s">
        <v>5</v>
      </c>
      <c r="L1300" s="2" t="s">
        <v>7</v>
      </c>
      <c r="N1300" s="1" t="s">
        <v>15604</v>
      </c>
      <c r="O1300" s="2" t="s">
        <v>382</v>
      </c>
      <c r="Q1300" s="2" t="s">
        <v>11</v>
      </c>
      <c r="R1300" s="2" t="s">
        <v>426</v>
      </c>
      <c r="S1300" s="1" t="s">
        <v>15605</v>
      </c>
      <c r="T1300" s="2" t="s">
        <v>520</v>
      </c>
      <c r="U1300" s="3">
        <v>9</v>
      </c>
      <c r="V1300" s="3">
        <v>9</v>
      </c>
      <c r="W1300" s="4" t="s">
        <v>1285</v>
      </c>
      <c r="X1300" s="4" t="s">
        <v>1285</v>
      </c>
      <c r="Y1300" s="4" t="s">
        <v>1105</v>
      </c>
      <c r="Z1300" s="4" t="s">
        <v>1105</v>
      </c>
      <c r="AA1300" s="3">
        <v>125</v>
      </c>
      <c r="AB1300" s="3">
        <v>115</v>
      </c>
      <c r="AC1300" s="3">
        <v>126</v>
      </c>
      <c r="AD1300" s="3">
        <v>2</v>
      </c>
      <c r="AE1300" s="3">
        <v>2</v>
      </c>
      <c r="AF1300" s="3">
        <v>3</v>
      </c>
      <c r="AG1300" s="3">
        <v>3</v>
      </c>
      <c r="AH1300" s="3">
        <v>1</v>
      </c>
      <c r="AI1300" s="3">
        <v>1</v>
      </c>
      <c r="AJ1300" s="3">
        <v>0</v>
      </c>
      <c r="AK1300" s="3">
        <v>0</v>
      </c>
      <c r="AL1300" s="3">
        <v>2</v>
      </c>
      <c r="AM1300" s="3">
        <v>2</v>
      </c>
      <c r="AN1300" s="3">
        <v>0</v>
      </c>
      <c r="AO1300" s="3">
        <v>0</v>
      </c>
      <c r="AP1300" s="3">
        <v>0</v>
      </c>
      <c r="AQ1300" s="3">
        <v>0</v>
      </c>
      <c r="AR1300" s="2" t="s">
        <v>5</v>
      </c>
      <c r="AS1300" s="2" t="s">
        <v>16</v>
      </c>
      <c r="AT1300" s="5" t="str">
        <f>HYPERLINK("http://catalog.hathitrust.org/Record/000668918","HathiTrust Record")</f>
        <v>HathiTrust Record</v>
      </c>
      <c r="AU1300" s="5" t="str">
        <f>HYPERLINK("https://creighton-primo.hosted.exlibrisgroup.com/primo-explore/search?tab=default_tab&amp;search_scope=EVERYTHING&amp;vid=01CRU&amp;lang=en_US&amp;offset=0&amp;query=any,contains,991001329459702656","Catalog Record")</f>
        <v>Catalog Record</v>
      </c>
      <c r="AV1300" s="5" t="str">
        <f>HYPERLINK("http://www.worldcat.org/oclc/12972940","WorldCat Record")</f>
        <v>WorldCat Record</v>
      </c>
      <c r="AW1300" s="2" t="s">
        <v>15606</v>
      </c>
      <c r="AX1300" s="2" t="s">
        <v>15607</v>
      </c>
      <c r="AY1300" s="2" t="s">
        <v>15608</v>
      </c>
      <c r="AZ1300" s="2" t="s">
        <v>15608</v>
      </c>
      <c r="BA1300" s="2" t="s">
        <v>15609</v>
      </c>
      <c r="BB1300" s="2" t="s">
        <v>21</v>
      </c>
      <c r="BE1300" s="2" t="s">
        <v>15610</v>
      </c>
      <c r="BF1300" s="2" t="s">
        <v>15611</v>
      </c>
    </row>
    <row r="1301" spans="1:58" ht="41.25" customHeight="1" x14ac:dyDescent="0.25">
      <c r="A1301" s="8" t="s">
        <v>5</v>
      </c>
      <c r="B1301" s="1" t="s">
        <v>0</v>
      </c>
      <c r="C1301" s="1" t="s">
        <v>1</v>
      </c>
      <c r="D1301" s="1" t="s">
        <v>15612</v>
      </c>
      <c r="E1301" s="1" t="s">
        <v>15613</v>
      </c>
      <c r="F1301" s="1" t="s">
        <v>15614</v>
      </c>
      <c r="H1301" s="2" t="s">
        <v>5</v>
      </c>
      <c r="I1301" s="2" t="s">
        <v>6</v>
      </c>
      <c r="J1301" s="2" t="s">
        <v>5</v>
      </c>
      <c r="K1301" s="2" t="s">
        <v>5</v>
      </c>
      <c r="L1301" s="2" t="s">
        <v>7</v>
      </c>
      <c r="M1301" s="1" t="s">
        <v>15615</v>
      </c>
      <c r="N1301" s="1" t="s">
        <v>15616</v>
      </c>
      <c r="O1301" s="2" t="s">
        <v>4990</v>
      </c>
      <c r="Q1301" s="2" t="s">
        <v>11</v>
      </c>
      <c r="R1301" s="2" t="s">
        <v>1325</v>
      </c>
      <c r="S1301" s="1" t="s">
        <v>15617</v>
      </c>
      <c r="T1301" s="2" t="s">
        <v>520</v>
      </c>
      <c r="U1301" s="3">
        <v>1</v>
      </c>
      <c r="V1301" s="3">
        <v>1</v>
      </c>
      <c r="W1301" s="4" t="s">
        <v>15455</v>
      </c>
      <c r="X1301" s="4" t="s">
        <v>15455</v>
      </c>
      <c r="Y1301" s="4" t="s">
        <v>15618</v>
      </c>
      <c r="Z1301" s="4" t="s">
        <v>15618</v>
      </c>
      <c r="AA1301" s="3">
        <v>143</v>
      </c>
      <c r="AB1301" s="3">
        <v>140</v>
      </c>
      <c r="AC1301" s="3">
        <v>142</v>
      </c>
      <c r="AD1301" s="3">
        <v>2</v>
      </c>
      <c r="AE1301" s="3">
        <v>2</v>
      </c>
      <c r="AF1301" s="3">
        <v>9</v>
      </c>
      <c r="AG1301" s="3">
        <v>9</v>
      </c>
      <c r="AH1301" s="3">
        <v>4</v>
      </c>
      <c r="AI1301" s="3">
        <v>4</v>
      </c>
      <c r="AJ1301" s="3">
        <v>1</v>
      </c>
      <c r="AK1301" s="3">
        <v>1</v>
      </c>
      <c r="AL1301" s="3">
        <v>6</v>
      </c>
      <c r="AM1301" s="3">
        <v>6</v>
      </c>
      <c r="AN1301" s="3">
        <v>0</v>
      </c>
      <c r="AO1301" s="3">
        <v>0</v>
      </c>
      <c r="AP1301" s="3">
        <v>0</v>
      </c>
      <c r="AQ1301" s="3">
        <v>0</v>
      </c>
      <c r="AR1301" s="2" t="s">
        <v>5</v>
      </c>
      <c r="AS1301" s="2" t="s">
        <v>16</v>
      </c>
      <c r="AT1301" s="5" t="str">
        <f>HYPERLINK("http://catalog.hathitrust.org/Record/004345472","HathiTrust Record")</f>
        <v>HathiTrust Record</v>
      </c>
      <c r="AU1301" s="5" t="str">
        <f>HYPERLINK("https://creighton-primo.hosted.exlibrisgroup.com/primo-explore/search?tab=default_tab&amp;search_scope=EVERYTHING&amp;vid=01CRU&amp;lang=en_US&amp;offset=0&amp;query=any,contains,991000334179702656","Catalog Record")</f>
        <v>Catalog Record</v>
      </c>
      <c r="AV1301" s="5" t="str">
        <f>HYPERLINK("http://www.worldcat.org/oclc/50554320","WorldCat Record")</f>
        <v>WorldCat Record</v>
      </c>
      <c r="AW1301" s="2" t="s">
        <v>15619</v>
      </c>
      <c r="AX1301" s="2" t="s">
        <v>15620</v>
      </c>
      <c r="AY1301" s="2" t="s">
        <v>15621</v>
      </c>
      <c r="AZ1301" s="2" t="s">
        <v>15621</v>
      </c>
      <c r="BA1301" s="2" t="s">
        <v>15622</v>
      </c>
      <c r="BB1301" s="2" t="s">
        <v>21</v>
      </c>
      <c r="BD1301" s="2" t="s">
        <v>15623</v>
      </c>
      <c r="BE1301" s="2" t="s">
        <v>15624</v>
      </c>
      <c r="BF1301" s="2" t="s">
        <v>15625</v>
      </c>
    </row>
    <row r="1302" spans="1:58" ht="41.25" customHeight="1" x14ac:dyDescent="0.25">
      <c r="A1302" s="8" t="s">
        <v>5</v>
      </c>
      <c r="B1302" s="1" t="s">
        <v>0</v>
      </c>
      <c r="C1302" s="1" t="s">
        <v>1</v>
      </c>
      <c r="D1302" s="1" t="s">
        <v>15626</v>
      </c>
      <c r="E1302" s="1" t="s">
        <v>15627</v>
      </c>
      <c r="F1302" s="1" t="s">
        <v>15628</v>
      </c>
      <c r="H1302" s="2" t="s">
        <v>5</v>
      </c>
      <c r="I1302" s="2" t="s">
        <v>6</v>
      </c>
      <c r="J1302" s="2" t="s">
        <v>5</v>
      </c>
      <c r="K1302" s="2" t="s">
        <v>5</v>
      </c>
      <c r="L1302" s="2" t="s">
        <v>7</v>
      </c>
      <c r="M1302" s="1" t="s">
        <v>15629</v>
      </c>
      <c r="N1302" s="1" t="s">
        <v>15630</v>
      </c>
      <c r="O1302" s="2" t="s">
        <v>393</v>
      </c>
      <c r="Q1302" s="2" t="s">
        <v>11</v>
      </c>
      <c r="R1302" s="2" t="s">
        <v>426</v>
      </c>
      <c r="T1302" s="2" t="s">
        <v>520</v>
      </c>
      <c r="U1302" s="3">
        <v>4</v>
      </c>
      <c r="V1302" s="3">
        <v>4</v>
      </c>
      <c r="W1302" s="4" t="s">
        <v>15631</v>
      </c>
      <c r="X1302" s="4" t="s">
        <v>15631</v>
      </c>
      <c r="Y1302" s="4" t="s">
        <v>197</v>
      </c>
      <c r="Z1302" s="4" t="s">
        <v>197</v>
      </c>
      <c r="AA1302" s="3">
        <v>225</v>
      </c>
      <c r="AB1302" s="3">
        <v>183</v>
      </c>
      <c r="AC1302" s="3">
        <v>185</v>
      </c>
      <c r="AD1302" s="3">
        <v>2</v>
      </c>
      <c r="AE1302" s="3">
        <v>2</v>
      </c>
      <c r="AF1302" s="3">
        <v>7</v>
      </c>
      <c r="AG1302" s="3">
        <v>7</v>
      </c>
      <c r="AH1302" s="3">
        <v>1</v>
      </c>
      <c r="AI1302" s="3">
        <v>1</v>
      </c>
      <c r="AJ1302" s="3">
        <v>2</v>
      </c>
      <c r="AK1302" s="3">
        <v>2</v>
      </c>
      <c r="AL1302" s="3">
        <v>4</v>
      </c>
      <c r="AM1302" s="3">
        <v>4</v>
      </c>
      <c r="AN1302" s="3">
        <v>1</v>
      </c>
      <c r="AO1302" s="3">
        <v>1</v>
      </c>
      <c r="AP1302" s="3">
        <v>0</v>
      </c>
      <c r="AQ1302" s="3">
        <v>0</v>
      </c>
      <c r="AR1302" s="2" t="s">
        <v>5</v>
      </c>
      <c r="AS1302" s="2" t="s">
        <v>16</v>
      </c>
      <c r="AT1302" s="5" t="str">
        <f>HYPERLINK("http://catalog.hathitrust.org/Record/000308104","HathiTrust Record")</f>
        <v>HathiTrust Record</v>
      </c>
      <c r="AU1302" s="5" t="str">
        <f>HYPERLINK("https://creighton-primo.hosted.exlibrisgroup.com/primo-explore/search?tab=default_tab&amp;search_scope=EVERYTHING&amp;vid=01CRU&amp;lang=en_US&amp;offset=0&amp;query=any,contains,991001084849702656","Catalog Record")</f>
        <v>Catalog Record</v>
      </c>
      <c r="AV1302" s="5" t="str">
        <f>HYPERLINK("http://www.worldcat.org/oclc/7275939","WorldCat Record")</f>
        <v>WorldCat Record</v>
      </c>
      <c r="AW1302" s="2" t="s">
        <v>15632</v>
      </c>
      <c r="AX1302" s="2" t="s">
        <v>15633</v>
      </c>
      <c r="AY1302" s="2" t="s">
        <v>15634</v>
      </c>
      <c r="AZ1302" s="2" t="s">
        <v>15634</v>
      </c>
      <c r="BA1302" s="2" t="s">
        <v>15635</v>
      </c>
      <c r="BB1302" s="2" t="s">
        <v>21</v>
      </c>
      <c r="BD1302" s="2" t="s">
        <v>15636</v>
      </c>
      <c r="BE1302" s="2" t="s">
        <v>15637</v>
      </c>
      <c r="BF1302" s="2" t="s">
        <v>15638</v>
      </c>
    </row>
    <row r="1303" spans="1:58" ht="41.25" customHeight="1" x14ac:dyDescent="0.25">
      <c r="A1303" s="8" t="s">
        <v>5</v>
      </c>
      <c r="B1303" s="1" t="s">
        <v>0</v>
      </c>
      <c r="C1303" s="1" t="s">
        <v>1</v>
      </c>
      <c r="D1303" s="1" t="s">
        <v>15639</v>
      </c>
      <c r="E1303" s="1" t="s">
        <v>15640</v>
      </c>
      <c r="F1303" s="1" t="s">
        <v>15641</v>
      </c>
      <c r="H1303" s="2" t="s">
        <v>5</v>
      </c>
      <c r="I1303" s="2" t="s">
        <v>6</v>
      </c>
      <c r="J1303" s="2" t="s">
        <v>5</v>
      </c>
      <c r="K1303" s="2" t="s">
        <v>5</v>
      </c>
      <c r="L1303" s="2" t="s">
        <v>7</v>
      </c>
      <c r="M1303" s="1" t="s">
        <v>15642</v>
      </c>
      <c r="N1303" s="1" t="s">
        <v>15643</v>
      </c>
      <c r="O1303" s="2" t="s">
        <v>92</v>
      </c>
      <c r="Q1303" s="2" t="s">
        <v>11</v>
      </c>
      <c r="R1303" s="2" t="s">
        <v>31</v>
      </c>
      <c r="T1303" s="2" t="s">
        <v>520</v>
      </c>
      <c r="U1303" s="3">
        <v>2</v>
      </c>
      <c r="V1303" s="3">
        <v>2</v>
      </c>
      <c r="W1303" s="4" t="s">
        <v>14364</v>
      </c>
      <c r="X1303" s="4" t="s">
        <v>14364</v>
      </c>
      <c r="Y1303" s="4" t="s">
        <v>197</v>
      </c>
      <c r="Z1303" s="4" t="s">
        <v>197</v>
      </c>
      <c r="AA1303" s="3">
        <v>155</v>
      </c>
      <c r="AB1303" s="3">
        <v>121</v>
      </c>
      <c r="AC1303" s="3">
        <v>123</v>
      </c>
      <c r="AD1303" s="3">
        <v>3</v>
      </c>
      <c r="AE1303" s="3">
        <v>3</v>
      </c>
      <c r="AF1303" s="3">
        <v>5</v>
      </c>
      <c r="AG1303" s="3">
        <v>5</v>
      </c>
      <c r="AH1303" s="3">
        <v>0</v>
      </c>
      <c r="AI1303" s="3">
        <v>0</v>
      </c>
      <c r="AJ1303" s="3">
        <v>1</v>
      </c>
      <c r="AK1303" s="3">
        <v>1</v>
      </c>
      <c r="AL1303" s="3">
        <v>2</v>
      </c>
      <c r="AM1303" s="3">
        <v>2</v>
      </c>
      <c r="AN1303" s="3">
        <v>2</v>
      </c>
      <c r="AO1303" s="3">
        <v>2</v>
      </c>
      <c r="AP1303" s="3">
        <v>0</v>
      </c>
      <c r="AQ1303" s="3">
        <v>0</v>
      </c>
      <c r="AR1303" s="2" t="s">
        <v>5</v>
      </c>
      <c r="AS1303" s="2" t="s">
        <v>16</v>
      </c>
      <c r="AT1303" s="5" t="str">
        <f>HYPERLINK("http://catalog.hathitrust.org/Record/000715573","HathiTrust Record")</f>
        <v>HathiTrust Record</v>
      </c>
      <c r="AU1303" s="5" t="str">
        <f>HYPERLINK("https://creighton-primo.hosted.exlibrisgroup.com/primo-explore/search?tab=default_tab&amp;search_scope=EVERYTHING&amp;vid=01CRU&amp;lang=en_US&amp;offset=0&amp;query=any,contains,991001084889702656","Catalog Record")</f>
        <v>Catalog Record</v>
      </c>
      <c r="AV1303" s="5" t="str">
        <f>HYPERLINK("http://www.worldcat.org/oclc/2298135","WorldCat Record")</f>
        <v>WorldCat Record</v>
      </c>
      <c r="AW1303" s="2" t="s">
        <v>15644</v>
      </c>
      <c r="AX1303" s="2" t="s">
        <v>15645</v>
      </c>
      <c r="AY1303" s="2" t="s">
        <v>15646</v>
      </c>
      <c r="AZ1303" s="2" t="s">
        <v>15646</v>
      </c>
      <c r="BA1303" s="2" t="s">
        <v>15647</v>
      </c>
      <c r="BB1303" s="2" t="s">
        <v>21</v>
      </c>
      <c r="BD1303" s="2" t="s">
        <v>15648</v>
      </c>
      <c r="BE1303" s="2" t="s">
        <v>15649</v>
      </c>
      <c r="BF1303" s="2" t="s">
        <v>15650</v>
      </c>
    </row>
    <row r="1304" spans="1:58" ht="41.25" customHeight="1" x14ac:dyDescent="0.25">
      <c r="A1304" s="8" t="s">
        <v>5</v>
      </c>
      <c r="B1304" s="1" t="s">
        <v>0</v>
      </c>
      <c r="C1304" s="1" t="s">
        <v>1</v>
      </c>
      <c r="D1304" s="1" t="s">
        <v>15651</v>
      </c>
      <c r="E1304" s="1" t="s">
        <v>15652</v>
      </c>
      <c r="F1304" s="1" t="s">
        <v>15653</v>
      </c>
      <c r="H1304" s="2" t="s">
        <v>5</v>
      </c>
      <c r="I1304" s="2" t="s">
        <v>6</v>
      </c>
      <c r="J1304" s="2" t="s">
        <v>5</v>
      </c>
      <c r="K1304" s="2" t="s">
        <v>5</v>
      </c>
      <c r="L1304" s="2" t="s">
        <v>7</v>
      </c>
      <c r="M1304" s="1" t="s">
        <v>15654</v>
      </c>
      <c r="N1304" s="1" t="s">
        <v>15655</v>
      </c>
      <c r="O1304" s="2" t="s">
        <v>393</v>
      </c>
      <c r="Q1304" s="2" t="s">
        <v>11</v>
      </c>
      <c r="R1304" s="2" t="s">
        <v>12</v>
      </c>
      <c r="T1304" s="2" t="s">
        <v>520</v>
      </c>
      <c r="U1304" s="3">
        <v>1</v>
      </c>
      <c r="V1304" s="3">
        <v>1</v>
      </c>
      <c r="W1304" s="4" t="s">
        <v>15656</v>
      </c>
      <c r="X1304" s="4" t="s">
        <v>15656</v>
      </c>
      <c r="Y1304" s="4" t="s">
        <v>197</v>
      </c>
      <c r="Z1304" s="4" t="s">
        <v>197</v>
      </c>
      <c r="AA1304" s="3">
        <v>301</v>
      </c>
      <c r="AB1304" s="3">
        <v>242</v>
      </c>
      <c r="AC1304" s="3">
        <v>287</v>
      </c>
      <c r="AD1304" s="3">
        <v>3</v>
      </c>
      <c r="AE1304" s="3">
        <v>3</v>
      </c>
      <c r="AF1304" s="3">
        <v>9</v>
      </c>
      <c r="AG1304" s="3">
        <v>10</v>
      </c>
      <c r="AH1304" s="3">
        <v>2</v>
      </c>
      <c r="AI1304" s="3">
        <v>2</v>
      </c>
      <c r="AJ1304" s="3">
        <v>2</v>
      </c>
      <c r="AK1304" s="3">
        <v>3</v>
      </c>
      <c r="AL1304" s="3">
        <v>6</v>
      </c>
      <c r="AM1304" s="3">
        <v>7</v>
      </c>
      <c r="AN1304" s="3">
        <v>2</v>
      </c>
      <c r="AO1304" s="3">
        <v>2</v>
      </c>
      <c r="AP1304" s="3">
        <v>0</v>
      </c>
      <c r="AQ1304" s="3">
        <v>0</v>
      </c>
      <c r="AR1304" s="2" t="s">
        <v>5</v>
      </c>
      <c r="AS1304" s="2" t="s">
        <v>16</v>
      </c>
      <c r="AT1304" s="5" t="str">
        <f>HYPERLINK("http://catalog.hathitrust.org/Record/000262270","HathiTrust Record")</f>
        <v>HathiTrust Record</v>
      </c>
      <c r="AU1304" s="5" t="str">
        <f>HYPERLINK("https://creighton-primo.hosted.exlibrisgroup.com/primo-explore/search?tab=default_tab&amp;search_scope=EVERYTHING&amp;vid=01CRU&amp;lang=en_US&amp;offset=0&amp;query=any,contains,991001084939702656","Catalog Record")</f>
        <v>Catalog Record</v>
      </c>
      <c r="AV1304" s="5" t="str">
        <f>HYPERLINK("http://www.worldcat.org/oclc/6649076","WorldCat Record")</f>
        <v>WorldCat Record</v>
      </c>
      <c r="AW1304" s="2" t="s">
        <v>15657</v>
      </c>
      <c r="AX1304" s="2" t="s">
        <v>15658</v>
      </c>
      <c r="AY1304" s="2" t="s">
        <v>15659</v>
      </c>
      <c r="AZ1304" s="2" t="s">
        <v>15659</v>
      </c>
      <c r="BA1304" s="2" t="s">
        <v>15660</v>
      </c>
      <c r="BB1304" s="2" t="s">
        <v>21</v>
      </c>
      <c r="BD1304" s="2" t="s">
        <v>15661</v>
      </c>
      <c r="BE1304" s="2" t="s">
        <v>15662</v>
      </c>
      <c r="BF1304" s="2" t="s">
        <v>15663</v>
      </c>
    </row>
    <row r="1305" spans="1:58" ht="41.25" customHeight="1" x14ac:dyDescent="0.25">
      <c r="A1305" s="8" t="s">
        <v>5</v>
      </c>
      <c r="B1305" s="1" t="s">
        <v>0</v>
      </c>
      <c r="C1305" s="1" t="s">
        <v>1</v>
      </c>
      <c r="D1305" s="1" t="s">
        <v>15664</v>
      </c>
      <c r="E1305" s="1" t="s">
        <v>15665</v>
      </c>
      <c r="F1305" s="1" t="s">
        <v>15666</v>
      </c>
      <c r="H1305" s="2" t="s">
        <v>5</v>
      </c>
      <c r="I1305" s="2" t="s">
        <v>6</v>
      </c>
      <c r="J1305" s="2" t="s">
        <v>5</v>
      </c>
      <c r="K1305" s="2" t="s">
        <v>16</v>
      </c>
      <c r="L1305" s="2" t="s">
        <v>7</v>
      </c>
      <c r="M1305" s="1" t="s">
        <v>15667</v>
      </c>
      <c r="N1305" s="1" t="s">
        <v>15668</v>
      </c>
      <c r="O1305" s="2" t="s">
        <v>546</v>
      </c>
      <c r="Q1305" s="2" t="s">
        <v>11</v>
      </c>
      <c r="R1305" s="2" t="s">
        <v>78</v>
      </c>
      <c r="T1305" s="2" t="s">
        <v>520</v>
      </c>
      <c r="U1305" s="3">
        <v>5</v>
      </c>
      <c r="V1305" s="3">
        <v>5</v>
      </c>
      <c r="W1305" s="4" t="s">
        <v>15669</v>
      </c>
      <c r="X1305" s="4" t="s">
        <v>15669</v>
      </c>
      <c r="Y1305" s="4" t="s">
        <v>15670</v>
      </c>
      <c r="Z1305" s="4" t="s">
        <v>15670</v>
      </c>
      <c r="AA1305" s="3">
        <v>356</v>
      </c>
      <c r="AB1305" s="3">
        <v>280</v>
      </c>
      <c r="AC1305" s="3">
        <v>468</v>
      </c>
      <c r="AD1305" s="3">
        <v>2</v>
      </c>
      <c r="AE1305" s="3">
        <v>2</v>
      </c>
      <c r="AF1305" s="3">
        <v>14</v>
      </c>
      <c r="AG1305" s="3">
        <v>18</v>
      </c>
      <c r="AH1305" s="3">
        <v>6</v>
      </c>
      <c r="AI1305" s="3">
        <v>6</v>
      </c>
      <c r="AJ1305" s="3">
        <v>3</v>
      </c>
      <c r="AK1305" s="3">
        <v>5</v>
      </c>
      <c r="AL1305" s="3">
        <v>9</v>
      </c>
      <c r="AM1305" s="3">
        <v>12</v>
      </c>
      <c r="AN1305" s="3">
        <v>1</v>
      </c>
      <c r="AO1305" s="3">
        <v>1</v>
      </c>
      <c r="AP1305" s="3">
        <v>0</v>
      </c>
      <c r="AQ1305" s="3">
        <v>0</v>
      </c>
      <c r="AR1305" s="2" t="s">
        <v>5</v>
      </c>
      <c r="AS1305" s="2" t="s">
        <v>16</v>
      </c>
      <c r="AT1305" s="5" t="str">
        <f>HYPERLINK("http://catalog.hathitrust.org/Record/002808580","HathiTrust Record")</f>
        <v>HathiTrust Record</v>
      </c>
      <c r="AU1305" s="5" t="str">
        <f>HYPERLINK("https://creighton-primo.hosted.exlibrisgroup.com/primo-explore/search?tab=default_tab&amp;search_scope=EVERYTHING&amp;vid=01CRU&amp;lang=en_US&amp;offset=0&amp;query=any,contains,991001196289702656","Catalog Record")</f>
        <v>Catalog Record</v>
      </c>
      <c r="AV1305" s="5" t="str">
        <f>HYPERLINK("http://www.worldcat.org/oclc/29564197","WorldCat Record")</f>
        <v>WorldCat Record</v>
      </c>
      <c r="AW1305" s="2" t="s">
        <v>15671</v>
      </c>
      <c r="AX1305" s="2" t="s">
        <v>15672</v>
      </c>
      <c r="AY1305" s="2" t="s">
        <v>15673</v>
      </c>
      <c r="AZ1305" s="2" t="s">
        <v>15673</v>
      </c>
      <c r="BA1305" s="2" t="s">
        <v>15674</v>
      </c>
      <c r="BB1305" s="2" t="s">
        <v>21</v>
      </c>
      <c r="BD1305" s="2" t="s">
        <v>15675</v>
      </c>
      <c r="BE1305" s="2" t="s">
        <v>15676</v>
      </c>
      <c r="BF1305" s="2" t="s">
        <v>15677</v>
      </c>
    </row>
    <row r="1306" spans="1:58" ht="41.25" customHeight="1" x14ac:dyDescent="0.25">
      <c r="A1306" s="8" t="s">
        <v>5</v>
      </c>
      <c r="B1306" s="1" t="s">
        <v>0</v>
      </c>
      <c r="C1306" s="1" t="s">
        <v>1</v>
      </c>
      <c r="D1306" s="1" t="s">
        <v>15678</v>
      </c>
      <c r="E1306" s="1" t="s">
        <v>15679</v>
      </c>
      <c r="F1306" s="1" t="s">
        <v>15680</v>
      </c>
      <c r="H1306" s="2" t="s">
        <v>5</v>
      </c>
      <c r="I1306" s="2" t="s">
        <v>6</v>
      </c>
      <c r="J1306" s="2" t="s">
        <v>5</v>
      </c>
      <c r="K1306" s="2" t="s">
        <v>16</v>
      </c>
      <c r="L1306" s="2" t="s">
        <v>7</v>
      </c>
      <c r="M1306" s="1" t="s">
        <v>15667</v>
      </c>
      <c r="N1306" s="1" t="s">
        <v>12205</v>
      </c>
      <c r="O1306" s="2" t="s">
        <v>1046</v>
      </c>
      <c r="P1306" s="1" t="s">
        <v>211</v>
      </c>
      <c r="Q1306" s="2" t="s">
        <v>11</v>
      </c>
      <c r="R1306" s="2" t="s">
        <v>78</v>
      </c>
      <c r="T1306" s="2" t="s">
        <v>520</v>
      </c>
      <c r="U1306" s="3">
        <v>0</v>
      </c>
      <c r="V1306" s="3">
        <v>0</v>
      </c>
      <c r="W1306" s="4" t="s">
        <v>1653</v>
      </c>
      <c r="X1306" s="4" t="s">
        <v>1653</v>
      </c>
      <c r="Y1306" s="4" t="s">
        <v>1653</v>
      </c>
      <c r="Z1306" s="4" t="s">
        <v>1653</v>
      </c>
      <c r="AA1306" s="3">
        <v>376</v>
      </c>
      <c r="AB1306" s="3">
        <v>280</v>
      </c>
      <c r="AC1306" s="3">
        <v>468</v>
      </c>
      <c r="AD1306" s="3">
        <v>1</v>
      </c>
      <c r="AE1306" s="3">
        <v>2</v>
      </c>
      <c r="AF1306" s="3">
        <v>10</v>
      </c>
      <c r="AG1306" s="3">
        <v>18</v>
      </c>
      <c r="AH1306" s="3">
        <v>2</v>
      </c>
      <c r="AI1306" s="3">
        <v>6</v>
      </c>
      <c r="AJ1306" s="3">
        <v>4</v>
      </c>
      <c r="AK1306" s="3">
        <v>5</v>
      </c>
      <c r="AL1306" s="3">
        <v>7</v>
      </c>
      <c r="AM1306" s="3">
        <v>12</v>
      </c>
      <c r="AN1306" s="3">
        <v>0</v>
      </c>
      <c r="AO1306" s="3">
        <v>1</v>
      </c>
      <c r="AP1306" s="3">
        <v>0</v>
      </c>
      <c r="AQ1306" s="3">
        <v>0</v>
      </c>
      <c r="AR1306" s="2" t="s">
        <v>5</v>
      </c>
      <c r="AS1306" s="2" t="s">
        <v>5</v>
      </c>
      <c r="AU1306" s="5" t="str">
        <f>HYPERLINK("https://creighton-primo.hosted.exlibrisgroup.com/primo-explore/search?tab=default_tab&amp;search_scope=EVERYTHING&amp;vid=01CRU&amp;lang=en_US&amp;offset=0&amp;query=any,contains,991001723329702656","Catalog Record")</f>
        <v>Catalog Record</v>
      </c>
      <c r="AV1306" s="5" t="str">
        <f>HYPERLINK("http://www.worldcat.org/oclc/51172315","WorldCat Record")</f>
        <v>WorldCat Record</v>
      </c>
      <c r="AW1306" s="2" t="s">
        <v>15671</v>
      </c>
      <c r="AX1306" s="2" t="s">
        <v>15681</v>
      </c>
      <c r="AY1306" s="2" t="s">
        <v>15682</v>
      </c>
      <c r="AZ1306" s="2" t="s">
        <v>15682</v>
      </c>
      <c r="BA1306" s="2" t="s">
        <v>15683</v>
      </c>
      <c r="BB1306" s="2" t="s">
        <v>21</v>
      </c>
      <c r="BD1306" s="2" t="s">
        <v>15684</v>
      </c>
      <c r="BE1306" s="2" t="s">
        <v>15685</v>
      </c>
      <c r="BF1306" s="2" t="s">
        <v>15686</v>
      </c>
    </row>
    <row r="1307" spans="1:58" ht="41.25" customHeight="1" x14ac:dyDescent="0.25">
      <c r="A1307" s="8" t="s">
        <v>5</v>
      </c>
      <c r="B1307" s="1" t="s">
        <v>0</v>
      </c>
      <c r="C1307" s="1" t="s">
        <v>1</v>
      </c>
      <c r="D1307" s="1" t="s">
        <v>15687</v>
      </c>
      <c r="E1307" s="1" t="s">
        <v>15688</v>
      </c>
      <c r="F1307" s="1" t="s">
        <v>15689</v>
      </c>
      <c r="H1307" s="2" t="s">
        <v>5</v>
      </c>
      <c r="I1307" s="2" t="s">
        <v>6</v>
      </c>
      <c r="J1307" s="2" t="s">
        <v>5</v>
      </c>
      <c r="K1307" s="2" t="s">
        <v>5</v>
      </c>
      <c r="L1307" s="2" t="s">
        <v>7</v>
      </c>
      <c r="N1307" s="1" t="s">
        <v>15690</v>
      </c>
      <c r="O1307" s="2" t="s">
        <v>1378</v>
      </c>
      <c r="Q1307" s="2" t="s">
        <v>11</v>
      </c>
      <c r="R1307" s="2" t="s">
        <v>1325</v>
      </c>
      <c r="T1307" s="2" t="s">
        <v>520</v>
      </c>
      <c r="U1307" s="3">
        <v>2</v>
      </c>
      <c r="V1307" s="3">
        <v>2</v>
      </c>
      <c r="W1307" s="4" t="s">
        <v>15691</v>
      </c>
      <c r="X1307" s="4" t="s">
        <v>15691</v>
      </c>
      <c r="Y1307" s="4" t="s">
        <v>604</v>
      </c>
      <c r="Z1307" s="4" t="s">
        <v>604</v>
      </c>
      <c r="AA1307" s="3">
        <v>226</v>
      </c>
      <c r="AB1307" s="3">
        <v>221</v>
      </c>
      <c r="AC1307" s="3">
        <v>223</v>
      </c>
      <c r="AD1307" s="3">
        <v>2</v>
      </c>
      <c r="AE1307" s="3">
        <v>2</v>
      </c>
      <c r="AF1307" s="3">
        <v>12</v>
      </c>
      <c r="AG1307" s="3">
        <v>12</v>
      </c>
      <c r="AH1307" s="3">
        <v>3</v>
      </c>
      <c r="AI1307" s="3">
        <v>3</v>
      </c>
      <c r="AJ1307" s="3">
        <v>3</v>
      </c>
      <c r="AK1307" s="3">
        <v>3</v>
      </c>
      <c r="AL1307" s="3">
        <v>8</v>
      </c>
      <c r="AM1307" s="3">
        <v>8</v>
      </c>
      <c r="AN1307" s="3">
        <v>0</v>
      </c>
      <c r="AO1307" s="3">
        <v>0</v>
      </c>
      <c r="AP1307" s="3">
        <v>0</v>
      </c>
      <c r="AQ1307" s="3">
        <v>0</v>
      </c>
      <c r="AR1307" s="2" t="s">
        <v>5</v>
      </c>
      <c r="AS1307" s="2" t="s">
        <v>16</v>
      </c>
      <c r="AT1307" s="5" t="str">
        <f>HYPERLINK("http://catalog.hathitrust.org/Record/003321703","HathiTrust Record")</f>
        <v>HathiTrust Record</v>
      </c>
      <c r="AU1307" s="5" t="str">
        <f>HYPERLINK("https://creighton-primo.hosted.exlibrisgroup.com/primo-explore/search?tab=default_tab&amp;search_scope=EVERYTHING&amp;vid=01CRU&amp;lang=en_US&amp;offset=0&amp;query=any,contains,991000269969702656","Catalog Record")</f>
        <v>Catalog Record</v>
      </c>
      <c r="AV1307" s="5" t="str">
        <f>HYPERLINK("http://www.worldcat.org/oclc/39116679","WorldCat Record")</f>
        <v>WorldCat Record</v>
      </c>
      <c r="AW1307" s="2" t="s">
        <v>15692</v>
      </c>
      <c r="AX1307" s="2" t="s">
        <v>15693</v>
      </c>
      <c r="AY1307" s="2" t="s">
        <v>15694</v>
      </c>
      <c r="AZ1307" s="2" t="s">
        <v>15694</v>
      </c>
      <c r="BA1307" s="2" t="s">
        <v>15695</v>
      </c>
      <c r="BB1307" s="2" t="s">
        <v>21</v>
      </c>
      <c r="BE1307" s="2" t="s">
        <v>15696</v>
      </c>
      <c r="BF1307" s="2" t="s">
        <v>15697</v>
      </c>
    </row>
    <row r="1308" spans="1:58" ht="41.25" customHeight="1" x14ac:dyDescent="0.25">
      <c r="A1308" s="8" t="s">
        <v>5</v>
      </c>
      <c r="B1308" s="1" t="s">
        <v>0</v>
      </c>
      <c r="C1308" s="1" t="s">
        <v>1</v>
      </c>
      <c r="D1308" s="1" t="s">
        <v>15698</v>
      </c>
      <c r="E1308" s="1" t="s">
        <v>15699</v>
      </c>
      <c r="F1308" s="1" t="s">
        <v>15700</v>
      </c>
      <c r="H1308" s="2" t="s">
        <v>5</v>
      </c>
      <c r="I1308" s="2" t="s">
        <v>6</v>
      </c>
      <c r="J1308" s="2" t="s">
        <v>5</v>
      </c>
      <c r="K1308" s="2" t="s">
        <v>5</v>
      </c>
      <c r="L1308" s="2" t="s">
        <v>7</v>
      </c>
      <c r="M1308" s="1" t="s">
        <v>15701</v>
      </c>
      <c r="N1308" s="1" t="s">
        <v>3451</v>
      </c>
      <c r="O1308" s="2" t="s">
        <v>872</v>
      </c>
      <c r="Q1308" s="2" t="s">
        <v>11</v>
      </c>
      <c r="R1308" s="2" t="s">
        <v>426</v>
      </c>
      <c r="T1308" s="2" t="s">
        <v>520</v>
      </c>
      <c r="U1308" s="3">
        <v>8</v>
      </c>
      <c r="V1308" s="3">
        <v>8</v>
      </c>
      <c r="W1308" s="4" t="s">
        <v>7551</v>
      </c>
      <c r="X1308" s="4" t="s">
        <v>7551</v>
      </c>
      <c r="Y1308" s="4" t="s">
        <v>15702</v>
      </c>
      <c r="Z1308" s="4" t="s">
        <v>15702</v>
      </c>
      <c r="AA1308" s="3">
        <v>185</v>
      </c>
      <c r="AB1308" s="3">
        <v>153</v>
      </c>
      <c r="AC1308" s="3">
        <v>155</v>
      </c>
      <c r="AD1308" s="3">
        <v>1</v>
      </c>
      <c r="AE1308" s="3">
        <v>1</v>
      </c>
      <c r="AF1308" s="3">
        <v>5</v>
      </c>
      <c r="AG1308" s="3">
        <v>5</v>
      </c>
      <c r="AH1308" s="3">
        <v>2</v>
      </c>
      <c r="AI1308" s="3">
        <v>2</v>
      </c>
      <c r="AJ1308" s="3">
        <v>1</v>
      </c>
      <c r="AK1308" s="3">
        <v>1</v>
      </c>
      <c r="AL1308" s="3">
        <v>3</v>
      </c>
      <c r="AM1308" s="3">
        <v>3</v>
      </c>
      <c r="AN1308" s="3">
        <v>0</v>
      </c>
      <c r="AO1308" s="3">
        <v>0</v>
      </c>
      <c r="AP1308" s="3">
        <v>0</v>
      </c>
      <c r="AQ1308" s="3">
        <v>0</v>
      </c>
      <c r="AR1308" s="2" t="s">
        <v>5</v>
      </c>
      <c r="AS1308" s="2" t="s">
        <v>16</v>
      </c>
      <c r="AT1308" s="5" t="str">
        <f>HYPERLINK("http://catalog.hathitrust.org/Record/001302884","HathiTrust Record")</f>
        <v>HathiTrust Record</v>
      </c>
      <c r="AU1308" s="5" t="str">
        <f>HYPERLINK("https://creighton-primo.hosted.exlibrisgroup.com/primo-explore/search?tab=default_tab&amp;search_scope=EVERYTHING&amp;vid=01CRU&amp;lang=en_US&amp;offset=0&amp;query=any,contains,991001355389702656","Catalog Record")</f>
        <v>Catalog Record</v>
      </c>
      <c r="AV1308" s="5" t="str">
        <f>HYPERLINK("http://www.worldcat.org/oclc/18948003","WorldCat Record")</f>
        <v>WorldCat Record</v>
      </c>
      <c r="AW1308" s="2" t="s">
        <v>15703</v>
      </c>
      <c r="AX1308" s="2" t="s">
        <v>15704</v>
      </c>
      <c r="AY1308" s="2" t="s">
        <v>15705</v>
      </c>
      <c r="AZ1308" s="2" t="s">
        <v>15705</v>
      </c>
      <c r="BA1308" s="2" t="s">
        <v>15706</v>
      </c>
      <c r="BB1308" s="2" t="s">
        <v>21</v>
      </c>
      <c r="BD1308" s="2" t="s">
        <v>15707</v>
      </c>
      <c r="BE1308" s="2" t="s">
        <v>15708</v>
      </c>
      <c r="BF1308" s="2" t="s">
        <v>15709</v>
      </c>
    </row>
    <row r="1309" spans="1:58" ht="41.25" customHeight="1" x14ac:dyDescent="0.25">
      <c r="A1309" s="8" t="s">
        <v>5</v>
      </c>
      <c r="B1309" s="1" t="s">
        <v>0</v>
      </c>
      <c r="C1309" s="1" t="s">
        <v>1</v>
      </c>
      <c r="D1309" s="1" t="s">
        <v>15710</v>
      </c>
      <c r="E1309" s="1" t="s">
        <v>15711</v>
      </c>
      <c r="F1309" s="1" t="s">
        <v>15712</v>
      </c>
      <c r="H1309" s="2" t="s">
        <v>5</v>
      </c>
      <c r="I1309" s="2" t="s">
        <v>6</v>
      </c>
      <c r="J1309" s="2" t="s">
        <v>5</v>
      </c>
      <c r="K1309" s="2" t="s">
        <v>5</v>
      </c>
      <c r="L1309" s="2" t="s">
        <v>7</v>
      </c>
      <c r="M1309" s="1" t="s">
        <v>15713</v>
      </c>
      <c r="N1309" s="1" t="s">
        <v>15714</v>
      </c>
      <c r="O1309" s="2" t="s">
        <v>382</v>
      </c>
      <c r="Q1309" s="2" t="s">
        <v>11</v>
      </c>
      <c r="R1309" s="2" t="s">
        <v>10216</v>
      </c>
      <c r="T1309" s="2" t="s">
        <v>520</v>
      </c>
      <c r="U1309" s="3">
        <v>1</v>
      </c>
      <c r="V1309" s="3">
        <v>1</v>
      </c>
      <c r="W1309" s="4" t="s">
        <v>15715</v>
      </c>
      <c r="X1309" s="4" t="s">
        <v>15715</v>
      </c>
      <c r="Y1309" s="4" t="s">
        <v>197</v>
      </c>
      <c r="Z1309" s="4" t="s">
        <v>197</v>
      </c>
      <c r="AA1309" s="3">
        <v>90</v>
      </c>
      <c r="AB1309" s="3">
        <v>53</v>
      </c>
      <c r="AC1309" s="3">
        <v>55</v>
      </c>
      <c r="AD1309" s="3">
        <v>1</v>
      </c>
      <c r="AE1309" s="3">
        <v>1</v>
      </c>
      <c r="AF1309" s="3">
        <v>2</v>
      </c>
      <c r="AG1309" s="3">
        <v>2</v>
      </c>
      <c r="AH1309" s="3">
        <v>0</v>
      </c>
      <c r="AI1309" s="3">
        <v>0</v>
      </c>
      <c r="AJ1309" s="3">
        <v>0</v>
      </c>
      <c r="AK1309" s="3">
        <v>0</v>
      </c>
      <c r="AL1309" s="3">
        <v>2</v>
      </c>
      <c r="AM1309" s="3">
        <v>2</v>
      </c>
      <c r="AN1309" s="3">
        <v>0</v>
      </c>
      <c r="AO1309" s="3">
        <v>0</v>
      </c>
      <c r="AP1309" s="3">
        <v>0</v>
      </c>
      <c r="AQ1309" s="3">
        <v>0</v>
      </c>
      <c r="AR1309" s="2" t="s">
        <v>5</v>
      </c>
      <c r="AS1309" s="2" t="s">
        <v>16</v>
      </c>
      <c r="AT1309" s="5" t="str">
        <f>HYPERLINK("http://catalog.hathitrust.org/Record/000350528","HathiTrust Record")</f>
        <v>HathiTrust Record</v>
      </c>
      <c r="AU1309" s="5" t="str">
        <f>HYPERLINK("https://creighton-primo.hosted.exlibrisgroup.com/primo-explore/search?tab=default_tab&amp;search_scope=EVERYTHING&amp;vid=01CRU&amp;lang=en_US&amp;offset=0&amp;query=any,contains,991001085049702656","Catalog Record")</f>
        <v>Catalog Record</v>
      </c>
      <c r="AV1309" s="5" t="str">
        <f>HYPERLINK("http://www.worldcat.org/oclc/14905509","WorldCat Record")</f>
        <v>WorldCat Record</v>
      </c>
      <c r="AW1309" s="2" t="s">
        <v>15716</v>
      </c>
      <c r="AX1309" s="2" t="s">
        <v>15717</v>
      </c>
      <c r="AY1309" s="2" t="s">
        <v>15718</v>
      </c>
      <c r="AZ1309" s="2" t="s">
        <v>15718</v>
      </c>
      <c r="BA1309" s="2" t="s">
        <v>15719</v>
      </c>
      <c r="BB1309" s="2" t="s">
        <v>21</v>
      </c>
      <c r="BD1309" s="2" t="s">
        <v>15720</v>
      </c>
      <c r="BE1309" s="2" t="s">
        <v>15721</v>
      </c>
      <c r="BF1309" s="2" t="s">
        <v>15722</v>
      </c>
    </row>
    <row r="1310" spans="1:58" ht="41.25" customHeight="1" x14ac:dyDescent="0.25">
      <c r="A1310" s="8" t="s">
        <v>5</v>
      </c>
      <c r="B1310" s="1" t="s">
        <v>0</v>
      </c>
      <c r="C1310" s="1" t="s">
        <v>1</v>
      </c>
      <c r="D1310" s="1" t="s">
        <v>15723</v>
      </c>
      <c r="E1310" s="1" t="s">
        <v>15724</v>
      </c>
      <c r="F1310" s="1" t="s">
        <v>15725</v>
      </c>
      <c r="H1310" s="2" t="s">
        <v>5</v>
      </c>
      <c r="I1310" s="2" t="s">
        <v>6</v>
      </c>
      <c r="J1310" s="2" t="s">
        <v>5</v>
      </c>
      <c r="K1310" s="2" t="s">
        <v>16</v>
      </c>
      <c r="L1310" s="2" t="s">
        <v>7</v>
      </c>
      <c r="N1310" s="1" t="s">
        <v>5551</v>
      </c>
      <c r="O1310" s="2" t="s">
        <v>210</v>
      </c>
      <c r="P1310" s="1" t="s">
        <v>15726</v>
      </c>
      <c r="Q1310" s="2" t="s">
        <v>11</v>
      </c>
      <c r="R1310" s="2" t="s">
        <v>426</v>
      </c>
      <c r="T1310" s="2" t="s">
        <v>520</v>
      </c>
      <c r="U1310" s="3">
        <v>52</v>
      </c>
      <c r="V1310" s="3">
        <v>52</v>
      </c>
      <c r="W1310" s="4" t="s">
        <v>15727</v>
      </c>
      <c r="X1310" s="4" t="s">
        <v>15727</v>
      </c>
      <c r="Y1310" s="4" t="s">
        <v>15728</v>
      </c>
      <c r="Z1310" s="4" t="s">
        <v>15728</v>
      </c>
      <c r="AA1310" s="3">
        <v>383</v>
      </c>
      <c r="AB1310" s="3">
        <v>311</v>
      </c>
      <c r="AC1310" s="3">
        <v>1179</v>
      </c>
      <c r="AD1310" s="3">
        <v>2</v>
      </c>
      <c r="AE1310" s="3">
        <v>8</v>
      </c>
      <c r="AF1310" s="3">
        <v>6</v>
      </c>
      <c r="AG1310" s="3">
        <v>25</v>
      </c>
      <c r="AH1310" s="3">
        <v>2</v>
      </c>
      <c r="AI1310" s="3">
        <v>10</v>
      </c>
      <c r="AJ1310" s="3">
        <v>1</v>
      </c>
      <c r="AK1310" s="3">
        <v>4</v>
      </c>
      <c r="AL1310" s="3">
        <v>3</v>
      </c>
      <c r="AM1310" s="3">
        <v>11</v>
      </c>
      <c r="AN1310" s="3">
        <v>1</v>
      </c>
      <c r="AO1310" s="3">
        <v>5</v>
      </c>
      <c r="AP1310" s="3">
        <v>0</v>
      </c>
      <c r="AQ1310" s="3">
        <v>0</v>
      </c>
      <c r="AR1310" s="2" t="s">
        <v>5</v>
      </c>
      <c r="AS1310" s="2" t="s">
        <v>5</v>
      </c>
      <c r="AU1310" s="5" t="str">
        <f>HYPERLINK("https://creighton-primo.hosted.exlibrisgroup.com/primo-explore/search?tab=default_tab&amp;search_scope=EVERYTHING&amp;vid=01CRU&amp;lang=en_US&amp;offset=0&amp;query=any,contains,991000842429702656","Catalog Record")</f>
        <v>Catalog Record</v>
      </c>
      <c r="AV1310" s="5" t="str">
        <f>HYPERLINK("http://www.worldcat.org/oclc/24668594","WorldCat Record")</f>
        <v>WorldCat Record</v>
      </c>
      <c r="AW1310" s="2" t="s">
        <v>15729</v>
      </c>
      <c r="AX1310" s="2" t="s">
        <v>15730</v>
      </c>
      <c r="AY1310" s="2" t="s">
        <v>15731</v>
      </c>
      <c r="AZ1310" s="2" t="s">
        <v>15731</v>
      </c>
      <c r="BA1310" s="2" t="s">
        <v>15732</v>
      </c>
      <c r="BB1310" s="2" t="s">
        <v>21</v>
      </c>
      <c r="BD1310" s="2" t="s">
        <v>15733</v>
      </c>
      <c r="BE1310" s="2" t="s">
        <v>15734</v>
      </c>
      <c r="BF1310" s="2" t="s">
        <v>15735</v>
      </c>
    </row>
    <row r="1311" spans="1:58" ht="41.25" customHeight="1" x14ac:dyDescent="0.25">
      <c r="A1311" s="8" t="s">
        <v>5</v>
      </c>
      <c r="B1311" s="1" t="s">
        <v>0</v>
      </c>
      <c r="C1311" s="1" t="s">
        <v>1</v>
      </c>
      <c r="D1311" s="1" t="s">
        <v>15736</v>
      </c>
      <c r="E1311" s="1" t="s">
        <v>15737</v>
      </c>
      <c r="F1311" s="1" t="s">
        <v>15738</v>
      </c>
      <c r="G1311" s="2" t="s">
        <v>820</v>
      </c>
      <c r="H1311" s="2" t="s">
        <v>16</v>
      </c>
      <c r="I1311" s="2" t="s">
        <v>6</v>
      </c>
      <c r="J1311" s="2" t="s">
        <v>5</v>
      </c>
      <c r="K1311" s="2" t="s">
        <v>16</v>
      </c>
      <c r="L1311" s="2" t="s">
        <v>7</v>
      </c>
      <c r="N1311" s="1" t="s">
        <v>5092</v>
      </c>
      <c r="O1311" s="2" t="s">
        <v>1195</v>
      </c>
      <c r="P1311" s="1" t="s">
        <v>1652</v>
      </c>
      <c r="Q1311" s="2" t="s">
        <v>11</v>
      </c>
      <c r="R1311" s="2" t="s">
        <v>78</v>
      </c>
      <c r="T1311" s="2" t="s">
        <v>520</v>
      </c>
      <c r="U1311" s="3">
        <v>2</v>
      </c>
      <c r="V1311" s="3">
        <v>4</v>
      </c>
      <c r="W1311" s="4" t="s">
        <v>15739</v>
      </c>
      <c r="X1311" s="4" t="s">
        <v>15739</v>
      </c>
      <c r="Y1311" s="4" t="s">
        <v>14096</v>
      </c>
      <c r="Z1311" s="4" t="s">
        <v>15740</v>
      </c>
      <c r="AA1311" s="3">
        <v>402</v>
      </c>
      <c r="AB1311" s="3">
        <v>303</v>
      </c>
      <c r="AC1311" s="3">
        <v>1179</v>
      </c>
      <c r="AD1311" s="3">
        <v>2</v>
      </c>
      <c r="AE1311" s="3">
        <v>8</v>
      </c>
      <c r="AF1311" s="3">
        <v>3</v>
      </c>
      <c r="AG1311" s="3">
        <v>25</v>
      </c>
      <c r="AH1311" s="3">
        <v>1</v>
      </c>
      <c r="AI1311" s="3">
        <v>10</v>
      </c>
      <c r="AJ1311" s="3">
        <v>0</v>
      </c>
      <c r="AK1311" s="3">
        <v>4</v>
      </c>
      <c r="AL1311" s="3">
        <v>1</v>
      </c>
      <c r="AM1311" s="3">
        <v>11</v>
      </c>
      <c r="AN1311" s="3">
        <v>1</v>
      </c>
      <c r="AO1311" s="3">
        <v>5</v>
      </c>
      <c r="AP1311" s="3">
        <v>0</v>
      </c>
      <c r="AQ1311" s="3">
        <v>0</v>
      </c>
      <c r="AR1311" s="2" t="s">
        <v>5</v>
      </c>
      <c r="AS1311" s="2" t="s">
        <v>16</v>
      </c>
      <c r="AT1311" s="5" t="str">
        <f>HYPERLINK("http://catalog.hathitrust.org/Record/003449421","HathiTrust Record")</f>
        <v>HathiTrust Record</v>
      </c>
      <c r="AU1311" s="5" t="str">
        <f>HYPERLINK("https://creighton-primo.hosted.exlibrisgroup.com/primo-explore/search?tab=default_tab&amp;search_scope=EVERYTHING&amp;vid=01CRU&amp;lang=en_US&amp;offset=0&amp;query=any,contains,991001443169702656","Catalog Record")</f>
        <v>Catalog Record</v>
      </c>
      <c r="AV1311" s="5" t="str">
        <f>HYPERLINK("http://www.worldcat.org/oclc/41573060","WorldCat Record")</f>
        <v>WorldCat Record</v>
      </c>
      <c r="AW1311" s="2" t="s">
        <v>15729</v>
      </c>
      <c r="AX1311" s="2" t="s">
        <v>15741</v>
      </c>
      <c r="AY1311" s="2" t="s">
        <v>15742</v>
      </c>
      <c r="AZ1311" s="2" t="s">
        <v>15742</v>
      </c>
      <c r="BA1311" s="2" t="s">
        <v>15743</v>
      </c>
      <c r="BB1311" s="2" t="s">
        <v>21</v>
      </c>
      <c r="BD1311" s="2" t="s">
        <v>15744</v>
      </c>
      <c r="BE1311" s="2" t="s">
        <v>15745</v>
      </c>
      <c r="BF1311" s="2" t="s">
        <v>15746</v>
      </c>
    </row>
    <row r="1312" spans="1:58" ht="41.25" customHeight="1" x14ac:dyDescent="0.25">
      <c r="A1312" s="8" t="s">
        <v>5</v>
      </c>
      <c r="B1312" s="1" t="s">
        <v>0</v>
      </c>
      <c r="C1312" s="1" t="s">
        <v>1</v>
      </c>
      <c r="D1312" s="1" t="s">
        <v>15736</v>
      </c>
      <c r="E1312" s="1" t="s">
        <v>15737</v>
      </c>
      <c r="F1312" s="1" t="s">
        <v>15738</v>
      </c>
      <c r="G1312" s="2" t="s">
        <v>839</v>
      </c>
      <c r="H1312" s="2" t="s">
        <v>16</v>
      </c>
      <c r="I1312" s="2" t="s">
        <v>6</v>
      </c>
      <c r="J1312" s="2" t="s">
        <v>5</v>
      </c>
      <c r="K1312" s="2" t="s">
        <v>16</v>
      </c>
      <c r="L1312" s="2" t="s">
        <v>7</v>
      </c>
      <c r="N1312" s="1" t="s">
        <v>5092</v>
      </c>
      <c r="O1312" s="2" t="s">
        <v>1195</v>
      </c>
      <c r="P1312" s="1" t="s">
        <v>1652</v>
      </c>
      <c r="Q1312" s="2" t="s">
        <v>11</v>
      </c>
      <c r="R1312" s="2" t="s">
        <v>78</v>
      </c>
      <c r="T1312" s="2" t="s">
        <v>520</v>
      </c>
      <c r="U1312" s="3">
        <v>2</v>
      </c>
      <c r="V1312" s="3">
        <v>4</v>
      </c>
      <c r="X1312" s="4" t="s">
        <v>15739</v>
      </c>
      <c r="Y1312" s="4" t="s">
        <v>15740</v>
      </c>
      <c r="Z1312" s="4" t="s">
        <v>15740</v>
      </c>
      <c r="AA1312" s="3">
        <v>402</v>
      </c>
      <c r="AB1312" s="3">
        <v>303</v>
      </c>
      <c r="AC1312" s="3">
        <v>1179</v>
      </c>
      <c r="AD1312" s="3">
        <v>2</v>
      </c>
      <c r="AE1312" s="3">
        <v>8</v>
      </c>
      <c r="AF1312" s="3">
        <v>3</v>
      </c>
      <c r="AG1312" s="3">
        <v>25</v>
      </c>
      <c r="AH1312" s="3">
        <v>1</v>
      </c>
      <c r="AI1312" s="3">
        <v>10</v>
      </c>
      <c r="AJ1312" s="3">
        <v>0</v>
      </c>
      <c r="AK1312" s="3">
        <v>4</v>
      </c>
      <c r="AL1312" s="3">
        <v>1</v>
      </c>
      <c r="AM1312" s="3">
        <v>11</v>
      </c>
      <c r="AN1312" s="3">
        <v>1</v>
      </c>
      <c r="AO1312" s="3">
        <v>5</v>
      </c>
      <c r="AP1312" s="3">
        <v>0</v>
      </c>
      <c r="AQ1312" s="3">
        <v>0</v>
      </c>
      <c r="AR1312" s="2" t="s">
        <v>5</v>
      </c>
      <c r="AS1312" s="2" t="s">
        <v>16</v>
      </c>
      <c r="AT1312" s="5" t="str">
        <f>HYPERLINK("http://catalog.hathitrust.org/Record/003449421","HathiTrust Record")</f>
        <v>HathiTrust Record</v>
      </c>
      <c r="AU1312" s="5" t="str">
        <f>HYPERLINK("https://creighton-primo.hosted.exlibrisgroup.com/primo-explore/search?tab=default_tab&amp;search_scope=EVERYTHING&amp;vid=01CRU&amp;lang=en_US&amp;offset=0&amp;query=any,contains,991001443169702656","Catalog Record")</f>
        <v>Catalog Record</v>
      </c>
      <c r="AV1312" s="5" t="str">
        <f>HYPERLINK("http://www.worldcat.org/oclc/41573060","WorldCat Record")</f>
        <v>WorldCat Record</v>
      </c>
      <c r="AW1312" s="2" t="s">
        <v>15729</v>
      </c>
      <c r="AX1312" s="2" t="s">
        <v>15741</v>
      </c>
      <c r="AY1312" s="2" t="s">
        <v>15742</v>
      </c>
      <c r="AZ1312" s="2" t="s">
        <v>15742</v>
      </c>
      <c r="BA1312" s="2" t="s">
        <v>15743</v>
      </c>
      <c r="BB1312" s="2" t="s">
        <v>21</v>
      </c>
      <c r="BD1312" s="2" t="s">
        <v>15744</v>
      </c>
      <c r="BE1312" s="2" t="s">
        <v>15747</v>
      </c>
      <c r="BF1312" s="2" t="s">
        <v>15748</v>
      </c>
    </row>
    <row r="1313" spans="1:58" ht="41.25" customHeight="1" x14ac:dyDescent="0.25">
      <c r="A1313" s="8" t="s">
        <v>5</v>
      </c>
      <c r="B1313" s="1" t="s">
        <v>0</v>
      </c>
      <c r="C1313" s="1" t="s">
        <v>1</v>
      </c>
      <c r="D1313" s="1" t="s">
        <v>15749</v>
      </c>
      <c r="E1313" s="1" t="s">
        <v>15750</v>
      </c>
      <c r="F1313" s="1" t="s">
        <v>15751</v>
      </c>
      <c r="G1313" s="2" t="s">
        <v>4558</v>
      </c>
      <c r="H1313" s="2" t="s">
        <v>16</v>
      </c>
      <c r="I1313" s="2" t="s">
        <v>6</v>
      </c>
      <c r="J1313" s="2" t="s">
        <v>5</v>
      </c>
      <c r="K1313" s="2" t="s">
        <v>16</v>
      </c>
      <c r="L1313" s="2" t="s">
        <v>7</v>
      </c>
      <c r="N1313" s="1" t="s">
        <v>1390</v>
      </c>
      <c r="O1313" s="2" t="s">
        <v>1391</v>
      </c>
      <c r="P1313" s="1" t="s">
        <v>15752</v>
      </c>
      <c r="Q1313" s="2" t="s">
        <v>11</v>
      </c>
      <c r="R1313" s="2" t="s">
        <v>78</v>
      </c>
      <c r="T1313" s="2" t="s">
        <v>520</v>
      </c>
      <c r="U1313" s="3">
        <v>2</v>
      </c>
      <c r="V1313" s="3">
        <v>7</v>
      </c>
      <c r="W1313" s="4" t="s">
        <v>1047</v>
      </c>
      <c r="X1313" s="4" t="s">
        <v>1047</v>
      </c>
      <c r="Y1313" s="4" t="s">
        <v>1048</v>
      </c>
      <c r="Z1313" s="4" t="s">
        <v>1048</v>
      </c>
      <c r="AA1313" s="3">
        <v>448</v>
      </c>
      <c r="AB1313" s="3">
        <v>345</v>
      </c>
      <c r="AC1313" s="3">
        <v>1179</v>
      </c>
      <c r="AD1313" s="3">
        <v>1</v>
      </c>
      <c r="AE1313" s="3">
        <v>8</v>
      </c>
      <c r="AF1313" s="3">
        <v>6</v>
      </c>
      <c r="AG1313" s="3">
        <v>25</v>
      </c>
      <c r="AH1313" s="3">
        <v>2</v>
      </c>
      <c r="AI1313" s="3">
        <v>10</v>
      </c>
      <c r="AJ1313" s="3">
        <v>2</v>
      </c>
      <c r="AK1313" s="3">
        <v>4</v>
      </c>
      <c r="AL1313" s="3">
        <v>3</v>
      </c>
      <c r="AM1313" s="3">
        <v>11</v>
      </c>
      <c r="AN1313" s="3">
        <v>0</v>
      </c>
      <c r="AO1313" s="3">
        <v>5</v>
      </c>
      <c r="AP1313" s="3">
        <v>0</v>
      </c>
      <c r="AQ1313" s="3">
        <v>0</v>
      </c>
      <c r="AR1313" s="2" t="s">
        <v>5</v>
      </c>
      <c r="AS1313" s="2" t="s">
        <v>5</v>
      </c>
      <c r="AU1313" s="5" t="str">
        <f>HYPERLINK("https://creighton-primo.hosted.exlibrisgroup.com/primo-explore/search?tab=default_tab&amp;search_scope=EVERYTHING&amp;vid=01CRU&amp;lang=en_US&amp;offset=0&amp;query=any,contains,991000369659702656","Catalog Record")</f>
        <v>Catalog Record</v>
      </c>
      <c r="AV1313" s="5" t="str">
        <f>HYPERLINK("http://www.worldcat.org/oclc/51922578","WorldCat Record")</f>
        <v>WorldCat Record</v>
      </c>
      <c r="AW1313" s="2" t="s">
        <v>15729</v>
      </c>
      <c r="AX1313" s="2" t="s">
        <v>15753</v>
      </c>
      <c r="AY1313" s="2" t="s">
        <v>15754</v>
      </c>
      <c r="AZ1313" s="2" t="s">
        <v>15754</v>
      </c>
      <c r="BA1313" s="2" t="s">
        <v>15755</v>
      </c>
      <c r="BB1313" s="2" t="s">
        <v>21</v>
      </c>
      <c r="BD1313" s="2" t="s">
        <v>15756</v>
      </c>
      <c r="BE1313" s="2" t="s">
        <v>15757</v>
      </c>
      <c r="BF1313" s="2" t="s">
        <v>15758</v>
      </c>
    </row>
    <row r="1314" spans="1:58" ht="41.25" customHeight="1" x14ac:dyDescent="0.25">
      <c r="A1314" s="8" t="s">
        <v>5</v>
      </c>
      <c r="B1314" s="1" t="s">
        <v>0</v>
      </c>
      <c r="C1314" s="1" t="s">
        <v>1</v>
      </c>
      <c r="D1314" s="1" t="s">
        <v>15749</v>
      </c>
      <c r="E1314" s="1" t="s">
        <v>15750</v>
      </c>
      <c r="F1314" s="1" t="s">
        <v>15751</v>
      </c>
      <c r="G1314" s="2" t="s">
        <v>4173</v>
      </c>
      <c r="H1314" s="2" t="s">
        <v>16</v>
      </c>
      <c r="I1314" s="2" t="s">
        <v>6</v>
      </c>
      <c r="J1314" s="2" t="s">
        <v>5</v>
      </c>
      <c r="K1314" s="2" t="s">
        <v>16</v>
      </c>
      <c r="L1314" s="2" t="s">
        <v>7</v>
      </c>
      <c r="N1314" s="1" t="s">
        <v>1390</v>
      </c>
      <c r="O1314" s="2" t="s">
        <v>1391</v>
      </c>
      <c r="P1314" s="1" t="s">
        <v>15752</v>
      </c>
      <c r="Q1314" s="2" t="s">
        <v>11</v>
      </c>
      <c r="R1314" s="2" t="s">
        <v>78</v>
      </c>
      <c r="T1314" s="2" t="s">
        <v>520</v>
      </c>
      <c r="U1314" s="3">
        <v>5</v>
      </c>
      <c r="V1314" s="3">
        <v>7</v>
      </c>
      <c r="W1314" s="4" t="s">
        <v>1047</v>
      </c>
      <c r="X1314" s="4" t="s">
        <v>1047</v>
      </c>
      <c r="Y1314" s="4" t="s">
        <v>1048</v>
      </c>
      <c r="Z1314" s="4" t="s">
        <v>1048</v>
      </c>
      <c r="AA1314" s="3">
        <v>448</v>
      </c>
      <c r="AB1314" s="3">
        <v>345</v>
      </c>
      <c r="AC1314" s="3">
        <v>1179</v>
      </c>
      <c r="AD1314" s="3">
        <v>1</v>
      </c>
      <c r="AE1314" s="3">
        <v>8</v>
      </c>
      <c r="AF1314" s="3">
        <v>6</v>
      </c>
      <c r="AG1314" s="3">
        <v>25</v>
      </c>
      <c r="AH1314" s="3">
        <v>2</v>
      </c>
      <c r="AI1314" s="3">
        <v>10</v>
      </c>
      <c r="AJ1314" s="3">
        <v>2</v>
      </c>
      <c r="AK1314" s="3">
        <v>4</v>
      </c>
      <c r="AL1314" s="3">
        <v>3</v>
      </c>
      <c r="AM1314" s="3">
        <v>11</v>
      </c>
      <c r="AN1314" s="3">
        <v>0</v>
      </c>
      <c r="AO1314" s="3">
        <v>5</v>
      </c>
      <c r="AP1314" s="3">
        <v>0</v>
      </c>
      <c r="AQ1314" s="3">
        <v>0</v>
      </c>
      <c r="AR1314" s="2" t="s">
        <v>5</v>
      </c>
      <c r="AS1314" s="2" t="s">
        <v>5</v>
      </c>
      <c r="AU1314" s="5" t="str">
        <f>HYPERLINK("https://creighton-primo.hosted.exlibrisgroup.com/primo-explore/search?tab=default_tab&amp;search_scope=EVERYTHING&amp;vid=01CRU&amp;lang=en_US&amp;offset=0&amp;query=any,contains,991000369659702656","Catalog Record")</f>
        <v>Catalog Record</v>
      </c>
      <c r="AV1314" s="5" t="str">
        <f>HYPERLINK("http://www.worldcat.org/oclc/51922578","WorldCat Record")</f>
        <v>WorldCat Record</v>
      </c>
      <c r="AW1314" s="2" t="s">
        <v>15729</v>
      </c>
      <c r="AX1314" s="2" t="s">
        <v>15753</v>
      </c>
      <c r="AY1314" s="2" t="s">
        <v>15754</v>
      </c>
      <c r="AZ1314" s="2" t="s">
        <v>15754</v>
      </c>
      <c r="BA1314" s="2" t="s">
        <v>15755</v>
      </c>
      <c r="BB1314" s="2" t="s">
        <v>21</v>
      </c>
      <c r="BD1314" s="2" t="s">
        <v>15756</v>
      </c>
      <c r="BE1314" s="2" t="s">
        <v>15759</v>
      </c>
      <c r="BF1314" s="2" t="s">
        <v>15760</v>
      </c>
    </row>
    <row r="1315" spans="1:58" ht="41.25" customHeight="1" x14ac:dyDescent="0.25">
      <c r="A1315" s="8" t="s">
        <v>5</v>
      </c>
      <c r="B1315" s="1" t="s">
        <v>0</v>
      </c>
      <c r="C1315" s="1" t="s">
        <v>1</v>
      </c>
      <c r="D1315" s="1" t="s">
        <v>15761</v>
      </c>
      <c r="E1315" s="1" t="s">
        <v>15762</v>
      </c>
      <c r="F1315" s="1" t="s">
        <v>15763</v>
      </c>
      <c r="G1315" s="2" t="s">
        <v>2942</v>
      </c>
      <c r="H1315" s="2" t="s">
        <v>5</v>
      </c>
      <c r="I1315" s="2" t="s">
        <v>6</v>
      </c>
      <c r="J1315" s="2" t="s">
        <v>5</v>
      </c>
      <c r="K1315" s="2" t="s">
        <v>5</v>
      </c>
      <c r="L1315" s="2" t="s">
        <v>7</v>
      </c>
      <c r="M1315" s="1" t="s">
        <v>15764</v>
      </c>
      <c r="N1315" s="1" t="s">
        <v>15765</v>
      </c>
      <c r="O1315" s="2" t="s">
        <v>1391</v>
      </c>
      <c r="P1315" s="1" t="s">
        <v>11831</v>
      </c>
      <c r="Q1315" s="2" t="s">
        <v>11</v>
      </c>
      <c r="R1315" s="2" t="s">
        <v>78</v>
      </c>
      <c r="T1315" s="2" t="s">
        <v>520</v>
      </c>
      <c r="U1315" s="3">
        <v>10</v>
      </c>
      <c r="V1315" s="3">
        <v>10</v>
      </c>
      <c r="W1315" s="4" t="s">
        <v>4992</v>
      </c>
      <c r="X1315" s="4" t="s">
        <v>4992</v>
      </c>
      <c r="Y1315" s="4" t="s">
        <v>15766</v>
      </c>
      <c r="Z1315" s="4" t="s">
        <v>15766</v>
      </c>
      <c r="AA1315" s="3">
        <v>70</v>
      </c>
      <c r="AB1315" s="3">
        <v>52</v>
      </c>
      <c r="AC1315" s="3">
        <v>57</v>
      </c>
      <c r="AD1315" s="3">
        <v>1</v>
      </c>
      <c r="AE1315" s="3">
        <v>1</v>
      </c>
      <c r="AF1315" s="3">
        <v>1</v>
      </c>
      <c r="AG1315" s="3">
        <v>1</v>
      </c>
      <c r="AH1315" s="3">
        <v>1</v>
      </c>
      <c r="AI1315" s="3">
        <v>1</v>
      </c>
      <c r="AJ1315" s="3">
        <v>0</v>
      </c>
      <c r="AK1315" s="3">
        <v>0</v>
      </c>
      <c r="AL1315" s="3">
        <v>0</v>
      </c>
      <c r="AM1315" s="3">
        <v>0</v>
      </c>
      <c r="AN1315" s="3">
        <v>0</v>
      </c>
      <c r="AO1315" s="3">
        <v>0</v>
      </c>
      <c r="AP1315" s="3">
        <v>0</v>
      </c>
      <c r="AQ1315" s="3">
        <v>0</v>
      </c>
      <c r="AR1315" s="2" t="s">
        <v>5</v>
      </c>
      <c r="AS1315" s="2" t="s">
        <v>5</v>
      </c>
      <c r="AU1315" s="5" t="str">
        <f>HYPERLINK("https://creighton-primo.hosted.exlibrisgroup.com/primo-explore/search?tab=default_tab&amp;search_scope=EVERYTHING&amp;vid=01CRU&amp;lang=en_US&amp;offset=0&amp;query=any,contains,991000634299702656","Catalog Record")</f>
        <v>Catalog Record</v>
      </c>
      <c r="AV1315" s="5" t="str">
        <f>HYPERLINK("http://www.worldcat.org/oclc/53180013","WorldCat Record")</f>
        <v>WorldCat Record</v>
      </c>
      <c r="AW1315" s="2" t="s">
        <v>15767</v>
      </c>
      <c r="AX1315" s="2" t="s">
        <v>15768</v>
      </c>
      <c r="AY1315" s="2" t="s">
        <v>15769</v>
      </c>
      <c r="AZ1315" s="2" t="s">
        <v>15769</v>
      </c>
      <c r="BA1315" s="2" t="s">
        <v>15770</v>
      </c>
      <c r="BB1315" s="2" t="s">
        <v>21</v>
      </c>
      <c r="BD1315" s="2" t="s">
        <v>15771</v>
      </c>
      <c r="BE1315" s="2" t="s">
        <v>15772</v>
      </c>
      <c r="BF1315" s="2" t="s">
        <v>15773</v>
      </c>
    </row>
    <row r="1316" spans="1:58" ht="41.25" customHeight="1" x14ac:dyDescent="0.25">
      <c r="A1316" s="8" t="s">
        <v>5</v>
      </c>
      <c r="B1316" s="1" t="s">
        <v>0</v>
      </c>
      <c r="C1316" s="1" t="s">
        <v>1</v>
      </c>
      <c r="D1316" s="1" t="s">
        <v>15774</v>
      </c>
      <c r="E1316" s="1" t="s">
        <v>15775</v>
      </c>
      <c r="F1316" s="1" t="s">
        <v>15776</v>
      </c>
      <c r="H1316" s="2" t="s">
        <v>5</v>
      </c>
      <c r="I1316" s="2" t="s">
        <v>6</v>
      </c>
      <c r="J1316" s="2" t="s">
        <v>5</v>
      </c>
      <c r="K1316" s="2" t="s">
        <v>5</v>
      </c>
      <c r="L1316" s="2" t="s">
        <v>7</v>
      </c>
      <c r="M1316" s="1" t="s">
        <v>7513</v>
      </c>
      <c r="N1316" s="1" t="s">
        <v>7501</v>
      </c>
      <c r="O1316" s="2" t="s">
        <v>888</v>
      </c>
      <c r="P1316" s="1" t="s">
        <v>15777</v>
      </c>
      <c r="Q1316" s="2" t="s">
        <v>11</v>
      </c>
      <c r="R1316" s="2" t="s">
        <v>426</v>
      </c>
      <c r="T1316" s="2" t="s">
        <v>520</v>
      </c>
      <c r="U1316" s="3">
        <v>47</v>
      </c>
      <c r="V1316" s="3">
        <v>47</v>
      </c>
      <c r="W1316" s="4" t="s">
        <v>15778</v>
      </c>
      <c r="X1316" s="4" t="s">
        <v>15778</v>
      </c>
      <c r="Y1316" s="4" t="s">
        <v>14808</v>
      </c>
      <c r="Z1316" s="4" t="s">
        <v>14808</v>
      </c>
      <c r="AA1316" s="3">
        <v>321</v>
      </c>
      <c r="AB1316" s="3">
        <v>264</v>
      </c>
      <c r="AC1316" s="3">
        <v>473</v>
      </c>
      <c r="AD1316" s="3">
        <v>2</v>
      </c>
      <c r="AE1316" s="3">
        <v>3</v>
      </c>
      <c r="AF1316" s="3">
        <v>5</v>
      </c>
      <c r="AG1316" s="3">
        <v>6</v>
      </c>
      <c r="AH1316" s="3">
        <v>1</v>
      </c>
      <c r="AI1316" s="3">
        <v>2</v>
      </c>
      <c r="AJ1316" s="3">
        <v>1</v>
      </c>
      <c r="AK1316" s="3">
        <v>1</v>
      </c>
      <c r="AL1316" s="3">
        <v>2</v>
      </c>
      <c r="AM1316" s="3">
        <v>2</v>
      </c>
      <c r="AN1316" s="3">
        <v>1</v>
      </c>
      <c r="AO1316" s="3">
        <v>1</v>
      </c>
      <c r="AP1316" s="3">
        <v>0</v>
      </c>
      <c r="AQ1316" s="3">
        <v>0</v>
      </c>
      <c r="AR1316" s="2" t="s">
        <v>5</v>
      </c>
      <c r="AS1316" s="2" t="s">
        <v>5</v>
      </c>
      <c r="AU1316" s="5" t="str">
        <f>HYPERLINK("https://creighton-primo.hosted.exlibrisgroup.com/primo-explore/search?tab=default_tab&amp;search_scope=EVERYTHING&amp;vid=01CRU&amp;lang=en_US&amp;offset=0&amp;query=any,contains,991000735939702656","Catalog Record")</f>
        <v>Catalog Record</v>
      </c>
      <c r="AV1316" s="5" t="str">
        <f>HYPERLINK("http://www.worldcat.org/oclc/9852253","WorldCat Record")</f>
        <v>WorldCat Record</v>
      </c>
      <c r="AW1316" s="2" t="s">
        <v>15779</v>
      </c>
      <c r="AX1316" s="2" t="s">
        <v>15780</v>
      </c>
      <c r="AY1316" s="2" t="s">
        <v>15781</v>
      </c>
      <c r="AZ1316" s="2" t="s">
        <v>15781</v>
      </c>
      <c r="BA1316" s="2" t="s">
        <v>15782</v>
      </c>
      <c r="BB1316" s="2" t="s">
        <v>21</v>
      </c>
      <c r="BD1316" s="2" t="s">
        <v>15783</v>
      </c>
      <c r="BE1316" s="2" t="s">
        <v>15784</v>
      </c>
      <c r="BF1316" s="2" t="s">
        <v>15785</v>
      </c>
    </row>
    <row r="1317" spans="1:58" ht="41.25" customHeight="1" x14ac:dyDescent="0.25">
      <c r="A1317" s="8" t="s">
        <v>5</v>
      </c>
      <c r="B1317" s="1" t="s">
        <v>0</v>
      </c>
      <c r="C1317" s="1" t="s">
        <v>1</v>
      </c>
      <c r="D1317" s="1" t="s">
        <v>15786</v>
      </c>
      <c r="E1317" s="1" t="s">
        <v>15787</v>
      </c>
      <c r="F1317" s="1" t="s">
        <v>15788</v>
      </c>
      <c r="H1317" s="2" t="s">
        <v>5</v>
      </c>
      <c r="I1317" s="2" t="s">
        <v>6</v>
      </c>
      <c r="J1317" s="2" t="s">
        <v>5</v>
      </c>
      <c r="K1317" s="2" t="s">
        <v>5</v>
      </c>
      <c r="L1317" s="2" t="s">
        <v>7</v>
      </c>
      <c r="M1317" s="1" t="s">
        <v>15789</v>
      </c>
      <c r="N1317" s="1" t="s">
        <v>6741</v>
      </c>
      <c r="O1317" s="2" t="s">
        <v>888</v>
      </c>
      <c r="Q1317" s="2" t="s">
        <v>11</v>
      </c>
      <c r="R1317" s="2" t="s">
        <v>426</v>
      </c>
      <c r="T1317" s="2" t="s">
        <v>520</v>
      </c>
      <c r="U1317" s="3">
        <v>12</v>
      </c>
      <c r="V1317" s="3">
        <v>12</v>
      </c>
      <c r="W1317" s="4" t="s">
        <v>15790</v>
      </c>
      <c r="X1317" s="4" t="s">
        <v>15790</v>
      </c>
      <c r="Y1317" s="4" t="s">
        <v>197</v>
      </c>
      <c r="Z1317" s="4" t="s">
        <v>197</v>
      </c>
      <c r="AA1317" s="3">
        <v>432</v>
      </c>
      <c r="AB1317" s="3">
        <v>378</v>
      </c>
      <c r="AC1317" s="3">
        <v>385</v>
      </c>
      <c r="AD1317" s="3">
        <v>1</v>
      </c>
      <c r="AE1317" s="3">
        <v>1</v>
      </c>
      <c r="AF1317" s="3">
        <v>14</v>
      </c>
      <c r="AG1317" s="3">
        <v>14</v>
      </c>
      <c r="AH1317" s="3">
        <v>7</v>
      </c>
      <c r="AI1317" s="3">
        <v>7</v>
      </c>
      <c r="AJ1317" s="3">
        <v>4</v>
      </c>
      <c r="AK1317" s="3">
        <v>4</v>
      </c>
      <c r="AL1317" s="3">
        <v>9</v>
      </c>
      <c r="AM1317" s="3">
        <v>9</v>
      </c>
      <c r="AN1317" s="3">
        <v>0</v>
      </c>
      <c r="AO1317" s="3">
        <v>0</v>
      </c>
      <c r="AP1317" s="3">
        <v>0</v>
      </c>
      <c r="AQ1317" s="3">
        <v>0</v>
      </c>
      <c r="AR1317" s="2" t="s">
        <v>5</v>
      </c>
      <c r="AS1317" s="2" t="s">
        <v>16</v>
      </c>
      <c r="AT1317" s="5" t="str">
        <f>HYPERLINK("http://catalog.hathitrust.org/Record/000121074","HathiTrust Record")</f>
        <v>HathiTrust Record</v>
      </c>
      <c r="AU1317" s="5" t="str">
        <f>HYPERLINK("https://creighton-primo.hosted.exlibrisgroup.com/primo-explore/search?tab=default_tab&amp;search_scope=EVERYTHING&amp;vid=01CRU&amp;lang=en_US&amp;offset=0&amp;query=any,contains,991001085129702656","Catalog Record")</f>
        <v>Catalog Record</v>
      </c>
      <c r="AV1317" s="5" t="str">
        <f>HYPERLINK("http://www.worldcat.org/oclc/9682756","WorldCat Record")</f>
        <v>WorldCat Record</v>
      </c>
      <c r="AW1317" s="2" t="s">
        <v>15791</v>
      </c>
      <c r="AX1317" s="2" t="s">
        <v>15792</v>
      </c>
      <c r="AY1317" s="2" t="s">
        <v>15793</v>
      </c>
      <c r="AZ1317" s="2" t="s">
        <v>15793</v>
      </c>
      <c r="BA1317" s="2" t="s">
        <v>15794</v>
      </c>
      <c r="BB1317" s="2" t="s">
        <v>21</v>
      </c>
      <c r="BD1317" s="2" t="s">
        <v>15795</v>
      </c>
      <c r="BE1317" s="2" t="s">
        <v>15796</v>
      </c>
      <c r="BF1317" s="2" t="s">
        <v>15797</v>
      </c>
    </row>
    <row r="1318" spans="1:58" ht="41.25" customHeight="1" x14ac:dyDescent="0.25">
      <c r="A1318" s="8" t="s">
        <v>5</v>
      </c>
      <c r="B1318" s="1" t="s">
        <v>0</v>
      </c>
      <c r="C1318" s="1" t="s">
        <v>1</v>
      </c>
      <c r="D1318" s="1" t="s">
        <v>15798</v>
      </c>
      <c r="E1318" s="1" t="s">
        <v>15799</v>
      </c>
      <c r="F1318" s="1" t="s">
        <v>15800</v>
      </c>
      <c r="H1318" s="2" t="s">
        <v>5</v>
      </c>
      <c r="I1318" s="2" t="s">
        <v>6</v>
      </c>
      <c r="J1318" s="2" t="s">
        <v>5</v>
      </c>
      <c r="K1318" s="2" t="s">
        <v>5</v>
      </c>
      <c r="L1318" s="2" t="s">
        <v>7</v>
      </c>
      <c r="N1318" s="1" t="s">
        <v>5929</v>
      </c>
      <c r="O1318" s="2" t="s">
        <v>393</v>
      </c>
      <c r="Q1318" s="2" t="s">
        <v>11</v>
      </c>
      <c r="R1318" s="2" t="s">
        <v>426</v>
      </c>
      <c r="T1318" s="2" t="s">
        <v>520</v>
      </c>
      <c r="U1318" s="3">
        <v>6</v>
      </c>
      <c r="V1318" s="3">
        <v>6</v>
      </c>
      <c r="W1318" s="4" t="s">
        <v>15801</v>
      </c>
      <c r="X1318" s="4" t="s">
        <v>15801</v>
      </c>
      <c r="Y1318" s="4" t="s">
        <v>197</v>
      </c>
      <c r="Z1318" s="4" t="s">
        <v>197</v>
      </c>
      <c r="AA1318" s="3">
        <v>291</v>
      </c>
      <c r="AB1318" s="3">
        <v>237</v>
      </c>
      <c r="AC1318" s="3">
        <v>239</v>
      </c>
      <c r="AD1318" s="3">
        <v>3</v>
      </c>
      <c r="AE1318" s="3">
        <v>3</v>
      </c>
      <c r="AF1318" s="3">
        <v>8</v>
      </c>
      <c r="AG1318" s="3">
        <v>8</v>
      </c>
      <c r="AH1318" s="3">
        <v>3</v>
      </c>
      <c r="AI1318" s="3">
        <v>3</v>
      </c>
      <c r="AJ1318" s="3">
        <v>2</v>
      </c>
      <c r="AK1318" s="3">
        <v>2</v>
      </c>
      <c r="AL1318" s="3">
        <v>3</v>
      </c>
      <c r="AM1318" s="3">
        <v>3</v>
      </c>
      <c r="AN1318" s="3">
        <v>1</v>
      </c>
      <c r="AO1318" s="3">
        <v>1</v>
      </c>
      <c r="AP1318" s="3">
        <v>0</v>
      </c>
      <c r="AQ1318" s="3">
        <v>0</v>
      </c>
      <c r="AR1318" s="2" t="s">
        <v>5</v>
      </c>
      <c r="AS1318" s="2" t="s">
        <v>16</v>
      </c>
      <c r="AT1318" s="5" t="str">
        <f>HYPERLINK("http://catalog.hathitrust.org/Record/000715713","HathiTrust Record")</f>
        <v>HathiTrust Record</v>
      </c>
      <c r="AU1318" s="5" t="str">
        <f>HYPERLINK("https://creighton-primo.hosted.exlibrisgroup.com/primo-explore/search?tab=default_tab&amp;search_scope=EVERYTHING&amp;vid=01CRU&amp;lang=en_US&amp;offset=0&amp;query=any,contains,991001085159702656","Catalog Record")</f>
        <v>Catalog Record</v>
      </c>
      <c r="AV1318" s="5" t="str">
        <f>HYPERLINK("http://www.worldcat.org/oclc/6195738","WorldCat Record")</f>
        <v>WorldCat Record</v>
      </c>
      <c r="AW1318" s="2" t="s">
        <v>15802</v>
      </c>
      <c r="AX1318" s="2" t="s">
        <v>15803</v>
      </c>
      <c r="AY1318" s="2" t="s">
        <v>15804</v>
      </c>
      <c r="AZ1318" s="2" t="s">
        <v>15804</v>
      </c>
      <c r="BA1318" s="2" t="s">
        <v>15805</v>
      </c>
      <c r="BB1318" s="2" t="s">
        <v>21</v>
      </c>
      <c r="BD1318" s="2" t="s">
        <v>15806</v>
      </c>
      <c r="BE1318" s="2" t="s">
        <v>15807</v>
      </c>
      <c r="BF1318" s="2" t="s">
        <v>15808</v>
      </c>
    </row>
    <row r="1319" spans="1:58" ht="41.25" customHeight="1" x14ac:dyDescent="0.25">
      <c r="A1319" s="8" t="s">
        <v>5</v>
      </c>
      <c r="B1319" s="1" t="s">
        <v>0</v>
      </c>
      <c r="C1319" s="1" t="s">
        <v>1</v>
      </c>
      <c r="D1319" s="1" t="s">
        <v>15809</v>
      </c>
      <c r="E1319" s="1" t="s">
        <v>15810</v>
      </c>
      <c r="F1319" s="1" t="s">
        <v>15811</v>
      </c>
      <c r="H1319" s="2" t="s">
        <v>5</v>
      </c>
      <c r="I1319" s="2" t="s">
        <v>6</v>
      </c>
      <c r="J1319" s="2" t="s">
        <v>5</v>
      </c>
      <c r="K1319" s="2" t="s">
        <v>5</v>
      </c>
      <c r="L1319" s="2" t="s">
        <v>7</v>
      </c>
      <c r="N1319" s="1" t="s">
        <v>15690</v>
      </c>
      <c r="O1319" s="2" t="s">
        <v>1378</v>
      </c>
      <c r="Q1319" s="2" t="s">
        <v>11</v>
      </c>
      <c r="R1319" s="2" t="s">
        <v>1325</v>
      </c>
      <c r="S1319" s="1" t="s">
        <v>15812</v>
      </c>
      <c r="T1319" s="2" t="s">
        <v>520</v>
      </c>
      <c r="U1319" s="3">
        <v>0</v>
      </c>
      <c r="V1319" s="3">
        <v>0</v>
      </c>
      <c r="W1319" s="4" t="s">
        <v>12030</v>
      </c>
      <c r="X1319" s="4" t="s">
        <v>12030</v>
      </c>
      <c r="Y1319" s="4" t="s">
        <v>604</v>
      </c>
      <c r="Z1319" s="4" t="s">
        <v>604</v>
      </c>
      <c r="AA1319" s="3">
        <v>263</v>
      </c>
      <c r="AB1319" s="3">
        <v>253</v>
      </c>
      <c r="AC1319" s="3">
        <v>268</v>
      </c>
      <c r="AD1319" s="3">
        <v>3</v>
      </c>
      <c r="AE1319" s="3">
        <v>3</v>
      </c>
      <c r="AF1319" s="3">
        <v>15</v>
      </c>
      <c r="AG1319" s="3">
        <v>15</v>
      </c>
      <c r="AH1319" s="3">
        <v>4</v>
      </c>
      <c r="AI1319" s="3">
        <v>4</v>
      </c>
      <c r="AJ1319" s="3">
        <v>3</v>
      </c>
      <c r="AK1319" s="3">
        <v>3</v>
      </c>
      <c r="AL1319" s="3">
        <v>9</v>
      </c>
      <c r="AM1319" s="3">
        <v>9</v>
      </c>
      <c r="AN1319" s="3">
        <v>1</v>
      </c>
      <c r="AO1319" s="3">
        <v>1</v>
      </c>
      <c r="AP1319" s="3">
        <v>0</v>
      </c>
      <c r="AQ1319" s="3">
        <v>0</v>
      </c>
      <c r="AR1319" s="2" t="s">
        <v>5</v>
      </c>
      <c r="AS1319" s="2" t="s">
        <v>16</v>
      </c>
      <c r="AT1319" s="5" t="str">
        <f>HYPERLINK("http://catalog.hathitrust.org/Record/004052024","HathiTrust Record")</f>
        <v>HathiTrust Record</v>
      </c>
      <c r="AU1319" s="5" t="str">
        <f>HYPERLINK("https://creighton-primo.hosted.exlibrisgroup.com/primo-explore/search?tab=default_tab&amp;search_scope=EVERYTHING&amp;vid=01CRU&amp;lang=en_US&amp;offset=0&amp;query=any,contains,991000269229702656","Catalog Record")</f>
        <v>Catalog Record</v>
      </c>
      <c r="AV1319" s="5" t="str">
        <f>HYPERLINK("http://www.worldcat.org/oclc/38752930","WorldCat Record")</f>
        <v>WorldCat Record</v>
      </c>
      <c r="AW1319" s="2" t="s">
        <v>15813</v>
      </c>
      <c r="AX1319" s="2" t="s">
        <v>15814</v>
      </c>
      <c r="AY1319" s="2" t="s">
        <v>15815</v>
      </c>
      <c r="AZ1319" s="2" t="s">
        <v>15815</v>
      </c>
      <c r="BA1319" s="2" t="s">
        <v>15816</v>
      </c>
      <c r="BB1319" s="2" t="s">
        <v>21</v>
      </c>
      <c r="BD1319" s="2" t="s">
        <v>15817</v>
      </c>
      <c r="BE1319" s="2" t="s">
        <v>15818</v>
      </c>
      <c r="BF1319" s="2" t="s">
        <v>15819</v>
      </c>
    </row>
    <row r="1320" spans="1:58" ht="41.25" customHeight="1" x14ac:dyDescent="0.25">
      <c r="A1320" s="8" t="s">
        <v>5</v>
      </c>
      <c r="B1320" s="1" t="s">
        <v>0</v>
      </c>
      <c r="C1320" s="1" t="s">
        <v>1</v>
      </c>
      <c r="D1320" s="1" t="s">
        <v>15820</v>
      </c>
      <c r="E1320" s="1" t="s">
        <v>15821</v>
      </c>
      <c r="F1320" s="1" t="s">
        <v>15822</v>
      </c>
      <c r="H1320" s="2" t="s">
        <v>5</v>
      </c>
      <c r="I1320" s="2" t="s">
        <v>6</v>
      </c>
      <c r="J1320" s="2" t="s">
        <v>5</v>
      </c>
      <c r="K1320" s="2" t="s">
        <v>5</v>
      </c>
      <c r="L1320" s="2" t="s">
        <v>7</v>
      </c>
      <c r="N1320" s="1" t="s">
        <v>15823</v>
      </c>
      <c r="O1320" s="2" t="s">
        <v>546</v>
      </c>
      <c r="Q1320" s="2" t="s">
        <v>11</v>
      </c>
      <c r="R1320" s="2" t="s">
        <v>1140</v>
      </c>
      <c r="S1320" s="1" t="s">
        <v>15824</v>
      </c>
      <c r="T1320" s="2" t="s">
        <v>520</v>
      </c>
      <c r="U1320" s="3">
        <v>3</v>
      </c>
      <c r="V1320" s="3">
        <v>3</v>
      </c>
      <c r="W1320" s="4" t="s">
        <v>15825</v>
      </c>
      <c r="X1320" s="4" t="s">
        <v>15825</v>
      </c>
      <c r="Y1320" s="4" t="s">
        <v>15825</v>
      </c>
      <c r="Z1320" s="4" t="s">
        <v>15825</v>
      </c>
      <c r="AA1320" s="3">
        <v>1</v>
      </c>
      <c r="AB1320" s="3">
        <v>1</v>
      </c>
      <c r="AC1320" s="3">
        <v>1</v>
      </c>
      <c r="AD1320" s="3">
        <v>1</v>
      </c>
      <c r="AE1320" s="3">
        <v>1</v>
      </c>
      <c r="AF1320" s="3">
        <v>0</v>
      </c>
      <c r="AG1320" s="3">
        <v>0</v>
      </c>
      <c r="AH1320" s="3">
        <v>0</v>
      </c>
      <c r="AI1320" s="3">
        <v>0</v>
      </c>
      <c r="AJ1320" s="3">
        <v>0</v>
      </c>
      <c r="AK1320" s="3">
        <v>0</v>
      </c>
      <c r="AL1320" s="3">
        <v>0</v>
      </c>
      <c r="AM1320" s="3">
        <v>0</v>
      </c>
      <c r="AN1320" s="3">
        <v>0</v>
      </c>
      <c r="AO1320" s="3">
        <v>0</v>
      </c>
      <c r="AP1320" s="3">
        <v>0</v>
      </c>
      <c r="AQ1320" s="3">
        <v>0</v>
      </c>
      <c r="AR1320" s="2" t="s">
        <v>5</v>
      </c>
      <c r="AS1320" s="2" t="s">
        <v>5</v>
      </c>
      <c r="AU1320" s="5" t="str">
        <f>HYPERLINK("https://creighton-primo.hosted.exlibrisgroup.com/primo-explore/search?tab=default_tab&amp;search_scope=EVERYTHING&amp;vid=01CRU&amp;lang=en_US&amp;offset=0&amp;query=any,contains,991000677059702656","Catalog Record")</f>
        <v>Catalog Record</v>
      </c>
      <c r="AV1320" s="5" t="str">
        <f>HYPERLINK("http://www.worldcat.org/oclc/31426998","WorldCat Record")</f>
        <v>WorldCat Record</v>
      </c>
      <c r="AW1320" s="2" t="s">
        <v>15826</v>
      </c>
      <c r="AX1320" s="2" t="s">
        <v>15827</v>
      </c>
      <c r="AY1320" s="2" t="s">
        <v>15828</v>
      </c>
      <c r="AZ1320" s="2" t="s">
        <v>15828</v>
      </c>
      <c r="BA1320" s="2" t="s">
        <v>15829</v>
      </c>
      <c r="BB1320" s="2" t="s">
        <v>21</v>
      </c>
      <c r="BE1320" s="2" t="s">
        <v>15830</v>
      </c>
      <c r="BF1320" s="2" t="s">
        <v>15831</v>
      </c>
    </row>
    <row r="1321" spans="1:58" ht="41.25" customHeight="1" x14ac:dyDescent="0.25">
      <c r="A1321" s="8" t="s">
        <v>5</v>
      </c>
      <c r="B1321" s="1" t="s">
        <v>0</v>
      </c>
      <c r="C1321" s="1" t="s">
        <v>1</v>
      </c>
      <c r="D1321" s="1" t="s">
        <v>15832</v>
      </c>
      <c r="E1321" s="1" t="s">
        <v>15833</v>
      </c>
      <c r="F1321" s="1" t="s">
        <v>15834</v>
      </c>
      <c r="H1321" s="2" t="s">
        <v>5</v>
      </c>
      <c r="I1321" s="2" t="s">
        <v>6</v>
      </c>
      <c r="J1321" s="2" t="s">
        <v>5</v>
      </c>
      <c r="K1321" s="2" t="s">
        <v>5</v>
      </c>
      <c r="L1321" s="2" t="s">
        <v>7</v>
      </c>
      <c r="M1321" s="1" t="s">
        <v>11042</v>
      </c>
      <c r="N1321" s="1" t="s">
        <v>2048</v>
      </c>
      <c r="O1321" s="2" t="s">
        <v>1378</v>
      </c>
      <c r="P1321" s="1" t="s">
        <v>1208</v>
      </c>
      <c r="Q1321" s="2" t="s">
        <v>11</v>
      </c>
      <c r="R1321" s="2" t="s">
        <v>78</v>
      </c>
      <c r="T1321" s="2" t="s">
        <v>520</v>
      </c>
      <c r="U1321" s="3">
        <v>4</v>
      </c>
      <c r="V1321" s="3">
        <v>4</v>
      </c>
      <c r="W1321" s="4" t="s">
        <v>15835</v>
      </c>
      <c r="X1321" s="4" t="s">
        <v>15835</v>
      </c>
      <c r="Y1321" s="4" t="s">
        <v>15835</v>
      </c>
      <c r="Z1321" s="4" t="s">
        <v>15835</v>
      </c>
      <c r="AA1321" s="3">
        <v>257</v>
      </c>
      <c r="AB1321" s="3">
        <v>201</v>
      </c>
      <c r="AC1321" s="3">
        <v>201</v>
      </c>
      <c r="AD1321" s="3">
        <v>1</v>
      </c>
      <c r="AE1321" s="3">
        <v>1</v>
      </c>
      <c r="AF1321" s="3">
        <v>2</v>
      </c>
      <c r="AG1321" s="3">
        <v>2</v>
      </c>
      <c r="AH1321" s="3">
        <v>0</v>
      </c>
      <c r="AI1321" s="3">
        <v>0</v>
      </c>
      <c r="AJ1321" s="3">
        <v>0</v>
      </c>
      <c r="AK1321" s="3">
        <v>0</v>
      </c>
      <c r="AL1321" s="3">
        <v>2</v>
      </c>
      <c r="AM1321" s="3">
        <v>2</v>
      </c>
      <c r="AN1321" s="3">
        <v>0</v>
      </c>
      <c r="AO1321" s="3">
        <v>0</v>
      </c>
      <c r="AP1321" s="3">
        <v>0</v>
      </c>
      <c r="AQ1321" s="3">
        <v>0</v>
      </c>
      <c r="AR1321" s="2" t="s">
        <v>5</v>
      </c>
      <c r="AS1321" s="2" t="s">
        <v>5</v>
      </c>
      <c r="AU1321" s="5" t="str">
        <f>HYPERLINK("https://creighton-primo.hosted.exlibrisgroup.com/primo-explore/search?tab=default_tab&amp;search_scope=EVERYTHING&amp;vid=01CRU&amp;lang=en_US&amp;offset=0&amp;query=any,contains,991001306399702656","Catalog Record")</f>
        <v>Catalog Record</v>
      </c>
      <c r="AV1321" s="5" t="str">
        <f>HYPERLINK("http://www.worldcat.org/oclc/37480729","WorldCat Record")</f>
        <v>WorldCat Record</v>
      </c>
      <c r="AW1321" s="2" t="s">
        <v>15836</v>
      </c>
      <c r="AX1321" s="2" t="s">
        <v>15837</v>
      </c>
      <c r="AY1321" s="2" t="s">
        <v>15838</v>
      </c>
      <c r="AZ1321" s="2" t="s">
        <v>15838</v>
      </c>
      <c r="BA1321" s="2" t="s">
        <v>15839</v>
      </c>
      <c r="BB1321" s="2" t="s">
        <v>21</v>
      </c>
      <c r="BD1321" s="2" t="s">
        <v>15840</v>
      </c>
      <c r="BE1321" s="2" t="s">
        <v>15841</v>
      </c>
      <c r="BF1321" s="2" t="s">
        <v>15842</v>
      </c>
    </row>
    <row r="1322" spans="1:58" ht="41.25" customHeight="1" x14ac:dyDescent="0.25">
      <c r="A1322" s="8" t="s">
        <v>5</v>
      </c>
      <c r="B1322" s="1" t="s">
        <v>0</v>
      </c>
      <c r="C1322" s="1" t="s">
        <v>1</v>
      </c>
      <c r="D1322" s="1" t="s">
        <v>15843</v>
      </c>
      <c r="E1322" s="1" t="s">
        <v>15844</v>
      </c>
      <c r="F1322" s="1" t="s">
        <v>15845</v>
      </c>
      <c r="H1322" s="2" t="s">
        <v>5</v>
      </c>
      <c r="I1322" s="2" t="s">
        <v>6</v>
      </c>
      <c r="J1322" s="2" t="s">
        <v>5</v>
      </c>
      <c r="K1322" s="2" t="s">
        <v>5</v>
      </c>
      <c r="L1322" s="2" t="s">
        <v>7</v>
      </c>
      <c r="M1322" s="1" t="s">
        <v>15846</v>
      </c>
      <c r="N1322" s="1" t="s">
        <v>8713</v>
      </c>
      <c r="O1322" s="2" t="s">
        <v>888</v>
      </c>
      <c r="Q1322" s="2" t="s">
        <v>11</v>
      </c>
      <c r="R1322" s="2" t="s">
        <v>426</v>
      </c>
      <c r="T1322" s="2" t="s">
        <v>520</v>
      </c>
      <c r="U1322" s="3">
        <v>2</v>
      </c>
      <c r="V1322" s="3">
        <v>2</v>
      </c>
      <c r="W1322" s="4" t="s">
        <v>13358</v>
      </c>
      <c r="X1322" s="4" t="s">
        <v>13358</v>
      </c>
      <c r="Y1322" s="4" t="s">
        <v>197</v>
      </c>
      <c r="Z1322" s="4" t="s">
        <v>197</v>
      </c>
      <c r="AA1322" s="3">
        <v>127</v>
      </c>
      <c r="AB1322" s="3">
        <v>113</v>
      </c>
      <c r="AC1322" s="3">
        <v>115</v>
      </c>
      <c r="AD1322" s="3">
        <v>1</v>
      </c>
      <c r="AE1322" s="3">
        <v>1</v>
      </c>
      <c r="AF1322" s="3">
        <v>1</v>
      </c>
      <c r="AG1322" s="3">
        <v>1</v>
      </c>
      <c r="AH1322" s="3">
        <v>0</v>
      </c>
      <c r="AI1322" s="3">
        <v>0</v>
      </c>
      <c r="AJ1322" s="3">
        <v>0</v>
      </c>
      <c r="AK1322" s="3">
        <v>0</v>
      </c>
      <c r="AL1322" s="3">
        <v>1</v>
      </c>
      <c r="AM1322" s="3">
        <v>1</v>
      </c>
      <c r="AN1322" s="3">
        <v>0</v>
      </c>
      <c r="AO1322" s="3">
        <v>0</v>
      </c>
      <c r="AP1322" s="3">
        <v>0</v>
      </c>
      <c r="AQ1322" s="3">
        <v>0</v>
      </c>
      <c r="AR1322" s="2" t="s">
        <v>5</v>
      </c>
      <c r="AS1322" s="2" t="s">
        <v>16</v>
      </c>
      <c r="AT1322" s="5" t="str">
        <f>HYPERLINK("http://catalog.hathitrust.org/Record/000779748","HathiTrust Record")</f>
        <v>HathiTrust Record</v>
      </c>
      <c r="AU1322" s="5" t="str">
        <f>HYPERLINK("https://creighton-primo.hosted.exlibrisgroup.com/primo-explore/search?tab=default_tab&amp;search_scope=EVERYTHING&amp;vid=01CRU&amp;lang=en_US&amp;offset=0&amp;query=any,contains,991001085309702656","Catalog Record")</f>
        <v>Catalog Record</v>
      </c>
      <c r="AV1322" s="5" t="str">
        <f>HYPERLINK("http://www.worldcat.org/oclc/9392948","WorldCat Record")</f>
        <v>WorldCat Record</v>
      </c>
      <c r="AW1322" s="2" t="s">
        <v>15847</v>
      </c>
      <c r="AX1322" s="2" t="s">
        <v>15848</v>
      </c>
      <c r="AY1322" s="2" t="s">
        <v>15849</v>
      </c>
      <c r="AZ1322" s="2" t="s">
        <v>15849</v>
      </c>
      <c r="BA1322" s="2" t="s">
        <v>15850</v>
      </c>
      <c r="BB1322" s="2" t="s">
        <v>21</v>
      </c>
      <c r="BD1322" s="2" t="s">
        <v>15851</v>
      </c>
      <c r="BE1322" s="2" t="s">
        <v>15852</v>
      </c>
      <c r="BF1322" s="2" t="s">
        <v>15853</v>
      </c>
    </row>
    <row r="1323" spans="1:58" ht="41.25" customHeight="1" x14ac:dyDescent="0.25">
      <c r="A1323" s="8" t="s">
        <v>5</v>
      </c>
      <c r="B1323" s="1" t="s">
        <v>0</v>
      </c>
      <c r="C1323" s="1" t="s">
        <v>1</v>
      </c>
      <c r="D1323" s="1" t="s">
        <v>15854</v>
      </c>
      <c r="E1323" s="1" t="s">
        <v>15855</v>
      </c>
      <c r="F1323" s="1" t="s">
        <v>15856</v>
      </c>
      <c r="H1323" s="2" t="s">
        <v>5</v>
      </c>
      <c r="I1323" s="2" t="s">
        <v>6</v>
      </c>
      <c r="J1323" s="2" t="s">
        <v>5</v>
      </c>
      <c r="K1323" s="2" t="s">
        <v>5</v>
      </c>
      <c r="L1323" s="2" t="s">
        <v>7</v>
      </c>
      <c r="N1323" s="1" t="s">
        <v>12192</v>
      </c>
      <c r="O1323" s="2" t="s">
        <v>382</v>
      </c>
      <c r="Q1323" s="2" t="s">
        <v>11</v>
      </c>
      <c r="R1323" s="2" t="s">
        <v>426</v>
      </c>
      <c r="S1323" s="1" t="s">
        <v>15857</v>
      </c>
      <c r="T1323" s="2" t="s">
        <v>520</v>
      </c>
      <c r="U1323" s="3">
        <v>3</v>
      </c>
      <c r="V1323" s="3">
        <v>3</v>
      </c>
      <c r="W1323" s="4" t="s">
        <v>13358</v>
      </c>
      <c r="X1323" s="4" t="s">
        <v>13358</v>
      </c>
      <c r="Y1323" s="4" t="s">
        <v>1105</v>
      </c>
      <c r="Z1323" s="4" t="s">
        <v>1105</v>
      </c>
      <c r="AA1323" s="3">
        <v>491</v>
      </c>
      <c r="AB1323" s="3">
        <v>453</v>
      </c>
      <c r="AC1323" s="3">
        <v>466</v>
      </c>
      <c r="AD1323" s="3">
        <v>3</v>
      </c>
      <c r="AE1323" s="3">
        <v>3</v>
      </c>
      <c r="AF1323" s="3">
        <v>5</v>
      </c>
      <c r="AG1323" s="3">
        <v>5</v>
      </c>
      <c r="AH1323" s="3">
        <v>2</v>
      </c>
      <c r="AI1323" s="3">
        <v>2</v>
      </c>
      <c r="AJ1323" s="3">
        <v>1</v>
      </c>
      <c r="AK1323" s="3">
        <v>1</v>
      </c>
      <c r="AL1323" s="3">
        <v>2</v>
      </c>
      <c r="AM1323" s="3">
        <v>2</v>
      </c>
      <c r="AN1323" s="3">
        <v>0</v>
      </c>
      <c r="AO1323" s="3">
        <v>0</v>
      </c>
      <c r="AP1323" s="3">
        <v>0</v>
      </c>
      <c r="AQ1323" s="3">
        <v>0</v>
      </c>
      <c r="AR1323" s="2" t="s">
        <v>5</v>
      </c>
      <c r="AS1323" s="2" t="s">
        <v>16</v>
      </c>
      <c r="AT1323" s="5" t="str">
        <f>HYPERLINK("http://catalog.hathitrust.org/Record/000628385","HathiTrust Record")</f>
        <v>HathiTrust Record</v>
      </c>
      <c r="AU1323" s="5" t="str">
        <f>HYPERLINK("https://creighton-primo.hosted.exlibrisgroup.com/primo-explore/search?tab=default_tab&amp;search_scope=EVERYTHING&amp;vid=01CRU&amp;lang=en_US&amp;offset=0&amp;query=any,contains,991000843159702656","Catalog Record")</f>
        <v>Catalog Record</v>
      </c>
      <c r="AV1323" s="5" t="str">
        <f>HYPERLINK("http://www.worldcat.org/oclc/11090102","WorldCat Record")</f>
        <v>WorldCat Record</v>
      </c>
      <c r="AW1323" s="2" t="s">
        <v>15858</v>
      </c>
      <c r="AX1323" s="2" t="s">
        <v>15859</v>
      </c>
      <c r="AY1323" s="2" t="s">
        <v>15860</v>
      </c>
      <c r="AZ1323" s="2" t="s">
        <v>15860</v>
      </c>
      <c r="BA1323" s="2" t="s">
        <v>15861</v>
      </c>
      <c r="BB1323" s="2" t="s">
        <v>21</v>
      </c>
      <c r="BD1323" s="2" t="s">
        <v>15862</v>
      </c>
      <c r="BE1323" s="2" t="s">
        <v>15863</v>
      </c>
      <c r="BF1323" s="2" t="s">
        <v>15864</v>
      </c>
    </row>
    <row r="1324" spans="1:58" ht="41.25" customHeight="1" x14ac:dyDescent="0.25">
      <c r="A1324" s="8" t="s">
        <v>5</v>
      </c>
      <c r="B1324" s="1" t="s">
        <v>0</v>
      </c>
      <c r="C1324" s="1" t="s">
        <v>1</v>
      </c>
      <c r="D1324" s="1" t="s">
        <v>15865</v>
      </c>
      <c r="E1324" s="1" t="s">
        <v>15866</v>
      </c>
      <c r="F1324" s="1" t="s">
        <v>15867</v>
      </c>
      <c r="H1324" s="2" t="s">
        <v>5</v>
      </c>
      <c r="I1324" s="2" t="s">
        <v>6</v>
      </c>
      <c r="J1324" s="2" t="s">
        <v>5</v>
      </c>
      <c r="K1324" s="2" t="s">
        <v>5</v>
      </c>
      <c r="L1324" s="2" t="s">
        <v>7</v>
      </c>
      <c r="M1324" s="1" t="s">
        <v>15868</v>
      </c>
      <c r="N1324" s="1" t="s">
        <v>15690</v>
      </c>
      <c r="O1324" s="2" t="s">
        <v>1378</v>
      </c>
      <c r="Q1324" s="2" t="s">
        <v>11</v>
      </c>
      <c r="R1324" s="2" t="s">
        <v>1325</v>
      </c>
      <c r="T1324" s="2" t="s">
        <v>520</v>
      </c>
      <c r="U1324" s="3">
        <v>0</v>
      </c>
      <c r="V1324" s="3">
        <v>0</v>
      </c>
      <c r="W1324" s="4" t="s">
        <v>903</v>
      </c>
      <c r="X1324" s="4" t="s">
        <v>903</v>
      </c>
      <c r="Y1324" s="4" t="s">
        <v>604</v>
      </c>
      <c r="Z1324" s="4" t="s">
        <v>604</v>
      </c>
      <c r="AA1324" s="3">
        <v>220</v>
      </c>
      <c r="AB1324" s="3">
        <v>216</v>
      </c>
      <c r="AC1324" s="3">
        <v>218</v>
      </c>
      <c r="AD1324" s="3">
        <v>3</v>
      </c>
      <c r="AE1324" s="3">
        <v>3</v>
      </c>
      <c r="AF1324" s="3">
        <v>11</v>
      </c>
      <c r="AG1324" s="3">
        <v>11</v>
      </c>
      <c r="AH1324" s="3">
        <v>2</v>
      </c>
      <c r="AI1324" s="3">
        <v>2</v>
      </c>
      <c r="AJ1324" s="3">
        <v>2</v>
      </c>
      <c r="AK1324" s="3">
        <v>2</v>
      </c>
      <c r="AL1324" s="3">
        <v>8</v>
      </c>
      <c r="AM1324" s="3">
        <v>8</v>
      </c>
      <c r="AN1324" s="3">
        <v>1</v>
      </c>
      <c r="AO1324" s="3">
        <v>1</v>
      </c>
      <c r="AP1324" s="3">
        <v>0</v>
      </c>
      <c r="AQ1324" s="3">
        <v>0</v>
      </c>
      <c r="AR1324" s="2" t="s">
        <v>5</v>
      </c>
      <c r="AS1324" s="2" t="s">
        <v>16</v>
      </c>
      <c r="AT1324" s="5" t="str">
        <f>HYPERLINK("http://catalog.hathitrust.org/Record/003321700","HathiTrust Record")</f>
        <v>HathiTrust Record</v>
      </c>
      <c r="AU1324" s="5" t="str">
        <f>HYPERLINK("https://creighton-primo.hosted.exlibrisgroup.com/primo-explore/search?tab=default_tab&amp;search_scope=EVERYTHING&amp;vid=01CRU&amp;lang=en_US&amp;offset=0&amp;query=any,contains,991000269889702656","Catalog Record")</f>
        <v>Catalog Record</v>
      </c>
      <c r="AV1324" s="5" t="str">
        <f>HYPERLINK("http://www.worldcat.org/oclc/39094203","WorldCat Record")</f>
        <v>WorldCat Record</v>
      </c>
      <c r="AW1324" s="2" t="s">
        <v>15869</v>
      </c>
      <c r="AX1324" s="2" t="s">
        <v>15870</v>
      </c>
      <c r="AY1324" s="2" t="s">
        <v>15871</v>
      </c>
      <c r="AZ1324" s="2" t="s">
        <v>15871</v>
      </c>
      <c r="BA1324" s="2" t="s">
        <v>15872</v>
      </c>
      <c r="BB1324" s="2" t="s">
        <v>21</v>
      </c>
      <c r="BE1324" s="2" t="s">
        <v>15873</v>
      </c>
      <c r="BF1324" s="2" t="s">
        <v>15874</v>
      </c>
    </row>
    <row r="1325" spans="1:58" ht="41.25" customHeight="1" x14ac:dyDescent="0.25">
      <c r="A1325" s="8" t="s">
        <v>5</v>
      </c>
      <c r="B1325" s="1" t="s">
        <v>0</v>
      </c>
      <c r="C1325" s="1" t="s">
        <v>1</v>
      </c>
      <c r="D1325" s="1" t="s">
        <v>15875</v>
      </c>
      <c r="E1325" s="1" t="s">
        <v>15876</v>
      </c>
      <c r="F1325" s="1" t="s">
        <v>15877</v>
      </c>
      <c r="H1325" s="2" t="s">
        <v>5</v>
      </c>
      <c r="I1325" s="2" t="s">
        <v>6</v>
      </c>
      <c r="J1325" s="2" t="s">
        <v>5</v>
      </c>
      <c r="K1325" s="2" t="s">
        <v>5</v>
      </c>
      <c r="L1325" s="2" t="s">
        <v>7</v>
      </c>
      <c r="M1325" s="1" t="s">
        <v>15878</v>
      </c>
      <c r="N1325" s="1" t="s">
        <v>6969</v>
      </c>
      <c r="O1325" s="2" t="s">
        <v>393</v>
      </c>
      <c r="P1325" s="1" t="s">
        <v>355</v>
      </c>
      <c r="Q1325" s="2" t="s">
        <v>11</v>
      </c>
      <c r="R1325" s="2" t="s">
        <v>271</v>
      </c>
      <c r="T1325" s="2" t="s">
        <v>520</v>
      </c>
      <c r="U1325" s="3">
        <v>4</v>
      </c>
      <c r="V1325" s="3">
        <v>4</v>
      </c>
      <c r="W1325" s="4" t="s">
        <v>10520</v>
      </c>
      <c r="X1325" s="4" t="s">
        <v>10520</v>
      </c>
      <c r="Y1325" s="4" t="s">
        <v>14808</v>
      </c>
      <c r="Z1325" s="4" t="s">
        <v>14808</v>
      </c>
      <c r="AA1325" s="3">
        <v>227</v>
      </c>
      <c r="AB1325" s="3">
        <v>181</v>
      </c>
      <c r="AC1325" s="3">
        <v>183</v>
      </c>
      <c r="AD1325" s="3">
        <v>2</v>
      </c>
      <c r="AE1325" s="3">
        <v>2</v>
      </c>
      <c r="AF1325" s="3">
        <v>7</v>
      </c>
      <c r="AG1325" s="3">
        <v>7</v>
      </c>
      <c r="AH1325" s="3">
        <v>2</v>
      </c>
      <c r="AI1325" s="3">
        <v>2</v>
      </c>
      <c r="AJ1325" s="3">
        <v>2</v>
      </c>
      <c r="AK1325" s="3">
        <v>2</v>
      </c>
      <c r="AL1325" s="3">
        <v>3</v>
      </c>
      <c r="AM1325" s="3">
        <v>3</v>
      </c>
      <c r="AN1325" s="3">
        <v>1</v>
      </c>
      <c r="AO1325" s="3">
        <v>1</v>
      </c>
      <c r="AP1325" s="3">
        <v>0</v>
      </c>
      <c r="AQ1325" s="3">
        <v>0</v>
      </c>
      <c r="AR1325" s="2" t="s">
        <v>5</v>
      </c>
      <c r="AS1325" s="2" t="s">
        <v>16</v>
      </c>
      <c r="AT1325" s="5" t="str">
        <f>HYPERLINK("http://catalog.hathitrust.org/Record/000313518","HathiTrust Record")</f>
        <v>HathiTrust Record</v>
      </c>
      <c r="AU1325" s="5" t="str">
        <f>HYPERLINK("https://creighton-primo.hosted.exlibrisgroup.com/primo-explore/search?tab=default_tab&amp;search_scope=EVERYTHING&amp;vid=01CRU&amp;lang=en_US&amp;offset=0&amp;query=any,contains,991000735839702656","Catalog Record")</f>
        <v>Catalog Record</v>
      </c>
      <c r="AV1325" s="5" t="str">
        <f>HYPERLINK("http://www.worldcat.org/oclc/8083869","WorldCat Record")</f>
        <v>WorldCat Record</v>
      </c>
      <c r="AW1325" s="2" t="s">
        <v>15879</v>
      </c>
      <c r="AX1325" s="2" t="s">
        <v>15880</v>
      </c>
      <c r="AY1325" s="2" t="s">
        <v>15881</v>
      </c>
      <c r="AZ1325" s="2" t="s">
        <v>15881</v>
      </c>
      <c r="BA1325" s="2" t="s">
        <v>15882</v>
      </c>
      <c r="BB1325" s="2" t="s">
        <v>21</v>
      </c>
      <c r="BE1325" s="2" t="s">
        <v>15883</v>
      </c>
      <c r="BF1325" s="2" t="s">
        <v>15884</v>
      </c>
    </row>
    <row r="1326" spans="1:58" ht="41.25" customHeight="1" x14ac:dyDescent="0.25">
      <c r="A1326" s="8" t="s">
        <v>5</v>
      </c>
      <c r="B1326" s="1" t="s">
        <v>0</v>
      </c>
      <c r="C1326" s="1" t="s">
        <v>1</v>
      </c>
      <c r="D1326" s="1" t="s">
        <v>15885</v>
      </c>
      <c r="E1326" s="1" t="s">
        <v>15886</v>
      </c>
      <c r="F1326" s="1" t="s">
        <v>15887</v>
      </c>
      <c r="H1326" s="2" t="s">
        <v>5</v>
      </c>
      <c r="I1326" s="2" t="s">
        <v>6</v>
      </c>
      <c r="J1326" s="2" t="s">
        <v>5</v>
      </c>
      <c r="K1326" s="2" t="s">
        <v>5</v>
      </c>
      <c r="L1326" s="2" t="s">
        <v>7</v>
      </c>
      <c r="N1326" s="1" t="s">
        <v>15888</v>
      </c>
      <c r="O1326" s="2" t="s">
        <v>1887</v>
      </c>
      <c r="P1326" s="1" t="s">
        <v>15889</v>
      </c>
      <c r="Q1326" s="2" t="s">
        <v>11</v>
      </c>
      <c r="R1326" s="2" t="s">
        <v>78</v>
      </c>
      <c r="T1326" s="2" t="s">
        <v>520</v>
      </c>
      <c r="U1326" s="3">
        <v>111</v>
      </c>
      <c r="V1326" s="3">
        <v>111</v>
      </c>
      <c r="W1326" s="4" t="s">
        <v>15890</v>
      </c>
      <c r="X1326" s="4" t="s">
        <v>15890</v>
      </c>
      <c r="Y1326" s="4" t="s">
        <v>15891</v>
      </c>
      <c r="Z1326" s="4" t="s">
        <v>15891</v>
      </c>
      <c r="AA1326" s="3">
        <v>324</v>
      </c>
      <c r="AB1326" s="3">
        <v>237</v>
      </c>
      <c r="AC1326" s="3">
        <v>239</v>
      </c>
      <c r="AD1326" s="3">
        <v>3</v>
      </c>
      <c r="AE1326" s="3">
        <v>3</v>
      </c>
      <c r="AF1326" s="3">
        <v>5</v>
      </c>
      <c r="AG1326" s="3">
        <v>5</v>
      </c>
      <c r="AH1326" s="3">
        <v>1</v>
      </c>
      <c r="AI1326" s="3">
        <v>1</v>
      </c>
      <c r="AJ1326" s="3">
        <v>0</v>
      </c>
      <c r="AK1326" s="3">
        <v>0</v>
      </c>
      <c r="AL1326" s="3">
        <v>3</v>
      </c>
      <c r="AM1326" s="3">
        <v>3</v>
      </c>
      <c r="AN1326" s="3">
        <v>1</v>
      </c>
      <c r="AO1326" s="3">
        <v>1</v>
      </c>
      <c r="AP1326" s="3">
        <v>0</v>
      </c>
      <c r="AQ1326" s="3">
        <v>0</v>
      </c>
      <c r="AR1326" s="2" t="s">
        <v>5</v>
      </c>
      <c r="AS1326" s="2" t="s">
        <v>16</v>
      </c>
      <c r="AT1326" s="5" t="str">
        <f>HYPERLINK("http://catalog.hathitrust.org/Record/004531545","HathiTrust Record")</f>
        <v>HathiTrust Record</v>
      </c>
      <c r="AU1326" s="5" t="str">
        <f>HYPERLINK("https://creighton-primo.hosted.exlibrisgroup.com/primo-explore/search?tab=default_tab&amp;search_scope=EVERYTHING&amp;vid=01CRU&amp;lang=en_US&amp;offset=0&amp;query=any,contains,991001480169702656","Catalog Record")</f>
        <v>Catalog Record</v>
      </c>
      <c r="AV1326" s="5" t="str">
        <f>HYPERLINK("http://www.worldcat.org/oclc/27849087","WorldCat Record")</f>
        <v>WorldCat Record</v>
      </c>
      <c r="AW1326" s="2" t="s">
        <v>15892</v>
      </c>
      <c r="AX1326" s="2" t="s">
        <v>15893</v>
      </c>
      <c r="AY1326" s="2" t="s">
        <v>15894</v>
      </c>
      <c r="AZ1326" s="2" t="s">
        <v>15894</v>
      </c>
      <c r="BA1326" s="2" t="s">
        <v>15895</v>
      </c>
      <c r="BB1326" s="2" t="s">
        <v>21</v>
      </c>
      <c r="BD1326" s="2" t="s">
        <v>15896</v>
      </c>
      <c r="BE1326" s="2" t="s">
        <v>15897</v>
      </c>
      <c r="BF1326" s="2" t="s">
        <v>15898</v>
      </c>
    </row>
    <row r="1327" spans="1:58" ht="41.25" customHeight="1" x14ac:dyDescent="0.25">
      <c r="A1327" s="8" t="s">
        <v>5</v>
      </c>
      <c r="B1327" s="1" t="s">
        <v>0</v>
      </c>
      <c r="C1327" s="1" t="s">
        <v>1</v>
      </c>
      <c r="D1327" s="1" t="s">
        <v>15899</v>
      </c>
      <c r="E1327" s="1" t="s">
        <v>15900</v>
      </c>
      <c r="F1327" s="1" t="s">
        <v>15901</v>
      </c>
      <c r="H1327" s="2" t="s">
        <v>5</v>
      </c>
      <c r="I1327" s="2" t="s">
        <v>6</v>
      </c>
      <c r="J1327" s="2" t="s">
        <v>5</v>
      </c>
      <c r="K1327" s="2" t="s">
        <v>5</v>
      </c>
      <c r="L1327" s="2" t="s">
        <v>7</v>
      </c>
      <c r="M1327" s="1" t="s">
        <v>15902</v>
      </c>
      <c r="N1327" s="1" t="s">
        <v>2035</v>
      </c>
      <c r="O1327" s="2" t="s">
        <v>1887</v>
      </c>
      <c r="Q1327" s="2" t="s">
        <v>11</v>
      </c>
      <c r="R1327" s="2" t="s">
        <v>426</v>
      </c>
      <c r="T1327" s="2" t="s">
        <v>520</v>
      </c>
      <c r="U1327" s="3">
        <v>24</v>
      </c>
      <c r="V1327" s="3">
        <v>24</v>
      </c>
      <c r="W1327" s="4" t="s">
        <v>15903</v>
      </c>
      <c r="X1327" s="4" t="s">
        <v>15903</v>
      </c>
      <c r="Y1327" s="4" t="s">
        <v>6362</v>
      </c>
      <c r="Z1327" s="4" t="s">
        <v>6362</v>
      </c>
      <c r="AA1327" s="3">
        <v>22</v>
      </c>
      <c r="AB1327" s="3">
        <v>18</v>
      </c>
      <c r="AC1327" s="3">
        <v>18</v>
      </c>
      <c r="AD1327" s="3">
        <v>1</v>
      </c>
      <c r="AE1327" s="3">
        <v>1</v>
      </c>
      <c r="AF1327" s="3">
        <v>1</v>
      </c>
      <c r="AG1327" s="3">
        <v>1</v>
      </c>
      <c r="AH1327" s="3">
        <v>1</v>
      </c>
      <c r="AI1327" s="3">
        <v>1</v>
      </c>
      <c r="AJ1327" s="3">
        <v>0</v>
      </c>
      <c r="AK1327" s="3">
        <v>0</v>
      </c>
      <c r="AL1327" s="3">
        <v>0</v>
      </c>
      <c r="AM1327" s="3">
        <v>0</v>
      </c>
      <c r="AN1327" s="3">
        <v>0</v>
      </c>
      <c r="AO1327" s="3">
        <v>0</v>
      </c>
      <c r="AP1327" s="3">
        <v>0</v>
      </c>
      <c r="AQ1327" s="3">
        <v>0</v>
      </c>
      <c r="AR1327" s="2" t="s">
        <v>5</v>
      </c>
      <c r="AS1327" s="2" t="s">
        <v>5</v>
      </c>
      <c r="AU1327" s="5" t="str">
        <f>HYPERLINK("https://creighton-primo.hosted.exlibrisgroup.com/primo-explore/search?tab=default_tab&amp;search_scope=EVERYTHING&amp;vid=01CRU&amp;lang=en_US&amp;offset=0&amp;query=any,contains,991001336079702656","Catalog Record")</f>
        <v>Catalog Record</v>
      </c>
      <c r="AV1327" s="5" t="str">
        <f>HYPERLINK("http://www.worldcat.org/oclc/32589693","WorldCat Record")</f>
        <v>WorldCat Record</v>
      </c>
      <c r="AW1327" s="2" t="s">
        <v>15904</v>
      </c>
      <c r="AX1327" s="2" t="s">
        <v>15905</v>
      </c>
      <c r="AY1327" s="2" t="s">
        <v>15906</v>
      </c>
      <c r="AZ1327" s="2" t="s">
        <v>15906</v>
      </c>
      <c r="BA1327" s="2" t="s">
        <v>15907</v>
      </c>
      <c r="BB1327" s="2" t="s">
        <v>21</v>
      </c>
      <c r="BD1327" s="2" t="s">
        <v>15908</v>
      </c>
      <c r="BE1327" s="2" t="s">
        <v>15909</v>
      </c>
      <c r="BF1327" s="2" t="s">
        <v>15910</v>
      </c>
    </row>
    <row r="1328" spans="1:58" ht="41.25" customHeight="1" x14ac:dyDescent="0.25">
      <c r="A1328" s="8" t="s">
        <v>5</v>
      </c>
      <c r="B1328" s="1" t="s">
        <v>0</v>
      </c>
      <c r="C1328" s="1" t="s">
        <v>1</v>
      </c>
      <c r="D1328" s="1" t="s">
        <v>15911</v>
      </c>
      <c r="E1328" s="1" t="s">
        <v>15912</v>
      </c>
      <c r="F1328" s="1" t="s">
        <v>15913</v>
      </c>
      <c r="H1328" s="2" t="s">
        <v>5</v>
      </c>
      <c r="I1328" s="2" t="s">
        <v>6</v>
      </c>
      <c r="J1328" s="2" t="s">
        <v>5</v>
      </c>
      <c r="K1328" s="2" t="s">
        <v>5</v>
      </c>
      <c r="L1328" s="2" t="s">
        <v>7</v>
      </c>
      <c r="M1328" s="1" t="s">
        <v>15914</v>
      </c>
      <c r="N1328" s="1" t="s">
        <v>7590</v>
      </c>
      <c r="O1328" s="2" t="s">
        <v>872</v>
      </c>
      <c r="Q1328" s="2" t="s">
        <v>11</v>
      </c>
      <c r="R1328" s="2" t="s">
        <v>426</v>
      </c>
      <c r="T1328" s="2" t="s">
        <v>520</v>
      </c>
      <c r="U1328" s="3">
        <v>16</v>
      </c>
      <c r="V1328" s="3">
        <v>16</v>
      </c>
      <c r="W1328" s="4" t="s">
        <v>15915</v>
      </c>
      <c r="X1328" s="4" t="s">
        <v>15915</v>
      </c>
      <c r="Y1328" s="4" t="s">
        <v>12066</v>
      </c>
      <c r="Z1328" s="4" t="s">
        <v>12066</v>
      </c>
      <c r="AA1328" s="3">
        <v>355</v>
      </c>
      <c r="AB1328" s="3">
        <v>268</v>
      </c>
      <c r="AC1328" s="3">
        <v>270</v>
      </c>
      <c r="AD1328" s="3">
        <v>3</v>
      </c>
      <c r="AE1328" s="3">
        <v>3</v>
      </c>
      <c r="AF1328" s="3">
        <v>11</v>
      </c>
      <c r="AG1328" s="3">
        <v>11</v>
      </c>
      <c r="AH1328" s="3">
        <v>4</v>
      </c>
      <c r="AI1328" s="3">
        <v>4</v>
      </c>
      <c r="AJ1328" s="3">
        <v>2</v>
      </c>
      <c r="AK1328" s="3">
        <v>2</v>
      </c>
      <c r="AL1328" s="3">
        <v>4</v>
      </c>
      <c r="AM1328" s="3">
        <v>4</v>
      </c>
      <c r="AN1328" s="3">
        <v>1</v>
      </c>
      <c r="AO1328" s="3">
        <v>1</v>
      </c>
      <c r="AP1328" s="3">
        <v>0</v>
      </c>
      <c r="AQ1328" s="3">
        <v>0</v>
      </c>
      <c r="AR1328" s="2" t="s">
        <v>5</v>
      </c>
      <c r="AS1328" s="2" t="s">
        <v>5</v>
      </c>
      <c r="AT1328" s="5" t="str">
        <f>HYPERLINK("http://catalog.hathitrust.org/Record/001104548","HathiTrust Record")</f>
        <v>HathiTrust Record</v>
      </c>
      <c r="AU1328" s="5" t="str">
        <f>HYPERLINK("https://creighton-primo.hosted.exlibrisgroup.com/primo-explore/search?tab=default_tab&amp;search_scope=EVERYTHING&amp;vid=01CRU&amp;lang=en_US&amp;offset=0&amp;query=any,contains,991001448799702656","Catalog Record")</f>
        <v>Catalog Record</v>
      </c>
      <c r="AV1328" s="5" t="str">
        <f>HYPERLINK("http://www.worldcat.org/oclc/19124445","WorldCat Record")</f>
        <v>WorldCat Record</v>
      </c>
      <c r="AW1328" s="2" t="s">
        <v>15916</v>
      </c>
      <c r="AX1328" s="2" t="s">
        <v>15917</v>
      </c>
      <c r="AY1328" s="2" t="s">
        <v>15918</v>
      </c>
      <c r="AZ1328" s="2" t="s">
        <v>15918</v>
      </c>
      <c r="BA1328" s="2" t="s">
        <v>15919</v>
      </c>
      <c r="BB1328" s="2" t="s">
        <v>21</v>
      </c>
      <c r="BD1328" s="2" t="s">
        <v>15920</v>
      </c>
      <c r="BE1328" s="2" t="s">
        <v>15921</v>
      </c>
      <c r="BF1328" s="2" t="s">
        <v>15922</v>
      </c>
    </row>
    <row r="1329" spans="1:58" ht="41.25" customHeight="1" x14ac:dyDescent="0.25">
      <c r="A1329" s="8" t="s">
        <v>5</v>
      </c>
      <c r="B1329" s="1" t="s">
        <v>0</v>
      </c>
      <c r="C1329" s="1" t="s">
        <v>1</v>
      </c>
      <c r="D1329" s="1" t="s">
        <v>15923</v>
      </c>
      <c r="E1329" s="1" t="s">
        <v>15924</v>
      </c>
      <c r="F1329" s="1" t="s">
        <v>15925</v>
      </c>
      <c r="H1329" s="2" t="s">
        <v>5</v>
      </c>
      <c r="I1329" s="2" t="s">
        <v>6</v>
      </c>
      <c r="J1329" s="2" t="s">
        <v>5</v>
      </c>
      <c r="K1329" s="2" t="s">
        <v>5</v>
      </c>
      <c r="L1329" s="2" t="s">
        <v>7</v>
      </c>
      <c r="M1329" s="1" t="s">
        <v>15926</v>
      </c>
      <c r="N1329" s="1" t="s">
        <v>15927</v>
      </c>
      <c r="O1329" s="2" t="s">
        <v>151</v>
      </c>
      <c r="P1329" s="1" t="s">
        <v>63</v>
      </c>
      <c r="Q1329" s="2" t="s">
        <v>11</v>
      </c>
      <c r="R1329" s="2" t="s">
        <v>31</v>
      </c>
      <c r="T1329" s="2" t="s">
        <v>520</v>
      </c>
      <c r="U1329" s="3">
        <v>4</v>
      </c>
      <c r="V1329" s="3">
        <v>4</v>
      </c>
      <c r="W1329" s="4" t="s">
        <v>11674</v>
      </c>
      <c r="X1329" s="4" t="s">
        <v>11674</v>
      </c>
      <c r="Y1329" s="4" t="s">
        <v>722</v>
      </c>
      <c r="Z1329" s="4" t="s">
        <v>722</v>
      </c>
      <c r="AA1329" s="3">
        <v>219</v>
      </c>
      <c r="AB1329" s="3">
        <v>172</v>
      </c>
      <c r="AC1329" s="3">
        <v>388</v>
      </c>
      <c r="AD1329" s="3">
        <v>1</v>
      </c>
      <c r="AE1329" s="3">
        <v>3</v>
      </c>
      <c r="AF1329" s="3">
        <v>3</v>
      </c>
      <c r="AG1329" s="3">
        <v>8</v>
      </c>
      <c r="AH1329" s="3">
        <v>0</v>
      </c>
      <c r="AI1329" s="3">
        <v>0</v>
      </c>
      <c r="AJ1329" s="3">
        <v>1</v>
      </c>
      <c r="AK1329" s="3">
        <v>2</v>
      </c>
      <c r="AL1329" s="3">
        <v>2</v>
      </c>
      <c r="AM1329" s="3">
        <v>4</v>
      </c>
      <c r="AN1329" s="3">
        <v>0</v>
      </c>
      <c r="AO1329" s="3">
        <v>2</v>
      </c>
      <c r="AP1329" s="3">
        <v>0</v>
      </c>
      <c r="AQ1329" s="3">
        <v>0</v>
      </c>
      <c r="AR1329" s="2" t="s">
        <v>5</v>
      </c>
      <c r="AS1329" s="2" t="s">
        <v>16</v>
      </c>
      <c r="AT1329" s="5" t="str">
        <f>HYPERLINK("http://catalog.hathitrust.org/Record/001574258","HathiTrust Record")</f>
        <v>HathiTrust Record</v>
      </c>
      <c r="AU1329" s="5" t="str">
        <f>HYPERLINK("https://creighton-primo.hosted.exlibrisgroup.com/primo-explore/search?tab=default_tab&amp;search_scope=EVERYTHING&amp;vid=01CRU&amp;lang=en_US&amp;offset=0&amp;query=any,contains,991001085529702656","Catalog Record")</f>
        <v>Catalog Record</v>
      </c>
      <c r="AV1329" s="5" t="str">
        <f>HYPERLINK("http://www.worldcat.org/oclc/1379228","WorldCat Record")</f>
        <v>WorldCat Record</v>
      </c>
      <c r="AW1329" s="2" t="s">
        <v>15928</v>
      </c>
      <c r="AX1329" s="2" t="s">
        <v>15929</v>
      </c>
      <c r="AY1329" s="2" t="s">
        <v>15930</v>
      </c>
      <c r="AZ1329" s="2" t="s">
        <v>15930</v>
      </c>
      <c r="BA1329" s="2" t="s">
        <v>15931</v>
      </c>
      <c r="BB1329" s="2" t="s">
        <v>21</v>
      </c>
      <c r="BD1329" s="2" t="s">
        <v>15932</v>
      </c>
      <c r="BE1329" s="2" t="s">
        <v>15933</v>
      </c>
      <c r="BF1329" s="2" t="s">
        <v>15934</v>
      </c>
    </row>
    <row r="1330" spans="1:58" ht="41.25" customHeight="1" x14ac:dyDescent="0.25">
      <c r="A1330" s="8" t="s">
        <v>5</v>
      </c>
      <c r="B1330" s="1" t="s">
        <v>0</v>
      </c>
      <c r="C1330" s="1" t="s">
        <v>1</v>
      </c>
      <c r="D1330" s="1" t="s">
        <v>15935</v>
      </c>
      <c r="E1330" s="1" t="s">
        <v>15936</v>
      </c>
      <c r="F1330" s="1" t="s">
        <v>15937</v>
      </c>
      <c r="H1330" s="2" t="s">
        <v>5</v>
      </c>
      <c r="I1330" s="2" t="s">
        <v>6</v>
      </c>
      <c r="J1330" s="2" t="s">
        <v>5</v>
      </c>
      <c r="K1330" s="2" t="s">
        <v>5</v>
      </c>
      <c r="L1330" s="2" t="s">
        <v>7</v>
      </c>
      <c r="N1330" s="1" t="s">
        <v>10843</v>
      </c>
      <c r="O1330" s="2" t="s">
        <v>228</v>
      </c>
      <c r="P1330" s="1" t="s">
        <v>211</v>
      </c>
      <c r="Q1330" s="2" t="s">
        <v>11</v>
      </c>
      <c r="R1330" s="2" t="s">
        <v>426</v>
      </c>
      <c r="T1330" s="2" t="s">
        <v>520</v>
      </c>
      <c r="U1330" s="3">
        <v>56</v>
      </c>
      <c r="V1330" s="3">
        <v>56</v>
      </c>
      <c r="W1330" s="4" t="s">
        <v>10891</v>
      </c>
      <c r="X1330" s="4" t="s">
        <v>10891</v>
      </c>
      <c r="Y1330" s="4" t="s">
        <v>14808</v>
      </c>
      <c r="Z1330" s="4" t="s">
        <v>14808</v>
      </c>
      <c r="AA1330" s="3">
        <v>169</v>
      </c>
      <c r="AB1330" s="3">
        <v>135</v>
      </c>
      <c r="AC1330" s="3">
        <v>233</v>
      </c>
      <c r="AD1330" s="3">
        <v>2</v>
      </c>
      <c r="AE1330" s="3">
        <v>3</v>
      </c>
      <c r="AF1330" s="3">
        <v>5</v>
      </c>
      <c r="AG1330" s="3">
        <v>6</v>
      </c>
      <c r="AH1330" s="3">
        <v>1</v>
      </c>
      <c r="AI1330" s="3">
        <v>1</v>
      </c>
      <c r="AJ1330" s="3">
        <v>1</v>
      </c>
      <c r="AK1330" s="3">
        <v>1</v>
      </c>
      <c r="AL1330" s="3">
        <v>2</v>
      </c>
      <c r="AM1330" s="3">
        <v>3</v>
      </c>
      <c r="AN1330" s="3">
        <v>1</v>
      </c>
      <c r="AO1330" s="3">
        <v>1</v>
      </c>
      <c r="AP1330" s="3">
        <v>0</v>
      </c>
      <c r="AQ1330" s="3">
        <v>0</v>
      </c>
      <c r="AR1330" s="2" t="s">
        <v>5</v>
      </c>
      <c r="AS1330" s="2" t="s">
        <v>5</v>
      </c>
      <c r="AU1330" s="5" t="str">
        <f>HYPERLINK("https://creighton-primo.hosted.exlibrisgroup.com/primo-explore/search?tab=default_tab&amp;search_scope=EVERYTHING&amp;vid=01CRU&amp;lang=en_US&amp;offset=0&amp;query=any,contains,991000735429702656","Catalog Record")</f>
        <v>Catalog Record</v>
      </c>
      <c r="AV1330" s="5" t="str">
        <f>HYPERLINK("http://www.worldcat.org/oclc/8133463","WorldCat Record")</f>
        <v>WorldCat Record</v>
      </c>
      <c r="AW1330" s="2" t="s">
        <v>15938</v>
      </c>
      <c r="AX1330" s="2" t="s">
        <v>15939</v>
      </c>
      <c r="AY1330" s="2" t="s">
        <v>15940</v>
      </c>
      <c r="AZ1330" s="2" t="s">
        <v>15940</v>
      </c>
      <c r="BA1330" s="2" t="s">
        <v>15941</v>
      </c>
      <c r="BB1330" s="2" t="s">
        <v>21</v>
      </c>
      <c r="BD1330" s="2" t="s">
        <v>15942</v>
      </c>
      <c r="BE1330" s="2" t="s">
        <v>15943</v>
      </c>
      <c r="BF1330" s="2" t="s">
        <v>15944</v>
      </c>
    </row>
    <row r="1331" spans="1:58" ht="41.25" customHeight="1" x14ac:dyDescent="0.25">
      <c r="A1331" s="8" t="s">
        <v>5</v>
      </c>
      <c r="B1331" s="1" t="s">
        <v>0</v>
      </c>
      <c r="C1331" s="1" t="s">
        <v>1</v>
      </c>
      <c r="D1331" s="1" t="s">
        <v>15945</v>
      </c>
      <c r="E1331" s="1" t="s">
        <v>15946</v>
      </c>
      <c r="F1331" s="1" t="s">
        <v>15947</v>
      </c>
      <c r="H1331" s="2" t="s">
        <v>5</v>
      </c>
      <c r="I1331" s="2" t="s">
        <v>6</v>
      </c>
      <c r="J1331" s="2" t="s">
        <v>5</v>
      </c>
      <c r="K1331" s="2" t="s">
        <v>5</v>
      </c>
      <c r="L1331" s="2" t="s">
        <v>7</v>
      </c>
      <c r="N1331" s="1" t="s">
        <v>7590</v>
      </c>
      <c r="O1331" s="2" t="s">
        <v>872</v>
      </c>
      <c r="P1331" s="1" t="s">
        <v>211</v>
      </c>
      <c r="Q1331" s="2" t="s">
        <v>11</v>
      </c>
      <c r="R1331" s="2" t="s">
        <v>426</v>
      </c>
      <c r="T1331" s="2" t="s">
        <v>520</v>
      </c>
      <c r="U1331" s="3">
        <v>22</v>
      </c>
      <c r="V1331" s="3">
        <v>22</v>
      </c>
      <c r="W1331" s="4" t="s">
        <v>15948</v>
      </c>
      <c r="X1331" s="4" t="s">
        <v>15948</v>
      </c>
      <c r="Y1331" s="4" t="s">
        <v>2470</v>
      </c>
      <c r="Z1331" s="4" t="s">
        <v>2470</v>
      </c>
      <c r="AA1331" s="3">
        <v>187</v>
      </c>
      <c r="AB1331" s="3">
        <v>151</v>
      </c>
      <c r="AC1331" s="3">
        <v>335</v>
      </c>
      <c r="AD1331" s="3">
        <v>1</v>
      </c>
      <c r="AE1331" s="3">
        <v>2</v>
      </c>
      <c r="AF1331" s="3">
        <v>4</v>
      </c>
      <c r="AG1331" s="3">
        <v>7</v>
      </c>
      <c r="AH1331" s="3">
        <v>2</v>
      </c>
      <c r="AI1331" s="3">
        <v>2</v>
      </c>
      <c r="AJ1331" s="3">
        <v>0</v>
      </c>
      <c r="AK1331" s="3">
        <v>1</v>
      </c>
      <c r="AL1331" s="3">
        <v>3</v>
      </c>
      <c r="AM1331" s="3">
        <v>6</v>
      </c>
      <c r="AN1331" s="3">
        <v>0</v>
      </c>
      <c r="AO1331" s="3">
        <v>0</v>
      </c>
      <c r="AP1331" s="3">
        <v>0</v>
      </c>
      <c r="AQ1331" s="3">
        <v>0</v>
      </c>
      <c r="AR1331" s="2" t="s">
        <v>5</v>
      </c>
      <c r="AS1331" s="2" t="s">
        <v>5</v>
      </c>
      <c r="AU1331" s="5" t="str">
        <f>HYPERLINK("https://creighton-primo.hosted.exlibrisgroup.com/primo-explore/search?tab=default_tab&amp;search_scope=EVERYTHING&amp;vid=01CRU&amp;lang=en_US&amp;offset=0&amp;query=any,contains,991001250969702656","Catalog Record")</f>
        <v>Catalog Record</v>
      </c>
      <c r="AV1331" s="5" t="str">
        <f>HYPERLINK("http://www.worldcat.org/oclc/18191537","WorldCat Record")</f>
        <v>WorldCat Record</v>
      </c>
      <c r="AW1331" s="2" t="s">
        <v>15949</v>
      </c>
      <c r="AX1331" s="2" t="s">
        <v>15950</v>
      </c>
      <c r="AY1331" s="2" t="s">
        <v>15951</v>
      </c>
      <c r="AZ1331" s="2" t="s">
        <v>15951</v>
      </c>
      <c r="BA1331" s="2" t="s">
        <v>15952</v>
      </c>
      <c r="BB1331" s="2" t="s">
        <v>21</v>
      </c>
      <c r="BD1331" s="2" t="s">
        <v>15953</v>
      </c>
      <c r="BE1331" s="2" t="s">
        <v>15954</v>
      </c>
      <c r="BF1331" s="2" t="s">
        <v>15955</v>
      </c>
    </row>
    <row r="1332" spans="1:58" ht="41.25" customHeight="1" x14ac:dyDescent="0.25">
      <c r="A1332" s="8" t="s">
        <v>5</v>
      </c>
      <c r="B1332" s="1" t="s">
        <v>0</v>
      </c>
      <c r="C1332" s="1" t="s">
        <v>1</v>
      </c>
      <c r="D1332" s="1" t="s">
        <v>15956</v>
      </c>
      <c r="E1332" s="1" t="s">
        <v>15957</v>
      </c>
      <c r="F1332" s="1" t="s">
        <v>15958</v>
      </c>
      <c r="H1332" s="2" t="s">
        <v>5</v>
      </c>
      <c r="I1332" s="2" t="s">
        <v>6</v>
      </c>
      <c r="J1332" s="2" t="s">
        <v>5</v>
      </c>
      <c r="K1332" s="2" t="s">
        <v>16</v>
      </c>
      <c r="L1332" s="2" t="s">
        <v>7</v>
      </c>
      <c r="N1332" s="1" t="s">
        <v>15959</v>
      </c>
      <c r="O1332" s="2" t="s">
        <v>546</v>
      </c>
      <c r="P1332" s="1" t="s">
        <v>1284</v>
      </c>
      <c r="Q1332" s="2" t="s">
        <v>11</v>
      </c>
      <c r="R1332" s="2" t="s">
        <v>31</v>
      </c>
      <c r="T1332" s="2" t="s">
        <v>520</v>
      </c>
      <c r="U1332" s="3">
        <v>138</v>
      </c>
      <c r="V1332" s="3">
        <v>138</v>
      </c>
      <c r="W1332" s="4" t="s">
        <v>15960</v>
      </c>
      <c r="X1332" s="4" t="s">
        <v>15960</v>
      </c>
      <c r="Y1332" s="4" t="s">
        <v>15961</v>
      </c>
      <c r="Z1332" s="4" t="s">
        <v>15961</v>
      </c>
      <c r="AA1332" s="3">
        <v>271</v>
      </c>
      <c r="AB1332" s="3">
        <v>196</v>
      </c>
      <c r="AC1332" s="3">
        <v>738</v>
      </c>
      <c r="AD1332" s="3">
        <v>2</v>
      </c>
      <c r="AE1332" s="3">
        <v>6</v>
      </c>
      <c r="AF1332" s="3">
        <v>3</v>
      </c>
      <c r="AG1332" s="3">
        <v>20</v>
      </c>
      <c r="AH1332" s="3">
        <v>1</v>
      </c>
      <c r="AI1332" s="3">
        <v>8</v>
      </c>
      <c r="AJ1332" s="3">
        <v>0</v>
      </c>
      <c r="AK1332" s="3">
        <v>3</v>
      </c>
      <c r="AL1332" s="3">
        <v>2</v>
      </c>
      <c r="AM1332" s="3">
        <v>9</v>
      </c>
      <c r="AN1332" s="3">
        <v>0</v>
      </c>
      <c r="AO1332" s="3">
        <v>3</v>
      </c>
      <c r="AP1332" s="3">
        <v>0</v>
      </c>
      <c r="AQ1332" s="3">
        <v>0</v>
      </c>
      <c r="AR1332" s="2" t="s">
        <v>5</v>
      </c>
      <c r="AS1332" s="2" t="s">
        <v>16</v>
      </c>
      <c r="AT1332" s="5" t="str">
        <f>HYPERLINK("http://catalog.hathitrust.org/Record/002938606","HathiTrust Record")</f>
        <v>HathiTrust Record</v>
      </c>
      <c r="AU1332" s="5" t="str">
        <f>HYPERLINK("https://creighton-primo.hosted.exlibrisgroup.com/primo-explore/search?tab=default_tab&amp;search_scope=EVERYTHING&amp;vid=01CRU&amp;lang=en_US&amp;offset=0&amp;query=any,contains,991000686519702656","Catalog Record")</f>
        <v>Catalog Record</v>
      </c>
      <c r="AV1332" s="5" t="str">
        <f>HYPERLINK("http://www.worldcat.org/oclc/31287981","WorldCat Record")</f>
        <v>WorldCat Record</v>
      </c>
      <c r="AW1332" s="2" t="s">
        <v>15962</v>
      </c>
      <c r="AX1332" s="2" t="s">
        <v>15963</v>
      </c>
      <c r="AY1332" s="2" t="s">
        <v>15964</v>
      </c>
      <c r="AZ1332" s="2" t="s">
        <v>15964</v>
      </c>
      <c r="BA1332" s="2" t="s">
        <v>15965</v>
      </c>
      <c r="BB1332" s="2" t="s">
        <v>21</v>
      </c>
      <c r="BD1332" s="2" t="s">
        <v>15966</v>
      </c>
      <c r="BE1332" s="2" t="s">
        <v>15967</v>
      </c>
      <c r="BF1332" s="2" t="s">
        <v>15968</v>
      </c>
    </row>
    <row r="1333" spans="1:58" ht="41.25" customHeight="1" x14ac:dyDescent="0.25">
      <c r="A1333" s="8" t="s">
        <v>5</v>
      </c>
      <c r="B1333" s="1" t="s">
        <v>0</v>
      </c>
      <c r="C1333" s="1" t="s">
        <v>1</v>
      </c>
      <c r="D1333" s="1" t="s">
        <v>15969</v>
      </c>
      <c r="E1333" s="1" t="s">
        <v>15970</v>
      </c>
      <c r="F1333" s="1" t="s">
        <v>15971</v>
      </c>
      <c r="H1333" s="2" t="s">
        <v>5</v>
      </c>
      <c r="I1333" s="2" t="s">
        <v>6</v>
      </c>
      <c r="J1333" s="2" t="s">
        <v>5</v>
      </c>
      <c r="K1333" s="2" t="s">
        <v>5</v>
      </c>
      <c r="L1333" s="2" t="s">
        <v>7</v>
      </c>
      <c r="N1333" s="1" t="s">
        <v>15972</v>
      </c>
      <c r="O1333" s="2" t="s">
        <v>3465</v>
      </c>
      <c r="P1333" s="1" t="s">
        <v>108</v>
      </c>
      <c r="Q1333" s="2" t="s">
        <v>11</v>
      </c>
      <c r="R1333" s="2" t="s">
        <v>31</v>
      </c>
      <c r="T1333" s="2" t="s">
        <v>520</v>
      </c>
      <c r="U1333" s="3">
        <v>2</v>
      </c>
      <c r="V1333" s="3">
        <v>2</v>
      </c>
      <c r="W1333" s="4" t="s">
        <v>15973</v>
      </c>
      <c r="X1333" s="4" t="s">
        <v>15973</v>
      </c>
      <c r="Y1333" s="4" t="s">
        <v>15974</v>
      </c>
      <c r="Z1333" s="4" t="s">
        <v>15974</v>
      </c>
      <c r="AA1333" s="3">
        <v>68</v>
      </c>
      <c r="AB1333" s="3">
        <v>45</v>
      </c>
      <c r="AC1333" s="3">
        <v>323</v>
      </c>
      <c r="AD1333" s="3">
        <v>1</v>
      </c>
      <c r="AE1333" s="3">
        <v>2</v>
      </c>
      <c r="AF1333" s="3">
        <v>1</v>
      </c>
      <c r="AG1333" s="3">
        <v>6</v>
      </c>
      <c r="AH1333" s="3">
        <v>0</v>
      </c>
      <c r="AI1333" s="3">
        <v>1</v>
      </c>
      <c r="AJ1333" s="3">
        <v>0</v>
      </c>
      <c r="AK1333" s="3">
        <v>1</v>
      </c>
      <c r="AL1333" s="3">
        <v>1</v>
      </c>
      <c r="AM1333" s="3">
        <v>4</v>
      </c>
      <c r="AN1333" s="3">
        <v>0</v>
      </c>
      <c r="AO1333" s="3">
        <v>1</v>
      </c>
      <c r="AP1333" s="3">
        <v>0</v>
      </c>
      <c r="AQ1333" s="3">
        <v>0</v>
      </c>
      <c r="AR1333" s="2" t="s">
        <v>5</v>
      </c>
      <c r="AS1333" s="2" t="s">
        <v>5</v>
      </c>
      <c r="AU1333" s="5" t="str">
        <f>HYPERLINK("https://creighton-primo.hosted.exlibrisgroup.com/primo-explore/search?tab=default_tab&amp;search_scope=EVERYTHING&amp;vid=01CRU&amp;lang=en_US&amp;offset=0&amp;query=any,contains,991001576709702656","Catalog Record")</f>
        <v>Catalog Record</v>
      </c>
      <c r="AV1333" s="5" t="str">
        <f>HYPERLINK("http://www.worldcat.org/oclc/143171695","WorldCat Record")</f>
        <v>WorldCat Record</v>
      </c>
      <c r="AW1333" s="2" t="s">
        <v>15975</v>
      </c>
      <c r="AX1333" s="2" t="s">
        <v>15976</v>
      </c>
      <c r="AY1333" s="2" t="s">
        <v>15977</v>
      </c>
      <c r="AZ1333" s="2" t="s">
        <v>15977</v>
      </c>
      <c r="BA1333" s="2" t="s">
        <v>15978</v>
      </c>
      <c r="BB1333" s="2" t="s">
        <v>21</v>
      </c>
      <c r="BD1333" s="2" t="s">
        <v>15979</v>
      </c>
      <c r="BE1333" s="2" t="s">
        <v>15980</v>
      </c>
      <c r="BF1333" s="2" t="s">
        <v>15981</v>
      </c>
    </row>
    <row r="1334" spans="1:58" ht="41.25" customHeight="1" x14ac:dyDescent="0.25">
      <c r="A1334" s="8" t="s">
        <v>5</v>
      </c>
      <c r="B1334" s="1" t="s">
        <v>0</v>
      </c>
      <c r="C1334" s="1" t="s">
        <v>1</v>
      </c>
      <c r="D1334" s="1" t="s">
        <v>15982</v>
      </c>
      <c r="E1334" s="1" t="s">
        <v>15983</v>
      </c>
      <c r="F1334" s="1" t="s">
        <v>15984</v>
      </c>
      <c r="H1334" s="2" t="s">
        <v>5</v>
      </c>
      <c r="I1334" s="2" t="s">
        <v>6</v>
      </c>
      <c r="J1334" s="2" t="s">
        <v>5</v>
      </c>
      <c r="K1334" s="2" t="s">
        <v>5</v>
      </c>
      <c r="L1334" s="2" t="s">
        <v>7</v>
      </c>
      <c r="N1334" s="1" t="s">
        <v>11734</v>
      </c>
      <c r="O1334" s="2" t="s">
        <v>939</v>
      </c>
      <c r="Q1334" s="2" t="s">
        <v>11</v>
      </c>
      <c r="R1334" s="2" t="s">
        <v>426</v>
      </c>
      <c r="S1334" s="1" t="s">
        <v>15985</v>
      </c>
      <c r="T1334" s="2" t="s">
        <v>520</v>
      </c>
      <c r="U1334" s="3">
        <v>3</v>
      </c>
      <c r="V1334" s="3">
        <v>3</v>
      </c>
      <c r="W1334" s="4" t="s">
        <v>6610</v>
      </c>
      <c r="X1334" s="4" t="s">
        <v>6610</v>
      </c>
      <c r="Y1334" s="4" t="s">
        <v>15986</v>
      </c>
      <c r="Z1334" s="4" t="s">
        <v>15986</v>
      </c>
      <c r="AA1334" s="3">
        <v>88</v>
      </c>
      <c r="AB1334" s="3">
        <v>74</v>
      </c>
      <c r="AC1334" s="3">
        <v>74</v>
      </c>
      <c r="AD1334" s="3">
        <v>1</v>
      </c>
      <c r="AE1334" s="3">
        <v>1</v>
      </c>
      <c r="AF1334" s="3">
        <v>3</v>
      </c>
      <c r="AG1334" s="3">
        <v>3</v>
      </c>
      <c r="AH1334" s="3">
        <v>1</v>
      </c>
      <c r="AI1334" s="3">
        <v>1</v>
      </c>
      <c r="AJ1334" s="3">
        <v>2</v>
      </c>
      <c r="AK1334" s="3">
        <v>2</v>
      </c>
      <c r="AL1334" s="3">
        <v>2</v>
      </c>
      <c r="AM1334" s="3">
        <v>2</v>
      </c>
      <c r="AN1334" s="3">
        <v>0</v>
      </c>
      <c r="AO1334" s="3">
        <v>0</v>
      </c>
      <c r="AP1334" s="3">
        <v>0</v>
      </c>
      <c r="AQ1334" s="3">
        <v>0</v>
      </c>
      <c r="AR1334" s="2" t="s">
        <v>5</v>
      </c>
      <c r="AS1334" s="2" t="s">
        <v>5</v>
      </c>
      <c r="AU1334" s="5" t="str">
        <f>HYPERLINK("https://creighton-primo.hosted.exlibrisgroup.com/primo-explore/search?tab=default_tab&amp;search_scope=EVERYTHING&amp;vid=01CRU&amp;lang=en_US&amp;offset=0&amp;query=any,contains,991001308429702656","Catalog Record")</f>
        <v>Catalog Record</v>
      </c>
      <c r="AV1334" s="5" t="str">
        <f>HYPERLINK("http://www.worldcat.org/oclc/16950591","WorldCat Record")</f>
        <v>WorldCat Record</v>
      </c>
      <c r="AW1334" s="2" t="s">
        <v>15987</v>
      </c>
      <c r="AX1334" s="2" t="s">
        <v>15988</v>
      </c>
      <c r="AY1334" s="2" t="s">
        <v>15989</v>
      </c>
      <c r="AZ1334" s="2" t="s">
        <v>15989</v>
      </c>
      <c r="BA1334" s="2" t="s">
        <v>15990</v>
      </c>
      <c r="BB1334" s="2" t="s">
        <v>21</v>
      </c>
      <c r="BD1334" s="2" t="s">
        <v>15991</v>
      </c>
      <c r="BE1334" s="2" t="s">
        <v>15992</v>
      </c>
      <c r="BF1334" s="2" t="s">
        <v>15993</v>
      </c>
    </row>
    <row r="1335" spans="1:58" ht="41.25" customHeight="1" x14ac:dyDescent="0.25">
      <c r="A1335" s="8" t="s">
        <v>5</v>
      </c>
      <c r="B1335" s="1" t="s">
        <v>0</v>
      </c>
      <c r="C1335" s="1" t="s">
        <v>1</v>
      </c>
      <c r="D1335" s="1" t="s">
        <v>15994</v>
      </c>
      <c r="E1335" s="1" t="s">
        <v>15995</v>
      </c>
      <c r="F1335" s="1" t="s">
        <v>15996</v>
      </c>
      <c r="H1335" s="2" t="s">
        <v>5</v>
      </c>
      <c r="I1335" s="2" t="s">
        <v>6</v>
      </c>
      <c r="J1335" s="2" t="s">
        <v>5</v>
      </c>
      <c r="K1335" s="2" t="s">
        <v>5</v>
      </c>
      <c r="L1335" s="2" t="s">
        <v>7</v>
      </c>
      <c r="M1335" s="1" t="s">
        <v>15997</v>
      </c>
      <c r="N1335" s="1" t="s">
        <v>15998</v>
      </c>
      <c r="O1335" s="2" t="s">
        <v>734</v>
      </c>
      <c r="P1335" s="1" t="s">
        <v>1208</v>
      </c>
      <c r="Q1335" s="2" t="s">
        <v>11</v>
      </c>
      <c r="R1335" s="2" t="s">
        <v>426</v>
      </c>
      <c r="T1335" s="2" t="s">
        <v>520</v>
      </c>
      <c r="U1335" s="3">
        <v>4</v>
      </c>
      <c r="V1335" s="3">
        <v>4</v>
      </c>
      <c r="W1335" s="4" t="s">
        <v>4910</v>
      </c>
      <c r="X1335" s="4" t="s">
        <v>4910</v>
      </c>
      <c r="Y1335" s="4" t="s">
        <v>14808</v>
      </c>
      <c r="Z1335" s="4" t="s">
        <v>14808</v>
      </c>
      <c r="AA1335" s="3">
        <v>319</v>
      </c>
      <c r="AB1335" s="3">
        <v>272</v>
      </c>
      <c r="AC1335" s="3">
        <v>501</v>
      </c>
      <c r="AD1335" s="3">
        <v>1</v>
      </c>
      <c r="AE1335" s="3">
        <v>4</v>
      </c>
      <c r="AF1335" s="3">
        <v>9</v>
      </c>
      <c r="AG1335" s="3">
        <v>17</v>
      </c>
      <c r="AH1335" s="3">
        <v>5</v>
      </c>
      <c r="AI1335" s="3">
        <v>8</v>
      </c>
      <c r="AJ1335" s="3">
        <v>1</v>
      </c>
      <c r="AK1335" s="3">
        <v>4</v>
      </c>
      <c r="AL1335" s="3">
        <v>6</v>
      </c>
      <c r="AM1335" s="3">
        <v>6</v>
      </c>
      <c r="AN1335" s="3">
        <v>0</v>
      </c>
      <c r="AO1335" s="3">
        <v>2</v>
      </c>
      <c r="AP1335" s="3">
        <v>0</v>
      </c>
      <c r="AQ1335" s="3">
        <v>0</v>
      </c>
      <c r="AR1335" s="2" t="s">
        <v>5</v>
      </c>
      <c r="AS1335" s="2" t="s">
        <v>16</v>
      </c>
      <c r="AT1335" s="5" t="str">
        <f>HYPERLINK("http://catalog.hathitrust.org/Record/000322051","HathiTrust Record")</f>
        <v>HathiTrust Record</v>
      </c>
      <c r="AU1335" s="5" t="str">
        <f>HYPERLINK("https://creighton-primo.hosted.exlibrisgroup.com/primo-explore/search?tab=default_tab&amp;search_scope=EVERYTHING&amp;vid=01CRU&amp;lang=en_US&amp;offset=0&amp;query=any,contains,991000735679702656","Catalog Record")</f>
        <v>Catalog Record</v>
      </c>
      <c r="AV1335" s="5" t="str">
        <f>HYPERLINK("http://www.worldcat.org/oclc/8762796","WorldCat Record")</f>
        <v>WorldCat Record</v>
      </c>
      <c r="AW1335" s="2" t="s">
        <v>15999</v>
      </c>
      <c r="AX1335" s="2" t="s">
        <v>16000</v>
      </c>
      <c r="AY1335" s="2" t="s">
        <v>16001</v>
      </c>
      <c r="AZ1335" s="2" t="s">
        <v>16001</v>
      </c>
      <c r="BA1335" s="2" t="s">
        <v>16002</v>
      </c>
      <c r="BB1335" s="2" t="s">
        <v>21</v>
      </c>
      <c r="BD1335" s="2" t="s">
        <v>16003</v>
      </c>
      <c r="BE1335" s="2" t="s">
        <v>16004</v>
      </c>
      <c r="BF1335" s="2" t="s">
        <v>16005</v>
      </c>
    </row>
    <row r="1336" spans="1:58" ht="41.25" customHeight="1" x14ac:dyDescent="0.25">
      <c r="A1336" s="8" t="s">
        <v>5</v>
      </c>
      <c r="B1336" s="1" t="s">
        <v>0</v>
      </c>
      <c r="C1336" s="1" t="s">
        <v>1</v>
      </c>
      <c r="D1336" s="1" t="s">
        <v>16006</v>
      </c>
      <c r="E1336" s="1" t="s">
        <v>16007</v>
      </c>
      <c r="F1336" s="1" t="s">
        <v>16008</v>
      </c>
      <c r="H1336" s="2" t="s">
        <v>5</v>
      </c>
      <c r="I1336" s="2" t="s">
        <v>6</v>
      </c>
      <c r="J1336" s="2" t="s">
        <v>5</v>
      </c>
      <c r="K1336" s="2" t="s">
        <v>5</v>
      </c>
      <c r="L1336" s="2" t="s">
        <v>7</v>
      </c>
      <c r="N1336" s="1" t="s">
        <v>7854</v>
      </c>
      <c r="O1336" s="2" t="s">
        <v>1887</v>
      </c>
      <c r="P1336" s="1" t="s">
        <v>211</v>
      </c>
      <c r="Q1336" s="2" t="s">
        <v>11</v>
      </c>
      <c r="R1336" s="2" t="s">
        <v>31</v>
      </c>
      <c r="T1336" s="2" t="s">
        <v>520</v>
      </c>
      <c r="U1336" s="3">
        <v>8</v>
      </c>
      <c r="V1336" s="3">
        <v>8</v>
      </c>
      <c r="W1336" s="4" t="s">
        <v>8588</v>
      </c>
      <c r="X1336" s="4" t="s">
        <v>8588</v>
      </c>
      <c r="Y1336" s="4" t="s">
        <v>16009</v>
      </c>
      <c r="Z1336" s="4" t="s">
        <v>16009</v>
      </c>
      <c r="AA1336" s="3">
        <v>460</v>
      </c>
      <c r="AB1336" s="3">
        <v>379</v>
      </c>
      <c r="AC1336" s="3">
        <v>386</v>
      </c>
      <c r="AD1336" s="3">
        <v>1</v>
      </c>
      <c r="AE1336" s="3">
        <v>1</v>
      </c>
      <c r="AF1336" s="3">
        <v>16</v>
      </c>
      <c r="AG1336" s="3">
        <v>16</v>
      </c>
      <c r="AH1336" s="3">
        <v>5</v>
      </c>
      <c r="AI1336" s="3">
        <v>5</v>
      </c>
      <c r="AJ1336" s="3">
        <v>3</v>
      </c>
      <c r="AK1336" s="3">
        <v>3</v>
      </c>
      <c r="AL1336" s="3">
        <v>12</v>
      </c>
      <c r="AM1336" s="3">
        <v>12</v>
      </c>
      <c r="AN1336" s="3">
        <v>0</v>
      </c>
      <c r="AO1336" s="3">
        <v>0</v>
      </c>
      <c r="AP1336" s="3">
        <v>0</v>
      </c>
      <c r="AQ1336" s="3">
        <v>0</v>
      </c>
      <c r="AR1336" s="2" t="s">
        <v>5</v>
      </c>
      <c r="AS1336" s="2" t="s">
        <v>16</v>
      </c>
      <c r="AT1336" s="5" t="str">
        <f>HYPERLINK("http://catalog.hathitrust.org/Record/002620064","HathiTrust Record")</f>
        <v>HathiTrust Record</v>
      </c>
      <c r="AU1336" s="5" t="str">
        <f>HYPERLINK("https://creighton-primo.hosted.exlibrisgroup.com/primo-explore/search?tab=default_tab&amp;search_scope=EVERYTHING&amp;vid=01CRU&amp;lang=en_US&amp;offset=0&amp;query=any,contains,991001503529702656","Catalog Record")</f>
        <v>Catalog Record</v>
      </c>
      <c r="AV1336" s="5" t="str">
        <f>HYPERLINK("http://www.worldcat.org/oclc/26769084","WorldCat Record")</f>
        <v>WorldCat Record</v>
      </c>
      <c r="AW1336" s="2" t="s">
        <v>16010</v>
      </c>
      <c r="AX1336" s="2" t="s">
        <v>16011</v>
      </c>
      <c r="AY1336" s="2" t="s">
        <v>16012</v>
      </c>
      <c r="AZ1336" s="2" t="s">
        <v>16012</v>
      </c>
      <c r="BA1336" s="2" t="s">
        <v>16013</v>
      </c>
      <c r="BB1336" s="2" t="s">
        <v>21</v>
      </c>
      <c r="BD1336" s="2" t="s">
        <v>16014</v>
      </c>
      <c r="BE1336" s="2" t="s">
        <v>16015</v>
      </c>
      <c r="BF1336" s="2" t="s">
        <v>16016</v>
      </c>
    </row>
    <row r="1337" spans="1:58" ht="41.25" customHeight="1" x14ac:dyDescent="0.25">
      <c r="A1337" s="8" t="s">
        <v>5</v>
      </c>
      <c r="B1337" s="1" t="s">
        <v>0</v>
      </c>
      <c r="C1337" s="1" t="s">
        <v>1</v>
      </c>
      <c r="D1337" s="1" t="s">
        <v>16017</v>
      </c>
      <c r="E1337" s="1" t="s">
        <v>16018</v>
      </c>
      <c r="F1337" s="1" t="s">
        <v>16019</v>
      </c>
      <c r="H1337" s="2" t="s">
        <v>5</v>
      </c>
      <c r="I1337" s="2" t="s">
        <v>6</v>
      </c>
      <c r="J1337" s="2" t="s">
        <v>5</v>
      </c>
      <c r="K1337" s="2" t="s">
        <v>5</v>
      </c>
      <c r="L1337" s="2" t="s">
        <v>7</v>
      </c>
      <c r="N1337" s="1" t="s">
        <v>4756</v>
      </c>
      <c r="O1337" s="2" t="s">
        <v>939</v>
      </c>
      <c r="Q1337" s="2" t="s">
        <v>11</v>
      </c>
      <c r="R1337" s="2" t="s">
        <v>426</v>
      </c>
      <c r="S1337" s="1" t="s">
        <v>16020</v>
      </c>
      <c r="T1337" s="2" t="s">
        <v>520</v>
      </c>
      <c r="U1337" s="3">
        <v>6</v>
      </c>
      <c r="V1337" s="3">
        <v>6</v>
      </c>
      <c r="W1337" s="4" t="s">
        <v>16021</v>
      </c>
      <c r="X1337" s="4" t="s">
        <v>16021</v>
      </c>
      <c r="Y1337" s="4" t="s">
        <v>3308</v>
      </c>
      <c r="Z1337" s="4" t="s">
        <v>3308</v>
      </c>
      <c r="AA1337" s="3">
        <v>431</v>
      </c>
      <c r="AB1337" s="3">
        <v>383</v>
      </c>
      <c r="AC1337" s="3">
        <v>390</v>
      </c>
      <c r="AD1337" s="3">
        <v>2</v>
      </c>
      <c r="AE1337" s="3">
        <v>2</v>
      </c>
      <c r="AF1337" s="3">
        <v>15</v>
      </c>
      <c r="AG1337" s="3">
        <v>15</v>
      </c>
      <c r="AH1337" s="3">
        <v>5</v>
      </c>
      <c r="AI1337" s="3">
        <v>5</v>
      </c>
      <c r="AJ1337" s="3">
        <v>3</v>
      </c>
      <c r="AK1337" s="3">
        <v>3</v>
      </c>
      <c r="AL1337" s="3">
        <v>9</v>
      </c>
      <c r="AM1337" s="3">
        <v>9</v>
      </c>
      <c r="AN1337" s="3">
        <v>1</v>
      </c>
      <c r="AO1337" s="3">
        <v>1</v>
      </c>
      <c r="AP1337" s="3">
        <v>1</v>
      </c>
      <c r="AQ1337" s="3">
        <v>1</v>
      </c>
      <c r="AR1337" s="2" t="s">
        <v>5</v>
      </c>
      <c r="AS1337" s="2" t="s">
        <v>16</v>
      </c>
      <c r="AT1337" s="5" t="str">
        <f>HYPERLINK("http://catalog.hathitrust.org/Record/000946494","HathiTrust Record")</f>
        <v>HathiTrust Record</v>
      </c>
      <c r="AU1337" s="5" t="str">
        <f>HYPERLINK("https://creighton-primo.hosted.exlibrisgroup.com/primo-explore/search?tab=default_tab&amp;search_scope=EVERYTHING&amp;vid=01CRU&amp;lang=en_US&amp;offset=0&amp;query=any,contains,991001315299702656","Catalog Record")</f>
        <v>Catalog Record</v>
      </c>
      <c r="AV1337" s="5" t="str">
        <f>HYPERLINK("http://www.worldcat.org/oclc/17733000","WorldCat Record")</f>
        <v>WorldCat Record</v>
      </c>
      <c r="AW1337" s="2" t="s">
        <v>16022</v>
      </c>
      <c r="AX1337" s="2" t="s">
        <v>16023</v>
      </c>
      <c r="AY1337" s="2" t="s">
        <v>16024</v>
      </c>
      <c r="AZ1337" s="2" t="s">
        <v>16024</v>
      </c>
      <c r="BA1337" s="2" t="s">
        <v>16025</v>
      </c>
      <c r="BB1337" s="2" t="s">
        <v>21</v>
      </c>
      <c r="BD1337" s="2" t="s">
        <v>16026</v>
      </c>
      <c r="BE1337" s="2" t="s">
        <v>16027</v>
      </c>
      <c r="BF1337" s="2" t="s">
        <v>16028</v>
      </c>
    </row>
    <row r="1338" spans="1:58" ht="41.25" customHeight="1" x14ac:dyDescent="0.25">
      <c r="A1338" s="8" t="s">
        <v>5</v>
      </c>
      <c r="B1338" s="1" t="s">
        <v>0</v>
      </c>
      <c r="C1338" s="1" t="s">
        <v>1</v>
      </c>
      <c r="D1338" s="1" t="s">
        <v>16029</v>
      </c>
      <c r="E1338" s="1" t="s">
        <v>16030</v>
      </c>
      <c r="F1338" s="1" t="s">
        <v>16031</v>
      </c>
      <c r="H1338" s="2" t="s">
        <v>5</v>
      </c>
      <c r="I1338" s="2" t="s">
        <v>6</v>
      </c>
      <c r="J1338" s="2" t="s">
        <v>5</v>
      </c>
      <c r="K1338" s="2" t="s">
        <v>5</v>
      </c>
      <c r="L1338" s="2" t="s">
        <v>7</v>
      </c>
      <c r="N1338" s="1" t="s">
        <v>16032</v>
      </c>
      <c r="O1338" s="2" t="s">
        <v>228</v>
      </c>
      <c r="Q1338" s="2" t="s">
        <v>11</v>
      </c>
      <c r="R1338" s="2" t="s">
        <v>426</v>
      </c>
      <c r="T1338" s="2" t="s">
        <v>520</v>
      </c>
      <c r="U1338" s="3">
        <v>1</v>
      </c>
      <c r="V1338" s="3">
        <v>1</v>
      </c>
      <c r="W1338" s="4" t="s">
        <v>11890</v>
      </c>
      <c r="X1338" s="4" t="s">
        <v>11890</v>
      </c>
      <c r="Y1338" s="4" t="s">
        <v>197</v>
      </c>
      <c r="Z1338" s="4" t="s">
        <v>197</v>
      </c>
      <c r="AA1338" s="3">
        <v>41</v>
      </c>
      <c r="AB1338" s="3">
        <v>35</v>
      </c>
      <c r="AC1338" s="3">
        <v>59</v>
      </c>
      <c r="AD1338" s="3">
        <v>1</v>
      </c>
      <c r="AE1338" s="3">
        <v>1</v>
      </c>
      <c r="AF1338" s="3">
        <v>0</v>
      </c>
      <c r="AG1338" s="3">
        <v>0</v>
      </c>
      <c r="AH1338" s="3">
        <v>0</v>
      </c>
      <c r="AI1338" s="3">
        <v>0</v>
      </c>
      <c r="AJ1338" s="3">
        <v>0</v>
      </c>
      <c r="AK1338" s="3">
        <v>0</v>
      </c>
      <c r="AL1338" s="3">
        <v>0</v>
      </c>
      <c r="AM1338" s="3">
        <v>0</v>
      </c>
      <c r="AN1338" s="3">
        <v>0</v>
      </c>
      <c r="AO1338" s="3">
        <v>0</v>
      </c>
      <c r="AP1338" s="3">
        <v>0</v>
      </c>
      <c r="AQ1338" s="3">
        <v>0</v>
      </c>
      <c r="AR1338" s="2" t="s">
        <v>5</v>
      </c>
      <c r="AS1338" s="2" t="s">
        <v>5</v>
      </c>
      <c r="AU1338" s="5" t="str">
        <f>HYPERLINK("https://creighton-primo.hosted.exlibrisgroup.com/primo-explore/search?tab=default_tab&amp;search_scope=EVERYTHING&amp;vid=01CRU&amp;lang=en_US&amp;offset=0&amp;query=any,contains,991001085709702656","Catalog Record")</f>
        <v>Catalog Record</v>
      </c>
      <c r="AV1338" s="5" t="str">
        <f>HYPERLINK("http://www.worldcat.org/oclc/7999107","WorldCat Record")</f>
        <v>WorldCat Record</v>
      </c>
      <c r="AW1338" s="2" t="s">
        <v>16033</v>
      </c>
      <c r="AX1338" s="2" t="s">
        <v>16034</v>
      </c>
      <c r="AY1338" s="2" t="s">
        <v>16035</v>
      </c>
      <c r="AZ1338" s="2" t="s">
        <v>16035</v>
      </c>
      <c r="BA1338" s="2" t="s">
        <v>16036</v>
      </c>
      <c r="BB1338" s="2" t="s">
        <v>21</v>
      </c>
      <c r="BD1338" s="2" t="s">
        <v>16037</v>
      </c>
      <c r="BE1338" s="2" t="s">
        <v>16038</v>
      </c>
      <c r="BF1338" s="2" t="s">
        <v>16039</v>
      </c>
    </row>
    <row r="1339" spans="1:58" ht="41.25" customHeight="1" x14ac:dyDescent="0.25">
      <c r="A1339" s="8" t="s">
        <v>5</v>
      </c>
      <c r="B1339" s="1" t="s">
        <v>0</v>
      </c>
      <c r="C1339" s="1" t="s">
        <v>1</v>
      </c>
      <c r="D1339" s="1" t="s">
        <v>16040</v>
      </c>
      <c r="E1339" s="1" t="s">
        <v>16041</v>
      </c>
      <c r="F1339" s="1" t="s">
        <v>16042</v>
      </c>
      <c r="H1339" s="2" t="s">
        <v>5</v>
      </c>
      <c r="I1339" s="2" t="s">
        <v>6</v>
      </c>
      <c r="J1339" s="2" t="s">
        <v>5</v>
      </c>
      <c r="K1339" s="2" t="s">
        <v>5</v>
      </c>
      <c r="L1339" s="2" t="s">
        <v>7</v>
      </c>
      <c r="N1339" s="1" t="s">
        <v>16043</v>
      </c>
      <c r="O1339" s="2" t="s">
        <v>228</v>
      </c>
      <c r="P1339" s="1" t="s">
        <v>16044</v>
      </c>
      <c r="Q1339" s="2" t="s">
        <v>11</v>
      </c>
      <c r="R1339" s="2" t="s">
        <v>426</v>
      </c>
      <c r="T1339" s="2" t="s">
        <v>520</v>
      </c>
      <c r="U1339" s="3">
        <v>3</v>
      </c>
      <c r="V1339" s="3">
        <v>3</v>
      </c>
      <c r="W1339" s="4" t="s">
        <v>8183</v>
      </c>
      <c r="X1339" s="4" t="s">
        <v>8183</v>
      </c>
      <c r="Y1339" s="4" t="s">
        <v>197</v>
      </c>
      <c r="Z1339" s="4" t="s">
        <v>197</v>
      </c>
      <c r="AA1339" s="3">
        <v>148</v>
      </c>
      <c r="AB1339" s="3">
        <v>126</v>
      </c>
      <c r="AC1339" s="3">
        <v>212</v>
      </c>
      <c r="AD1339" s="3">
        <v>1</v>
      </c>
      <c r="AE1339" s="3">
        <v>2</v>
      </c>
      <c r="AF1339" s="3">
        <v>1</v>
      </c>
      <c r="AG1339" s="3">
        <v>2</v>
      </c>
      <c r="AH1339" s="3">
        <v>0</v>
      </c>
      <c r="AI1339" s="3">
        <v>1</v>
      </c>
      <c r="AJ1339" s="3">
        <v>0</v>
      </c>
      <c r="AK1339" s="3">
        <v>0</v>
      </c>
      <c r="AL1339" s="3">
        <v>1</v>
      </c>
      <c r="AM1339" s="3">
        <v>2</v>
      </c>
      <c r="AN1339" s="3">
        <v>0</v>
      </c>
      <c r="AO1339" s="3">
        <v>0</v>
      </c>
      <c r="AP1339" s="3">
        <v>0</v>
      </c>
      <c r="AQ1339" s="3">
        <v>0</v>
      </c>
      <c r="AR1339" s="2" t="s">
        <v>5</v>
      </c>
      <c r="AS1339" s="2" t="s">
        <v>16</v>
      </c>
      <c r="AT1339" s="5" t="str">
        <f>HYPERLINK("http://catalog.hathitrust.org/Record/000767231","HathiTrust Record")</f>
        <v>HathiTrust Record</v>
      </c>
      <c r="AU1339" s="5" t="str">
        <f>HYPERLINK("https://creighton-primo.hosted.exlibrisgroup.com/primo-explore/search?tab=default_tab&amp;search_scope=EVERYTHING&amp;vid=01CRU&amp;lang=en_US&amp;offset=0&amp;query=any,contains,991001085749702656","Catalog Record")</f>
        <v>Catalog Record</v>
      </c>
      <c r="AV1339" s="5" t="str">
        <f>HYPERLINK("http://www.worldcat.org/oclc/7550964","WorldCat Record")</f>
        <v>WorldCat Record</v>
      </c>
      <c r="AW1339" s="2" t="s">
        <v>16045</v>
      </c>
      <c r="AX1339" s="2" t="s">
        <v>16046</v>
      </c>
      <c r="AY1339" s="2" t="s">
        <v>16047</v>
      </c>
      <c r="AZ1339" s="2" t="s">
        <v>16047</v>
      </c>
      <c r="BA1339" s="2" t="s">
        <v>16048</v>
      </c>
      <c r="BB1339" s="2" t="s">
        <v>21</v>
      </c>
      <c r="BD1339" s="2" t="s">
        <v>16049</v>
      </c>
      <c r="BE1339" s="2" t="s">
        <v>16050</v>
      </c>
      <c r="BF1339" s="2" t="s">
        <v>16051</v>
      </c>
    </row>
    <row r="1340" spans="1:58" ht="41.25" customHeight="1" x14ac:dyDescent="0.25">
      <c r="A1340" s="8" t="s">
        <v>5</v>
      </c>
      <c r="B1340" s="1" t="s">
        <v>0</v>
      </c>
      <c r="C1340" s="1" t="s">
        <v>1</v>
      </c>
      <c r="D1340" s="1" t="s">
        <v>16052</v>
      </c>
      <c r="E1340" s="1" t="s">
        <v>16053</v>
      </c>
      <c r="F1340" s="1" t="s">
        <v>16054</v>
      </c>
      <c r="H1340" s="2" t="s">
        <v>5</v>
      </c>
      <c r="I1340" s="2" t="s">
        <v>6</v>
      </c>
      <c r="J1340" s="2" t="s">
        <v>5</v>
      </c>
      <c r="K1340" s="2" t="s">
        <v>5</v>
      </c>
      <c r="L1340" s="2" t="s">
        <v>7</v>
      </c>
      <c r="M1340" s="1" t="s">
        <v>16055</v>
      </c>
      <c r="N1340" s="1" t="s">
        <v>7564</v>
      </c>
      <c r="O1340" s="2" t="s">
        <v>136</v>
      </c>
      <c r="Q1340" s="2" t="s">
        <v>11</v>
      </c>
      <c r="R1340" s="2" t="s">
        <v>78</v>
      </c>
      <c r="T1340" s="2" t="s">
        <v>520</v>
      </c>
      <c r="U1340" s="3">
        <v>7</v>
      </c>
      <c r="V1340" s="3">
        <v>7</v>
      </c>
      <c r="W1340" s="4" t="s">
        <v>16056</v>
      </c>
      <c r="X1340" s="4" t="s">
        <v>16056</v>
      </c>
      <c r="Y1340" s="4" t="s">
        <v>1143</v>
      </c>
      <c r="Z1340" s="4" t="s">
        <v>1143</v>
      </c>
      <c r="AA1340" s="3">
        <v>271</v>
      </c>
      <c r="AB1340" s="3">
        <v>218</v>
      </c>
      <c r="AC1340" s="3">
        <v>225</v>
      </c>
      <c r="AD1340" s="3">
        <v>1</v>
      </c>
      <c r="AE1340" s="3">
        <v>1</v>
      </c>
      <c r="AF1340" s="3">
        <v>7</v>
      </c>
      <c r="AG1340" s="3">
        <v>7</v>
      </c>
      <c r="AH1340" s="3">
        <v>2</v>
      </c>
      <c r="AI1340" s="3">
        <v>2</v>
      </c>
      <c r="AJ1340" s="3">
        <v>2</v>
      </c>
      <c r="AK1340" s="3">
        <v>2</v>
      </c>
      <c r="AL1340" s="3">
        <v>6</v>
      </c>
      <c r="AM1340" s="3">
        <v>6</v>
      </c>
      <c r="AN1340" s="3">
        <v>0</v>
      </c>
      <c r="AO1340" s="3">
        <v>0</v>
      </c>
      <c r="AP1340" s="3">
        <v>0</v>
      </c>
      <c r="AQ1340" s="3">
        <v>0</v>
      </c>
      <c r="AR1340" s="2" t="s">
        <v>5</v>
      </c>
      <c r="AS1340" s="2" t="s">
        <v>16</v>
      </c>
      <c r="AT1340" s="5" t="str">
        <f>HYPERLINK("http://catalog.hathitrust.org/Record/002437762","HathiTrust Record")</f>
        <v>HathiTrust Record</v>
      </c>
      <c r="AU1340" s="5" t="str">
        <f>HYPERLINK("https://creighton-primo.hosted.exlibrisgroup.com/primo-explore/search?tab=default_tab&amp;search_scope=EVERYTHING&amp;vid=01CRU&amp;lang=en_US&amp;offset=0&amp;query=any,contains,991001476869702656","Catalog Record")</f>
        <v>Catalog Record</v>
      </c>
      <c r="AV1340" s="5" t="str">
        <f>HYPERLINK("http://www.worldcat.org/oclc/22706146","WorldCat Record")</f>
        <v>WorldCat Record</v>
      </c>
      <c r="AW1340" s="2" t="s">
        <v>16057</v>
      </c>
      <c r="AX1340" s="2" t="s">
        <v>16058</v>
      </c>
      <c r="AY1340" s="2" t="s">
        <v>16059</v>
      </c>
      <c r="AZ1340" s="2" t="s">
        <v>16059</v>
      </c>
      <c r="BA1340" s="2" t="s">
        <v>16060</v>
      </c>
      <c r="BB1340" s="2" t="s">
        <v>21</v>
      </c>
      <c r="BD1340" s="2" t="s">
        <v>16061</v>
      </c>
      <c r="BE1340" s="2" t="s">
        <v>16062</v>
      </c>
      <c r="BF1340" s="2" t="s">
        <v>16063</v>
      </c>
    </row>
    <row r="1341" spans="1:58" ht="41.25" customHeight="1" x14ac:dyDescent="0.25">
      <c r="A1341" s="8" t="s">
        <v>5</v>
      </c>
      <c r="B1341" s="1" t="s">
        <v>0</v>
      </c>
      <c r="C1341" s="1" t="s">
        <v>1</v>
      </c>
      <c r="D1341" s="1" t="s">
        <v>16064</v>
      </c>
      <c r="E1341" s="1" t="s">
        <v>16065</v>
      </c>
      <c r="F1341" s="1" t="s">
        <v>16066</v>
      </c>
      <c r="H1341" s="2" t="s">
        <v>5</v>
      </c>
      <c r="I1341" s="2" t="s">
        <v>6</v>
      </c>
      <c r="J1341" s="2" t="s">
        <v>5</v>
      </c>
      <c r="K1341" s="2" t="s">
        <v>5</v>
      </c>
      <c r="L1341" s="2" t="s">
        <v>7</v>
      </c>
      <c r="N1341" s="1" t="s">
        <v>14424</v>
      </c>
      <c r="O1341" s="2" t="s">
        <v>136</v>
      </c>
      <c r="P1341" s="1" t="s">
        <v>211</v>
      </c>
      <c r="Q1341" s="2" t="s">
        <v>11</v>
      </c>
      <c r="R1341" s="2" t="s">
        <v>426</v>
      </c>
      <c r="T1341" s="2" t="s">
        <v>520</v>
      </c>
      <c r="U1341" s="3">
        <v>5</v>
      </c>
      <c r="V1341" s="3">
        <v>5</v>
      </c>
      <c r="W1341" s="4" t="s">
        <v>16021</v>
      </c>
      <c r="X1341" s="4" t="s">
        <v>16021</v>
      </c>
      <c r="Y1341" s="4" t="s">
        <v>11586</v>
      </c>
      <c r="Z1341" s="4" t="s">
        <v>11586</v>
      </c>
      <c r="AA1341" s="3">
        <v>336</v>
      </c>
      <c r="AB1341" s="3">
        <v>285</v>
      </c>
      <c r="AC1341" s="3">
        <v>528</v>
      </c>
      <c r="AD1341" s="3">
        <v>1</v>
      </c>
      <c r="AE1341" s="3">
        <v>3</v>
      </c>
      <c r="AF1341" s="3">
        <v>11</v>
      </c>
      <c r="AG1341" s="3">
        <v>21</v>
      </c>
      <c r="AH1341" s="3">
        <v>4</v>
      </c>
      <c r="AI1341" s="3">
        <v>9</v>
      </c>
      <c r="AJ1341" s="3">
        <v>4</v>
      </c>
      <c r="AK1341" s="3">
        <v>5</v>
      </c>
      <c r="AL1341" s="3">
        <v>7</v>
      </c>
      <c r="AM1341" s="3">
        <v>11</v>
      </c>
      <c r="AN1341" s="3">
        <v>0</v>
      </c>
      <c r="AO1341" s="3">
        <v>2</v>
      </c>
      <c r="AP1341" s="3">
        <v>0</v>
      </c>
      <c r="AQ1341" s="3">
        <v>0</v>
      </c>
      <c r="AR1341" s="2" t="s">
        <v>5</v>
      </c>
      <c r="AS1341" s="2" t="s">
        <v>16</v>
      </c>
      <c r="AT1341" s="5" t="str">
        <f>HYPERLINK("http://catalog.hathitrust.org/Record/002503257","HathiTrust Record")</f>
        <v>HathiTrust Record</v>
      </c>
      <c r="AU1341" s="5" t="str">
        <f>HYPERLINK("https://creighton-primo.hosted.exlibrisgroup.com/primo-explore/search?tab=default_tab&amp;search_scope=EVERYTHING&amp;vid=01CRU&amp;lang=en_US&amp;offset=0&amp;query=any,contains,991000827049702656","Catalog Record")</f>
        <v>Catalog Record</v>
      </c>
      <c r="AV1341" s="5" t="str">
        <f>HYPERLINK("http://www.worldcat.org/oclc/23080903","WorldCat Record")</f>
        <v>WorldCat Record</v>
      </c>
      <c r="AW1341" s="2" t="s">
        <v>16067</v>
      </c>
      <c r="AX1341" s="2" t="s">
        <v>16068</v>
      </c>
      <c r="AY1341" s="2" t="s">
        <v>16069</v>
      </c>
      <c r="AZ1341" s="2" t="s">
        <v>16069</v>
      </c>
      <c r="BA1341" s="2" t="s">
        <v>16070</v>
      </c>
      <c r="BB1341" s="2" t="s">
        <v>21</v>
      </c>
      <c r="BD1341" s="2" t="s">
        <v>16071</v>
      </c>
      <c r="BE1341" s="2" t="s">
        <v>16072</v>
      </c>
      <c r="BF1341" s="2" t="s">
        <v>16073</v>
      </c>
    </row>
    <row r="1342" spans="1:58" ht="41.25" customHeight="1" x14ac:dyDescent="0.25">
      <c r="A1342" s="8" t="s">
        <v>5</v>
      </c>
      <c r="B1342" s="1" t="s">
        <v>0</v>
      </c>
      <c r="C1342" s="1" t="s">
        <v>1</v>
      </c>
      <c r="D1342" s="1" t="s">
        <v>16074</v>
      </c>
      <c r="E1342" s="1" t="s">
        <v>16075</v>
      </c>
      <c r="F1342" s="1" t="s">
        <v>16076</v>
      </c>
      <c r="H1342" s="2" t="s">
        <v>5</v>
      </c>
      <c r="I1342" s="2" t="s">
        <v>6</v>
      </c>
      <c r="J1342" s="2" t="s">
        <v>5</v>
      </c>
      <c r="K1342" s="2" t="s">
        <v>5</v>
      </c>
      <c r="L1342" s="2" t="s">
        <v>7</v>
      </c>
      <c r="N1342" s="1" t="s">
        <v>13312</v>
      </c>
      <c r="O1342" s="2" t="s">
        <v>228</v>
      </c>
      <c r="P1342" s="1" t="s">
        <v>211</v>
      </c>
      <c r="Q1342" s="2" t="s">
        <v>11</v>
      </c>
      <c r="R1342" s="2" t="s">
        <v>271</v>
      </c>
      <c r="T1342" s="2" t="s">
        <v>520</v>
      </c>
      <c r="U1342" s="3">
        <v>9</v>
      </c>
      <c r="V1342" s="3">
        <v>9</v>
      </c>
      <c r="W1342" s="4" t="s">
        <v>16077</v>
      </c>
      <c r="X1342" s="4" t="s">
        <v>16077</v>
      </c>
      <c r="Y1342" s="4" t="s">
        <v>14808</v>
      </c>
      <c r="Z1342" s="4" t="s">
        <v>14808</v>
      </c>
      <c r="AA1342" s="3">
        <v>134</v>
      </c>
      <c r="AB1342" s="3">
        <v>109</v>
      </c>
      <c r="AC1342" s="3">
        <v>112</v>
      </c>
      <c r="AD1342" s="3">
        <v>1</v>
      </c>
      <c r="AE1342" s="3">
        <v>1</v>
      </c>
      <c r="AF1342" s="3">
        <v>5</v>
      </c>
      <c r="AG1342" s="3">
        <v>5</v>
      </c>
      <c r="AH1342" s="3">
        <v>2</v>
      </c>
      <c r="AI1342" s="3">
        <v>2</v>
      </c>
      <c r="AJ1342" s="3">
        <v>2</v>
      </c>
      <c r="AK1342" s="3">
        <v>2</v>
      </c>
      <c r="AL1342" s="3">
        <v>2</v>
      </c>
      <c r="AM1342" s="3">
        <v>2</v>
      </c>
      <c r="AN1342" s="3">
        <v>0</v>
      </c>
      <c r="AO1342" s="3">
        <v>0</v>
      </c>
      <c r="AP1342" s="3">
        <v>0</v>
      </c>
      <c r="AQ1342" s="3">
        <v>0</v>
      </c>
      <c r="AR1342" s="2" t="s">
        <v>5</v>
      </c>
      <c r="AS1342" s="2" t="s">
        <v>16</v>
      </c>
      <c r="AT1342" s="5" t="str">
        <f>HYPERLINK("http://catalog.hathitrust.org/Record/000101784","HathiTrust Record")</f>
        <v>HathiTrust Record</v>
      </c>
      <c r="AU1342" s="5" t="str">
        <f>HYPERLINK("https://creighton-primo.hosted.exlibrisgroup.com/primo-explore/search?tab=default_tab&amp;search_scope=EVERYTHING&amp;vid=01CRU&amp;lang=en_US&amp;offset=0&amp;query=any,contains,991000735579702656","Catalog Record")</f>
        <v>Catalog Record</v>
      </c>
      <c r="AV1342" s="5" t="str">
        <f>HYPERLINK("http://www.worldcat.org/oclc/8428063","WorldCat Record")</f>
        <v>WorldCat Record</v>
      </c>
      <c r="AW1342" s="2" t="s">
        <v>16078</v>
      </c>
      <c r="AX1342" s="2" t="s">
        <v>16079</v>
      </c>
      <c r="AY1342" s="2" t="s">
        <v>16080</v>
      </c>
      <c r="AZ1342" s="2" t="s">
        <v>16080</v>
      </c>
      <c r="BA1342" s="2" t="s">
        <v>16081</v>
      </c>
      <c r="BB1342" s="2" t="s">
        <v>21</v>
      </c>
      <c r="BD1342" s="2" t="s">
        <v>16082</v>
      </c>
      <c r="BE1342" s="2" t="s">
        <v>16083</v>
      </c>
      <c r="BF1342" s="2" t="s">
        <v>16084</v>
      </c>
    </row>
    <row r="1343" spans="1:58" ht="41.25" customHeight="1" x14ac:dyDescent="0.25">
      <c r="A1343" s="8" t="s">
        <v>5</v>
      </c>
      <c r="B1343" s="1" t="s">
        <v>0</v>
      </c>
      <c r="C1343" s="1" t="s">
        <v>1</v>
      </c>
      <c r="D1343" s="1" t="s">
        <v>16085</v>
      </c>
      <c r="E1343" s="1" t="s">
        <v>16086</v>
      </c>
      <c r="F1343" s="1" t="s">
        <v>16087</v>
      </c>
      <c r="H1343" s="2" t="s">
        <v>5</v>
      </c>
      <c r="I1343" s="2" t="s">
        <v>6</v>
      </c>
      <c r="J1343" s="2" t="s">
        <v>5</v>
      </c>
      <c r="K1343" s="2" t="s">
        <v>5</v>
      </c>
      <c r="L1343" s="2" t="s">
        <v>7</v>
      </c>
      <c r="N1343" s="1" t="s">
        <v>988</v>
      </c>
      <c r="O1343" s="2" t="s">
        <v>989</v>
      </c>
      <c r="Q1343" s="2" t="s">
        <v>11</v>
      </c>
      <c r="R1343" s="2" t="s">
        <v>426</v>
      </c>
      <c r="T1343" s="2" t="s">
        <v>520</v>
      </c>
      <c r="U1343" s="3">
        <v>54</v>
      </c>
      <c r="V1343" s="3">
        <v>54</v>
      </c>
      <c r="W1343" s="4" t="s">
        <v>16088</v>
      </c>
      <c r="X1343" s="4" t="s">
        <v>16088</v>
      </c>
      <c r="Y1343" s="4" t="s">
        <v>15489</v>
      </c>
      <c r="Z1343" s="4" t="s">
        <v>15489</v>
      </c>
      <c r="AA1343" s="3">
        <v>236</v>
      </c>
      <c r="AB1343" s="3">
        <v>177</v>
      </c>
      <c r="AC1343" s="3">
        <v>313</v>
      </c>
      <c r="AD1343" s="3">
        <v>1</v>
      </c>
      <c r="AE1343" s="3">
        <v>1</v>
      </c>
      <c r="AF1343" s="3">
        <v>2</v>
      </c>
      <c r="AG1343" s="3">
        <v>8</v>
      </c>
      <c r="AH1343" s="3">
        <v>1</v>
      </c>
      <c r="AI1343" s="3">
        <v>5</v>
      </c>
      <c r="AJ1343" s="3">
        <v>0</v>
      </c>
      <c r="AK1343" s="3">
        <v>2</v>
      </c>
      <c r="AL1343" s="3">
        <v>1</v>
      </c>
      <c r="AM1343" s="3">
        <v>4</v>
      </c>
      <c r="AN1343" s="3">
        <v>0</v>
      </c>
      <c r="AO1343" s="3">
        <v>0</v>
      </c>
      <c r="AP1343" s="3">
        <v>0</v>
      </c>
      <c r="AQ1343" s="3">
        <v>0</v>
      </c>
      <c r="AR1343" s="2" t="s">
        <v>5</v>
      </c>
      <c r="AS1343" s="2" t="s">
        <v>16</v>
      </c>
      <c r="AT1343" s="5" t="str">
        <f>HYPERLINK("http://catalog.hathitrust.org/Record/004483614","HathiTrust Record")</f>
        <v>HathiTrust Record</v>
      </c>
      <c r="AU1343" s="5" t="str">
        <f>HYPERLINK("https://creighton-primo.hosted.exlibrisgroup.com/primo-explore/search?tab=default_tab&amp;search_scope=EVERYTHING&amp;vid=01CRU&amp;lang=en_US&amp;offset=0&amp;query=any,contains,991000943549702656","Catalog Record")</f>
        <v>Catalog Record</v>
      </c>
      <c r="AV1343" s="5" t="str">
        <f>HYPERLINK("http://www.worldcat.org/oclc/20723605","WorldCat Record")</f>
        <v>WorldCat Record</v>
      </c>
      <c r="AW1343" s="2" t="s">
        <v>16089</v>
      </c>
      <c r="AX1343" s="2" t="s">
        <v>16090</v>
      </c>
      <c r="AY1343" s="2" t="s">
        <v>16091</v>
      </c>
      <c r="AZ1343" s="2" t="s">
        <v>16091</v>
      </c>
      <c r="BA1343" s="2" t="s">
        <v>16092</v>
      </c>
      <c r="BB1343" s="2" t="s">
        <v>21</v>
      </c>
      <c r="BD1343" s="2" t="s">
        <v>16093</v>
      </c>
      <c r="BE1343" s="2" t="s">
        <v>16094</v>
      </c>
      <c r="BF1343" s="2" t="s">
        <v>16095</v>
      </c>
    </row>
    <row r="1344" spans="1:58" ht="41.25" customHeight="1" x14ac:dyDescent="0.25">
      <c r="A1344" s="8" t="s">
        <v>5</v>
      </c>
      <c r="B1344" s="1" t="s">
        <v>0</v>
      </c>
      <c r="C1344" s="1" t="s">
        <v>1</v>
      </c>
      <c r="D1344" s="1" t="s">
        <v>16096</v>
      </c>
      <c r="E1344" s="1" t="s">
        <v>16097</v>
      </c>
      <c r="F1344" s="1" t="s">
        <v>16098</v>
      </c>
      <c r="H1344" s="2" t="s">
        <v>5</v>
      </c>
      <c r="I1344" s="2" t="s">
        <v>6</v>
      </c>
      <c r="J1344" s="2" t="s">
        <v>5</v>
      </c>
      <c r="K1344" s="2" t="s">
        <v>5</v>
      </c>
      <c r="L1344" s="2" t="s">
        <v>7</v>
      </c>
      <c r="N1344" s="1" t="s">
        <v>10592</v>
      </c>
      <c r="O1344" s="2" t="s">
        <v>354</v>
      </c>
      <c r="Q1344" s="2" t="s">
        <v>11</v>
      </c>
      <c r="R1344" s="2" t="s">
        <v>426</v>
      </c>
      <c r="S1344" s="1" t="s">
        <v>10593</v>
      </c>
      <c r="T1344" s="2" t="s">
        <v>520</v>
      </c>
      <c r="U1344" s="3">
        <v>3</v>
      </c>
      <c r="V1344" s="3">
        <v>3</v>
      </c>
      <c r="W1344" s="4" t="s">
        <v>16099</v>
      </c>
      <c r="X1344" s="4" t="s">
        <v>16099</v>
      </c>
      <c r="Y1344" s="4" t="s">
        <v>197</v>
      </c>
      <c r="Z1344" s="4" t="s">
        <v>197</v>
      </c>
      <c r="AA1344" s="3">
        <v>226</v>
      </c>
      <c r="AB1344" s="3">
        <v>199</v>
      </c>
      <c r="AC1344" s="3">
        <v>250</v>
      </c>
      <c r="AD1344" s="3">
        <v>1</v>
      </c>
      <c r="AE1344" s="3">
        <v>1</v>
      </c>
      <c r="AF1344" s="3">
        <v>3</v>
      </c>
      <c r="AG1344" s="3">
        <v>3</v>
      </c>
      <c r="AH1344" s="3">
        <v>1</v>
      </c>
      <c r="AI1344" s="3">
        <v>1</v>
      </c>
      <c r="AJ1344" s="3">
        <v>0</v>
      </c>
      <c r="AK1344" s="3">
        <v>0</v>
      </c>
      <c r="AL1344" s="3">
        <v>2</v>
      </c>
      <c r="AM1344" s="3">
        <v>2</v>
      </c>
      <c r="AN1344" s="3">
        <v>0</v>
      </c>
      <c r="AO1344" s="3">
        <v>0</v>
      </c>
      <c r="AP1344" s="3">
        <v>0</v>
      </c>
      <c r="AQ1344" s="3">
        <v>0</v>
      </c>
      <c r="AR1344" s="2" t="s">
        <v>5</v>
      </c>
      <c r="AS1344" s="2" t="s">
        <v>16</v>
      </c>
      <c r="AT1344" s="5" t="str">
        <f>HYPERLINK("http://catalog.hathitrust.org/Record/000127661","HathiTrust Record")</f>
        <v>HathiTrust Record</v>
      </c>
      <c r="AU1344" s="5" t="str">
        <f>HYPERLINK("https://creighton-primo.hosted.exlibrisgroup.com/primo-explore/search?tab=default_tab&amp;search_scope=EVERYTHING&amp;vid=01CRU&amp;lang=en_US&amp;offset=0&amp;query=any,contains,991001086359702656","Catalog Record")</f>
        <v>Catalog Record</v>
      </c>
      <c r="AV1344" s="5" t="str">
        <f>HYPERLINK("http://www.worldcat.org/oclc/6889036","WorldCat Record")</f>
        <v>WorldCat Record</v>
      </c>
      <c r="AW1344" s="2" t="s">
        <v>16100</v>
      </c>
      <c r="AX1344" s="2" t="s">
        <v>16101</v>
      </c>
      <c r="AY1344" s="2" t="s">
        <v>16102</v>
      </c>
      <c r="AZ1344" s="2" t="s">
        <v>16102</v>
      </c>
      <c r="BA1344" s="2" t="s">
        <v>16103</v>
      </c>
      <c r="BB1344" s="2" t="s">
        <v>21</v>
      </c>
      <c r="BD1344" s="2" t="s">
        <v>16104</v>
      </c>
      <c r="BE1344" s="2" t="s">
        <v>16105</v>
      </c>
      <c r="BF1344" s="2" t="s">
        <v>16106</v>
      </c>
    </row>
    <row r="1345" spans="1:58" ht="41.25" customHeight="1" x14ac:dyDescent="0.25">
      <c r="A1345" s="8" t="s">
        <v>5</v>
      </c>
      <c r="B1345" s="1" t="s">
        <v>0</v>
      </c>
      <c r="C1345" s="1" t="s">
        <v>1</v>
      </c>
      <c r="D1345" s="1" t="s">
        <v>16107</v>
      </c>
      <c r="E1345" s="1" t="s">
        <v>16108</v>
      </c>
      <c r="F1345" s="1" t="s">
        <v>16109</v>
      </c>
      <c r="H1345" s="2" t="s">
        <v>5</v>
      </c>
      <c r="I1345" s="2" t="s">
        <v>6</v>
      </c>
      <c r="J1345" s="2" t="s">
        <v>5</v>
      </c>
      <c r="K1345" s="2" t="s">
        <v>16</v>
      </c>
      <c r="L1345" s="2" t="s">
        <v>7</v>
      </c>
      <c r="N1345" s="1" t="s">
        <v>11771</v>
      </c>
      <c r="O1345" s="2" t="s">
        <v>794</v>
      </c>
      <c r="P1345" s="1" t="s">
        <v>211</v>
      </c>
      <c r="Q1345" s="2" t="s">
        <v>11</v>
      </c>
      <c r="R1345" s="2" t="s">
        <v>31</v>
      </c>
      <c r="T1345" s="2" t="s">
        <v>520</v>
      </c>
      <c r="U1345" s="3">
        <v>18</v>
      </c>
      <c r="V1345" s="3">
        <v>18</v>
      </c>
      <c r="W1345" s="4" t="s">
        <v>7618</v>
      </c>
      <c r="X1345" s="4" t="s">
        <v>7618</v>
      </c>
      <c r="Y1345" s="4" t="s">
        <v>10606</v>
      </c>
      <c r="Z1345" s="4" t="s">
        <v>10606</v>
      </c>
      <c r="AA1345" s="3">
        <v>396</v>
      </c>
      <c r="AB1345" s="3">
        <v>300</v>
      </c>
      <c r="AC1345" s="3">
        <v>475</v>
      </c>
      <c r="AD1345" s="3">
        <v>3</v>
      </c>
      <c r="AE1345" s="3">
        <v>3</v>
      </c>
      <c r="AF1345" s="3">
        <v>10</v>
      </c>
      <c r="AG1345" s="3">
        <v>16</v>
      </c>
      <c r="AH1345" s="3">
        <v>4</v>
      </c>
      <c r="AI1345" s="3">
        <v>8</v>
      </c>
      <c r="AJ1345" s="3">
        <v>2</v>
      </c>
      <c r="AK1345" s="3">
        <v>3</v>
      </c>
      <c r="AL1345" s="3">
        <v>7</v>
      </c>
      <c r="AM1345" s="3">
        <v>9</v>
      </c>
      <c r="AN1345" s="3">
        <v>1</v>
      </c>
      <c r="AO1345" s="3">
        <v>1</v>
      </c>
      <c r="AP1345" s="3">
        <v>0</v>
      </c>
      <c r="AQ1345" s="3">
        <v>0</v>
      </c>
      <c r="AR1345" s="2" t="s">
        <v>5</v>
      </c>
      <c r="AS1345" s="2" t="s">
        <v>16</v>
      </c>
      <c r="AT1345" s="5" t="str">
        <f>HYPERLINK("http://catalog.hathitrust.org/Record/003005864","HathiTrust Record")</f>
        <v>HathiTrust Record</v>
      </c>
      <c r="AU1345" s="5" t="str">
        <f>HYPERLINK("https://creighton-primo.hosted.exlibrisgroup.com/primo-explore/search?tab=default_tab&amp;search_scope=EVERYTHING&amp;vid=01CRU&amp;lang=en_US&amp;offset=0&amp;query=any,contains,991001503089702656","Catalog Record")</f>
        <v>Catalog Record</v>
      </c>
      <c r="AV1345" s="5" t="str">
        <f>HYPERLINK("http://www.worldcat.org/oclc/31819634","WorldCat Record")</f>
        <v>WorldCat Record</v>
      </c>
      <c r="AW1345" s="2" t="s">
        <v>16110</v>
      </c>
      <c r="AX1345" s="2" t="s">
        <v>16111</v>
      </c>
      <c r="AY1345" s="2" t="s">
        <v>16112</v>
      </c>
      <c r="AZ1345" s="2" t="s">
        <v>16112</v>
      </c>
      <c r="BA1345" s="2" t="s">
        <v>16113</v>
      </c>
      <c r="BB1345" s="2" t="s">
        <v>21</v>
      </c>
      <c r="BD1345" s="2" t="s">
        <v>16114</v>
      </c>
      <c r="BE1345" s="2" t="s">
        <v>16115</v>
      </c>
      <c r="BF1345" s="2" t="s">
        <v>16116</v>
      </c>
    </row>
    <row r="1346" spans="1:58" ht="41.25" customHeight="1" x14ac:dyDescent="0.25">
      <c r="A1346" s="8" t="s">
        <v>5</v>
      </c>
      <c r="B1346" s="1" t="s">
        <v>0</v>
      </c>
      <c r="C1346" s="1" t="s">
        <v>1</v>
      </c>
      <c r="D1346" s="1" t="s">
        <v>16117</v>
      </c>
      <c r="E1346" s="1" t="s">
        <v>16118</v>
      </c>
      <c r="F1346" s="1" t="s">
        <v>16119</v>
      </c>
      <c r="H1346" s="2" t="s">
        <v>5</v>
      </c>
      <c r="I1346" s="2" t="s">
        <v>6</v>
      </c>
      <c r="J1346" s="2" t="s">
        <v>5</v>
      </c>
      <c r="K1346" s="2" t="s">
        <v>16</v>
      </c>
      <c r="L1346" s="2" t="s">
        <v>7</v>
      </c>
      <c r="N1346" s="1" t="s">
        <v>8171</v>
      </c>
      <c r="O1346" s="2" t="s">
        <v>4990</v>
      </c>
      <c r="P1346" s="1" t="s">
        <v>901</v>
      </c>
      <c r="Q1346" s="2" t="s">
        <v>11</v>
      </c>
      <c r="R1346" s="2" t="s">
        <v>31</v>
      </c>
      <c r="T1346" s="2" t="s">
        <v>520</v>
      </c>
      <c r="U1346" s="3">
        <v>0</v>
      </c>
      <c r="V1346" s="3">
        <v>0</v>
      </c>
      <c r="W1346" s="4" t="s">
        <v>16120</v>
      </c>
      <c r="X1346" s="4" t="s">
        <v>16120</v>
      </c>
      <c r="Y1346" s="4" t="s">
        <v>16121</v>
      </c>
      <c r="Z1346" s="4" t="s">
        <v>16121</v>
      </c>
      <c r="AA1346" s="3">
        <v>373</v>
      </c>
      <c r="AB1346" s="3">
        <v>259</v>
      </c>
      <c r="AC1346" s="3">
        <v>475</v>
      </c>
      <c r="AD1346" s="3">
        <v>1</v>
      </c>
      <c r="AE1346" s="3">
        <v>3</v>
      </c>
      <c r="AF1346" s="3">
        <v>9</v>
      </c>
      <c r="AG1346" s="3">
        <v>16</v>
      </c>
      <c r="AH1346" s="3">
        <v>5</v>
      </c>
      <c r="AI1346" s="3">
        <v>8</v>
      </c>
      <c r="AJ1346" s="3">
        <v>1</v>
      </c>
      <c r="AK1346" s="3">
        <v>3</v>
      </c>
      <c r="AL1346" s="3">
        <v>4</v>
      </c>
      <c r="AM1346" s="3">
        <v>9</v>
      </c>
      <c r="AN1346" s="3">
        <v>0</v>
      </c>
      <c r="AO1346" s="3">
        <v>1</v>
      </c>
      <c r="AP1346" s="3">
        <v>0</v>
      </c>
      <c r="AQ1346" s="3">
        <v>0</v>
      </c>
      <c r="AR1346" s="2" t="s">
        <v>5</v>
      </c>
      <c r="AS1346" s="2" t="s">
        <v>16</v>
      </c>
      <c r="AT1346" s="5" t="str">
        <f>HYPERLINK("http://catalog.hathitrust.org/Record/004210299","HathiTrust Record")</f>
        <v>HathiTrust Record</v>
      </c>
      <c r="AU1346" s="5" t="str">
        <f>HYPERLINK("https://creighton-primo.hosted.exlibrisgroup.com/primo-explore/search?tab=default_tab&amp;search_scope=EVERYTHING&amp;vid=01CRU&amp;lang=en_US&amp;offset=0&amp;query=any,contains,991000423489702656","Catalog Record")</f>
        <v>Catalog Record</v>
      </c>
      <c r="AV1346" s="5" t="str">
        <f>HYPERLINK("http://www.worldcat.org/oclc/47290036","WorldCat Record")</f>
        <v>WorldCat Record</v>
      </c>
      <c r="AW1346" s="2" t="s">
        <v>16110</v>
      </c>
      <c r="AX1346" s="2" t="s">
        <v>16122</v>
      </c>
      <c r="AY1346" s="2" t="s">
        <v>16123</v>
      </c>
      <c r="AZ1346" s="2" t="s">
        <v>16123</v>
      </c>
      <c r="BA1346" s="2" t="s">
        <v>16124</v>
      </c>
      <c r="BB1346" s="2" t="s">
        <v>21</v>
      </c>
      <c r="BD1346" s="2" t="s">
        <v>16125</v>
      </c>
      <c r="BE1346" s="2" t="s">
        <v>16126</v>
      </c>
      <c r="BF1346" s="2" t="s">
        <v>16127</v>
      </c>
    </row>
    <row r="1347" spans="1:58" ht="41.25" customHeight="1" x14ac:dyDescent="0.25">
      <c r="A1347" s="8" t="s">
        <v>5</v>
      </c>
      <c r="B1347" s="1" t="s">
        <v>0</v>
      </c>
      <c r="C1347" s="1" t="s">
        <v>1</v>
      </c>
      <c r="D1347" s="1" t="s">
        <v>16128</v>
      </c>
      <c r="E1347" s="1" t="s">
        <v>16129</v>
      </c>
      <c r="F1347" s="1" t="s">
        <v>16130</v>
      </c>
      <c r="H1347" s="2" t="s">
        <v>5</v>
      </c>
      <c r="I1347" s="2" t="s">
        <v>6</v>
      </c>
      <c r="J1347" s="2" t="s">
        <v>5</v>
      </c>
      <c r="K1347" s="2" t="s">
        <v>5</v>
      </c>
      <c r="L1347" s="2" t="s">
        <v>7</v>
      </c>
      <c r="M1347" s="1" t="s">
        <v>16131</v>
      </c>
      <c r="N1347" s="1" t="s">
        <v>6881</v>
      </c>
      <c r="O1347" s="2" t="s">
        <v>601</v>
      </c>
      <c r="Q1347" s="2" t="s">
        <v>11</v>
      </c>
      <c r="R1347" s="2" t="s">
        <v>1325</v>
      </c>
      <c r="S1347" s="1" t="s">
        <v>16132</v>
      </c>
      <c r="T1347" s="2" t="s">
        <v>520</v>
      </c>
      <c r="U1347" s="3">
        <v>0</v>
      </c>
      <c r="V1347" s="3">
        <v>0</v>
      </c>
      <c r="W1347" s="4" t="s">
        <v>2104</v>
      </c>
      <c r="X1347" s="4" t="s">
        <v>2104</v>
      </c>
      <c r="Y1347" s="4" t="s">
        <v>604</v>
      </c>
      <c r="Z1347" s="4" t="s">
        <v>604</v>
      </c>
      <c r="AA1347" s="3">
        <v>158</v>
      </c>
      <c r="AB1347" s="3">
        <v>151</v>
      </c>
      <c r="AC1347" s="3">
        <v>164</v>
      </c>
      <c r="AD1347" s="3">
        <v>1</v>
      </c>
      <c r="AE1347" s="3">
        <v>1</v>
      </c>
      <c r="AF1347" s="3">
        <v>10</v>
      </c>
      <c r="AG1347" s="3">
        <v>11</v>
      </c>
      <c r="AH1347" s="3">
        <v>3</v>
      </c>
      <c r="AI1347" s="3">
        <v>4</v>
      </c>
      <c r="AJ1347" s="3">
        <v>2</v>
      </c>
      <c r="AK1347" s="3">
        <v>2</v>
      </c>
      <c r="AL1347" s="3">
        <v>5</v>
      </c>
      <c r="AM1347" s="3">
        <v>6</v>
      </c>
      <c r="AN1347" s="3">
        <v>0</v>
      </c>
      <c r="AO1347" s="3">
        <v>0</v>
      </c>
      <c r="AP1347" s="3">
        <v>0</v>
      </c>
      <c r="AQ1347" s="3">
        <v>0</v>
      </c>
      <c r="AR1347" s="2" t="s">
        <v>5</v>
      </c>
      <c r="AS1347" s="2" t="s">
        <v>16</v>
      </c>
      <c r="AT1347" s="5" t="str">
        <f>HYPERLINK("http://catalog.hathitrust.org/Record/002965301","HathiTrust Record")</f>
        <v>HathiTrust Record</v>
      </c>
      <c r="AU1347" s="5" t="str">
        <f>HYPERLINK("https://creighton-primo.hosted.exlibrisgroup.com/primo-explore/search?tab=default_tab&amp;search_scope=EVERYTHING&amp;vid=01CRU&amp;lang=en_US&amp;offset=0&amp;query=any,contains,991000253639702656","Catalog Record")</f>
        <v>Catalog Record</v>
      </c>
      <c r="AV1347" s="5" t="str">
        <f>HYPERLINK("http://www.worldcat.org/oclc/32188889","WorldCat Record")</f>
        <v>WorldCat Record</v>
      </c>
      <c r="AW1347" s="2" t="s">
        <v>16133</v>
      </c>
      <c r="AX1347" s="2" t="s">
        <v>16134</v>
      </c>
      <c r="AY1347" s="2" t="s">
        <v>16135</v>
      </c>
      <c r="AZ1347" s="2" t="s">
        <v>16135</v>
      </c>
      <c r="BA1347" s="2" t="s">
        <v>16136</v>
      </c>
      <c r="BB1347" s="2" t="s">
        <v>21</v>
      </c>
      <c r="BD1347" s="2" t="s">
        <v>16137</v>
      </c>
      <c r="BE1347" s="2" t="s">
        <v>16138</v>
      </c>
      <c r="BF1347" s="2" t="s">
        <v>16139</v>
      </c>
    </row>
    <row r="1348" spans="1:58" ht="41.25" customHeight="1" x14ac:dyDescent="0.25">
      <c r="A1348" s="8" t="s">
        <v>5</v>
      </c>
      <c r="B1348" s="1" t="s">
        <v>0</v>
      </c>
      <c r="C1348" s="1" t="s">
        <v>1</v>
      </c>
      <c r="D1348" s="1" t="s">
        <v>16140</v>
      </c>
      <c r="E1348" s="1" t="s">
        <v>16141</v>
      </c>
      <c r="F1348" s="1" t="s">
        <v>16142</v>
      </c>
      <c r="H1348" s="2" t="s">
        <v>5</v>
      </c>
      <c r="I1348" s="2" t="s">
        <v>6</v>
      </c>
      <c r="J1348" s="2" t="s">
        <v>5</v>
      </c>
      <c r="K1348" s="2" t="s">
        <v>5</v>
      </c>
      <c r="L1348" s="2" t="s">
        <v>7</v>
      </c>
      <c r="M1348" s="1" t="s">
        <v>16143</v>
      </c>
      <c r="N1348" s="1" t="s">
        <v>16144</v>
      </c>
      <c r="O1348" s="2" t="s">
        <v>1391</v>
      </c>
      <c r="Q1348" s="2" t="s">
        <v>11</v>
      </c>
      <c r="R1348" s="2" t="s">
        <v>12</v>
      </c>
      <c r="T1348" s="2" t="s">
        <v>520</v>
      </c>
      <c r="U1348" s="3">
        <v>0</v>
      </c>
      <c r="V1348" s="3">
        <v>0</v>
      </c>
      <c r="W1348" s="4" t="s">
        <v>16145</v>
      </c>
      <c r="X1348" s="4" t="s">
        <v>16145</v>
      </c>
      <c r="Y1348" s="4" t="s">
        <v>16146</v>
      </c>
      <c r="Z1348" s="4" t="s">
        <v>16146</v>
      </c>
      <c r="AA1348" s="3">
        <v>638</v>
      </c>
      <c r="AB1348" s="3">
        <v>591</v>
      </c>
      <c r="AC1348" s="3">
        <v>630</v>
      </c>
      <c r="AD1348" s="3">
        <v>4</v>
      </c>
      <c r="AE1348" s="3">
        <v>5</v>
      </c>
      <c r="AF1348" s="3">
        <v>11</v>
      </c>
      <c r="AG1348" s="3">
        <v>12</v>
      </c>
      <c r="AH1348" s="3">
        <v>3</v>
      </c>
      <c r="AI1348" s="3">
        <v>3</v>
      </c>
      <c r="AJ1348" s="3">
        <v>5</v>
      </c>
      <c r="AK1348" s="3">
        <v>5</v>
      </c>
      <c r="AL1348" s="3">
        <v>4</v>
      </c>
      <c r="AM1348" s="3">
        <v>4</v>
      </c>
      <c r="AN1348" s="3">
        <v>1</v>
      </c>
      <c r="AO1348" s="3">
        <v>2</v>
      </c>
      <c r="AP1348" s="3">
        <v>0</v>
      </c>
      <c r="AQ1348" s="3">
        <v>0</v>
      </c>
      <c r="AR1348" s="2" t="s">
        <v>5</v>
      </c>
      <c r="AS1348" s="2" t="s">
        <v>5</v>
      </c>
      <c r="AU1348" s="5" t="str">
        <f>HYPERLINK("https://creighton-primo.hosted.exlibrisgroup.com/primo-explore/search?tab=default_tab&amp;search_scope=EVERYTHING&amp;vid=01CRU&amp;lang=en_US&amp;offset=0&amp;query=any,contains,991000440979702656","Catalog Record")</f>
        <v>Catalog Record</v>
      </c>
      <c r="AV1348" s="5" t="str">
        <f>HYPERLINK("http://www.worldcat.org/oclc/54500857","WorldCat Record")</f>
        <v>WorldCat Record</v>
      </c>
      <c r="AW1348" s="2" t="s">
        <v>16147</v>
      </c>
      <c r="AX1348" s="2" t="s">
        <v>16148</v>
      </c>
      <c r="AY1348" s="2" t="s">
        <v>16149</v>
      </c>
      <c r="AZ1348" s="2" t="s">
        <v>16149</v>
      </c>
      <c r="BA1348" s="2" t="s">
        <v>16150</v>
      </c>
      <c r="BB1348" s="2" t="s">
        <v>21</v>
      </c>
      <c r="BD1348" s="2" t="s">
        <v>16151</v>
      </c>
      <c r="BE1348" s="2" t="s">
        <v>16152</v>
      </c>
      <c r="BF1348" s="2" t="s">
        <v>16153</v>
      </c>
    </row>
    <row r="1349" spans="1:58" ht="41.25" customHeight="1" x14ac:dyDescent="0.25">
      <c r="A1349" s="8" t="s">
        <v>5</v>
      </c>
      <c r="B1349" s="1" t="s">
        <v>0</v>
      </c>
      <c r="C1349" s="1" t="s">
        <v>1</v>
      </c>
      <c r="D1349" s="1" t="s">
        <v>16154</v>
      </c>
      <c r="E1349" s="1" t="s">
        <v>16155</v>
      </c>
      <c r="F1349" s="1" t="s">
        <v>16156</v>
      </c>
      <c r="H1349" s="2" t="s">
        <v>5</v>
      </c>
      <c r="I1349" s="2" t="s">
        <v>6</v>
      </c>
      <c r="J1349" s="2" t="s">
        <v>5</v>
      </c>
      <c r="K1349" s="2" t="s">
        <v>5</v>
      </c>
      <c r="L1349" s="2" t="s">
        <v>7</v>
      </c>
      <c r="M1349" s="1" t="s">
        <v>16157</v>
      </c>
      <c r="N1349" s="1" t="s">
        <v>9906</v>
      </c>
      <c r="O1349" s="2" t="s">
        <v>228</v>
      </c>
      <c r="Q1349" s="2" t="s">
        <v>11</v>
      </c>
      <c r="R1349" s="2" t="s">
        <v>426</v>
      </c>
      <c r="T1349" s="2" t="s">
        <v>520</v>
      </c>
      <c r="U1349" s="3">
        <v>6</v>
      </c>
      <c r="V1349" s="3">
        <v>6</v>
      </c>
      <c r="W1349" s="4" t="s">
        <v>16158</v>
      </c>
      <c r="X1349" s="4" t="s">
        <v>16158</v>
      </c>
      <c r="Y1349" s="4" t="s">
        <v>16159</v>
      </c>
      <c r="Z1349" s="4" t="s">
        <v>16159</v>
      </c>
      <c r="AA1349" s="3">
        <v>94</v>
      </c>
      <c r="AB1349" s="3">
        <v>83</v>
      </c>
      <c r="AC1349" s="3">
        <v>85</v>
      </c>
      <c r="AD1349" s="3">
        <v>1</v>
      </c>
      <c r="AE1349" s="3">
        <v>1</v>
      </c>
      <c r="AF1349" s="3">
        <v>1</v>
      </c>
      <c r="AG1349" s="3">
        <v>1</v>
      </c>
      <c r="AH1349" s="3">
        <v>0</v>
      </c>
      <c r="AI1349" s="3">
        <v>0</v>
      </c>
      <c r="AJ1349" s="3">
        <v>0</v>
      </c>
      <c r="AK1349" s="3">
        <v>0</v>
      </c>
      <c r="AL1349" s="3">
        <v>1</v>
      </c>
      <c r="AM1349" s="3">
        <v>1</v>
      </c>
      <c r="AN1349" s="3">
        <v>0</v>
      </c>
      <c r="AO1349" s="3">
        <v>0</v>
      </c>
      <c r="AP1349" s="3">
        <v>0</v>
      </c>
      <c r="AQ1349" s="3">
        <v>0</v>
      </c>
      <c r="AR1349" s="2" t="s">
        <v>5</v>
      </c>
      <c r="AS1349" s="2" t="s">
        <v>16</v>
      </c>
      <c r="AT1349" s="5" t="str">
        <f>HYPERLINK("http://catalog.hathitrust.org/Record/000279680","HathiTrust Record")</f>
        <v>HathiTrust Record</v>
      </c>
      <c r="AU1349" s="5" t="str">
        <f>HYPERLINK("https://creighton-primo.hosted.exlibrisgroup.com/primo-explore/search?tab=default_tab&amp;search_scope=EVERYTHING&amp;vid=01CRU&amp;lang=en_US&amp;offset=0&amp;query=any,contains,991000735139702656","Catalog Record")</f>
        <v>Catalog Record</v>
      </c>
      <c r="AV1349" s="5" t="str">
        <f>HYPERLINK("http://www.worldcat.org/oclc/7875415","WorldCat Record")</f>
        <v>WorldCat Record</v>
      </c>
      <c r="AW1349" s="2" t="s">
        <v>16160</v>
      </c>
      <c r="AX1349" s="2" t="s">
        <v>16161</v>
      </c>
      <c r="AY1349" s="2" t="s">
        <v>16162</v>
      </c>
      <c r="AZ1349" s="2" t="s">
        <v>16162</v>
      </c>
      <c r="BA1349" s="2" t="s">
        <v>16163</v>
      </c>
      <c r="BB1349" s="2" t="s">
        <v>21</v>
      </c>
      <c r="BD1349" s="2" t="s">
        <v>16164</v>
      </c>
      <c r="BE1349" s="2" t="s">
        <v>16165</v>
      </c>
      <c r="BF1349" s="2" t="s">
        <v>16166</v>
      </c>
    </row>
    <row r="1350" spans="1:58" ht="41.25" customHeight="1" x14ac:dyDescent="0.25">
      <c r="A1350" s="8" t="s">
        <v>5</v>
      </c>
      <c r="B1350" s="1" t="s">
        <v>0</v>
      </c>
      <c r="C1350" s="1" t="s">
        <v>1</v>
      </c>
      <c r="D1350" s="1" t="s">
        <v>16167</v>
      </c>
      <c r="E1350" s="1" t="s">
        <v>16168</v>
      </c>
      <c r="F1350" s="1" t="s">
        <v>16169</v>
      </c>
      <c r="H1350" s="2" t="s">
        <v>5</v>
      </c>
      <c r="I1350" s="2" t="s">
        <v>6</v>
      </c>
      <c r="J1350" s="2" t="s">
        <v>5</v>
      </c>
      <c r="K1350" s="2" t="s">
        <v>16</v>
      </c>
      <c r="L1350" s="2" t="s">
        <v>7</v>
      </c>
      <c r="N1350" s="1" t="s">
        <v>16170</v>
      </c>
      <c r="O1350" s="2" t="s">
        <v>1046</v>
      </c>
      <c r="P1350" s="1" t="s">
        <v>771</v>
      </c>
      <c r="Q1350" s="2" t="s">
        <v>11</v>
      </c>
      <c r="R1350" s="2" t="s">
        <v>78</v>
      </c>
      <c r="T1350" s="2" t="s">
        <v>520</v>
      </c>
      <c r="U1350" s="3">
        <v>1</v>
      </c>
      <c r="V1350" s="3">
        <v>1</v>
      </c>
      <c r="W1350" s="4" t="s">
        <v>9038</v>
      </c>
      <c r="X1350" s="4" t="s">
        <v>9038</v>
      </c>
      <c r="Y1350" s="4" t="s">
        <v>16171</v>
      </c>
      <c r="Z1350" s="4" t="s">
        <v>16171</v>
      </c>
      <c r="AA1350" s="3">
        <v>183</v>
      </c>
      <c r="AB1350" s="3">
        <v>133</v>
      </c>
      <c r="AC1350" s="3">
        <v>729</v>
      </c>
      <c r="AD1350" s="3">
        <v>1</v>
      </c>
      <c r="AE1350" s="3">
        <v>4</v>
      </c>
      <c r="AF1350" s="3">
        <v>3</v>
      </c>
      <c r="AG1350" s="3">
        <v>14</v>
      </c>
      <c r="AH1350" s="3">
        <v>1</v>
      </c>
      <c r="AI1350" s="3">
        <v>3</v>
      </c>
      <c r="AJ1350" s="3">
        <v>0</v>
      </c>
      <c r="AK1350" s="3">
        <v>4</v>
      </c>
      <c r="AL1350" s="3">
        <v>2</v>
      </c>
      <c r="AM1350" s="3">
        <v>8</v>
      </c>
      <c r="AN1350" s="3">
        <v>0</v>
      </c>
      <c r="AO1350" s="3">
        <v>2</v>
      </c>
      <c r="AP1350" s="3">
        <v>0</v>
      </c>
      <c r="AQ1350" s="3">
        <v>0</v>
      </c>
      <c r="AR1350" s="2" t="s">
        <v>5</v>
      </c>
      <c r="AS1350" s="2" t="s">
        <v>16</v>
      </c>
      <c r="AT1350" s="5" t="str">
        <f>HYPERLINK("http://catalog.hathitrust.org/Record/003800438","HathiTrust Record")</f>
        <v>HathiTrust Record</v>
      </c>
      <c r="AU1350" s="5" t="str">
        <f>HYPERLINK("https://creighton-primo.hosted.exlibrisgroup.com/primo-explore/search?tab=default_tab&amp;search_scope=EVERYTHING&amp;vid=01CRU&amp;lang=en_US&amp;offset=0&amp;query=any,contains,991000349399702656","Catalog Record")</f>
        <v>Catalog Record</v>
      </c>
      <c r="AV1350" s="5" t="str">
        <f>HYPERLINK("http://www.worldcat.org/oclc/49712784","WorldCat Record")</f>
        <v>WorldCat Record</v>
      </c>
      <c r="AW1350" s="2" t="s">
        <v>16172</v>
      </c>
      <c r="AX1350" s="2" t="s">
        <v>16173</v>
      </c>
      <c r="AY1350" s="2" t="s">
        <v>16174</v>
      </c>
      <c r="AZ1350" s="2" t="s">
        <v>16174</v>
      </c>
      <c r="BA1350" s="2" t="s">
        <v>16175</v>
      </c>
      <c r="BB1350" s="2" t="s">
        <v>21</v>
      </c>
      <c r="BD1350" s="2" t="s">
        <v>16176</v>
      </c>
      <c r="BE1350" s="2" t="s">
        <v>16177</v>
      </c>
      <c r="BF1350" s="2" t="s">
        <v>16178</v>
      </c>
    </row>
    <row r="1351" spans="1:58" ht="41.25" customHeight="1" x14ac:dyDescent="0.25">
      <c r="A1351" s="8" t="s">
        <v>5</v>
      </c>
      <c r="B1351" s="1" t="s">
        <v>0</v>
      </c>
      <c r="C1351" s="1" t="s">
        <v>1</v>
      </c>
      <c r="D1351" s="1" t="s">
        <v>16179</v>
      </c>
      <c r="E1351" s="1" t="s">
        <v>16180</v>
      </c>
      <c r="F1351" s="1" t="s">
        <v>16181</v>
      </c>
      <c r="H1351" s="2" t="s">
        <v>5</v>
      </c>
      <c r="I1351" s="2" t="s">
        <v>6</v>
      </c>
      <c r="J1351" s="2" t="s">
        <v>5</v>
      </c>
      <c r="K1351" s="2" t="s">
        <v>16</v>
      </c>
      <c r="L1351" s="2" t="s">
        <v>7</v>
      </c>
      <c r="M1351" s="1" t="s">
        <v>12598</v>
      </c>
      <c r="N1351" s="1" t="s">
        <v>11279</v>
      </c>
      <c r="O1351" s="2" t="s">
        <v>3465</v>
      </c>
      <c r="P1351" s="1" t="s">
        <v>1652</v>
      </c>
      <c r="Q1351" s="2" t="s">
        <v>11</v>
      </c>
      <c r="R1351" s="2" t="s">
        <v>78</v>
      </c>
      <c r="T1351" s="2" t="s">
        <v>520</v>
      </c>
      <c r="U1351" s="3">
        <v>6</v>
      </c>
      <c r="V1351" s="3">
        <v>6</v>
      </c>
      <c r="W1351" s="4" t="s">
        <v>16182</v>
      </c>
      <c r="X1351" s="4" t="s">
        <v>16182</v>
      </c>
      <c r="Y1351" s="4" t="s">
        <v>9049</v>
      </c>
      <c r="Z1351" s="4" t="s">
        <v>9049</v>
      </c>
      <c r="AA1351" s="3">
        <v>211</v>
      </c>
      <c r="AB1351" s="3">
        <v>160</v>
      </c>
      <c r="AC1351" s="3">
        <v>729</v>
      </c>
      <c r="AD1351" s="3">
        <v>1</v>
      </c>
      <c r="AE1351" s="3">
        <v>4</v>
      </c>
      <c r="AF1351" s="3">
        <v>2</v>
      </c>
      <c r="AG1351" s="3">
        <v>14</v>
      </c>
      <c r="AH1351" s="3">
        <v>0</v>
      </c>
      <c r="AI1351" s="3">
        <v>3</v>
      </c>
      <c r="AJ1351" s="3">
        <v>1</v>
      </c>
      <c r="AK1351" s="3">
        <v>4</v>
      </c>
      <c r="AL1351" s="3">
        <v>2</v>
      </c>
      <c r="AM1351" s="3">
        <v>8</v>
      </c>
      <c r="AN1351" s="3">
        <v>0</v>
      </c>
      <c r="AO1351" s="3">
        <v>2</v>
      </c>
      <c r="AP1351" s="3">
        <v>0</v>
      </c>
      <c r="AQ1351" s="3">
        <v>0</v>
      </c>
      <c r="AR1351" s="2" t="s">
        <v>5</v>
      </c>
      <c r="AS1351" s="2" t="s">
        <v>5</v>
      </c>
      <c r="AU1351" s="5" t="str">
        <f>HYPERLINK("https://creighton-primo.hosted.exlibrisgroup.com/primo-explore/search?tab=default_tab&amp;search_scope=EVERYTHING&amp;vid=01CRU&amp;lang=en_US&amp;offset=0&amp;query=any,contains,991001738229702656","Catalog Record")</f>
        <v>Catalog Record</v>
      </c>
      <c r="AV1351" s="5" t="str">
        <f>HYPERLINK("http://www.worldcat.org/oclc/61351658","WorldCat Record")</f>
        <v>WorldCat Record</v>
      </c>
      <c r="AW1351" s="2" t="s">
        <v>16172</v>
      </c>
      <c r="AX1351" s="2" t="s">
        <v>16183</v>
      </c>
      <c r="AY1351" s="2" t="s">
        <v>16184</v>
      </c>
      <c r="AZ1351" s="2" t="s">
        <v>16184</v>
      </c>
      <c r="BA1351" s="2" t="s">
        <v>16185</v>
      </c>
      <c r="BB1351" s="2" t="s">
        <v>21</v>
      </c>
      <c r="BD1351" s="2" t="s">
        <v>16186</v>
      </c>
      <c r="BE1351" s="2" t="s">
        <v>16187</v>
      </c>
      <c r="BF1351" s="2" t="s">
        <v>16188</v>
      </c>
    </row>
    <row r="1352" spans="1:58" ht="41.25" customHeight="1" x14ac:dyDescent="0.25">
      <c r="A1352" s="8" t="s">
        <v>5</v>
      </c>
      <c r="B1352" s="1" t="s">
        <v>0</v>
      </c>
      <c r="C1352" s="1" t="s">
        <v>1</v>
      </c>
      <c r="D1352" s="1" t="s">
        <v>16189</v>
      </c>
      <c r="E1352" s="1" t="s">
        <v>16190</v>
      </c>
      <c r="F1352" s="1" t="s">
        <v>16191</v>
      </c>
      <c r="H1352" s="2" t="s">
        <v>5</v>
      </c>
      <c r="I1352" s="2" t="s">
        <v>6</v>
      </c>
      <c r="J1352" s="2" t="s">
        <v>5</v>
      </c>
      <c r="K1352" s="2" t="s">
        <v>5</v>
      </c>
      <c r="L1352" s="2" t="s">
        <v>7</v>
      </c>
      <c r="N1352" s="1" t="s">
        <v>10592</v>
      </c>
      <c r="O1352" s="2" t="s">
        <v>354</v>
      </c>
      <c r="Q1352" s="2" t="s">
        <v>11</v>
      </c>
      <c r="R1352" s="2" t="s">
        <v>426</v>
      </c>
      <c r="S1352" s="1" t="s">
        <v>10593</v>
      </c>
      <c r="T1352" s="2" t="s">
        <v>520</v>
      </c>
      <c r="U1352" s="3">
        <v>4</v>
      </c>
      <c r="V1352" s="3">
        <v>4</v>
      </c>
      <c r="W1352" s="4" t="s">
        <v>10845</v>
      </c>
      <c r="X1352" s="4" t="s">
        <v>10845</v>
      </c>
      <c r="Y1352" s="4" t="s">
        <v>197</v>
      </c>
      <c r="Z1352" s="4" t="s">
        <v>197</v>
      </c>
      <c r="AA1352" s="3">
        <v>225</v>
      </c>
      <c r="AB1352" s="3">
        <v>206</v>
      </c>
      <c r="AC1352" s="3">
        <v>253</v>
      </c>
      <c r="AD1352" s="3">
        <v>1</v>
      </c>
      <c r="AE1352" s="3">
        <v>1</v>
      </c>
      <c r="AF1352" s="3">
        <v>4</v>
      </c>
      <c r="AG1352" s="3">
        <v>5</v>
      </c>
      <c r="AH1352" s="3">
        <v>2</v>
      </c>
      <c r="AI1352" s="3">
        <v>3</v>
      </c>
      <c r="AJ1352" s="3">
        <v>0</v>
      </c>
      <c r="AK1352" s="3">
        <v>0</v>
      </c>
      <c r="AL1352" s="3">
        <v>2</v>
      </c>
      <c r="AM1352" s="3">
        <v>3</v>
      </c>
      <c r="AN1352" s="3">
        <v>0</v>
      </c>
      <c r="AO1352" s="3">
        <v>0</v>
      </c>
      <c r="AP1352" s="3">
        <v>0</v>
      </c>
      <c r="AQ1352" s="3">
        <v>0</v>
      </c>
      <c r="AR1352" s="2" t="s">
        <v>5</v>
      </c>
      <c r="AS1352" s="2" t="s">
        <v>16</v>
      </c>
      <c r="AT1352" s="5" t="str">
        <f>HYPERLINK("http://catalog.hathitrust.org/Record/000331715","HathiTrust Record")</f>
        <v>HathiTrust Record</v>
      </c>
      <c r="AU1352" s="5" t="str">
        <f>HYPERLINK("https://creighton-primo.hosted.exlibrisgroup.com/primo-explore/search?tab=default_tab&amp;search_scope=EVERYTHING&amp;vid=01CRU&amp;lang=en_US&amp;offset=0&amp;query=any,contains,991001086029702656","Catalog Record")</f>
        <v>Catalog Record</v>
      </c>
      <c r="AV1352" s="5" t="str">
        <f>HYPERLINK("http://www.worldcat.org/oclc/6666623","WorldCat Record")</f>
        <v>WorldCat Record</v>
      </c>
      <c r="AW1352" s="2" t="s">
        <v>16192</v>
      </c>
      <c r="AX1352" s="2" t="s">
        <v>16193</v>
      </c>
      <c r="AY1352" s="2" t="s">
        <v>16194</v>
      </c>
      <c r="AZ1352" s="2" t="s">
        <v>16194</v>
      </c>
      <c r="BA1352" s="2" t="s">
        <v>16195</v>
      </c>
      <c r="BB1352" s="2" t="s">
        <v>21</v>
      </c>
      <c r="BD1352" s="2" t="s">
        <v>16196</v>
      </c>
      <c r="BE1352" s="2" t="s">
        <v>16197</v>
      </c>
      <c r="BF1352" s="2" t="s">
        <v>16198</v>
      </c>
    </row>
    <row r="1353" spans="1:58" ht="41.25" customHeight="1" x14ac:dyDescent="0.25">
      <c r="A1353" s="8" t="s">
        <v>5</v>
      </c>
      <c r="B1353" s="1" t="s">
        <v>0</v>
      </c>
      <c r="C1353" s="1" t="s">
        <v>1</v>
      </c>
      <c r="D1353" s="1" t="s">
        <v>16199</v>
      </c>
      <c r="E1353" s="1" t="s">
        <v>16200</v>
      </c>
      <c r="F1353" s="1" t="s">
        <v>16201</v>
      </c>
      <c r="H1353" s="2" t="s">
        <v>5</v>
      </c>
      <c r="I1353" s="2" t="s">
        <v>6</v>
      </c>
      <c r="J1353" s="2" t="s">
        <v>5</v>
      </c>
      <c r="K1353" s="2" t="s">
        <v>5</v>
      </c>
      <c r="L1353" s="2" t="s">
        <v>7</v>
      </c>
      <c r="N1353" s="1" t="s">
        <v>16202</v>
      </c>
      <c r="O1353" s="2" t="s">
        <v>1378</v>
      </c>
      <c r="Q1353" s="2" t="s">
        <v>11</v>
      </c>
      <c r="R1353" s="2" t="s">
        <v>12</v>
      </c>
      <c r="T1353" s="2" t="s">
        <v>520</v>
      </c>
      <c r="U1353" s="3">
        <v>3</v>
      </c>
      <c r="V1353" s="3">
        <v>3</v>
      </c>
      <c r="W1353" s="4" t="s">
        <v>16203</v>
      </c>
      <c r="X1353" s="4" t="s">
        <v>16203</v>
      </c>
      <c r="Y1353" s="4" t="s">
        <v>5219</v>
      </c>
      <c r="Z1353" s="4" t="s">
        <v>5219</v>
      </c>
      <c r="AA1353" s="3">
        <v>293</v>
      </c>
      <c r="AB1353" s="3">
        <v>221</v>
      </c>
      <c r="AC1353" s="3">
        <v>228</v>
      </c>
      <c r="AD1353" s="3">
        <v>1</v>
      </c>
      <c r="AE1353" s="3">
        <v>1</v>
      </c>
      <c r="AF1353" s="3">
        <v>8</v>
      </c>
      <c r="AG1353" s="3">
        <v>8</v>
      </c>
      <c r="AH1353" s="3">
        <v>3</v>
      </c>
      <c r="AI1353" s="3">
        <v>3</v>
      </c>
      <c r="AJ1353" s="3">
        <v>2</v>
      </c>
      <c r="AK1353" s="3">
        <v>2</v>
      </c>
      <c r="AL1353" s="3">
        <v>5</v>
      </c>
      <c r="AM1353" s="3">
        <v>5</v>
      </c>
      <c r="AN1353" s="3">
        <v>0</v>
      </c>
      <c r="AO1353" s="3">
        <v>0</v>
      </c>
      <c r="AP1353" s="3">
        <v>0</v>
      </c>
      <c r="AQ1353" s="3">
        <v>0</v>
      </c>
      <c r="AR1353" s="2" t="s">
        <v>5</v>
      </c>
      <c r="AS1353" s="2" t="s">
        <v>16</v>
      </c>
      <c r="AT1353" s="5" t="str">
        <f>HYPERLINK("http://catalog.hathitrust.org/Record/003245214","HathiTrust Record")</f>
        <v>HathiTrust Record</v>
      </c>
      <c r="AU1353" s="5" t="str">
        <f>HYPERLINK("https://creighton-primo.hosted.exlibrisgroup.com/primo-explore/search?tab=default_tab&amp;search_scope=EVERYTHING&amp;vid=01CRU&amp;lang=en_US&amp;offset=0&amp;query=any,contains,991001572979702656","Catalog Record")</f>
        <v>Catalog Record</v>
      </c>
      <c r="AV1353" s="5" t="str">
        <f>HYPERLINK("http://www.worldcat.org/oclc/38236234","WorldCat Record")</f>
        <v>WorldCat Record</v>
      </c>
      <c r="AW1353" s="2" t="s">
        <v>16204</v>
      </c>
      <c r="AX1353" s="2" t="s">
        <v>16205</v>
      </c>
      <c r="AY1353" s="2" t="s">
        <v>16206</v>
      </c>
      <c r="AZ1353" s="2" t="s">
        <v>16206</v>
      </c>
      <c r="BA1353" s="2" t="s">
        <v>16207</v>
      </c>
      <c r="BB1353" s="2" t="s">
        <v>21</v>
      </c>
      <c r="BD1353" s="2" t="s">
        <v>16208</v>
      </c>
      <c r="BE1353" s="2" t="s">
        <v>16209</v>
      </c>
      <c r="BF1353" s="2" t="s">
        <v>16210</v>
      </c>
    </row>
    <row r="1354" spans="1:58" ht="41.25" customHeight="1" x14ac:dyDescent="0.25">
      <c r="A1354" s="8" t="s">
        <v>5</v>
      </c>
      <c r="B1354" s="1" t="s">
        <v>0</v>
      </c>
      <c r="C1354" s="1" t="s">
        <v>1</v>
      </c>
      <c r="D1354" s="1" t="s">
        <v>16211</v>
      </c>
      <c r="E1354" s="1" t="s">
        <v>16212</v>
      </c>
      <c r="F1354" s="1" t="s">
        <v>16213</v>
      </c>
      <c r="H1354" s="2" t="s">
        <v>5</v>
      </c>
      <c r="I1354" s="2" t="s">
        <v>6</v>
      </c>
      <c r="J1354" s="2" t="s">
        <v>5</v>
      </c>
      <c r="K1354" s="2" t="s">
        <v>5</v>
      </c>
      <c r="L1354" s="2" t="s">
        <v>7</v>
      </c>
      <c r="N1354" s="1" t="s">
        <v>8637</v>
      </c>
      <c r="O1354" s="2" t="s">
        <v>393</v>
      </c>
      <c r="Q1354" s="2" t="s">
        <v>11</v>
      </c>
      <c r="R1354" s="2" t="s">
        <v>31</v>
      </c>
      <c r="T1354" s="2" t="s">
        <v>520</v>
      </c>
      <c r="U1354" s="3">
        <v>6</v>
      </c>
      <c r="V1354" s="3">
        <v>6</v>
      </c>
      <c r="W1354" s="4" t="s">
        <v>10458</v>
      </c>
      <c r="X1354" s="4" t="s">
        <v>10458</v>
      </c>
      <c r="Y1354" s="4" t="s">
        <v>197</v>
      </c>
      <c r="Z1354" s="4" t="s">
        <v>197</v>
      </c>
      <c r="AA1354" s="3">
        <v>199</v>
      </c>
      <c r="AB1354" s="3">
        <v>168</v>
      </c>
      <c r="AC1354" s="3">
        <v>168</v>
      </c>
      <c r="AD1354" s="3">
        <v>1</v>
      </c>
      <c r="AE1354" s="3">
        <v>1</v>
      </c>
      <c r="AF1354" s="3">
        <v>4</v>
      </c>
      <c r="AG1354" s="3">
        <v>4</v>
      </c>
      <c r="AH1354" s="3">
        <v>1</v>
      </c>
      <c r="AI1354" s="3">
        <v>1</v>
      </c>
      <c r="AJ1354" s="3">
        <v>1</v>
      </c>
      <c r="AK1354" s="3">
        <v>1</v>
      </c>
      <c r="AL1354" s="3">
        <v>3</v>
      </c>
      <c r="AM1354" s="3">
        <v>3</v>
      </c>
      <c r="AN1354" s="3">
        <v>0</v>
      </c>
      <c r="AO1354" s="3">
        <v>0</v>
      </c>
      <c r="AP1354" s="3">
        <v>0</v>
      </c>
      <c r="AQ1354" s="3">
        <v>0</v>
      </c>
      <c r="AR1354" s="2" t="s">
        <v>5</v>
      </c>
      <c r="AS1354" s="2" t="s">
        <v>5</v>
      </c>
      <c r="AU1354" s="5" t="str">
        <f>HYPERLINK("https://creighton-primo.hosted.exlibrisgroup.com/primo-explore/search?tab=default_tab&amp;search_scope=EVERYTHING&amp;vid=01CRU&amp;lang=en_US&amp;offset=0&amp;query=any,contains,991001086209702656","Catalog Record")</f>
        <v>Catalog Record</v>
      </c>
      <c r="AV1354" s="5" t="str">
        <f>HYPERLINK("http://www.worldcat.org/oclc/7178838","WorldCat Record")</f>
        <v>WorldCat Record</v>
      </c>
      <c r="AW1354" s="2" t="s">
        <v>16214</v>
      </c>
      <c r="AX1354" s="2" t="s">
        <v>16215</v>
      </c>
      <c r="AY1354" s="2" t="s">
        <v>16216</v>
      </c>
      <c r="AZ1354" s="2" t="s">
        <v>16216</v>
      </c>
      <c r="BA1354" s="2" t="s">
        <v>16217</v>
      </c>
      <c r="BB1354" s="2" t="s">
        <v>21</v>
      </c>
      <c r="BD1354" s="2" t="s">
        <v>16218</v>
      </c>
      <c r="BE1354" s="2" t="s">
        <v>16219</v>
      </c>
      <c r="BF1354" s="2" t="s">
        <v>16220</v>
      </c>
    </row>
    <row r="1355" spans="1:58" ht="41.25" customHeight="1" x14ac:dyDescent="0.25">
      <c r="A1355" s="8" t="s">
        <v>5</v>
      </c>
      <c r="B1355" s="1" t="s">
        <v>0</v>
      </c>
      <c r="C1355" s="1" t="s">
        <v>1</v>
      </c>
      <c r="D1355" s="1" t="s">
        <v>16221</v>
      </c>
      <c r="E1355" s="1" t="s">
        <v>16222</v>
      </c>
      <c r="F1355" s="1" t="s">
        <v>16223</v>
      </c>
      <c r="H1355" s="2" t="s">
        <v>5</v>
      </c>
      <c r="I1355" s="2" t="s">
        <v>6</v>
      </c>
      <c r="J1355" s="2" t="s">
        <v>5</v>
      </c>
      <c r="K1355" s="2" t="s">
        <v>5</v>
      </c>
      <c r="L1355" s="2" t="s">
        <v>7</v>
      </c>
      <c r="N1355" s="1" t="s">
        <v>4042</v>
      </c>
      <c r="O1355" s="2" t="s">
        <v>939</v>
      </c>
      <c r="Q1355" s="2" t="s">
        <v>11</v>
      </c>
      <c r="R1355" s="2" t="s">
        <v>426</v>
      </c>
      <c r="S1355" s="1" t="s">
        <v>16224</v>
      </c>
      <c r="T1355" s="2" t="s">
        <v>520</v>
      </c>
      <c r="U1355" s="3">
        <v>7</v>
      </c>
      <c r="V1355" s="3">
        <v>7</v>
      </c>
      <c r="W1355" s="4" t="s">
        <v>16225</v>
      </c>
      <c r="X1355" s="4" t="s">
        <v>16225</v>
      </c>
      <c r="Y1355" s="4" t="s">
        <v>1811</v>
      </c>
      <c r="Z1355" s="4" t="s">
        <v>1811</v>
      </c>
      <c r="AA1355" s="3">
        <v>182</v>
      </c>
      <c r="AB1355" s="3">
        <v>161</v>
      </c>
      <c r="AC1355" s="3">
        <v>161</v>
      </c>
      <c r="AD1355" s="3">
        <v>2</v>
      </c>
      <c r="AE1355" s="3">
        <v>2</v>
      </c>
      <c r="AF1355" s="3">
        <v>10</v>
      </c>
      <c r="AG1355" s="3">
        <v>10</v>
      </c>
      <c r="AH1355" s="3">
        <v>3</v>
      </c>
      <c r="AI1355" s="3">
        <v>3</v>
      </c>
      <c r="AJ1355" s="3">
        <v>3</v>
      </c>
      <c r="AK1355" s="3">
        <v>3</v>
      </c>
      <c r="AL1355" s="3">
        <v>6</v>
      </c>
      <c r="AM1355" s="3">
        <v>6</v>
      </c>
      <c r="AN1355" s="3">
        <v>0</v>
      </c>
      <c r="AO1355" s="3">
        <v>0</v>
      </c>
      <c r="AP1355" s="3">
        <v>0</v>
      </c>
      <c r="AQ1355" s="3">
        <v>0</v>
      </c>
      <c r="AR1355" s="2" t="s">
        <v>5</v>
      </c>
      <c r="AS1355" s="2" t="s">
        <v>5</v>
      </c>
      <c r="AU1355" s="5" t="str">
        <f>HYPERLINK("https://creighton-primo.hosted.exlibrisgroup.com/primo-explore/search?tab=default_tab&amp;search_scope=EVERYTHING&amp;vid=01CRU&amp;lang=en_US&amp;offset=0&amp;query=any,contains,991001114639702656","Catalog Record")</f>
        <v>Catalog Record</v>
      </c>
      <c r="AV1355" s="5" t="str">
        <f>HYPERLINK("http://www.worldcat.org/oclc/20491756","WorldCat Record")</f>
        <v>WorldCat Record</v>
      </c>
      <c r="AW1355" s="2" t="s">
        <v>16226</v>
      </c>
      <c r="AX1355" s="2" t="s">
        <v>16227</v>
      </c>
      <c r="AY1355" s="2" t="s">
        <v>16228</v>
      </c>
      <c r="AZ1355" s="2" t="s">
        <v>16228</v>
      </c>
      <c r="BA1355" s="2" t="s">
        <v>16229</v>
      </c>
      <c r="BB1355" s="2" t="s">
        <v>21</v>
      </c>
      <c r="BD1355" s="2" t="s">
        <v>16230</v>
      </c>
      <c r="BE1355" s="2" t="s">
        <v>16231</v>
      </c>
      <c r="BF1355" s="2" t="s">
        <v>16232</v>
      </c>
    </row>
    <row r="1356" spans="1:58" ht="41.25" customHeight="1" x14ac:dyDescent="0.25">
      <c r="A1356" s="8" t="s">
        <v>5</v>
      </c>
      <c r="B1356" s="1" t="s">
        <v>0</v>
      </c>
      <c r="C1356" s="1" t="s">
        <v>1</v>
      </c>
      <c r="D1356" s="1" t="s">
        <v>16233</v>
      </c>
      <c r="E1356" s="1" t="s">
        <v>16234</v>
      </c>
      <c r="F1356" s="1" t="s">
        <v>16235</v>
      </c>
      <c r="H1356" s="2" t="s">
        <v>5</v>
      </c>
      <c r="I1356" s="2" t="s">
        <v>6</v>
      </c>
      <c r="J1356" s="2" t="s">
        <v>5</v>
      </c>
      <c r="K1356" s="2" t="s">
        <v>5</v>
      </c>
      <c r="L1356" s="2" t="s">
        <v>7</v>
      </c>
      <c r="M1356" s="1" t="s">
        <v>16236</v>
      </c>
      <c r="N1356" s="1" t="s">
        <v>5941</v>
      </c>
      <c r="O1356" s="2" t="s">
        <v>1378</v>
      </c>
      <c r="Q1356" s="2" t="s">
        <v>11</v>
      </c>
      <c r="R1356" s="2" t="s">
        <v>1019</v>
      </c>
      <c r="T1356" s="2" t="s">
        <v>520</v>
      </c>
      <c r="U1356" s="3">
        <v>1</v>
      </c>
      <c r="V1356" s="3">
        <v>1</v>
      </c>
      <c r="W1356" s="4" t="s">
        <v>5032</v>
      </c>
      <c r="X1356" s="4" t="s">
        <v>5032</v>
      </c>
      <c r="Y1356" s="4" t="s">
        <v>5032</v>
      </c>
      <c r="Z1356" s="4" t="s">
        <v>5032</v>
      </c>
      <c r="AA1356" s="3">
        <v>271</v>
      </c>
      <c r="AB1356" s="3">
        <v>213</v>
      </c>
      <c r="AC1356" s="3">
        <v>220</v>
      </c>
      <c r="AD1356" s="3">
        <v>1</v>
      </c>
      <c r="AE1356" s="3">
        <v>1</v>
      </c>
      <c r="AF1356" s="3">
        <v>12</v>
      </c>
      <c r="AG1356" s="3">
        <v>12</v>
      </c>
      <c r="AH1356" s="3">
        <v>6</v>
      </c>
      <c r="AI1356" s="3">
        <v>6</v>
      </c>
      <c r="AJ1356" s="3">
        <v>2</v>
      </c>
      <c r="AK1356" s="3">
        <v>2</v>
      </c>
      <c r="AL1356" s="3">
        <v>7</v>
      </c>
      <c r="AM1356" s="3">
        <v>7</v>
      </c>
      <c r="AN1356" s="3">
        <v>0</v>
      </c>
      <c r="AO1356" s="3">
        <v>0</v>
      </c>
      <c r="AP1356" s="3">
        <v>0</v>
      </c>
      <c r="AQ1356" s="3">
        <v>0</v>
      </c>
      <c r="AR1356" s="2" t="s">
        <v>5</v>
      </c>
      <c r="AS1356" s="2" t="s">
        <v>16</v>
      </c>
      <c r="AT1356" s="5" t="str">
        <f>HYPERLINK("http://catalog.hathitrust.org/Record/003981095","HathiTrust Record")</f>
        <v>HathiTrust Record</v>
      </c>
      <c r="AU1356" s="5" t="str">
        <f>HYPERLINK("https://creighton-primo.hosted.exlibrisgroup.com/primo-explore/search?tab=default_tab&amp;search_scope=EVERYTHING&amp;vid=01CRU&amp;lang=en_US&amp;offset=0&amp;query=any,contains,991000598309702656","Catalog Record")</f>
        <v>Catalog Record</v>
      </c>
      <c r="AV1356" s="5" t="str">
        <f>HYPERLINK("http://www.worldcat.org/oclc/37666367","WorldCat Record")</f>
        <v>WorldCat Record</v>
      </c>
      <c r="AW1356" s="2" t="s">
        <v>16237</v>
      </c>
      <c r="AX1356" s="2" t="s">
        <v>16238</v>
      </c>
      <c r="AY1356" s="2" t="s">
        <v>16239</v>
      </c>
      <c r="AZ1356" s="2" t="s">
        <v>16239</v>
      </c>
      <c r="BA1356" s="2" t="s">
        <v>16240</v>
      </c>
      <c r="BB1356" s="2" t="s">
        <v>21</v>
      </c>
      <c r="BD1356" s="2" t="s">
        <v>16241</v>
      </c>
      <c r="BE1356" s="2" t="s">
        <v>16242</v>
      </c>
      <c r="BF1356" s="2" t="s">
        <v>16243</v>
      </c>
    </row>
    <row r="1357" spans="1:58" ht="41.25" customHeight="1" x14ac:dyDescent="0.25">
      <c r="A1357" s="8" t="s">
        <v>5</v>
      </c>
      <c r="B1357" s="1" t="s">
        <v>0</v>
      </c>
      <c r="C1357" s="1" t="s">
        <v>1</v>
      </c>
      <c r="D1357" s="1" t="s">
        <v>16244</v>
      </c>
      <c r="E1357" s="1" t="s">
        <v>16245</v>
      </c>
      <c r="F1357" s="1" t="s">
        <v>16246</v>
      </c>
      <c r="H1357" s="2" t="s">
        <v>5</v>
      </c>
      <c r="I1357" s="2" t="s">
        <v>6</v>
      </c>
      <c r="J1357" s="2" t="s">
        <v>5</v>
      </c>
      <c r="K1357" s="2" t="s">
        <v>5</v>
      </c>
      <c r="L1357" s="2" t="s">
        <v>7</v>
      </c>
      <c r="M1357" s="1" t="s">
        <v>16247</v>
      </c>
      <c r="N1357" s="1" t="s">
        <v>2968</v>
      </c>
      <c r="O1357" s="2" t="s">
        <v>1339</v>
      </c>
      <c r="Q1357" s="2" t="s">
        <v>11</v>
      </c>
      <c r="R1357" s="2" t="s">
        <v>426</v>
      </c>
      <c r="T1357" s="2" t="s">
        <v>520</v>
      </c>
      <c r="U1357" s="3">
        <v>5</v>
      </c>
      <c r="V1357" s="3">
        <v>5</v>
      </c>
      <c r="W1357" s="4" t="s">
        <v>10458</v>
      </c>
      <c r="X1357" s="4" t="s">
        <v>10458</v>
      </c>
      <c r="Y1357" s="4" t="s">
        <v>197</v>
      </c>
      <c r="Z1357" s="4" t="s">
        <v>197</v>
      </c>
      <c r="AA1357" s="3">
        <v>236</v>
      </c>
      <c r="AB1357" s="3">
        <v>169</v>
      </c>
      <c r="AC1357" s="3">
        <v>171</v>
      </c>
      <c r="AD1357" s="3">
        <v>1</v>
      </c>
      <c r="AE1357" s="3">
        <v>1</v>
      </c>
      <c r="AF1357" s="3">
        <v>5</v>
      </c>
      <c r="AG1357" s="3">
        <v>5</v>
      </c>
      <c r="AH1357" s="3">
        <v>1</v>
      </c>
      <c r="AI1357" s="3">
        <v>1</v>
      </c>
      <c r="AJ1357" s="3">
        <v>1</v>
      </c>
      <c r="AK1357" s="3">
        <v>1</v>
      </c>
      <c r="AL1357" s="3">
        <v>4</v>
      </c>
      <c r="AM1357" s="3">
        <v>4</v>
      </c>
      <c r="AN1357" s="3">
        <v>0</v>
      </c>
      <c r="AO1357" s="3">
        <v>0</v>
      </c>
      <c r="AP1357" s="3">
        <v>0</v>
      </c>
      <c r="AQ1357" s="3">
        <v>0</v>
      </c>
      <c r="AR1357" s="2" t="s">
        <v>5</v>
      </c>
      <c r="AS1357" s="2" t="s">
        <v>16</v>
      </c>
      <c r="AT1357" s="5" t="str">
        <f>HYPERLINK("http://catalog.hathitrust.org/Record/000812324","HathiTrust Record")</f>
        <v>HathiTrust Record</v>
      </c>
      <c r="AU1357" s="5" t="str">
        <f>HYPERLINK("https://creighton-primo.hosted.exlibrisgroup.com/primo-explore/search?tab=default_tab&amp;search_scope=EVERYTHING&amp;vid=01CRU&amp;lang=en_US&amp;offset=0&amp;query=any,contains,991000587009702656","Catalog Record")</f>
        <v>Catalog Record</v>
      </c>
      <c r="AV1357" s="5" t="str">
        <f>HYPERLINK("http://www.worldcat.org/oclc/14692111","WorldCat Record")</f>
        <v>WorldCat Record</v>
      </c>
      <c r="AW1357" s="2" t="s">
        <v>16248</v>
      </c>
      <c r="AX1357" s="2" t="s">
        <v>16249</v>
      </c>
      <c r="AY1357" s="2" t="s">
        <v>16250</v>
      </c>
      <c r="AZ1357" s="2" t="s">
        <v>16250</v>
      </c>
      <c r="BA1357" s="2" t="s">
        <v>16251</v>
      </c>
      <c r="BB1357" s="2" t="s">
        <v>21</v>
      </c>
      <c r="BD1357" s="2" t="s">
        <v>16252</v>
      </c>
      <c r="BE1357" s="2" t="s">
        <v>16253</v>
      </c>
      <c r="BF1357" s="2" t="s">
        <v>16254</v>
      </c>
    </row>
    <row r="1358" spans="1:58" ht="41.25" customHeight="1" x14ac:dyDescent="0.25">
      <c r="A1358" s="8" t="s">
        <v>5</v>
      </c>
      <c r="B1358" s="1" t="s">
        <v>0</v>
      </c>
      <c r="C1358" s="1" t="s">
        <v>1</v>
      </c>
      <c r="D1358" s="1" t="s">
        <v>16255</v>
      </c>
      <c r="E1358" s="1" t="s">
        <v>16256</v>
      </c>
      <c r="F1358" s="1" t="s">
        <v>16257</v>
      </c>
      <c r="H1358" s="2" t="s">
        <v>5</v>
      </c>
      <c r="I1358" s="2" t="s">
        <v>6</v>
      </c>
      <c r="J1358" s="2" t="s">
        <v>5</v>
      </c>
      <c r="K1358" s="2" t="s">
        <v>5</v>
      </c>
      <c r="L1358" s="2" t="s">
        <v>7</v>
      </c>
      <c r="M1358" s="1" t="s">
        <v>16258</v>
      </c>
      <c r="N1358" s="1" t="s">
        <v>11747</v>
      </c>
      <c r="O1358" s="2" t="s">
        <v>210</v>
      </c>
      <c r="Q1358" s="2" t="s">
        <v>11</v>
      </c>
      <c r="R1358" s="2" t="s">
        <v>31</v>
      </c>
      <c r="T1358" s="2" t="s">
        <v>520</v>
      </c>
      <c r="U1358" s="3">
        <v>10</v>
      </c>
      <c r="V1358" s="3">
        <v>10</v>
      </c>
      <c r="W1358" s="4" t="s">
        <v>16259</v>
      </c>
      <c r="X1358" s="4" t="s">
        <v>16259</v>
      </c>
      <c r="Y1358" s="4" t="s">
        <v>1143</v>
      </c>
      <c r="Z1358" s="4" t="s">
        <v>1143</v>
      </c>
      <c r="AA1358" s="3">
        <v>383</v>
      </c>
      <c r="AB1358" s="3">
        <v>322</v>
      </c>
      <c r="AC1358" s="3">
        <v>324</v>
      </c>
      <c r="AD1358" s="3">
        <v>1</v>
      </c>
      <c r="AE1358" s="3">
        <v>1</v>
      </c>
      <c r="AF1358" s="3">
        <v>13</v>
      </c>
      <c r="AG1358" s="3">
        <v>13</v>
      </c>
      <c r="AH1358" s="3">
        <v>4</v>
      </c>
      <c r="AI1358" s="3">
        <v>4</v>
      </c>
      <c r="AJ1358" s="3">
        <v>4</v>
      </c>
      <c r="AK1358" s="3">
        <v>4</v>
      </c>
      <c r="AL1358" s="3">
        <v>9</v>
      </c>
      <c r="AM1358" s="3">
        <v>9</v>
      </c>
      <c r="AN1358" s="3">
        <v>0</v>
      </c>
      <c r="AO1358" s="3">
        <v>0</v>
      </c>
      <c r="AP1358" s="3">
        <v>0</v>
      </c>
      <c r="AQ1358" s="3">
        <v>0</v>
      </c>
      <c r="AR1358" s="2" t="s">
        <v>5</v>
      </c>
      <c r="AS1358" s="2" t="s">
        <v>16</v>
      </c>
      <c r="AT1358" s="5" t="str">
        <f>HYPERLINK("http://catalog.hathitrust.org/Record/002512949","HathiTrust Record")</f>
        <v>HathiTrust Record</v>
      </c>
      <c r="AU1358" s="5" t="str">
        <f>HYPERLINK("https://creighton-primo.hosted.exlibrisgroup.com/primo-explore/search?tab=default_tab&amp;search_scope=EVERYTHING&amp;vid=01CRU&amp;lang=en_US&amp;offset=0&amp;query=any,contains,991001472419702656","Catalog Record")</f>
        <v>Catalog Record</v>
      </c>
      <c r="AV1358" s="5" t="str">
        <f>HYPERLINK("http://www.worldcat.org/oclc/24545983","WorldCat Record")</f>
        <v>WorldCat Record</v>
      </c>
      <c r="AW1358" s="2" t="s">
        <v>16260</v>
      </c>
      <c r="AX1358" s="2" t="s">
        <v>16261</v>
      </c>
      <c r="AY1358" s="2" t="s">
        <v>16262</v>
      </c>
      <c r="AZ1358" s="2" t="s">
        <v>16262</v>
      </c>
      <c r="BA1358" s="2" t="s">
        <v>16263</v>
      </c>
      <c r="BB1358" s="2" t="s">
        <v>21</v>
      </c>
      <c r="BD1358" s="2" t="s">
        <v>16264</v>
      </c>
      <c r="BE1358" s="2" t="s">
        <v>16265</v>
      </c>
      <c r="BF1358" s="2" t="s">
        <v>16266</v>
      </c>
    </row>
    <row r="1359" spans="1:58" ht="41.25" customHeight="1" x14ac:dyDescent="0.25">
      <c r="A1359" s="8" t="s">
        <v>5</v>
      </c>
      <c r="B1359" s="1" t="s">
        <v>0</v>
      </c>
      <c r="C1359" s="1" t="s">
        <v>1</v>
      </c>
      <c r="D1359" s="1" t="s">
        <v>16267</v>
      </c>
      <c r="E1359" s="1" t="s">
        <v>16268</v>
      </c>
      <c r="F1359" s="1" t="s">
        <v>16269</v>
      </c>
      <c r="H1359" s="2" t="s">
        <v>5</v>
      </c>
      <c r="I1359" s="2" t="s">
        <v>6</v>
      </c>
      <c r="J1359" s="2" t="s">
        <v>5</v>
      </c>
      <c r="K1359" s="2" t="s">
        <v>5</v>
      </c>
      <c r="L1359" s="2" t="s">
        <v>7</v>
      </c>
      <c r="N1359" s="1" t="s">
        <v>3535</v>
      </c>
      <c r="O1359" s="2" t="s">
        <v>354</v>
      </c>
      <c r="P1359" s="1" t="s">
        <v>2397</v>
      </c>
      <c r="Q1359" s="2" t="s">
        <v>11</v>
      </c>
      <c r="R1359" s="2" t="s">
        <v>12</v>
      </c>
      <c r="T1359" s="2" t="s">
        <v>520</v>
      </c>
      <c r="U1359" s="3">
        <v>4</v>
      </c>
      <c r="V1359" s="3">
        <v>4</v>
      </c>
      <c r="W1359" s="4" t="s">
        <v>16270</v>
      </c>
      <c r="X1359" s="4" t="s">
        <v>16270</v>
      </c>
      <c r="Y1359" s="4" t="s">
        <v>14808</v>
      </c>
      <c r="Z1359" s="4" t="s">
        <v>14808</v>
      </c>
      <c r="AA1359" s="3">
        <v>319</v>
      </c>
      <c r="AB1359" s="3">
        <v>264</v>
      </c>
      <c r="AC1359" s="3">
        <v>432</v>
      </c>
      <c r="AD1359" s="3">
        <v>4</v>
      </c>
      <c r="AE1359" s="3">
        <v>4</v>
      </c>
      <c r="AF1359" s="3">
        <v>12</v>
      </c>
      <c r="AG1359" s="3">
        <v>17</v>
      </c>
      <c r="AH1359" s="3">
        <v>3</v>
      </c>
      <c r="AI1359" s="3">
        <v>4</v>
      </c>
      <c r="AJ1359" s="3">
        <v>2</v>
      </c>
      <c r="AK1359" s="3">
        <v>4</v>
      </c>
      <c r="AL1359" s="3">
        <v>7</v>
      </c>
      <c r="AM1359" s="3">
        <v>9</v>
      </c>
      <c r="AN1359" s="3">
        <v>3</v>
      </c>
      <c r="AO1359" s="3">
        <v>3</v>
      </c>
      <c r="AP1359" s="3">
        <v>0</v>
      </c>
      <c r="AQ1359" s="3">
        <v>0</v>
      </c>
      <c r="AR1359" s="2" t="s">
        <v>5</v>
      </c>
      <c r="AS1359" s="2" t="s">
        <v>16</v>
      </c>
      <c r="AT1359" s="5" t="str">
        <f>HYPERLINK("http://catalog.hathitrust.org/Record/000746706","HathiTrust Record")</f>
        <v>HathiTrust Record</v>
      </c>
      <c r="AU1359" s="5" t="str">
        <f>HYPERLINK("https://creighton-primo.hosted.exlibrisgroup.com/primo-explore/search?tab=default_tab&amp;search_scope=EVERYTHING&amp;vid=01CRU&amp;lang=en_US&amp;offset=0&amp;query=any,contains,991000734989702656","Catalog Record")</f>
        <v>Catalog Record</v>
      </c>
      <c r="AV1359" s="5" t="str">
        <f>HYPERLINK("http://www.worldcat.org/oclc/4933469","WorldCat Record")</f>
        <v>WorldCat Record</v>
      </c>
      <c r="AW1359" s="2" t="s">
        <v>16271</v>
      </c>
      <c r="AX1359" s="2" t="s">
        <v>16272</v>
      </c>
      <c r="AY1359" s="2" t="s">
        <v>16273</v>
      </c>
      <c r="AZ1359" s="2" t="s">
        <v>16273</v>
      </c>
      <c r="BA1359" s="2" t="s">
        <v>16274</v>
      </c>
      <c r="BB1359" s="2" t="s">
        <v>21</v>
      </c>
      <c r="BD1359" s="2" t="s">
        <v>16275</v>
      </c>
      <c r="BE1359" s="2" t="s">
        <v>16276</v>
      </c>
      <c r="BF1359" s="2" t="s">
        <v>16277</v>
      </c>
    </row>
    <row r="1360" spans="1:58" ht="41.25" customHeight="1" x14ac:dyDescent="0.25">
      <c r="A1360" s="8" t="s">
        <v>5</v>
      </c>
      <c r="B1360" s="1" t="s">
        <v>0</v>
      </c>
      <c r="C1360" s="1" t="s">
        <v>1</v>
      </c>
      <c r="D1360" s="1" t="s">
        <v>16278</v>
      </c>
      <c r="E1360" s="1" t="s">
        <v>16279</v>
      </c>
      <c r="F1360" s="1" t="s">
        <v>16280</v>
      </c>
      <c r="H1360" s="2" t="s">
        <v>5</v>
      </c>
      <c r="I1360" s="2" t="s">
        <v>6</v>
      </c>
      <c r="J1360" s="2" t="s">
        <v>5</v>
      </c>
      <c r="K1360" s="2" t="s">
        <v>5</v>
      </c>
      <c r="L1360" s="2" t="s">
        <v>7</v>
      </c>
      <c r="N1360" s="1" t="s">
        <v>16281</v>
      </c>
      <c r="O1360" s="2" t="s">
        <v>393</v>
      </c>
      <c r="Q1360" s="2" t="s">
        <v>11</v>
      </c>
      <c r="R1360" s="2" t="s">
        <v>3571</v>
      </c>
      <c r="S1360" s="1" t="s">
        <v>16282</v>
      </c>
      <c r="T1360" s="2" t="s">
        <v>520</v>
      </c>
      <c r="U1360" s="3">
        <v>3</v>
      </c>
      <c r="V1360" s="3">
        <v>3</v>
      </c>
      <c r="W1360" s="4" t="s">
        <v>16283</v>
      </c>
      <c r="X1360" s="4" t="s">
        <v>16283</v>
      </c>
      <c r="Y1360" s="4" t="s">
        <v>16284</v>
      </c>
      <c r="Z1360" s="4" t="s">
        <v>16284</v>
      </c>
      <c r="AA1360" s="3">
        <v>148</v>
      </c>
      <c r="AB1360" s="3">
        <v>80</v>
      </c>
      <c r="AC1360" s="3">
        <v>80</v>
      </c>
      <c r="AD1360" s="3">
        <v>1</v>
      </c>
      <c r="AE1360" s="3">
        <v>1</v>
      </c>
      <c r="AF1360" s="3">
        <v>1</v>
      </c>
      <c r="AG1360" s="3">
        <v>1</v>
      </c>
      <c r="AH1360" s="3">
        <v>0</v>
      </c>
      <c r="AI1360" s="3">
        <v>0</v>
      </c>
      <c r="AJ1360" s="3">
        <v>0</v>
      </c>
      <c r="AK1360" s="3">
        <v>0</v>
      </c>
      <c r="AL1360" s="3">
        <v>1</v>
      </c>
      <c r="AM1360" s="3">
        <v>1</v>
      </c>
      <c r="AN1360" s="3">
        <v>0</v>
      </c>
      <c r="AO1360" s="3">
        <v>0</v>
      </c>
      <c r="AP1360" s="3">
        <v>0</v>
      </c>
      <c r="AQ1360" s="3">
        <v>0</v>
      </c>
      <c r="AR1360" s="2" t="s">
        <v>5</v>
      </c>
      <c r="AS1360" s="2" t="s">
        <v>5</v>
      </c>
      <c r="AU1360" s="5" t="str">
        <f>HYPERLINK("https://creighton-primo.hosted.exlibrisgroup.com/primo-explore/search?tab=default_tab&amp;search_scope=EVERYTHING&amp;vid=01CRU&amp;lang=en_US&amp;offset=0&amp;query=any,contains,991000863879702656","Catalog Record")</f>
        <v>Catalog Record</v>
      </c>
      <c r="AV1360" s="5" t="str">
        <f>HYPERLINK("http://www.worldcat.org/oclc/7552268","WorldCat Record")</f>
        <v>WorldCat Record</v>
      </c>
      <c r="AW1360" s="2" t="s">
        <v>16285</v>
      </c>
      <c r="AX1360" s="2" t="s">
        <v>16286</v>
      </c>
      <c r="AY1360" s="2" t="s">
        <v>16287</v>
      </c>
      <c r="AZ1360" s="2" t="s">
        <v>16287</v>
      </c>
      <c r="BA1360" s="2" t="s">
        <v>16288</v>
      </c>
      <c r="BB1360" s="2" t="s">
        <v>21</v>
      </c>
      <c r="BD1360" s="2" t="s">
        <v>16289</v>
      </c>
      <c r="BE1360" s="2" t="s">
        <v>16290</v>
      </c>
      <c r="BF1360" s="2" t="s">
        <v>16291</v>
      </c>
    </row>
    <row r="1361" spans="1:58" ht="41.25" customHeight="1" x14ac:dyDescent="0.25">
      <c r="A1361" s="8" t="s">
        <v>5</v>
      </c>
      <c r="B1361" s="1" t="s">
        <v>0</v>
      </c>
      <c r="C1361" s="1" t="s">
        <v>1</v>
      </c>
      <c r="D1361" s="1" t="s">
        <v>16292</v>
      </c>
      <c r="E1361" s="1" t="s">
        <v>16293</v>
      </c>
      <c r="F1361" s="1" t="s">
        <v>16294</v>
      </c>
      <c r="H1361" s="2" t="s">
        <v>5</v>
      </c>
      <c r="I1361" s="2" t="s">
        <v>6</v>
      </c>
      <c r="J1361" s="2" t="s">
        <v>5</v>
      </c>
      <c r="K1361" s="2" t="s">
        <v>5</v>
      </c>
      <c r="L1361" s="2" t="s">
        <v>7</v>
      </c>
      <c r="N1361" s="1" t="s">
        <v>16295</v>
      </c>
      <c r="O1361" s="2" t="s">
        <v>2726</v>
      </c>
      <c r="P1361" s="1" t="s">
        <v>16296</v>
      </c>
      <c r="Q1361" s="2" t="s">
        <v>11</v>
      </c>
      <c r="R1361" s="2" t="s">
        <v>93</v>
      </c>
      <c r="T1361" s="2" t="s">
        <v>520</v>
      </c>
      <c r="U1361" s="3">
        <v>1</v>
      </c>
      <c r="V1361" s="3">
        <v>1</v>
      </c>
      <c r="W1361" s="4" t="s">
        <v>3969</v>
      </c>
      <c r="X1361" s="4" t="s">
        <v>3969</v>
      </c>
      <c r="Y1361" s="4" t="s">
        <v>3969</v>
      </c>
      <c r="Z1361" s="4" t="s">
        <v>3969</v>
      </c>
      <c r="AA1361" s="3">
        <v>39</v>
      </c>
      <c r="AB1361" s="3">
        <v>24</v>
      </c>
      <c r="AC1361" s="3">
        <v>24</v>
      </c>
      <c r="AD1361" s="3">
        <v>1</v>
      </c>
      <c r="AE1361" s="3">
        <v>1</v>
      </c>
      <c r="AF1361" s="3">
        <v>1</v>
      </c>
      <c r="AG1361" s="3">
        <v>1</v>
      </c>
      <c r="AH1361" s="3">
        <v>0</v>
      </c>
      <c r="AI1361" s="3">
        <v>0</v>
      </c>
      <c r="AJ1361" s="3">
        <v>0</v>
      </c>
      <c r="AK1361" s="3">
        <v>0</v>
      </c>
      <c r="AL1361" s="3">
        <v>1</v>
      </c>
      <c r="AM1361" s="3">
        <v>1</v>
      </c>
      <c r="AN1361" s="3">
        <v>0</v>
      </c>
      <c r="AO1361" s="3">
        <v>0</v>
      </c>
      <c r="AP1361" s="3">
        <v>0</v>
      </c>
      <c r="AQ1361" s="3">
        <v>0</v>
      </c>
      <c r="AR1361" s="2" t="s">
        <v>5</v>
      </c>
      <c r="AS1361" s="2" t="s">
        <v>5</v>
      </c>
      <c r="AU1361" s="5" t="str">
        <f>HYPERLINK("https://creighton-primo.hosted.exlibrisgroup.com/primo-explore/search?tab=default_tab&amp;search_scope=EVERYTHING&amp;vid=01CRU&amp;lang=en_US&amp;offset=0&amp;query=any,contains,991001339299702656","Catalog Record")</f>
        <v>Catalog Record</v>
      </c>
      <c r="AV1361" s="5" t="str">
        <f>HYPERLINK("http://www.worldcat.org/oclc/14427755","WorldCat Record")</f>
        <v>WorldCat Record</v>
      </c>
      <c r="AW1361" s="2" t="s">
        <v>16297</v>
      </c>
      <c r="AX1361" s="2" t="s">
        <v>16298</v>
      </c>
      <c r="AY1361" s="2" t="s">
        <v>16299</v>
      </c>
      <c r="AZ1361" s="2" t="s">
        <v>16299</v>
      </c>
      <c r="BA1361" s="2" t="s">
        <v>16300</v>
      </c>
      <c r="BB1361" s="2" t="s">
        <v>21</v>
      </c>
      <c r="BE1361" s="2" t="s">
        <v>16301</v>
      </c>
      <c r="BF1361" s="2" t="s">
        <v>16302</v>
      </c>
    </row>
    <row r="1362" spans="1:58" ht="41.25" customHeight="1" x14ac:dyDescent="0.25">
      <c r="A1362" s="8" t="s">
        <v>5</v>
      </c>
      <c r="B1362" s="1" t="s">
        <v>0</v>
      </c>
      <c r="C1362" s="1" t="s">
        <v>1</v>
      </c>
      <c r="D1362" s="1" t="s">
        <v>16303</v>
      </c>
      <c r="E1362" s="1" t="s">
        <v>16304</v>
      </c>
      <c r="F1362" s="1" t="s">
        <v>16305</v>
      </c>
      <c r="H1362" s="2" t="s">
        <v>5</v>
      </c>
      <c r="I1362" s="2" t="s">
        <v>6</v>
      </c>
      <c r="J1362" s="2" t="s">
        <v>5</v>
      </c>
      <c r="K1362" s="2" t="s">
        <v>5</v>
      </c>
      <c r="L1362" s="2" t="s">
        <v>7</v>
      </c>
      <c r="N1362" s="1" t="s">
        <v>16306</v>
      </c>
      <c r="O1362" s="2" t="s">
        <v>989</v>
      </c>
      <c r="Q1362" s="2" t="s">
        <v>11</v>
      </c>
      <c r="R1362" s="2" t="s">
        <v>78</v>
      </c>
      <c r="T1362" s="2" t="s">
        <v>520</v>
      </c>
      <c r="U1362" s="3">
        <v>6</v>
      </c>
      <c r="V1362" s="3">
        <v>6</v>
      </c>
      <c r="W1362" s="4" t="s">
        <v>16307</v>
      </c>
      <c r="X1362" s="4" t="s">
        <v>16307</v>
      </c>
      <c r="Y1362" s="4" t="s">
        <v>1143</v>
      </c>
      <c r="Z1362" s="4" t="s">
        <v>1143</v>
      </c>
      <c r="AA1362" s="3">
        <v>360</v>
      </c>
      <c r="AB1362" s="3">
        <v>271</v>
      </c>
      <c r="AC1362" s="3">
        <v>280</v>
      </c>
      <c r="AD1362" s="3">
        <v>1</v>
      </c>
      <c r="AE1362" s="3">
        <v>1</v>
      </c>
      <c r="AF1362" s="3">
        <v>9</v>
      </c>
      <c r="AG1362" s="3">
        <v>9</v>
      </c>
      <c r="AH1362" s="3">
        <v>4</v>
      </c>
      <c r="AI1362" s="3">
        <v>4</v>
      </c>
      <c r="AJ1362" s="3">
        <v>2</v>
      </c>
      <c r="AK1362" s="3">
        <v>2</v>
      </c>
      <c r="AL1362" s="3">
        <v>7</v>
      </c>
      <c r="AM1362" s="3">
        <v>7</v>
      </c>
      <c r="AN1362" s="3">
        <v>0</v>
      </c>
      <c r="AO1362" s="3">
        <v>0</v>
      </c>
      <c r="AP1362" s="3">
        <v>0</v>
      </c>
      <c r="AQ1362" s="3">
        <v>0</v>
      </c>
      <c r="AR1362" s="2" t="s">
        <v>5</v>
      </c>
      <c r="AS1362" s="2" t="s">
        <v>16</v>
      </c>
      <c r="AT1362" s="5" t="str">
        <f>HYPERLINK("http://catalog.hathitrust.org/Record/002237843","HathiTrust Record")</f>
        <v>HathiTrust Record</v>
      </c>
      <c r="AU1362" s="5" t="str">
        <f>HYPERLINK("https://creighton-primo.hosted.exlibrisgroup.com/primo-explore/search?tab=default_tab&amp;search_scope=EVERYTHING&amp;vid=01CRU&amp;lang=en_US&amp;offset=0&amp;query=any,contains,991001472449702656","Catalog Record")</f>
        <v>Catalog Record</v>
      </c>
      <c r="AV1362" s="5" t="str">
        <f>HYPERLINK("http://www.worldcat.org/oclc/20167883","WorldCat Record")</f>
        <v>WorldCat Record</v>
      </c>
      <c r="AW1362" s="2" t="s">
        <v>16308</v>
      </c>
      <c r="AX1362" s="2" t="s">
        <v>16309</v>
      </c>
      <c r="AY1362" s="2" t="s">
        <v>16310</v>
      </c>
      <c r="AZ1362" s="2" t="s">
        <v>16310</v>
      </c>
      <c r="BA1362" s="2" t="s">
        <v>16311</v>
      </c>
      <c r="BB1362" s="2" t="s">
        <v>21</v>
      </c>
      <c r="BD1362" s="2" t="s">
        <v>16312</v>
      </c>
      <c r="BE1362" s="2" t="s">
        <v>16313</v>
      </c>
      <c r="BF1362" s="2" t="s">
        <v>16314</v>
      </c>
    </row>
    <row r="1363" spans="1:58" ht="41.25" customHeight="1" x14ac:dyDescent="0.25">
      <c r="A1363" s="8" t="s">
        <v>5</v>
      </c>
      <c r="B1363" s="1" t="s">
        <v>0</v>
      </c>
      <c r="C1363" s="1" t="s">
        <v>1</v>
      </c>
      <c r="D1363" s="1" t="s">
        <v>16315</v>
      </c>
      <c r="E1363" s="1" t="s">
        <v>16316</v>
      </c>
      <c r="F1363" s="1" t="s">
        <v>16317</v>
      </c>
      <c r="H1363" s="2" t="s">
        <v>5</v>
      </c>
      <c r="I1363" s="2" t="s">
        <v>6</v>
      </c>
      <c r="J1363" s="2" t="s">
        <v>5</v>
      </c>
      <c r="K1363" s="2" t="s">
        <v>5</v>
      </c>
      <c r="L1363" s="2" t="s">
        <v>7</v>
      </c>
      <c r="M1363" s="1" t="s">
        <v>16318</v>
      </c>
      <c r="N1363" s="1" t="s">
        <v>6634</v>
      </c>
      <c r="O1363" s="2" t="s">
        <v>393</v>
      </c>
      <c r="Q1363" s="2" t="s">
        <v>11</v>
      </c>
      <c r="R1363" s="2" t="s">
        <v>426</v>
      </c>
      <c r="T1363" s="2" t="s">
        <v>520</v>
      </c>
      <c r="U1363" s="3">
        <v>2</v>
      </c>
      <c r="V1363" s="3">
        <v>2</v>
      </c>
      <c r="W1363" s="4" t="s">
        <v>7669</v>
      </c>
      <c r="X1363" s="4" t="s">
        <v>7669</v>
      </c>
      <c r="Y1363" s="4" t="s">
        <v>16284</v>
      </c>
      <c r="Z1363" s="4" t="s">
        <v>16284</v>
      </c>
      <c r="AA1363" s="3">
        <v>222</v>
      </c>
      <c r="AB1363" s="3">
        <v>199</v>
      </c>
      <c r="AC1363" s="3">
        <v>215</v>
      </c>
      <c r="AD1363" s="3">
        <v>3</v>
      </c>
      <c r="AE1363" s="3">
        <v>3</v>
      </c>
      <c r="AF1363" s="3">
        <v>10</v>
      </c>
      <c r="AG1363" s="3">
        <v>10</v>
      </c>
      <c r="AH1363" s="3">
        <v>4</v>
      </c>
      <c r="AI1363" s="3">
        <v>4</v>
      </c>
      <c r="AJ1363" s="3">
        <v>3</v>
      </c>
      <c r="AK1363" s="3">
        <v>3</v>
      </c>
      <c r="AL1363" s="3">
        <v>3</v>
      </c>
      <c r="AM1363" s="3">
        <v>3</v>
      </c>
      <c r="AN1363" s="3">
        <v>1</v>
      </c>
      <c r="AO1363" s="3">
        <v>1</v>
      </c>
      <c r="AP1363" s="3">
        <v>0</v>
      </c>
      <c r="AQ1363" s="3">
        <v>0</v>
      </c>
      <c r="AR1363" s="2" t="s">
        <v>5</v>
      </c>
      <c r="AS1363" s="2" t="s">
        <v>5</v>
      </c>
      <c r="AU1363" s="5" t="str">
        <f>HYPERLINK("https://creighton-primo.hosted.exlibrisgroup.com/primo-explore/search?tab=default_tab&amp;search_scope=EVERYTHING&amp;vid=01CRU&amp;lang=en_US&amp;offset=0&amp;query=any,contains,991000863959702656","Catalog Record")</f>
        <v>Catalog Record</v>
      </c>
      <c r="AV1363" s="5" t="str">
        <f>HYPERLINK("http://www.worldcat.org/oclc/6378479","WorldCat Record")</f>
        <v>WorldCat Record</v>
      </c>
      <c r="AW1363" s="2" t="s">
        <v>16319</v>
      </c>
      <c r="AX1363" s="2" t="s">
        <v>16320</v>
      </c>
      <c r="AY1363" s="2" t="s">
        <v>16321</v>
      </c>
      <c r="AZ1363" s="2" t="s">
        <v>16321</v>
      </c>
      <c r="BA1363" s="2" t="s">
        <v>16322</v>
      </c>
      <c r="BB1363" s="2" t="s">
        <v>21</v>
      </c>
      <c r="BD1363" s="2" t="s">
        <v>16323</v>
      </c>
      <c r="BE1363" s="2" t="s">
        <v>16324</v>
      </c>
      <c r="BF1363" s="2" t="s">
        <v>16325</v>
      </c>
    </row>
    <row r="1364" spans="1:58" ht="41.25" customHeight="1" x14ac:dyDescent="0.25">
      <c r="A1364" s="8" t="s">
        <v>5</v>
      </c>
      <c r="B1364" s="1" t="s">
        <v>0</v>
      </c>
      <c r="C1364" s="1" t="s">
        <v>1</v>
      </c>
      <c r="D1364" s="1" t="s">
        <v>16326</v>
      </c>
      <c r="E1364" s="1" t="s">
        <v>16327</v>
      </c>
      <c r="F1364" s="1" t="s">
        <v>16328</v>
      </c>
      <c r="H1364" s="2" t="s">
        <v>5</v>
      </c>
      <c r="I1364" s="2" t="s">
        <v>6</v>
      </c>
      <c r="J1364" s="2" t="s">
        <v>5</v>
      </c>
      <c r="K1364" s="2" t="s">
        <v>5</v>
      </c>
      <c r="L1364" s="2" t="s">
        <v>7</v>
      </c>
      <c r="M1364" s="1" t="s">
        <v>16329</v>
      </c>
      <c r="N1364" s="1" t="s">
        <v>12951</v>
      </c>
      <c r="O1364" s="2" t="s">
        <v>939</v>
      </c>
      <c r="Q1364" s="2" t="s">
        <v>11</v>
      </c>
      <c r="R1364" s="2" t="s">
        <v>426</v>
      </c>
      <c r="T1364" s="2" t="s">
        <v>520</v>
      </c>
      <c r="U1364" s="3">
        <v>6</v>
      </c>
      <c r="V1364" s="3">
        <v>6</v>
      </c>
      <c r="W1364" s="4" t="s">
        <v>16330</v>
      </c>
      <c r="X1364" s="4" t="s">
        <v>16330</v>
      </c>
      <c r="Y1364" s="4" t="s">
        <v>16331</v>
      </c>
      <c r="Z1364" s="4" t="s">
        <v>16331</v>
      </c>
      <c r="AA1364" s="3">
        <v>269</v>
      </c>
      <c r="AB1364" s="3">
        <v>230</v>
      </c>
      <c r="AC1364" s="3">
        <v>233</v>
      </c>
      <c r="AD1364" s="3">
        <v>1</v>
      </c>
      <c r="AE1364" s="3">
        <v>1</v>
      </c>
      <c r="AF1364" s="3">
        <v>10</v>
      </c>
      <c r="AG1364" s="3">
        <v>10</v>
      </c>
      <c r="AH1364" s="3">
        <v>3</v>
      </c>
      <c r="AI1364" s="3">
        <v>3</v>
      </c>
      <c r="AJ1364" s="3">
        <v>4</v>
      </c>
      <c r="AK1364" s="3">
        <v>4</v>
      </c>
      <c r="AL1364" s="3">
        <v>5</v>
      </c>
      <c r="AM1364" s="3">
        <v>5</v>
      </c>
      <c r="AN1364" s="3">
        <v>0</v>
      </c>
      <c r="AO1364" s="3">
        <v>0</v>
      </c>
      <c r="AP1364" s="3">
        <v>0</v>
      </c>
      <c r="AQ1364" s="3">
        <v>0</v>
      </c>
      <c r="AR1364" s="2" t="s">
        <v>5</v>
      </c>
      <c r="AS1364" s="2" t="s">
        <v>16</v>
      </c>
      <c r="AT1364" s="5" t="str">
        <f>HYPERLINK("http://catalog.hathitrust.org/Record/000843113","HathiTrust Record")</f>
        <v>HathiTrust Record</v>
      </c>
      <c r="AU1364" s="5" t="str">
        <f>HYPERLINK("https://creighton-primo.hosted.exlibrisgroup.com/primo-explore/search?tab=default_tab&amp;search_scope=EVERYTHING&amp;vid=01CRU&amp;lang=en_US&amp;offset=0&amp;query=any,contains,991001186059702656","Catalog Record")</f>
        <v>Catalog Record</v>
      </c>
      <c r="AV1364" s="5" t="str">
        <f>HYPERLINK("http://www.worldcat.org/oclc/16802231","WorldCat Record")</f>
        <v>WorldCat Record</v>
      </c>
      <c r="AW1364" s="2" t="s">
        <v>16332</v>
      </c>
      <c r="AX1364" s="2" t="s">
        <v>16333</v>
      </c>
      <c r="AY1364" s="2" t="s">
        <v>16334</v>
      </c>
      <c r="AZ1364" s="2" t="s">
        <v>16334</v>
      </c>
      <c r="BA1364" s="2" t="s">
        <v>16335</v>
      </c>
      <c r="BB1364" s="2" t="s">
        <v>21</v>
      </c>
      <c r="BD1364" s="2" t="s">
        <v>16336</v>
      </c>
      <c r="BE1364" s="2" t="s">
        <v>16337</v>
      </c>
      <c r="BF1364" s="2" t="s">
        <v>16338</v>
      </c>
    </row>
    <row r="1365" spans="1:58" ht="41.25" customHeight="1" x14ac:dyDescent="0.25">
      <c r="A1365" s="8" t="s">
        <v>5</v>
      </c>
      <c r="B1365" s="1" t="s">
        <v>0</v>
      </c>
      <c r="C1365" s="1" t="s">
        <v>1</v>
      </c>
      <c r="D1365" s="1" t="s">
        <v>16339</v>
      </c>
      <c r="E1365" s="1" t="s">
        <v>16340</v>
      </c>
      <c r="F1365" s="1" t="s">
        <v>16341</v>
      </c>
      <c r="H1365" s="2" t="s">
        <v>5</v>
      </c>
      <c r="I1365" s="2" t="s">
        <v>6</v>
      </c>
      <c r="J1365" s="2" t="s">
        <v>5</v>
      </c>
      <c r="K1365" s="2" t="s">
        <v>16</v>
      </c>
      <c r="L1365" s="2" t="s">
        <v>7</v>
      </c>
      <c r="M1365" s="1" t="s">
        <v>16342</v>
      </c>
      <c r="N1365" s="1" t="s">
        <v>16343</v>
      </c>
      <c r="O1365" s="2" t="s">
        <v>136</v>
      </c>
      <c r="Q1365" s="2" t="s">
        <v>11</v>
      </c>
      <c r="R1365" s="2" t="s">
        <v>78</v>
      </c>
      <c r="T1365" s="2" t="s">
        <v>520</v>
      </c>
      <c r="U1365" s="3">
        <v>12</v>
      </c>
      <c r="V1365" s="3">
        <v>12</v>
      </c>
      <c r="W1365" s="4" t="s">
        <v>6168</v>
      </c>
      <c r="X1365" s="4" t="s">
        <v>6168</v>
      </c>
      <c r="Y1365" s="4" t="s">
        <v>16344</v>
      </c>
      <c r="Z1365" s="4" t="s">
        <v>16344</v>
      </c>
      <c r="AA1365" s="3">
        <v>339</v>
      </c>
      <c r="AB1365" s="3">
        <v>263</v>
      </c>
      <c r="AC1365" s="3">
        <v>433</v>
      </c>
      <c r="AD1365" s="3">
        <v>2</v>
      </c>
      <c r="AE1365" s="3">
        <v>2</v>
      </c>
      <c r="AF1365" s="3">
        <v>9</v>
      </c>
      <c r="AG1365" s="3">
        <v>14</v>
      </c>
      <c r="AH1365" s="3">
        <v>4</v>
      </c>
      <c r="AI1365" s="3">
        <v>7</v>
      </c>
      <c r="AJ1365" s="3">
        <v>3</v>
      </c>
      <c r="AK1365" s="3">
        <v>3</v>
      </c>
      <c r="AL1365" s="3">
        <v>6</v>
      </c>
      <c r="AM1365" s="3">
        <v>8</v>
      </c>
      <c r="AN1365" s="3">
        <v>0</v>
      </c>
      <c r="AO1365" s="3">
        <v>0</v>
      </c>
      <c r="AP1365" s="3">
        <v>0</v>
      </c>
      <c r="AQ1365" s="3">
        <v>0</v>
      </c>
      <c r="AR1365" s="2" t="s">
        <v>5</v>
      </c>
      <c r="AS1365" s="2" t="s">
        <v>16</v>
      </c>
      <c r="AT1365" s="5" t="str">
        <f>HYPERLINK("http://catalog.hathitrust.org/Record/002238300","HathiTrust Record")</f>
        <v>HathiTrust Record</v>
      </c>
      <c r="AU1365" s="5" t="str">
        <f>HYPERLINK("https://creighton-primo.hosted.exlibrisgroup.com/primo-explore/search?tab=default_tab&amp;search_scope=EVERYTHING&amp;vid=01CRU&amp;lang=en_US&amp;offset=0&amp;query=any,contains,991000950179702656","Catalog Record")</f>
        <v>Catalog Record</v>
      </c>
      <c r="AV1365" s="5" t="str">
        <f>HYPERLINK("http://www.worldcat.org/oclc/21517429","WorldCat Record")</f>
        <v>WorldCat Record</v>
      </c>
      <c r="AW1365" s="2" t="s">
        <v>16345</v>
      </c>
      <c r="AX1365" s="2" t="s">
        <v>16346</v>
      </c>
      <c r="AY1365" s="2" t="s">
        <v>16347</v>
      </c>
      <c r="AZ1365" s="2" t="s">
        <v>16347</v>
      </c>
      <c r="BA1365" s="2" t="s">
        <v>16348</v>
      </c>
      <c r="BB1365" s="2" t="s">
        <v>21</v>
      </c>
      <c r="BD1365" s="2" t="s">
        <v>16349</v>
      </c>
      <c r="BE1365" s="2" t="s">
        <v>16350</v>
      </c>
      <c r="BF1365" s="2" t="s">
        <v>16351</v>
      </c>
    </row>
    <row r="1366" spans="1:58" ht="41.25" customHeight="1" x14ac:dyDescent="0.25">
      <c r="A1366" s="8" t="s">
        <v>5</v>
      </c>
      <c r="B1366" s="1" t="s">
        <v>0</v>
      </c>
      <c r="C1366" s="1" t="s">
        <v>1</v>
      </c>
      <c r="D1366" s="1" t="s">
        <v>16352</v>
      </c>
      <c r="E1366" s="1" t="s">
        <v>16353</v>
      </c>
      <c r="F1366" s="1" t="s">
        <v>16354</v>
      </c>
      <c r="H1366" s="2" t="s">
        <v>5</v>
      </c>
      <c r="I1366" s="2" t="s">
        <v>6</v>
      </c>
      <c r="J1366" s="2" t="s">
        <v>5</v>
      </c>
      <c r="K1366" s="2" t="s">
        <v>5</v>
      </c>
      <c r="L1366" s="2" t="s">
        <v>7</v>
      </c>
      <c r="N1366" s="1" t="s">
        <v>16355</v>
      </c>
      <c r="O1366" s="2" t="s">
        <v>1339</v>
      </c>
      <c r="Q1366" s="2" t="s">
        <v>11</v>
      </c>
      <c r="R1366" s="2" t="s">
        <v>426</v>
      </c>
      <c r="T1366" s="2" t="s">
        <v>520</v>
      </c>
      <c r="U1366" s="3">
        <v>2</v>
      </c>
      <c r="V1366" s="3">
        <v>2</v>
      </c>
      <c r="W1366" s="4" t="s">
        <v>16356</v>
      </c>
      <c r="X1366" s="4" t="s">
        <v>16356</v>
      </c>
      <c r="Y1366" s="4" t="s">
        <v>16357</v>
      </c>
      <c r="Z1366" s="4" t="s">
        <v>16357</v>
      </c>
      <c r="AA1366" s="3">
        <v>306</v>
      </c>
      <c r="AB1366" s="3">
        <v>245</v>
      </c>
      <c r="AC1366" s="3">
        <v>247</v>
      </c>
      <c r="AD1366" s="3">
        <v>3</v>
      </c>
      <c r="AE1366" s="3">
        <v>3</v>
      </c>
      <c r="AF1366" s="3">
        <v>12</v>
      </c>
      <c r="AG1366" s="3">
        <v>12</v>
      </c>
      <c r="AH1366" s="3">
        <v>5</v>
      </c>
      <c r="AI1366" s="3">
        <v>5</v>
      </c>
      <c r="AJ1366" s="3">
        <v>2</v>
      </c>
      <c r="AK1366" s="3">
        <v>2</v>
      </c>
      <c r="AL1366" s="3">
        <v>7</v>
      </c>
      <c r="AM1366" s="3">
        <v>7</v>
      </c>
      <c r="AN1366" s="3">
        <v>1</v>
      </c>
      <c r="AO1366" s="3">
        <v>1</v>
      </c>
      <c r="AP1366" s="3">
        <v>0</v>
      </c>
      <c r="AQ1366" s="3">
        <v>0</v>
      </c>
      <c r="AR1366" s="2" t="s">
        <v>5</v>
      </c>
      <c r="AS1366" s="2" t="s">
        <v>16</v>
      </c>
      <c r="AT1366" s="5" t="str">
        <f>HYPERLINK("http://catalog.hathitrust.org/Record/000812999","HathiTrust Record")</f>
        <v>HathiTrust Record</v>
      </c>
      <c r="AU1366" s="5" t="str">
        <f>HYPERLINK("https://creighton-primo.hosted.exlibrisgroup.com/primo-explore/search?tab=default_tab&amp;search_scope=EVERYTHING&amp;vid=01CRU&amp;lang=en_US&amp;offset=0&amp;query=any,contains,991000766039702656","Catalog Record")</f>
        <v>Catalog Record</v>
      </c>
      <c r="AV1366" s="5" t="str">
        <f>HYPERLINK("http://www.worldcat.org/oclc/15019016","WorldCat Record")</f>
        <v>WorldCat Record</v>
      </c>
      <c r="AW1366" s="2" t="s">
        <v>16358</v>
      </c>
      <c r="AX1366" s="2" t="s">
        <v>16359</v>
      </c>
      <c r="AY1366" s="2" t="s">
        <v>16360</v>
      </c>
      <c r="AZ1366" s="2" t="s">
        <v>16360</v>
      </c>
      <c r="BA1366" s="2" t="s">
        <v>16361</v>
      </c>
      <c r="BB1366" s="2" t="s">
        <v>21</v>
      </c>
      <c r="BD1366" s="2" t="s">
        <v>16362</v>
      </c>
      <c r="BE1366" s="2" t="s">
        <v>16363</v>
      </c>
      <c r="BF1366" s="2" t="s">
        <v>16364</v>
      </c>
    </row>
    <row r="1367" spans="1:58" ht="41.25" customHeight="1" x14ac:dyDescent="0.25">
      <c r="A1367" s="8" t="s">
        <v>5</v>
      </c>
      <c r="B1367" s="1" t="s">
        <v>0</v>
      </c>
      <c r="C1367" s="1" t="s">
        <v>1</v>
      </c>
      <c r="D1367" s="1" t="s">
        <v>16365</v>
      </c>
      <c r="E1367" s="1" t="s">
        <v>16366</v>
      </c>
      <c r="F1367" s="1" t="s">
        <v>16367</v>
      </c>
      <c r="H1367" s="2" t="s">
        <v>5</v>
      </c>
      <c r="I1367" s="2" t="s">
        <v>6</v>
      </c>
      <c r="J1367" s="2" t="s">
        <v>5</v>
      </c>
      <c r="K1367" s="2" t="s">
        <v>5</v>
      </c>
      <c r="L1367" s="2" t="s">
        <v>7</v>
      </c>
      <c r="N1367" s="1" t="s">
        <v>10080</v>
      </c>
      <c r="O1367" s="2" t="s">
        <v>210</v>
      </c>
      <c r="Q1367" s="2" t="s">
        <v>11</v>
      </c>
      <c r="R1367" s="2" t="s">
        <v>426</v>
      </c>
      <c r="T1367" s="2" t="s">
        <v>520</v>
      </c>
      <c r="U1367" s="3">
        <v>6</v>
      </c>
      <c r="V1367" s="3">
        <v>6</v>
      </c>
      <c r="W1367" s="4" t="s">
        <v>16368</v>
      </c>
      <c r="X1367" s="4" t="s">
        <v>16368</v>
      </c>
      <c r="Y1367" s="4" t="s">
        <v>16369</v>
      </c>
      <c r="Z1367" s="4" t="s">
        <v>16369</v>
      </c>
      <c r="AA1367" s="3">
        <v>266</v>
      </c>
      <c r="AB1367" s="3">
        <v>220</v>
      </c>
      <c r="AC1367" s="3">
        <v>224</v>
      </c>
      <c r="AD1367" s="3">
        <v>2</v>
      </c>
      <c r="AE1367" s="3">
        <v>2</v>
      </c>
      <c r="AF1367" s="3">
        <v>16</v>
      </c>
      <c r="AG1367" s="3">
        <v>16</v>
      </c>
      <c r="AH1367" s="3">
        <v>7</v>
      </c>
      <c r="AI1367" s="3">
        <v>7</v>
      </c>
      <c r="AJ1367" s="3">
        <v>3</v>
      </c>
      <c r="AK1367" s="3">
        <v>3</v>
      </c>
      <c r="AL1367" s="3">
        <v>9</v>
      </c>
      <c r="AM1367" s="3">
        <v>9</v>
      </c>
      <c r="AN1367" s="3">
        <v>1</v>
      </c>
      <c r="AO1367" s="3">
        <v>1</v>
      </c>
      <c r="AP1367" s="3">
        <v>0</v>
      </c>
      <c r="AQ1367" s="3">
        <v>0</v>
      </c>
      <c r="AR1367" s="2" t="s">
        <v>5</v>
      </c>
      <c r="AS1367" s="2" t="s">
        <v>16</v>
      </c>
      <c r="AT1367" s="5" t="str">
        <f>HYPERLINK("http://catalog.hathitrust.org/Record/002624656","HathiTrust Record")</f>
        <v>HathiTrust Record</v>
      </c>
      <c r="AU1367" s="5" t="str">
        <f>HYPERLINK("https://creighton-primo.hosted.exlibrisgroup.com/primo-explore/search?tab=default_tab&amp;search_scope=EVERYTHING&amp;vid=01CRU&amp;lang=en_US&amp;offset=0&amp;query=any,contains,991000946589702656","Catalog Record")</f>
        <v>Catalog Record</v>
      </c>
      <c r="AV1367" s="5" t="str">
        <f>HYPERLINK("http://www.worldcat.org/oclc/24671433","WorldCat Record")</f>
        <v>WorldCat Record</v>
      </c>
      <c r="AW1367" s="2" t="s">
        <v>16370</v>
      </c>
      <c r="AX1367" s="2" t="s">
        <v>16371</v>
      </c>
      <c r="AY1367" s="2" t="s">
        <v>16372</v>
      </c>
      <c r="AZ1367" s="2" t="s">
        <v>16372</v>
      </c>
      <c r="BA1367" s="2" t="s">
        <v>16373</v>
      </c>
      <c r="BB1367" s="2" t="s">
        <v>21</v>
      </c>
      <c r="BD1367" s="2" t="s">
        <v>16374</v>
      </c>
      <c r="BE1367" s="2" t="s">
        <v>16375</v>
      </c>
      <c r="BF1367" s="2" t="s">
        <v>16376</v>
      </c>
    </row>
    <row r="1368" spans="1:58" ht="41.25" customHeight="1" x14ac:dyDescent="0.25">
      <c r="A1368" s="8" t="s">
        <v>5</v>
      </c>
      <c r="B1368" s="1" t="s">
        <v>0</v>
      </c>
      <c r="C1368" s="1" t="s">
        <v>1</v>
      </c>
      <c r="D1368" s="1" t="s">
        <v>16377</v>
      </c>
      <c r="E1368" s="1" t="s">
        <v>16378</v>
      </c>
      <c r="F1368" s="1" t="s">
        <v>16379</v>
      </c>
      <c r="H1368" s="2" t="s">
        <v>5</v>
      </c>
      <c r="I1368" s="2" t="s">
        <v>6</v>
      </c>
      <c r="J1368" s="2" t="s">
        <v>5</v>
      </c>
      <c r="K1368" s="2" t="s">
        <v>5</v>
      </c>
      <c r="L1368" s="2" t="s">
        <v>7</v>
      </c>
      <c r="N1368" s="1" t="s">
        <v>2272</v>
      </c>
      <c r="O1368" s="2" t="s">
        <v>354</v>
      </c>
      <c r="Q1368" s="2" t="s">
        <v>11</v>
      </c>
      <c r="R1368" s="2" t="s">
        <v>426</v>
      </c>
      <c r="S1368" s="1" t="s">
        <v>16380</v>
      </c>
      <c r="T1368" s="2" t="s">
        <v>520</v>
      </c>
      <c r="U1368" s="3">
        <v>1</v>
      </c>
      <c r="V1368" s="3">
        <v>1</v>
      </c>
      <c r="W1368" s="4" t="s">
        <v>7129</v>
      </c>
      <c r="X1368" s="4" t="s">
        <v>7129</v>
      </c>
      <c r="Y1368" s="4" t="s">
        <v>1249</v>
      </c>
      <c r="Z1368" s="4" t="s">
        <v>1249</v>
      </c>
      <c r="AA1368" s="3">
        <v>43</v>
      </c>
      <c r="AB1368" s="3">
        <v>35</v>
      </c>
      <c r="AC1368" s="3">
        <v>35</v>
      </c>
      <c r="AD1368" s="3">
        <v>1</v>
      </c>
      <c r="AE1368" s="3">
        <v>1</v>
      </c>
      <c r="AF1368" s="3">
        <v>2</v>
      </c>
      <c r="AG1368" s="3">
        <v>2</v>
      </c>
      <c r="AH1368" s="3">
        <v>0</v>
      </c>
      <c r="AI1368" s="3">
        <v>0</v>
      </c>
      <c r="AJ1368" s="3">
        <v>0</v>
      </c>
      <c r="AK1368" s="3">
        <v>0</v>
      </c>
      <c r="AL1368" s="3">
        <v>2</v>
      </c>
      <c r="AM1368" s="3">
        <v>2</v>
      </c>
      <c r="AN1368" s="3">
        <v>0</v>
      </c>
      <c r="AO1368" s="3">
        <v>0</v>
      </c>
      <c r="AP1368" s="3">
        <v>0</v>
      </c>
      <c r="AQ1368" s="3">
        <v>0</v>
      </c>
      <c r="AR1368" s="2" t="s">
        <v>5</v>
      </c>
      <c r="AS1368" s="2" t="s">
        <v>5</v>
      </c>
      <c r="AU1368" s="5" t="str">
        <f>HYPERLINK("https://creighton-primo.hosted.exlibrisgroup.com/primo-explore/search?tab=default_tab&amp;search_scope=EVERYTHING&amp;vid=01CRU&amp;lang=en_US&amp;offset=0&amp;query=any,contains,991001385209702656","Catalog Record")</f>
        <v>Catalog Record</v>
      </c>
      <c r="AV1368" s="5" t="str">
        <f>HYPERLINK("http://www.worldcat.org/oclc/7694507","WorldCat Record")</f>
        <v>WorldCat Record</v>
      </c>
      <c r="AW1368" s="2" t="s">
        <v>16381</v>
      </c>
      <c r="AX1368" s="2" t="s">
        <v>16382</v>
      </c>
      <c r="AY1368" s="2" t="s">
        <v>16383</v>
      </c>
      <c r="AZ1368" s="2" t="s">
        <v>16383</v>
      </c>
      <c r="BA1368" s="2" t="s">
        <v>16384</v>
      </c>
      <c r="BB1368" s="2" t="s">
        <v>21</v>
      </c>
      <c r="BE1368" s="2" t="s">
        <v>16385</v>
      </c>
      <c r="BF1368" s="2" t="s">
        <v>16386</v>
      </c>
    </row>
    <row r="1369" spans="1:58" ht="41.25" customHeight="1" x14ac:dyDescent="0.25">
      <c r="A1369" s="8" t="s">
        <v>5</v>
      </c>
      <c r="B1369" s="1" t="s">
        <v>0</v>
      </c>
      <c r="C1369" s="1" t="s">
        <v>1</v>
      </c>
      <c r="D1369" s="1" t="s">
        <v>16387</v>
      </c>
      <c r="E1369" s="1" t="s">
        <v>16388</v>
      </c>
      <c r="F1369" s="1" t="s">
        <v>16389</v>
      </c>
      <c r="H1369" s="2" t="s">
        <v>5</v>
      </c>
      <c r="I1369" s="2" t="s">
        <v>6</v>
      </c>
      <c r="J1369" s="2" t="s">
        <v>5</v>
      </c>
      <c r="K1369" s="2" t="s">
        <v>5</v>
      </c>
      <c r="L1369" s="2" t="s">
        <v>7</v>
      </c>
      <c r="N1369" s="1" t="s">
        <v>10080</v>
      </c>
      <c r="O1369" s="2" t="s">
        <v>210</v>
      </c>
      <c r="Q1369" s="2" t="s">
        <v>11</v>
      </c>
      <c r="R1369" s="2" t="s">
        <v>12</v>
      </c>
      <c r="S1369" s="1" t="s">
        <v>16390</v>
      </c>
      <c r="T1369" s="2" t="s">
        <v>520</v>
      </c>
      <c r="U1369" s="3">
        <v>6</v>
      </c>
      <c r="V1369" s="3">
        <v>6</v>
      </c>
      <c r="W1369" s="4" t="s">
        <v>11487</v>
      </c>
      <c r="X1369" s="4" t="s">
        <v>11487</v>
      </c>
      <c r="Y1369" s="4" t="s">
        <v>7578</v>
      </c>
      <c r="Z1369" s="4" t="s">
        <v>7578</v>
      </c>
      <c r="AA1369" s="3">
        <v>324</v>
      </c>
      <c r="AB1369" s="3">
        <v>275</v>
      </c>
      <c r="AC1369" s="3">
        <v>393</v>
      </c>
      <c r="AD1369" s="3">
        <v>1</v>
      </c>
      <c r="AE1369" s="3">
        <v>1</v>
      </c>
      <c r="AF1369" s="3">
        <v>12</v>
      </c>
      <c r="AG1369" s="3">
        <v>14</v>
      </c>
      <c r="AH1369" s="3">
        <v>4</v>
      </c>
      <c r="AI1369" s="3">
        <v>5</v>
      </c>
      <c r="AJ1369" s="3">
        <v>4</v>
      </c>
      <c r="AK1369" s="3">
        <v>4</v>
      </c>
      <c r="AL1369" s="3">
        <v>7</v>
      </c>
      <c r="AM1369" s="3">
        <v>9</v>
      </c>
      <c r="AN1369" s="3">
        <v>0</v>
      </c>
      <c r="AO1369" s="3">
        <v>0</v>
      </c>
      <c r="AP1369" s="3">
        <v>0</v>
      </c>
      <c r="AQ1369" s="3">
        <v>0</v>
      </c>
      <c r="AR1369" s="2" t="s">
        <v>5</v>
      </c>
      <c r="AS1369" s="2" t="s">
        <v>16</v>
      </c>
      <c r="AT1369" s="5" t="str">
        <f>HYPERLINK("http://catalog.hathitrust.org/Record/002488949","HathiTrust Record")</f>
        <v>HathiTrust Record</v>
      </c>
      <c r="AU1369" s="5" t="str">
        <f>HYPERLINK("https://creighton-primo.hosted.exlibrisgroup.com/primo-explore/search?tab=default_tab&amp;search_scope=EVERYTHING&amp;vid=01CRU&amp;lang=en_US&amp;offset=0&amp;query=any,contains,991001479219702656","Catalog Record")</f>
        <v>Catalog Record</v>
      </c>
      <c r="AV1369" s="5" t="str">
        <f>HYPERLINK("http://www.worldcat.org/oclc/23584695","WorldCat Record")</f>
        <v>WorldCat Record</v>
      </c>
      <c r="AW1369" s="2" t="s">
        <v>16391</v>
      </c>
      <c r="AX1369" s="2" t="s">
        <v>16392</v>
      </c>
      <c r="AY1369" s="2" t="s">
        <v>16393</v>
      </c>
      <c r="AZ1369" s="2" t="s">
        <v>16393</v>
      </c>
      <c r="BA1369" s="2" t="s">
        <v>16394</v>
      </c>
      <c r="BB1369" s="2" t="s">
        <v>21</v>
      </c>
      <c r="BD1369" s="2" t="s">
        <v>16395</v>
      </c>
      <c r="BE1369" s="2" t="s">
        <v>16396</v>
      </c>
      <c r="BF1369" s="2" t="s">
        <v>16397</v>
      </c>
    </row>
    <row r="1370" spans="1:58" ht="41.25" customHeight="1" x14ac:dyDescent="0.25">
      <c r="A1370" s="8" t="s">
        <v>5</v>
      </c>
      <c r="B1370" s="1" t="s">
        <v>0</v>
      </c>
      <c r="C1370" s="1" t="s">
        <v>1</v>
      </c>
      <c r="D1370" s="1" t="s">
        <v>16398</v>
      </c>
      <c r="E1370" s="1" t="s">
        <v>16399</v>
      </c>
      <c r="F1370" s="1" t="s">
        <v>16400</v>
      </c>
      <c r="H1370" s="2" t="s">
        <v>5</v>
      </c>
      <c r="I1370" s="2" t="s">
        <v>6</v>
      </c>
      <c r="J1370" s="2" t="s">
        <v>5</v>
      </c>
      <c r="K1370" s="2" t="s">
        <v>5</v>
      </c>
      <c r="L1370" s="2" t="s">
        <v>7</v>
      </c>
      <c r="M1370" s="1" t="s">
        <v>16401</v>
      </c>
      <c r="N1370" s="1" t="s">
        <v>11451</v>
      </c>
      <c r="O1370" s="2" t="s">
        <v>734</v>
      </c>
      <c r="Q1370" s="2" t="s">
        <v>11</v>
      </c>
      <c r="R1370" s="2" t="s">
        <v>426</v>
      </c>
      <c r="T1370" s="2" t="s">
        <v>520</v>
      </c>
      <c r="U1370" s="3">
        <v>8</v>
      </c>
      <c r="V1370" s="3">
        <v>8</v>
      </c>
      <c r="W1370" s="4" t="s">
        <v>16402</v>
      </c>
      <c r="X1370" s="4" t="s">
        <v>16402</v>
      </c>
      <c r="Y1370" s="4" t="s">
        <v>16284</v>
      </c>
      <c r="Z1370" s="4" t="s">
        <v>16284</v>
      </c>
      <c r="AA1370" s="3">
        <v>276</v>
      </c>
      <c r="AB1370" s="3">
        <v>226</v>
      </c>
      <c r="AC1370" s="3">
        <v>228</v>
      </c>
      <c r="AD1370" s="3">
        <v>2</v>
      </c>
      <c r="AE1370" s="3">
        <v>2</v>
      </c>
      <c r="AF1370" s="3">
        <v>5</v>
      </c>
      <c r="AG1370" s="3">
        <v>5</v>
      </c>
      <c r="AH1370" s="3">
        <v>2</v>
      </c>
      <c r="AI1370" s="3">
        <v>2</v>
      </c>
      <c r="AJ1370" s="3">
        <v>0</v>
      </c>
      <c r="AK1370" s="3">
        <v>0</v>
      </c>
      <c r="AL1370" s="3">
        <v>2</v>
      </c>
      <c r="AM1370" s="3">
        <v>2</v>
      </c>
      <c r="AN1370" s="3">
        <v>1</v>
      </c>
      <c r="AO1370" s="3">
        <v>1</v>
      </c>
      <c r="AP1370" s="3">
        <v>0</v>
      </c>
      <c r="AQ1370" s="3">
        <v>0</v>
      </c>
      <c r="AR1370" s="2" t="s">
        <v>5</v>
      </c>
      <c r="AS1370" s="2" t="s">
        <v>16</v>
      </c>
      <c r="AT1370" s="5" t="str">
        <f>HYPERLINK("http://catalog.hathitrust.org/Record/000784868","HathiTrust Record")</f>
        <v>HathiTrust Record</v>
      </c>
      <c r="AU1370" s="5" t="str">
        <f>HYPERLINK("https://creighton-primo.hosted.exlibrisgroup.com/primo-explore/search?tab=default_tab&amp;search_scope=EVERYTHING&amp;vid=01CRU&amp;lang=en_US&amp;offset=0&amp;query=any,contains,991000864019702656","Catalog Record")</f>
        <v>Catalog Record</v>
      </c>
      <c r="AV1370" s="5" t="str">
        <f>HYPERLINK("http://www.worldcat.org/oclc/8590597","WorldCat Record")</f>
        <v>WorldCat Record</v>
      </c>
      <c r="AW1370" s="2" t="s">
        <v>16403</v>
      </c>
      <c r="AX1370" s="2" t="s">
        <v>16404</v>
      </c>
      <c r="AY1370" s="2" t="s">
        <v>16405</v>
      </c>
      <c r="AZ1370" s="2" t="s">
        <v>16405</v>
      </c>
      <c r="BA1370" s="2" t="s">
        <v>16406</v>
      </c>
      <c r="BB1370" s="2" t="s">
        <v>21</v>
      </c>
      <c r="BD1370" s="2" t="s">
        <v>16407</v>
      </c>
      <c r="BE1370" s="2" t="s">
        <v>16408</v>
      </c>
      <c r="BF1370" s="2" t="s">
        <v>16409</v>
      </c>
    </row>
    <row r="1371" spans="1:58" ht="41.25" customHeight="1" x14ac:dyDescent="0.25">
      <c r="A1371" s="8" t="s">
        <v>5</v>
      </c>
      <c r="B1371" s="1" t="s">
        <v>0</v>
      </c>
      <c r="C1371" s="1" t="s">
        <v>1</v>
      </c>
      <c r="D1371" s="1" t="s">
        <v>16410</v>
      </c>
      <c r="E1371" s="1" t="s">
        <v>16411</v>
      </c>
      <c r="F1371" s="1" t="s">
        <v>16412</v>
      </c>
      <c r="H1371" s="2" t="s">
        <v>5</v>
      </c>
      <c r="I1371" s="2" t="s">
        <v>6</v>
      </c>
      <c r="J1371" s="2" t="s">
        <v>5</v>
      </c>
      <c r="K1371" s="2" t="s">
        <v>5</v>
      </c>
      <c r="L1371" s="2" t="s">
        <v>7</v>
      </c>
      <c r="M1371" s="1" t="s">
        <v>16413</v>
      </c>
      <c r="N1371" s="1" t="s">
        <v>5017</v>
      </c>
      <c r="O1371" s="2" t="s">
        <v>1004</v>
      </c>
      <c r="Q1371" s="2" t="s">
        <v>11</v>
      </c>
      <c r="R1371" s="2" t="s">
        <v>78</v>
      </c>
      <c r="T1371" s="2" t="s">
        <v>520</v>
      </c>
      <c r="U1371" s="3">
        <v>0</v>
      </c>
      <c r="V1371" s="3">
        <v>0</v>
      </c>
      <c r="W1371" s="4" t="s">
        <v>11913</v>
      </c>
      <c r="X1371" s="4" t="s">
        <v>11913</v>
      </c>
      <c r="Y1371" s="4" t="s">
        <v>5117</v>
      </c>
      <c r="Z1371" s="4" t="s">
        <v>5117</v>
      </c>
      <c r="AA1371" s="3">
        <v>325</v>
      </c>
      <c r="AB1371" s="3">
        <v>249</v>
      </c>
      <c r="AC1371" s="3">
        <v>250</v>
      </c>
      <c r="AD1371" s="3">
        <v>1</v>
      </c>
      <c r="AE1371" s="3">
        <v>1</v>
      </c>
      <c r="AF1371" s="3">
        <v>14</v>
      </c>
      <c r="AG1371" s="3">
        <v>14</v>
      </c>
      <c r="AH1371" s="3">
        <v>8</v>
      </c>
      <c r="AI1371" s="3">
        <v>8</v>
      </c>
      <c r="AJ1371" s="3">
        <v>2</v>
      </c>
      <c r="AK1371" s="3">
        <v>2</v>
      </c>
      <c r="AL1371" s="3">
        <v>7</v>
      </c>
      <c r="AM1371" s="3">
        <v>7</v>
      </c>
      <c r="AN1371" s="3">
        <v>0</v>
      </c>
      <c r="AO1371" s="3">
        <v>0</v>
      </c>
      <c r="AP1371" s="3">
        <v>0</v>
      </c>
      <c r="AQ1371" s="3">
        <v>0</v>
      </c>
      <c r="AR1371" s="2" t="s">
        <v>5</v>
      </c>
      <c r="AS1371" s="2" t="s">
        <v>16</v>
      </c>
      <c r="AT1371" s="5" t="str">
        <f>HYPERLINK("http://catalog.hathitrust.org/Record/004052169","HathiTrust Record")</f>
        <v>HathiTrust Record</v>
      </c>
      <c r="AU1371" s="5" t="str">
        <f>HYPERLINK("https://creighton-primo.hosted.exlibrisgroup.com/primo-explore/search?tab=default_tab&amp;search_scope=EVERYTHING&amp;vid=01CRU&amp;lang=en_US&amp;offset=0&amp;query=any,contains,991000319019702656","Catalog Record")</f>
        <v>Catalog Record</v>
      </c>
      <c r="AV1371" s="5" t="str">
        <f>HYPERLINK("http://www.worldcat.org/oclc/39811643","WorldCat Record")</f>
        <v>WorldCat Record</v>
      </c>
      <c r="AW1371" s="2" t="s">
        <v>16414</v>
      </c>
      <c r="AX1371" s="2" t="s">
        <v>16415</v>
      </c>
      <c r="AY1371" s="2" t="s">
        <v>16416</v>
      </c>
      <c r="AZ1371" s="2" t="s">
        <v>16416</v>
      </c>
      <c r="BA1371" s="2" t="s">
        <v>16417</v>
      </c>
      <c r="BB1371" s="2" t="s">
        <v>21</v>
      </c>
      <c r="BD1371" s="2" t="s">
        <v>16418</v>
      </c>
      <c r="BE1371" s="2" t="s">
        <v>16419</v>
      </c>
      <c r="BF1371" s="2" t="s">
        <v>16420</v>
      </c>
    </row>
    <row r="1372" spans="1:58" ht="41.25" customHeight="1" x14ac:dyDescent="0.25">
      <c r="A1372" s="8" t="s">
        <v>5</v>
      </c>
      <c r="B1372" s="1" t="s">
        <v>0</v>
      </c>
      <c r="C1372" s="1" t="s">
        <v>1</v>
      </c>
      <c r="D1372" s="1" t="s">
        <v>16421</v>
      </c>
      <c r="E1372" s="1" t="s">
        <v>16422</v>
      </c>
      <c r="F1372" s="1" t="s">
        <v>16423</v>
      </c>
      <c r="H1372" s="2" t="s">
        <v>5</v>
      </c>
      <c r="I1372" s="2" t="s">
        <v>6</v>
      </c>
      <c r="J1372" s="2" t="s">
        <v>5</v>
      </c>
      <c r="K1372" s="2" t="s">
        <v>5</v>
      </c>
      <c r="L1372" s="2" t="s">
        <v>7</v>
      </c>
      <c r="M1372" s="1" t="s">
        <v>16424</v>
      </c>
      <c r="N1372" s="1" t="s">
        <v>16425</v>
      </c>
      <c r="O1372" s="2" t="s">
        <v>1863</v>
      </c>
      <c r="P1372" s="1" t="s">
        <v>355</v>
      </c>
      <c r="Q1372" s="2" t="s">
        <v>11</v>
      </c>
      <c r="R1372" s="2" t="s">
        <v>1019</v>
      </c>
      <c r="T1372" s="2" t="s">
        <v>520</v>
      </c>
      <c r="U1372" s="3">
        <v>2</v>
      </c>
      <c r="V1372" s="3">
        <v>2</v>
      </c>
      <c r="W1372" s="4" t="s">
        <v>5536</v>
      </c>
      <c r="X1372" s="4" t="s">
        <v>5536</v>
      </c>
      <c r="Y1372" s="4" t="s">
        <v>5117</v>
      </c>
      <c r="Z1372" s="4" t="s">
        <v>5117</v>
      </c>
      <c r="AA1372" s="3">
        <v>354</v>
      </c>
      <c r="AB1372" s="3">
        <v>261</v>
      </c>
      <c r="AC1372" s="3">
        <v>269</v>
      </c>
      <c r="AD1372" s="3">
        <v>2</v>
      </c>
      <c r="AE1372" s="3">
        <v>2</v>
      </c>
      <c r="AF1372" s="3">
        <v>9</v>
      </c>
      <c r="AG1372" s="3">
        <v>9</v>
      </c>
      <c r="AH1372" s="3">
        <v>4</v>
      </c>
      <c r="AI1372" s="3">
        <v>4</v>
      </c>
      <c r="AJ1372" s="3">
        <v>1</v>
      </c>
      <c r="AK1372" s="3">
        <v>1</v>
      </c>
      <c r="AL1372" s="3">
        <v>5</v>
      </c>
      <c r="AM1372" s="3">
        <v>5</v>
      </c>
      <c r="AN1372" s="3">
        <v>0</v>
      </c>
      <c r="AO1372" s="3">
        <v>0</v>
      </c>
      <c r="AP1372" s="3">
        <v>0</v>
      </c>
      <c r="AQ1372" s="3">
        <v>0</v>
      </c>
      <c r="AR1372" s="2" t="s">
        <v>5</v>
      </c>
      <c r="AS1372" s="2" t="s">
        <v>16</v>
      </c>
      <c r="AT1372" s="5" t="str">
        <f>HYPERLINK("http://catalog.hathitrust.org/Record/004134830","HathiTrust Record")</f>
        <v>HathiTrust Record</v>
      </c>
      <c r="AU1372" s="5" t="str">
        <f>HYPERLINK("https://creighton-primo.hosted.exlibrisgroup.com/primo-explore/search?tab=default_tab&amp;search_scope=EVERYTHING&amp;vid=01CRU&amp;lang=en_US&amp;offset=0&amp;query=any,contains,991000318909702656","Catalog Record")</f>
        <v>Catalog Record</v>
      </c>
      <c r="AV1372" s="5" t="str">
        <f>HYPERLINK("http://www.worldcat.org/oclc/47027874","WorldCat Record")</f>
        <v>WorldCat Record</v>
      </c>
      <c r="AW1372" s="2" t="s">
        <v>16426</v>
      </c>
      <c r="AX1372" s="2" t="s">
        <v>16427</v>
      </c>
      <c r="AY1372" s="2" t="s">
        <v>16428</v>
      </c>
      <c r="AZ1372" s="2" t="s">
        <v>16428</v>
      </c>
      <c r="BA1372" s="2" t="s">
        <v>16429</v>
      </c>
      <c r="BB1372" s="2" t="s">
        <v>21</v>
      </c>
      <c r="BD1372" s="2" t="s">
        <v>16430</v>
      </c>
      <c r="BE1372" s="2" t="s">
        <v>16431</v>
      </c>
      <c r="BF1372" s="2" t="s">
        <v>16432</v>
      </c>
    </row>
    <row r="1373" spans="1:58" ht="41.25" customHeight="1" x14ac:dyDescent="0.25">
      <c r="A1373" s="8" t="s">
        <v>5</v>
      </c>
      <c r="B1373" s="1" t="s">
        <v>0</v>
      </c>
      <c r="C1373" s="1" t="s">
        <v>1</v>
      </c>
      <c r="D1373" s="1" t="s">
        <v>16433</v>
      </c>
      <c r="E1373" s="1" t="s">
        <v>16434</v>
      </c>
      <c r="F1373" s="1" t="s">
        <v>16435</v>
      </c>
      <c r="H1373" s="2" t="s">
        <v>5</v>
      </c>
      <c r="I1373" s="2" t="s">
        <v>6</v>
      </c>
      <c r="J1373" s="2" t="s">
        <v>5</v>
      </c>
      <c r="K1373" s="2" t="s">
        <v>5</v>
      </c>
      <c r="L1373" s="2" t="s">
        <v>7</v>
      </c>
      <c r="N1373" s="1" t="s">
        <v>12316</v>
      </c>
      <c r="O1373" s="2" t="s">
        <v>1060</v>
      </c>
      <c r="P1373" s="1" t="s">
        <v>211</v>
      </c>
      <c r="Q1373" s="2" t="s">
        <v>11</v>
      </c>
      <c r="R1373" s="2" t="s">
        <v>31</v>
      </c>
      <c r="T1373" s="2" t="s">
        <v>520</v>
      </c>
      <c r="U1373" s="3">
        <v>0</v>
      </c>
      <c r="V1373" s="3">
        <v>0</v>
      </c>
      <c r="W1373" s="4" t="s">
        <v>16436</v>
      </c>
      <c r="X1373" s="4" t="s">
        <v>16436</v>
      </c>
      <c r="Y1373" s="4" t="s">
        <v>16437</v>
      </c>
      <c r="Z1373" s="4" t="s">
        <v>16437</v>
      </c>
      <c r="AA1373" s="3">
        <v>415</v>
      </c>
      <c r="AB1373" s="3">
        <v>294</v>
      </c>
      <c r="AC1373" s="3">
        <v>297</v>
      </c>
      <c r="AD1373" s="3">
        <v>1</v>
      </c>
      <c r="AE1373" s="3">
        <v>1</v>
      </c>
      <c r="AF1373" s="3">
        <v>12</v>
      </c>
      <c r="AG1373" s="3">
        <v>12</v>
      </c>
      <c r="AH1373" s="3">
        <v>8</v>
      </c>
      <c r="AI1373" s="3">
        <v>8</v>
      </c>
      <c r="AJ1373" s="3">
        <v>2</v>
      </c>
      <c r="AK1373" s="3">
        <v>2</v>
      </c>
      <c r="AL1373" s="3">
        <v>4</v>
      </c>
      <c r="AM1373" s="3">
        <v>4</v>
      </c>
      <c r="AN1373" s="3">
        <v>0</v>
      </c>
      <c r="AO1373" s="3">
        <v>0</v>
      </c>
      <c r="AP1373" s="3">
        <v>0</v>
      </c>
      <c r="AQ1373" s="3">
        <v>0</v>
      </c>
      <c r="AR1373" s="2" t="s">
        <v>5</v>
      </c>
      <c r="AS1373" s="2" t="s">
        <v>16</v>
      </c>
      <c r="AT1373" s="5" t="str">
        <f>HYPERLINK("http://catalog.hathitrust.org/Record/004994020","HathiTrust Record")</f>
        <v>HathiTrust Record</v>
      </c>
      <c r="AU1373" s="5" t="str">
        <f>HYPERLINK("https://creighton-primo.hosted.exlibrisgroup.com/primo-explore/search?tab=default_tab&amp;search_scope=EVERYTHING&amp;vid=01CRU&amp;lang=en_US&amp;offset=0&amp;query=any,contains,991000062159702656","Catalog Record")</f>
        <v>Catalog Record</v>
      </c>
      <c r="AV1373" s="5" t="str">
        <f>HYPERLINK("http://www.worldcat.org/oclc/57565241","WorldCat Record")</f>
        <v>WorldCat Record</v>
      </c>
      <c r="AW1373" s="2" t="s">
        <v>16438</v>
      </c>
      <c r="AX1373" s="2" t="s">
        <v>16439</v>
      </c>
      <c r="AY1373" s="2" t="s">
        <v>16440</v>
      </c>
      <c r="AZ1373" s="2" t="s">
        <v>16440</v>
      </c>
      <c r="BA1373" s="2" t="s">
        <v>16441</v>
      </c>
      <c r="BB1373" s="2" t="s">
        <v>21</v>
      </c>
      <c r="BD1373" s="2" t="s">
        <v>16442</v>
      </c>
      <c r="BE1373" s="2" t="s">
        <v>16443</v>
      </c>
      <c r="BF1373" s="2" t="s">
        <v>16444</v>
      </c>
    </row>
    <row r="1374" spans="1:58" ht="41.25" customHeight="1" x14ac:dyDescent="0.25">
      <c r="A1374" s="8" t="s">
        <v>5</v>
      </c>
      <c r="B1374" s="1" t="s">
        <v>0</v>
      </c>
      <c r="C1374" s="1" t="s">
        <v>1</v>
      </c>
      <c r="D1374" s="1" t="s">
        <v>16445</v>
      </c>
      <c r="E1374" s="1" t="s">
        <v>16446</v>
      </c>
      <c r="F1374" s="1" t="s">
        <v>16447</v>
      </c>
      <c r="H1374" s="2" t="s">
        <v>5</v>
      </c>
      <c r="I1374" s="2" t="s">
        <v>6</v>
      </c>
      <c r="J1374" s="2" t="s">
        <v>5</v>
      </c>
      <c r="K1374" s="2" t="s">
        <v>16</v>
      </c>
      <c r="L1374" s="2" t="s">
        <v>7</v>
      </c>
      <c r="M1374" s="1" t="s">
        <v>16424</v>
      </c>
      <c r="N1374" s="1" t="s">
        <v>988</v>
      </c>
      <c r="O1374" s="2" t="s">
        <v>989</v>
      </c>
      <c r="P1374" s="1" t="s">
        <v>901</v>
      </c>
      <c r="Q1374" s="2" t="s">
        <v>11</v>
      </c>
      <c r="R1374" s="2" t="s">
        <v>426</v>
      </c>
      <c r="T1374" s="2" t="s">
        <v>520</v>
      </c>
      <c r="U1374" s="3">
        <v>15</v>
      </c>
      <c r="V1374" s="3">
        <v>15</v>
      </c>
      <c r="W1374" s="4" t="s">
        <v>16448</v>
      </c>
      <c r="X1374" s="4" t="s">
        <v>16448</v>
      </c>
      <c r="Y1374" s="4" t="s">
        <v>9277</v>
      </c>
      <c r="Z1374" s="4" t="s">
        <v>9277</v>
      </c>
      <c r="AA1374" s="3">
        <v>341</v>
      </c>
      <c r="AB1374" s="3">
        <v>270</v>
      </c>
      <c r="AC1374" s="3">
        <v>1058</v>
      </c>
      <c r="AD1374" s="3">
        <v>4</v>
      </c>
      <c r="AE1374" s="3">
        <v>8</v>
      </c>
      <c r="AF1374" s="3">
        <v>8</v>
      </c>
      <c r="AG1374" s="3">
        <v>36</v>
      </c>
      <c r="AH1374" s="3">
        <v>3</v>
      </c>
      <c r="AI1374" s="3">
        <v>16</v>
      </c>
      <c r="AJ1374" s="3">
        <v>2</v>
      </c>
      <c r="AK1374" s="3">
        <v>7</v>
      </c>
      <c r="AL1374" s="3">
        <v>5</v>
      </c>
      <c r="AM1374" s="3">
        <v>15</v>
      </c>
      <c r="AN1374" s="3">
        <v>1</v>
      </c>
      <c r="AO1374" s="3">
        <v>5</v>
      </c>
      <c r="AP1374" s="3">
        <v>0</v>
      </c>
      <c r="AQ1374" s="3">
        <v>0</v>
      </c>
      <c r="AR1374" s="2" t="s">
        <v>5</v>
      </c>
      <c r="AS1374" s="2" t="s">
        <v>16</v>
      </c>
      <c r="AT1374" s="5" t="str">
        <f>HYPERLINK("http://catalog.hathitrust.org/Record/001956337","HathiTrust Record")</f>
        <v>HathiTrust Record</v>
      </c>
      <c r="AU1374" s="5" t="str">
        <f>HYPERLINK("https://creighton-primo.hosted.exlibrisgroup.com/primo-explore/search?tab=default_tab&amp;search_scope=EVERYTHING&amp;vid=01CRU&amp;lang=en_US&amp;offset=0&amp;query=any,contains,991001452379702656","Catalog Record")</f>
        <v>Catalog Record</v>
      </c>
      <c r="AV1374" s="5" t="str">
        <f>HYPERLINK("http://www.worldcat.org/oclc/20352071","WorldCat Record")</f>
        <v>WorldCat Record</v>
      </c>
      <c r="AW1374" s="2" t="s">
        <v>16449</v>
      </c>
      <c r="AX1374" s="2" t="s">
        <v>16450</v>
      </c>
      <c r="AY1374" s="2" t="s">
        <v>16451</v>
      </c>
      <c r="AZ1374" s="2" t="s">
        <v>16451</v>
      </c>
      <c r="BA1374" s="2" t="s">
        <v>16452</v>
      </c>
      <c r="BB1374" s="2" t="s">
        <v>21</v>
      </c>
      <c r="BD1374" s="2" t="s">
        <v>16453</v>
      </c>
      <c r="BE1374" s="2" t="s">
        <v>16454</v>
      </c>
      <c r="BF1374" s="2" t="s">
        <v>16455</v>
      </c>
    </row>
    <row r="1375" spans="1:58" ht="41.25" customHeight="1" x14ac:dyDescent="0.25">
      <c r="A1375" s="8" t="s">
        <v>5</v>
      </c>
      <c r="B1375" s="1" t="s">
        <v>0</v>
      </c>
      <c r="C1375" s="1" t="s">
        <v>1</v>
      </c>
      <c r="D1375" s="1" t="s">
        <v>16456</v>
      </c>
      <c r="E1375" s="1" t="s">
        <v>16457</v>
      </c>
      <c r="F1375" s="1" t="s">
        <v>16447</v>
      </c>
      <c r="H1375" s="2" t="s">
        <v>5</v>
      </c>
      <c r="I1375" s="2" t="s">
        <v>6</v>
      </c>
      <c r="J1375" s="2" t="s">
        <v>5</v>
      </c>
      <c r="K1375" s="2" t="s">
        <v>16</v>
      </c>
      <c r="L1375" s="2" t="s">
        <v>7</v>
      </c>
      <c r="M1375" s="1" t="s">
        <v>16424</v>
      </c>
      <c r="N1375" s="1" t="s">
        <v>9232</v>
      </c>
      <c r="O1375" s="2" t="s">
        <v>546</v>
      </c>
      <c r="P1375" s="1" t="s">
        <v>1208</v>
      </c>
      <c r="Q1375" s="2" t="s">
        <v>11</v>
      </c>
      <c r="R1375" s="2" t="s">
        <v>31</v>
      </c>
      <c r="T1375" s="2" t="s">
        <v>520</v>
      </c>
      <c r="U1375" s="3">
        <v>12</v>
      </c>
      <c r="V1375" s="3">
        <v>12</v>
      </c>
      <c r="W1375" s="4" t="s">
        <v>16458</v>
      </c>
      <c r="X1375" s="4" t="s">
        <v>16458</v>
      </c>
      <c r="Y1375" s="4" t="s">
        <v>16459</v>
      </c>
      <c r="Z1375" s="4" t="s">
        <v>16459</v>
      </c>
      <c r="AA1375" s="3">
        <v>365</v>
      </c>
      <c r="AB1375" s="3">
        <v>283</v>
      </c>
      <c r="AC1375" s="3">
        <v>1058</v>
      </c>
      <c r="AD1375" s="3">
        <v>1</v>
      </c>
      <c r="AE1375" s="3">
        <v>8</v>
      </c>
      <c r="AF1375" s="3">
        <v>5</v>
      </c>
      <c r="AG1375" s="3">
        <v>36</v>
      </c>
      <c r="AH1375" s="3">
        <v>2</v>
      </c>
      <c r="AI1375" s="3">
        <v>16</v>
      </c>
      <c r="AJ1375" s="3">
        <v>1</v>
      </c>
      <c r="AK1375" s="3">
        <v>7</v>
      </c>
      <c r="AL1375" s="3">
        <v>3</v>
      </c>
      <c r="AM1375" s="3">
        <v>15</v>
      </c>
      <c r="AN1375" s="3">
        <v>0</v>
      </c>
      <c r="AO1375" s="3">
        <v>5</v>
      </c>
      <c r="AP1375" s="3">
        <v>0</v>
      </c>
      <c r="AQ1375" s="3">
        <v>0</v>
      </c>
      <c r="AR1375" s="2" t="s">
        <v>5</v>
      </c>
      <c r="AS1375" s="2" t="s">
        <v>16</v>
      </c>
      <c r="AT1375" s="5" t="str">
        <f>HYPERLINK("http://catalog.hathitrust.org/Record/002780761","HathiTrust Record")</f>
        <v>HathiTrust Record</v>
      </c>
      <c r="AU1375" s="5" t="str">
        <f>HYPERLINK("https://creighton-primo.hosted.exlibrisgroup.com/primo-explore/search?tab=default_tab&amp;search_scope=EVERYTHING&amp;vid=01CRU&amp;lang=en_US&amp;offset=0&amp;query=any,contains,991000667789702656","Catalog Record")</f>
        <v>Catalog Record</v>
      </c>
      <c r="AV1375" s="5" t="str">
        <f>HYPERLINK("http://www.worldcat.org/oclc/29026791","WorldCat Record")</f>
        <v>WorldCat Record</v>
      </c>
      <c r="AW1375" s="2" t="s">
        <v>16449</v>
      </c>
      <c r="AX1375" s="2" t="s">
        <v>16460</v>
      </c>
      <c r="AY1375" s="2" t="s">
        <v>16461</v>
      </c>
      <c r="AZ1375" s="2" t="s">
        <v>16461</v>
      </c>
      <c r="BA1375" s="2" t="s">
        <v>16462</v>
      </c>
      <c r="BB1375" s="2" t="s">
        <v>21</v>
      </c>
      <c r="BD1375" s="2" t="s">
        <v>16463</v>
      </c>
      <c r="BE1375" s="2" t="s">
        <v>16464</v>
      </c>
      <c r="BF1375" s="2" t="s">
        <v>16465</v>
      </c>
    </row>
    <row r="1376" spans="1:58" ht="41.25" customHeight="1" x14ac:dyDescent="0.25">
      <c r="A1376" s="8" t="s">
        <v>5</v>
      </c>
      <c r="B1376" s="1" t="s">
        <v>0</v>
      </c>
      <c r="C1376" s="1" t="s">
        <v>1</v>
      </c>
      <c r="D1376" s="1" t="s">
        <v>16466</v>
      </c>
      <c r="E1376" s="1" t="s">
        <v>16467</v>
      </c>
      <c r="F1376" s="1" t="s">
        <v>16447</v>
      </c>
      <c r="H1376" s="2" t="s">
        <v>5</v>
      </c>
      <c r="I1376" s="2" t="s">
        <v>6</v>
      </c>
      <c r="J1376" s="2" t="s">
        <v>5</v>
      </c>
      <c r="K1376" s="2" t="s">
        <v>16</v>
      </c>
      <c r="L1376" s="2" t="s">
        <v>7</v>
      </c>
      <c r="M1376" s="1" t="s">
        <v>16424</v>
      </c>
      <c r="N1376" s="1" t="s">
        <v>1602</v>
      </c>
      <c r="O1376" s="2" t="s">
        <v>1378</v>
      </c>
      <c r="P1376" s="1" t="s">
        <v>1284</v>
      </c>
      <c r="Q1376" s="2" t="s">
        <v>11</v>
      </c>
      <c r="R1376" s="2" t="s">
        <v>31</v>
      </c>
      <c r="T1376" s="2" t="s">
        <v>520</v>
      </c>
      <c r="U1376" s="3">
        <v>24</v>
      </c>
      <c r="V1376" s="3">
        <v>24</v>
      </c>
      <c r="W1376" s="4" t="s">
        <v>15512</v>
      </c>
      <c r="X1376" s="4" t="s">
        <v>15512</v>
      </c>
      <c r="Y1376" s="4" t="s">
        <v>14196</v>
      </c>
      <c r="Z1376" s="4" t="s">
        <v>14196</v>
      </c>
      <c r="AA1376" s="3">
        <v>435</v>
      </c>
      <c r="AB1376" s="3">
        <v>343</v>
      </c>
      <c r="AC1376" s="3">
        <v>1058</v>
      </c>
      <c r="AD1376" s="3">
        <v>1</v>
      </c>
      <c r="AE1376" s="3">
        <v>8</v>
      </c>
      <c r="AF1376" s="3">
        <v>16</v>
      </c>
      <c r="AG1376" s="3">
        <v>36</v>
      </c>
      <c r="AH1376" s="3">
        <v>7</v>
      </c>
      <c r="AI1376" s="3">
        <v>16</v>
      </c>
      <c r="AJ1376" s="3">
        <v>5</v>
      </c>
      <c r="AK1376" s="3">
        <v>7</v>
      </c>
      <c r="AL1376" s="3">
        <v>7</v>
      </c>
      <c r="AM1376" s="3">
        <v>15</v>
      </c>
      <c r="AN1376" s="3">
        <v>0</v>
      </c>
      <c r="AO1376" s="3">
        <v>5</v>
      </c>
      <c r="AP1376" s="3">
        <v>0</v>
      </c>
      <c r="AQ1376" s="3">
        <v>0</v>
      </c>
      <c r="AR1376" s="2" t="s">
        <v>5</v>
      </c>
      <c r="AS1376" s="2" t="s">
        <v>16</v>
      </c>
      <c r="AT1376" s="5" t="str">
        <f>HYPERLINK("http://catalog.hathitrust.org/Record/003239846","HathiTrust Record")</f>
        <v>HathiTrust Record</v>
      </c>
      <c r="AU1376" s="5" t="str">
        <f>HYPERLINK("https://creighton-primo.hosted.exlibrisgroup.com/primo-explore/search?tab=default_tab&amp;search_scope=EVERYTHING&amp;vid=01CRU&amp;lang=en_US&amp;offset=0&amp;query=any,contains,991001793569702656","Catalog Record")</f>
        <v>Catalog Record</v>
      </c>
      <c r="AV1376" s="5" t="str">
        <f>HYPERLINK("http://www.worldcat.org/oclc/37322831","WorldCat Record")</f>
        <v>WorldCat Record</v>
      </c>
      <c r="AW1376" s="2" t="s">
        <v>16449</v>
      </c>
      <c r="AX1376" s="2" t="s">
        <v>16468</v>
      </c>
      <c r="AY1376" s="2" t="s">
        <v>16469</v>
      </c>
      <c r="AZ1376" s="2" t="s">
        <v>16469</v>
      </c>
      <c r="BA1376" s="2" t="s">
        <v>16470</v>
      </c>
      <c r="BB1376" s="2" t="s">
        <v>21</v>
      </c>
      <c r="BD1376" s="2" t="s">
        <v>16471</v>
      </c>
      <c r="BE1376" s="2" t="s">
        <v>16472</v>
      </c>
      <c r="BF1376" s="2" t="s">
        <v>16473</v>
      </c>
    </row>
    <row r="1377" spans="1:58" ht="41.25" customHeight="1" x14ac:dyDescent="0.25">
      <c r="A1377" s="8" t="s">
        <v>5</v>
      </c>
      <c r="B1377" s="1" t="s">
        <v>0</v>
      </c>
      <c r="C1377" s="1" t="s">
        <v>1</v>
      </c>
      <c r="D1377" s="1" t="s">
        <v>16474</v>
      </c>
      <c r="E1377" s="1" t="s">
        <v>16475</v>
      </c>
      <c r="F1377" s="1" t="s">
        <v>16476</v>
      </c>
      <c r="H1377" s="2" t="s">
        <v>5</v>
      </c>
      <c r="I1377" s="2" t="s">
        <v>6</v>
      </c>
      <c r="J1377" s="2" t="s">
        <v>5</v>
      </c>
      <c r="K1377" s="2" t="s">
        <v>16</v>
      </c>
      <c r="L1377" s="2" t="s">
        <v>7</v>
      </c>
      <c r="M1377" s="1" t="s">
        <v>16477</v>
      </c>
      <c r="N1377" s="1" t="s">
        <v>9154</v>
      </c>
      <c r="O1377" s="2" t="s">
        <v>1283</v>
      </c>
      <c r="P1377" s="1" t="s">
        <v>1208</v>
      </c>
      <c r="Q1377" s="2" t="s">
        <v>11</v>
      </c>
      <c r="R1377" s="2" t="s">
        <v>78</v>
      </c>
      <c r="T1377" s="2" t="s">
        <v>520</v>
      </c>
      <c r="U1377" s="3">
        <v>9</v>
      </c>
      <c r="V1377" s="3">
        <v>9</v>
      </c>
      <c r="W1377" s="4" t="s">
        <v>16478</v>
      </c>
      <c r="X1377" s="4" t="s">
        <v>16478</v>
      </c>
      <c r="Y1377" s="4" t="s">
        <v>1286</v>
      </c>
      <c r="Z1377" s="4" t="s">
        <v>1286</v>
      </c>
      <c r="AA1377" s="3">
        <v>319</v>
      </c>
      <c r="AB1377" s="3">
        <v>252</v>
      </c>
      <c r="AC1377" s="3">
        <v>1286</v>
      </c>
      <c r="AD1377" s="3">
        <v>1</v>
      </c>
      <c r="AE1377" s="3">
        <v>10</v>
      </c>
      <c r="AF1377" s="3">
        <v>12</v>
      </c>
      <c r="AG1377" s="3">
        <v>36</v>
      </c>
      <c r="AH1377" s="3">
        <v>7</v>
      </c>
      <c r="AI1377" s="3">
        <v>15</v>
      </c>
      <c r="AJ1377" s="3">
        <v>3</v>
      </c>
      <c r="AK1377" s="3">
        <v>5</v>
      </c>
      <c r="AL1377" s="3">
        <v>5</v>
      </c>
      <c r="AM1377" s="3">
        <v>16</v>
      </c>
      <c r="AN1377" s="3">
        <v>0</v>
      </c>
      <c r="AO1377" s="3">
        <v>7</v>
      </c>
      <c r="AP1377" s="3">
        <v>0</v>
      </c>
      <c r="AQ1377" s="3">
        <v>0</v>
      </c>
      <c r="AR1377" s="2" t="s">
        <v>5</v>
      </c>
      <c r="AS1377" s="2" t="s">
        <v>16</v>
      </c>
      <c r="AT1377" s="5" t="str">
        <f>HYPERLINK("http://catalog.hathitrust.org/Record/003106408","HathiTrust Record")</f>
        <v>HathiTrust Record</v>
      </c>
      <c r="AU1377" s="5" t="str">
        <f>HYPERLINK("https://creighton-primo.hosted.exlibrisgroup.com/primo-explore/search?tab=default_tab&amp;search_scope=EVERYTHING&amp;vid=01CRU&amp;lang=en_US&amp;offset=0&amp;query=any,contains,991000839449702656","Catalog Record")</f>
        <v>Catalog Record</v>
      </c>
      <c r="AV1377" s="5" t="str">
        <f>HYPERLINK("http://www.worldcat.org/oclc/35110160","WorldCat Record")</f>
        <v>WorldCat Record</v>
      </c>
      <c r="AW1377" s="2" t="s">
        <v>16479</v>
      </c>
      <c r="AX1377" s="2" t="s">
        <v>16480</v>
      </c>
      <c r="AY1377" s="2" t="s">
        <v>16481</v>
      </c>
      <c r="AZ1377" s="2" t="s">
        <v>16481</v>
      </c>
      <c r="BA1377" s="2" t="s">
        <v>16482</v>
      </c>
      <c r="BB1377" s="2" t="s">
        <v>21</v>
      </c>
      <c r="BD1377" s="2" t="s">
        <v>16483</v>
      </c>
      <c r="BE1377" s="2" t="s">
        <v>16484</v>
      </c>
      <c r="BF1377" s="2" t="s">
        <v>16485</v>
      </c>
    </row>
    <row r="1378" spans="1:58" ht="41.25" customHeight="1" x14ac:dyDescent="0.25">
      <c r="A1378" s="8" t="s">
        <v>5</v>
      </c>
      <c r="B1378" s="1" t="s">
        <v>0</v>
      </c>
      <c r="C1378" s="1" t="s">
        <v>1</v>
      </c>
      <c r="D1378" s="1" t="s">
        <v>16486</v>
      </c>
      <c r="E1378" s="1" t="s">
        <v>16487</v>
      </c>
      <c r="F1378" s="1" t="s">
        <v>16488</v>
      </c>
      <c r="H1378" s="2" t="s">
        <v>5</v>
      </c>
      <c r="I1378" s="2" t="s">
        <v>6</v>
      </c>
      <c r="J1378" s="2" t="s">
        <v>5</v>
      </c>
      <c r="K1378" s="2" t="s">
        <v>5</v>
      </c>
      <c r="L1378" s="2" t="s">
        <v>7</v>
      </c>
      <c r="M1378" s="1" t="s">
        <v>16477</v>
      </c>
      <c r="N1378" s="1" t="s">
        <v>16489</v>
      </c>
      <c r="O1378" s="2" t="s">
        <v>1339</v>
      </c>
      <c r="P1378" s="1" t="s">
        <v>355</v>
      </c>
      <c r="Q1378" s="2" t="s">
        <v>11</v>
      </c>
      <c r="R1378" s="2" t="s">
        <v>426</v>
      </c>
      <c r="S1378" s="1" t="s">
        <v>16490</v>
      </c>
      <c r="T1378" s="2" t="s">
        <v>520</v>
      </c>
      <c r="U1378" s="3">
        <v>17</v>
      </c>
      <c r="V1378" s="3">
        <v>17</v>
      </c>
      <c r="W1378" s="4" t="s">
        <v>1810</v>
      </c>
      <c r="X1378" s="4" t="s">
        <v>1810</v>
      </c>
      <c r="Y1378" s="4" t="s">
        <v>80</v>
      </c>
      <c r="Z1378" s="4" t="s">
        <v>80</v>
      </c>
      <c r="AA1378" s="3">
        <v>246</v>
      </c>
      <c r="AB1378" s="3">
        <v>199</v>
      </c>
      <c r="AC1378" s="3">
        <v>216</v>
      </c>
      <c r="AD1378" s="3">
        <v>2</v>
      </c>
      <c r="AE1378" s="3">
        <v>2</v>
      </c>
      <c r="AF1378" s="3">
        <v>9</v>
      </c>
      <c r="AG1378" s="3">
        <v>11</v>
      </c>
      <c r="AH1378" s="3">
        <v>3</v>
      </c>
      <c r="AI1378" s="3">
        <v>4</v>
      </c>
      <c r="AJ1378" s="3">
        <v>3</v>
      </c>
      <c r="AK1378" s="3">
        <v>4</v>
      </c>
      <c r="AL1378" s="3">
        <v>5</v>
      </c>
      <c r="AM1378" s="3">
        <v>5</v>
      </c>
      <c r="AN1378" s="3">
        <v>0</v>
      </c>
      <c r="AO1378" s="3">
        <v>0</v>
      </c>
      <c r="AP1378" s="3">
        <v>0</v>
      </c>
      <c r="AQ1378" s="3">
        <v>0</v>
      </c>
      <c r="AR1378" s="2" t="s">
        <v>5</v>
      </c>
      <c r="AS1378" s="2" t="s">
        <v>16</v>
      </c>
      <c r="AT1378" s="5" t="str">
        <f>HYPERLINK("http://catalog.hathitrust.org/Record/000842328","HathiTrust Record")</f>
        <v>HathiTrust Record</v>
      </c>
      <c r="AU1378" s="5" t="str">
        <f>HYPERLINK("https://creighton-primo.hosted.exlibrisgroup.com/primo-explore/search?tab=default_tab&amp;search_scope=EVERYTHING&amp;vid=01CRU&amp;lang=en_US&amp;offset=0&amp;query=any,contains,991001536429702656","Catalog Record")</f>
        <v>Catalog Record</v>
      </c>
      <c r="AV1378" s="5" t="str">
        <f>HYPERLINK("http://www.worldcat.org/oclc/15429514","WorldCat Record")</f>
        <v>WorldCat Record</v>
      </c>
      <c r="AW1378" s="2" t="s">
        <v>16491</v>
      </c>
      <c r="AX1378" s="2" t="s">
        <v>16492</v>
      </c>
      <c r="AY1378" s="2" t="s">
        <v>16493</v>
      </c>
      <c r="AZ1378" s="2" t="s">
        <v>16493</v>
      </c>
      <c r="BA1378" s="2" t="s">
        <v>16494</v>
      </c>
      <c r="BB1378" s="2" t="s">
        <v>21</v>
      </c>
      <c r="BD1378" s="2" t="s">
        <v>16495</v>
      </c>
      <c r="BE1378" s="2" t="s">
        <v>16496</v>
      </c>
      <c r="BF1378" s="2" t="s">
        <v>16497</v>
      </c>
    </row>
    <row r="1379" spans="1:58" ht="41.25" customHeight="1" x14ac:dyDescent="0.25">
      <c r="A1379" s="8" t="s">
        <v>5</v>
      </c>
      <c r="B1379" s="1" t="s">
        <v>0</v>
      </c>
      <c r="C1379" s="1" t="s">
        <v>1</v>
      </c>
      <c r="D1379" s="1" t="s">
        <v>16498</v>
      </c>
      <c r="E1379" s="1" t="s">
        <v>16499</v>
      </c>
      <c r="F1379" s="1" t="s">
        <v>16500</v>
      </c>
      <c r="H1379" s="2" t="s">
        <v>5</v>
      </c>
      <c r="I1379" s="2" t="s">
        <v>6</v>
      </c>
      <c r="J1379" s="2" t="s">
        <v>5</v>
      </c>
      <c r="K1379" s="2" t="s">
        <v>5</v>
      </c>
      <c r="L1379" s="2" t="s">
        <v>7</v>
      </c>
      <c r="M1379" s="1" t="s">
        <v>16477</v>
      </c>
      <c r="N1379" s="1" t="s">
        <v>1911</v>
      </c>
      <c r="O1379" s="2" t="s">
        <v>734</v>
      </c>
      <c r="Q1379" s="2" t="s">
        <v>11</v>
      </c>
      <c r="R1379" s="2" t="s">
        <v>426</v>
      </c>
      <c r="T1379" s="2" t="s">
        <v>520</v>
      </c>
      <c r="U1379" s="3">
        <v>2</v>
      </c>
      <c r="V1379" s="3">
        <v>2</v>
      </c>
      <c r="W1379" s="4" t="s">
        <v>16501</v>
      </c>
      <c r="X1379" s="4" t="s">
        <v>16501</v>
      </c>
      <c r="Y1379" s="4" t="s">
        <v>16284</v>
      </c>
      <c r="Z1379" s="4" t="s">
        <v>16284</v>
      </c>
      <c r="AA1379" s="3">
        <v>210</v>
      </c>
      <c r="AB1379" s="3">
        <v>185</v>
      </c>
      <c r="AC1379" s="3">
        <v>192</v>
      </c>
      <c r="AD1379" s="3">
        <v>1</v>
      </c>
      <c r="AE1379" s="3">
        <v>1</v>
      </c>
      <c r="AF1379" s="3">
        <v>6</v>
      </c>
      <c r="AG1379" s="3">
        <v>6</v>
      </c>
      <c r="AH1379" s="3">
        <v>0</v>
      </c>
      <c r="AI1379" s="3">
        <v>0</v>
      </c>
      <c r="AJ1379" s="3">
        <v>4</v>
      </c>
      <c r="AK1379" s="3">
        <v>4</v>
      </c>
      <c r="AL1379" s="3">
        <v>4</v>
      </c>
      <c r="AM1379" s="3">
        <v>4</v>
      </c>
      <c r="AN1379" s="3">
        <v>0</v>
      </c>
      <c r="AO1379" s="3">
        <v>0</v>
      </c>
      <c r="AP1379" s="3">
        <v>0</v>
      </c>
      <c r="AQ1379" s="3">
        <v>0</v>
      </c>
      <c r="AR1379" s="2" t="s">
        <v>5</v>
      </c>
      <c r="AS1379" s="2" t="s">
        <v>16</v>
      </c>
      <c r="AT1379" s="5" t="str">
        <f>HYPERLINK("http://catalog.hathitrust.org/Record/000161551","HathiTrust Record")</f>
        <v>HathiTrust Record</v>
      </c>
      <c r="AU1379" s="5" t="str">
        <f>HYPERLINK("https://creighton-primo.hosted.exlibrisgroup.com/primo-explore/search?tab=default_tab&amp;search_scope=EVERYTHING&amp;vid=01CRU&amp;lang=en_US&amp;offset=0&amp;query=any,contains,991000864069702656","Catalog Record")</f>
        <v>Catalog Record</v>
      </c>
      <c r="AV1379" s="5" t="str">
        <f>HYPERLINK("http://www.worldcat.org/oclc/9557977","WorldCat Record")</f>
        <v>WorldCat Record</v>
      </c>
      <c r="AW1379" s="2" t="s">
        <v>16502</v>
      </c>
      <c r="AX1379" s="2" t="s">
        <v>16503</v>
      </c>
      <c r="AY1379" s="2" t="s">
        <v>16504</v>
      </c>
      <c r="AZ1379" s="2" t="s">
        <v>16504</v>
      </c>
      <c r="BA1379" s="2" t="s">
        <v>16505</v>
      </c>
      <c r="BB1379" s="2" t="s">
        <v>21</v>
      </c>
      <c r="BD1379" s="2" t="s">
        <v>16506</v>
      </c>
      <c r="BE1379" s="2" t="s">
        <v>16507</v>
      </c>
      <c r="BF1379" s="2" t="s">
        <v>16508</v>
      </c>
    </row>
    <row r="1380" spans="1:58" ht="41.25" customHeight="1" x14ac:dyDescent="0.25">
      <c r="A1380" s="8" t="s">
        <v>5</v>
      </c>
      <c r="B1380" s="1" t="s">
        <v>0</v>
      </c>
      <c r="C1380" s="1" t="s">
        <v>1</v>
      </c>
      <c r="D1380" s="1" t="s">
        <v>16509</v>
      </c>
      <c r="E1380" s="1" t="s">
        <v>16510</v>
      </c>
      <c r="F1380" s="1" t="s">
        <v>16511</v>
      </c>
      <c r="H1380" s="2" t="s">
        <v>5</v>
      </c>
      <c r="I1380" s="2" t="s">
        <v>6</v>
      </c>
      <c r="J1380" s="2" t="s">
        <v>5</v>
      </c>
      <c r="K1380" s="2" t="s">
        <v>5</v>
      </c>
      <c r="L1380" s="2" t="s">
        <v>7</v>
      </c>
      <c r="M1380" s="1" t="s">
        <v>16512</v>
      </c>
      <c r="N1380" s="1" t="s">
        <v>16513</v>
      </c>
      <c r="O1380" s="2" t="s">
        <v>92</v>
      </c>
      <c r="Q1380" s="2" t="s">
        <v>11</v>
      </c>
      <c r="R1380" s="2" t="s">
        <v>12</v>
      </c>
      <c r="T1380" s="2" t="s">
        <v>520</v>
      </c>
      <c r="U1380" s="3">
        <v>1</v>
      </c>
      <c r="V1380" s="3">
        <v>1</v>
      </c>
      <c r="W1380" s="4" t="s">
        <v>16514</v>
      </c>
      <c r="X1380" s="4" t="s">
        <v>16514</v>
      </c>
      <c r="Y1380" s="4" t="s">
        <v>49</v>
      </c>
      <c r="Z1380" s="4" t="s">
        <v>49</v>
      </c>
      <c r="AA1380" s="3">
        <v>231</v>
      </c>
      <c r="AB1380" s="3">
        <v>209</v>
      </c>
      <c r="AC1380" s="3">
        <v>212</v>
      </c>
      <c r="AD1380" s="3">
        <v>3</v>
      </c>
      <c r="AE1380" s="3">
        <v>3</v>
      </c>
      <c r="AF1380" s="3">
        <v>8</v>
      </c>
      <c r="AG1380" s="3">
        <v>8</v>
      </c>
      <c r="AH1380" s="3">
        <v>1</v>
      </c>
      <c r="AI1380" s="3">
        <v>1</v>
      </c>
      <c r="AJ1380" s="3">
        <v>2</v>
      </c>
      <c r="AK1380" s="3">
        <v>2</v>
      </c>
      <c r="AL1380" s="3">
        <v>4</v>
      </c>
      <c r="AM1380" s="3">
        <v>4</v>
      </c>
      <c r="AN1380" s="3">
        <v>2</v>
      </c>
      <c r="AO1380" s="3">
        <v>2</v>
      </c>
      <c r="AP1380" s="3">
        <v>0</v>
      </c>
      <c r="AQ1380" s="3">
        <v>0</v>
      </c>
      <c r="AR1380" s="2" t="s">
        <v>5</v>
      </c>
      <c r="AS1380" s="2" t="s">
        <v>16</v>
      </c>
      <c r="AT1380" s="5" t="str">
        <f>HYPERLINK("http://catalog.hathitrust.org/Record/000138857","HathiTrust Record")</f>
        <v>HathiTrust Record</v>
      </c>
      <c r="AU1380" s="5" t="str">
        <f>HYPERLINK("https://creighton-primo.hosted.exlibrisgroup.com/primo-explore/search?tab=default_tab&amp;search_scope=EVERYTHING&amp;vid=01CRU&amp;lang=en_US&amp;offset=0&amp;query=any,contains,991000864139702656","Catalog Record")</f>
        <v>Catalog Record</v>
      </c>
      <c r="AV1380" s="5" t="str">
        <f>HYPERLINK("http://www.worldcat.org/oclc/2372880","WorldCat Record")</f>
        <v>WorldCat Record</v>
      </c>
      <c r="AW1380" s="2" t="s">
        <v>16515</v>
      </c>
      <c r="AX1380" s="2" t="s">
        <v>16516</v>
      </c>
      <c r="AY1380" s="2" t="s">
        <v>16517</v>
      </c>
      <c r="AZ1380" s="2" t="s">
        <v>16517</v>
      </c>
      <c r="BA1380" s="2" t="s">
        <v>16518</v>
      </c>
      <c r="BB1380" s="2" t="s">
        <v>21</v>
      </c>
      <c r="BD1380" s="2" t="s">
        <v>16519</v>
      </c>
      <c r="BE1380" s="2" t="s">
        <v>16520</v>
      </c>
      <c r="BF1380" s="2" t="s">
        <v>16521</v>
      </c>
    </row>
    <row r="1381" spans="1:58" ht="41.25" customHeight="1" x14ac:dyDescent="0.25">
      <c r="A1381" s="8" t="s">
        <v>5</v>
      </c>
      <c r="B1381" s="1" t="s">
        <v>0</v>
      </c>
      <c r="C1381" s="1" t="s">
        <v>1</v>
      </c>
      <c r="D1381" s="1" t="s">
        <v>16522</v>
      </c>
      <c r="E1381" s="1" t="s">
        <v>16523</v>
      </c>
      <c r="F1381" s="1" t="s">
        <v>16524</v>
      </c>
      <c r="H1381" s="2" t="s">
        <v>5</v>
      </c>
      <c r="I1381" s="2" t="s">
        <v>6</v>
      </c>
      <c r="J1381" s="2" t="s">
        <v>5</v>
      </c>
      <c r="K1381" s="2" t="s">
        <v>5</v>
      </c>
      <c r="L1381" s="2" t="s">
        <v>7</v>
      </c>
      <c r="N1381" s="1" t="s">
        <v>1233</v>
      </c>
      <c r="O1381" s="2" t="s">
        <v>136</v>
      </c>
      <c r="Q1381" s="2" t="s">
        <v>11</v>
      </c>
      <c r="R1381" s="2" t="s">
        <v>31</v>
      </c>
      <c r="T1381" s="2" t="s">
        <v>520</v>
      </c>
      <c r="U1381" s="3">
        <v>32</v>
      </c>
      <c r="V1381" s="3">
        <v>32</v>
      </c>
      <c r="W1381" s="4" t="s">
        <v>16525</v>
      </c>
      <c r="X1381" s="4" t="s">
        <v>16525</v>
      </c>
      <c r="Y1381" s="4" t="s">
        <v>12940</v>
      </c>
      <c r="Z1381" s="4" t="s">
        <v>12940</v>
      </c>
      <c r="AA1381" s="3">
        <v>243</v>
      </c>
      <c r="AB1381" s="3">
        <v>193</v>
      </c>
      <c r="AC1381" s="3">
        <v>195</v>
      </c>
      <c r="AD1381" s="3">
        <v>1</v>
      </c>
      <c r="AE1381" s="3">
        <v>1</v>
      </c>
      <c r="AF1381" s="3">
        <v>10</v>
      </c>
      <c r="AG1381" s="3">
        <v>10</v>
      </c>
      <c r="AH1381" s="3">
        <v>3</v>
      </c>
      <c r="AI1381" s="3">
        <v>3</v>
      </c>
      <c r="AJ1381" s="3">
        <v>2</v>
      </c>
      <c r="AK1381" s="3">
        <v>2</v>
      </c>
      <c r="AL1381" s="3">
        <v>8</v>
      </c>
      <c r="AM1381" s="3">
        <v>8</v>
      </c>
      <c r="AN1381" s="3">
        <v>0</v>
      </c>
      <c r="AO1381" s="3">
        <v>0</v>
      </c>
      <c r="AP1381" s="3">
        <v>0</v>
      </c>
      <c r="AQ1381" s="3">
        <v>0</v>
      </c>
      <c r="AR1381" s="2" t="s">
        <v>5</v>
      </c>
      <c r="AS1381" s="2" t="s">
        <v>16</v>
      </c>
      <c r="AT1381" s="5" t="str">
        <f>HYPERLINK("http://catalog.hathitrust.org/Record/002453546","HathiTrust Record")</f>
        <v>HathiTrust Record</v>
      </c>
      <c r="AU1381" s="5" t="str">
        <f>HYPERLINK("https://creighton-primo.hosted.exlibrisgroup.com/primo-explore/search?tab=default_tab&amp;search_scope=EVERYTHING&amp;vid=01CRU&amp;lang=en_US&amp;offset=0&amp;query=any,contains,991001014839702656","Catalog Record")</f>
        <v>Catalog Record</v>
      </c>
      <c r="AV1381" s="5" t="str">
        <f>HYPERLINK("http://www.worldcat.org/oclc/23016645","WorldCat Record")</f>
        <v>WorldCat Record</v>
      </c>
      <c r="AW1381" s="2" t="s">
        <v>16526</v>
      </c>
      <c r="AX1381" s="2" t="s">
        <v>16527</v>
      </c>
      <c r="AY1381" s="2" t="s">
        <v>16528</v>
      </c>
      <c r="AZ1381" s="2" t="s">
        <v>16528</v>
      </c>
      <c r="BA1381" s="2" t="s">
        <v>16529</v>
      </c>
      <c r="BB1381" s="2" t="s">
        <v>21</v>
      </c>
      <c r="BD1381" s="2" t="s">
        <v>16530</v>
      </c>
      <c r="BE1381" s="2" t="s">
        <v>16531</v>
      </c>
      <c r="BF1381" s="2" t="s">
        <v>16532</v>
      </c>
    </row>
    <row r="1382" spans="1:58" ht="41.25" customHeight="1" x14ac:dyDescent="0.25">
      <c r="A1382" s="8" t="s">
        <v>5</v>
      </c>
      <c r="B1382" s="1" t="s">
        <v>0</v>
      </c>
      <c r="C1382" s="1" t="s">
        <v>1</v>
      </c>
      <c r="D1382" s="1" t="s">
        <v>16533</v>
      </c>
      <c r="E1382" s="1" t="s">
        <v>16534</v>
      </c>
      <c r="F1382" s="1" t="s">
        <v>16535</v>
      </c>
      <c r="H1382" s="2" t="s">
        <v>5</v>
      </c>
      <c r="I1382" s="2" t="s">
        <v>6</v>
      </c>
      <c r="J1382" s="2" t="s">
        <v>5</v>
      </c>
      <c r="K1382" s="2" t="s">
        <v>16</v>
      </c>
      <c r="L1382" s="2" t="s">
        <v>7</v>
      </c>
      <c r="N1382" s="1" t="s">
        <v>16536</v>
      </c>
      <c r="O1382" s="2" t="s">
        <v>107</v>
      </c>
      <c r="P1382" s="1" t="s">
        <v>901</v>
      </c>
      <c r="Q1382" s="2" t="s">
        <v>11</v>
      </c>
      <c r="R1382" s="2" t="s">
        <v>31</v>
      </c>
      <c r="T1382" s="2" t="s">
        <v>520</v>
      </c>
      <c r="U1382" s="3">
        <v>2</v>
      </c>
      <c r="V1382" s="3">
        <v>2</v>
      </c>
      <c r="W1382" s="4" t="s">
        <v>16537</v>
      </c>
      <c r="X1382" s="4" t="s">
        <v>16537</v>
      </c>
      <c r="Y1382" s="4" t="s">
        <v>16537</v>
      </c>
      <c r="Z1382" s="4" t="s">
        <v>16537</v>
      </c>
      <c r="AA1382" s="3">
        <v>417</v>
      </c>
      <c r="AB1382" s="3">
        <v>302</v>
      </c>
      <c r="AC1382" s="3">
        <v>904</v>
      </c>
      <c r="AD1382" s="3">
        <v>4</v>
      </c>
      <c r="AE1382" s="3">
        <v>6</v>
      </c>
      <c r="AF1382" s="3">
        <v>10</v>
      </c>
      <c r="AG1382" s="3">
        <v>24</v>
      </c>
      <c r="AH1382" s="3">
        <v>3</v>
      </c>
      <c r="AI1382" s="3">
        <v>8</v>
      </c>
      <c r="AJ1382" s="3">
        <v>2</v>
      </c>
      <c r="AK1382" s="3">
        <v>4</v>
      </c>
      <c r="AL1382" s="3">
        <v>4</v>
      </c>
      <c r="AM1382" s="3">
        <v>12</v>
      </c>
      <c r="AN1382" s="3">
        <v>3</v>
      </c>
      <c r="AO1382" s="3">
        <v>4</v>
      </c>
      <c r="AP1382" s="3">
        <v>0</v>
      </c>
      <c r="AQ1382" s="3">
        <v>0</v>
      </c>
      <c r="AR1382" s="2" t="s">
        <v>5</v>
      </c>
      <c r="AS1382" s="2" t="s">
        <v>16</v>
      </c>
      <c r="AT1382" s="5" t="str">
        <f>HYPERLINK("http://catalog.hathitrust.org/Record/005096249","HathiTrust Record")</f>
        <v>HathiTrust Record</v>
      </c>
      <c r="AU1382" s="5" t="str">
        <f>HYPERLINK("https://creighton-primo.hosted.exlibrisgroup.com/primo-explore/search?tab=default_tab&amp;search_scope=EVERYTHING&amp;vid=01CRU&amp;lang=en_US&amp;offset=0&amp;query=any,contains,991001737829702656","Catalog Record")</f>
        <v>Catalog Record</v>
      </c>
      <c r="AV1382" s="5" t="str">
        <f>HYPERLINK("http://www.worldcat.org/oclc/63176590","WorldCat Record")</f>
        <v>WorldCat Record</v>
      </c>
      <c r="AW1382" s="2" t="s">
        <v>16538</v>
      </c>
      <c r="AX1382" s="2" t="s">
        <v>16539</v>
      </c>
      <c r="AY1382" s="2" t="s">
        <v>16540</v>
      </c>
      <c r="AZ1382" s="2" t="s">
        <v>16540</v>
      </c>
      <c r="BA1382" s="2" t="s">
        <v>16541</v>
      </c>
      <c r="BB1382" s="2" t="s">
        <v>21</v>
      </c>
      <c r="BD1382" s="2" t="s">
        <v>16542</v>
      </c>
      <c r="BE1382" s="2" t="s">
        <v>16543</v>
      </c>
      <c r="BF1382" s="2" t="s">
        <v>16544</v>
      </c>
    </row>
    <row r="1383" spans="1:58" ht="41.25" customHeight="1" x14ac:dyDescent="0.25">
      <c r="A1383" s="8" t="s">
        <v>5</v>
      </c>
      <c r="B1383" s="1" t="s">
        <v>0</v>
      </c>
      <c r="C1383" s="1" t="s">
        <v>1</v>
      </c>
      <c r="D1383" s="1" t="s">
        <v>16545</v>
      </c>
      <c r="E1383" s="1" t="s">
        <v>16546</v>
      </c>
      <c r="F1383" s="1" t="s">
        <v>16547</v>
      </c>
      <c r="H1383" s="2" t="s">
        <v>5</v>
      </c>
      <c r="I1383" s="2" t="s">
        <v>6</v>
      </c>
      <c r="J1383" s="2" t="s">
        <v>5</v>
      </c>
      <c r="K1383" s="2" t="s">
        <v>5</v>
      </c>
      <c r="L1383" s="2" t="s">
        <v>7</v>
      </c>
      <c r="N1383" s="1" t="s">
        <v>1282</v>
      </c>
      <c r="O1383" s="2" t="s">
        <v>1283</v>
      </c>
      <c r="P1383" s="1" t="s">
        <v>211</v>
      </c>
      <c r="Q1383" s="2" t="s">
        <v>11</v>
      </c>
      <c r="R1383" s="2" t="s">
        <v>31</v>
      </c>
      <c r="T1383" s="2" t="s">
        <v>520</v>
      </c>
      <c r="U1383" s="3">
        <v>7</v>
      </c>
      <c r="V1383" s="3">
        <v>7</v>
      </c>
      <c r="W1383" s="4" t="s">
        <v>16478</v>
      </c>
      <c r="X1383" s="4" t="s">
        <v>16478</v>
      </c>
      <c r="Y1383" s="4" t="s">
        <v>1286</v>
      </c>
      <c r="Z1383" s="4" t="s">
        <v>1286</v>
      </c>
      <c r="AA1383" s="3">
        <v>381</v>
      </c>
      <c r="AB1383" s="3">
        <v>300</v>
      </c>
      <c r="AC1383" s="3">
        <v>306</v>
      </c>
      <c r="AD1383" s="3">
        <v>1</v>
      </c>
      <c r="AE1383" s="3">
        <v>1</v>
      </c>
      <c r="AF1383" s="3">
        <v>13</v>
      </c>
      <c r="AG1383" s="3">
        <v>13</v>
      </c>
      <c r="AH1383" s="3">
        <v>4</v>
      </c>
      <c r="AI1383" s="3">
        <v>4</v>
      </c>
      <c r="AJ1383" s="3">
        <v>5</v>
      </c>
      <c r="AK1383" s="3">
        <v>5</v>
      </c>
      <c r="AL1383" s="3">
        <v>7</v>
      </c>
      <c r="AM1383" s="3">
        <v>7</v>
      </c>
      <c r="AN1383" s="3">
        <v>0</v>
      </c>
      <c r="AO1383" s="3">
        <v>0</v>
      </c>
      <c r="AP1383" s="3">
        <v>0</v>
      </c>
      <c r="AQ1383" s="3">
        <v>0</v>
      </c>
      <c r="AR1383" s="2" t="s">
        <v>5</v>
      </c>
      <c r="AS1383" s="2" t="s">
        <v>16</v>
      </c>
      <c r="AT1383" s="5" t="str">
        <f>HYPERLINK("http://catalog.hathitrust.org/Record/003115949","HathiTrust Record")</f>
        <v>HathiTrust Record</v>
      </c>
      <c r="AU1383" s="5" t="str">
        <f>HYPERLINK("https://creighton-primo.hosted.exlibrisgroup.com/primo-explore/search?tab=default_tab&amp;search_scope=EVERYTHING&amp;vid=01CRU&amp;lang=en_US&amp;offset=0&amp;query=any,contains,991000839139702656","Catalog Record")</f>
        <v>Catalog Record</v>
      </c>
      <c r="AV1383" s="5" t="str">
        <f>HYPERLINK("http://www.worldcat.org/oclc/35249533","WorldCat Record")</f>
        <v>WorldCat Record</v>
      </c>
      <c r="AW1383" s="2" t="s">
        <v>16548</v>
      </c>
      <c r="AX1383" s="2" t="s">
        <v>16549</v>
      </c>
      <c r="AY1383" s="2" t="s">
        <v>16550</v>
      </c>
      <c r="AZ1383" s="2" t="s">
        <v>16550</v>
      </c>
      <c r="BA1383" s="2" t="s">
        <v>16551</v>
      </c>
      <c r="BB1383" s="2" t="s">
        <v>21</v>
      </c>
      <c r="BD1383" s="2" t="s">
        <v>16552</v>
      </c>
      <c r="BE1383" s="2" t="s">
        <v>16553</v>
      </c>
      <c r="BF1383" s="2" t="s">
        <v>16554</v>
      </c>
    </row>
    <row r="1384" spans="1:58" ht="41.25" customHeight="1" x14ac:dyDescent="0.25">
      <c r="A1384" s="8" t="s">
        <v>5</v>
      </c>
      <c r="B1384" s="1" t="s">
        <v>0</v>
      </c>
      <c r="C1384" s="1" t="s">
        <v>1</v>
      </c>
      <c r="D1384" s="1" t="s">
        <v>16555</v>
      </c>
      <c r="E1384" s="1" t="s">
        <v>16556</v>
      </c>
      <c r="F1384" s="1" t="s">
        <v>16557</v>
      </c>
      <c r="H1384" s="2" t="s">
        <v>5</v>
      </c>
      <c r="I1384" s="2" t="s">
        <v>6</v>
      </c>
      <c r="J1384" s="2" t="s">
        <v>5</v>
      </c>
      <c r="K1384" s="2" t="s">
        <v>5</v>
      </c>
      <c r="L1384" s="2" t="s">
        <v>7</v>
      </c>
      <c r="N1384" s="1" t="s">
        <v>16558</v>
      </c>
      <c r="O1384" s="2" t="s">
        <v>228</v>
      </c>
      <c r="Q1384" s="2" t="s">
        <v>11</v>
      </c>
      <c r="R1384" s="2" t="s">
        <v>1427</v>
      </c>
      <c r="S1384" s="1" t="s">
        <v>16559</v>
      </c>
      <c r="T1384" s="2" t="s">
        <v>520</v>
      </c>
      <c r="U1384" s="3">
        <v>1</v>
      </c>
      <c r="V1384" s="3">
        <v>1</v>
      </c>
      <c r="W1384" s="4" t="s">
        <v>16560</v>
      </c>
      <c r="X1384" s="4" t="s">
        <v>16560</v>
      </c>
      <c r="Y1384" s="4" t="s">
        <v>16284</v>
      </c>
      <c r="Z1384" s="4" t="s">
        <v>16284</v>
      </c>
      <c r="AA1384" s="3">
        <v>71</v>
      </c>
      <c r="AB1384" s="3">
        <v>21</v>
      </c>
      <c r="AC1384" s="3">
        <v>118</v>
      </c>
      <c r="AD1384" s="3">
        <v>1</v>
      </c>
      <c r="AE1384" s="3">
        <v>1</v>
      </c>
      <c r="AF1384" s="3">
        <v>1</v>
      </c>
      <c r="AG1384" s="3">
        <v>3</v>
      </c>
      <c r="AH1384" s="3">
        <v>0</v>
      </c>
      <c r="AI1384" s="3">
        <v>1</v>
      </c>
      <c r="AJ1384" s="3">
        <v>0</v>
      </c>
      <c r="AK1384" s="3">
        <v>1</v>
      </c>
      <c r="AL1384" s="3">
        <v>1</v>
      </c>
      <c r="AM1384" s="3">
        <v>2</v>
      </c>
      <c r="AN1384" s="3">
        <v>0</v>
      </c>
      <c r="AO1384" s="3">
        <v>0</v>
      </c>
      <c r="AP1384" s="3">
        <v>0</v>
      </c>
      <c r="AQ1384" s="3">
        <v>0</v>
      </c>
      <c r="AR1384" s="2" t="s">
        <v>5</v>
      </c>
      <c r="AS1384" s="2" t="s">
        <v>5</v>
      </c>
      <c r="AU1384" s="5" t="str">
        <f>HYPERLINK("https://creighton-primo.hosted.exlibrisgroup.com/primo-explore/search?tab=default_tab&amp;search_scope=EVERYTHING&amp;vid=01CRU&amp;lang=en_US&amp;offset=0&amp;query=any,contains,991000864239702656","Catalog Record")</f>
        <v>Catalog Record</v>
      </c>
      <c r="AV1384" s="5" t="str">
        <f>HYPERLINK("http://www.worldcat.org/oclc/8764896","WorldCat Record")</f>
        <v>WorldCat Record</v>
      </c>
      <c r="AW1384" s="2" t="s">
        <v>16561</v>
      </c>
      <c r="AX1384" s="2" t="s">
        <v>16562</v>
      </c>
      <c r="AY1384" s="2" t="s">
        <v>16563</v>
      </c>
      <c r="AZ1384" s="2" t="s">
        <v>16563</v>
      </c>
      <c r="BA1384" s="2" t="s">
        <v>16564</v>
      </c>
      <c r="BB1384" s="2" t="s">
        <v>21</v>
      </c>
      <c r="BD1384" s="2" t="s">
        <v>16565</v>
      </c>
      <c r="BE1384" s="2" t="s">
        <v>16566</v>
      </c>
      <c r="BF1384" s="2" t="s">
        <v>16567</v>
      </c>
    </row>
    <row r="1385" spans="1:58" ht="41.25" customHeight="1" x14ac:dyDescent="0.25">
      <c r="A1385" s="8" t="s">
        <v>5</v>
      </c>
      <c r="B1385" s="1" t="s">
        <v>0</v>
      </c>
      <c r="C1385" s="1" t="s">
        <v>1</v>
      </c>
      <c r="D1385" s="1" t="s">
        <v>16568</v>
      </c>
      <c r="E1385" s="1" t="s">
        <v>16569</v>
      </c>
      <c r="F1385" s="1" t="s">
        <v>16570</v>
      </c>
      <c r="H1385" s="2" t="s">
        <v>5</v>
      </c>
      <c r="I1385" s="2" t="s">
        <v>6</v>
      </c>
      <c r="J1385" s="2" t="s">
        <v>5</v>
      </c>
      <c r="K1385" s="2" t="s">
        <v>5</v>
      </c>
      <c r="L1385" s="2" t="s">
        <v>7</v>
      </c>
      <c r="N1385" s="1" t="s">
        <v>988</v>
      </c>
      <c r="O1385" s="2" t="s">
        <v>989</v>
      </c>
      <c r="Q1385" s="2" t="s">
        <v>11</v>
      </c>
      <c r="R1385" s="2" t="s">
        <v>426</v>
      </c>
      <c r="T1385" s="2" t="s">
        <v>520</v>
      </c>
      <c r="U1385" s="3">
        <v>3</v>
      </c>
      <c r="V1385" s="3">
        <v>3</v>
      </c>
      <c r="W1385" s="4" t="s">
        <v>16571</v>
      </c>
      <c r="X1385" s="4" t="s">
        <v>16571</v>
      </c>
      <c r="Y1385" s="4" t="s">
        <v>7656</v>
      </c>
      <c r="Z1385" s="4" t="s">
        <v>7656</v>
      </c>
      <c r="AA1385" s="3">
        <v>353</v>
      </c>
      <c r="AB1385" s="3">
        <v>300</v>
      </c>
      <c r="AC1385" s="3">
        <v>478</v>
      </c>
      <c r="AD1385" s="3">
        <v>3</v>
      </c>
      <c r="AE1385" s="3">
        <v>4</v>
      </c>
      <c r="AF1385" s="3">
        <v>13</v>
      </c>
      <c r="AG1385" s="3">
        <v>22</v>
      </c>
      <c r="AH1385" s="3">
        <v>6</v>
      </c>
      <c r="AI1385" s="3">
        <v>9</v>
      </c>
      <c r="AJ1385" s="3">
        <v>2</v>
      </c>
      <c r="AK1385" s="3">
        <v>4</v>
      </c>
      <c r="AL1385" s="3">
        <v>8</v>
      </c>
      <c r="AM1385" s="3">
        <v>13</v>
      </c>
      <c r="AN1385" s="3">
        <v>1</v>
      </c>
      <c r="AO1385" s="3">
        <v>2</v>
      </c>
      <c r="AP1385" s="3">
        <v>0</v>
      </c>
      <c r="AQ1385" s="3">
        <v>0</v>
      </c>
      <c r="AR1385" s="2" t="s">
        <v>5</v>
      </c>
      <c r="AS1385" s="2" t="s">
        <v>16</v>
      </c>
      <c r="AT1385" s="5" t="str">
        <f>HYPERLINK("http://catalog.hathitrust.org/Record/001949138","HathiTrust Record")</f>
        <v>HathiTrust Record</v>
      </c>
      <c r="AU1385" s="5" t="str">
        <f>HYPERLINK("https://creighton-primo.hosted.exlibrisgroup.com/primo-explore/search?tab=default_tab&amp;search_scope=EVERYTHING&amp;vid=01CRU&amp;lang=en_US&amp;offset=0&amp;query=any,contains,991001450739702656","Catalog Record")</f>
        <v>Catalog Record</v>
      </c>
      <c r="AV1385" s="5" t="str">
        <f>HYPERLINK("http://www.worldcat.org/oclc/19669362","WorldCat Record")</f>
        <v>WorldCat Record</v>
      </c>
      <c r="AW1385" s="2" t="s">
        <v>16572</v>
      </c>
      <c r="AX1385" s="2" t="s">
        <v>16573</v>
      </c>
      <c r="AY1385" s="2" t="s">
        <v>16574</v>
      </c>
      <c r="AZ1385" s="2" t="s">
        <v>16574</v>
      </c>
      <c r="BA1385" s="2" t="s">
        <v>16575</v>
      </c>
      <c r="BB1385" s="2" t="s">
        <v>21</v>
      </c>
      <c r="BD1385" s="2" t="s">
        <v>16576</v>
      </c>
      <c r="BE1385" s="2" t="s">
        <v>16577</v>
      </c>
      <c r="BF1385" s="2" t="s">
        <v>16578</v>
      </c>
    </row>
    <row r="1386" spans="1:58" ht="41.25" customHeight="1" x14ac:dyDescent="0.25">
      <c r="A1386" s="8" t="s">
        <v>5</v>
      </c>
      <c r="B1386" s="1" t="s">
        <v>0</v>
      </c>
      <c r="C1386" s="1" t="s">
        <v>1</v>
      </c>
      <c r="D1386" s="1" t="s">
        <v>16579</v>
      </c>
      <c r="E1386" s="1" t="s">
        <v>16580</v>
      </c>
      <c r="F1386" s="1" t="s">
        <v>16581</v>
      </c>
      <c r="H1386" s="2" t="s">
        <v>5</v>
      </c>
      <c r="I1386" s="2" t="s">
        <v>6</v>
      </c>
      <c r="J1386" s="2" t="s">
        <v>5</v>
      </c>
      <c r="K1386" s="2" t="s">
        <v>5</v>
      </c>
      <c r="L1386" s="2" t="s">
        <v>7</v>
      </c>
      <c r="M1386" s="1" t="s">
        <v>16582</v>
      </c>
      <c r="N1386" s="1" t="s">
        <v>3355</v>
      </c>
      <c r="O1386" s="2" t="s">
        <v>382</v>
      </c>
      <c r="Q1386" s="2" t="s">
        <v>11</v>
      </c>
      <c r="R1386" s="2" t="s">
        <v>2116</v>
      </c>
      <c r="T1386" s="2" t="s">
        <v>520</v>
      </c>
      <c r="U1386" s="3">
        <v>54</v>
      </c>
      <c r="V1386" s="3">
        <v>54</v>
      </c>
      <c r="W1386" s="4" t="s">
        <v>16583</v>
      </c>
      <c r="X1386" s="4" t="s">
        <v>16583</v>
      </c>
      <c r="Y1386" s="4" t="s">
        <v>14808</v>
      </c>
      <c r="Z1386" s="4" t="s">
        <v>14808</v>
      </c>
      <c r="AA1386" s="3">
        <v>307</v>
      </c>
      <c r="AB1386" s="3">
        <v>263</v>
      </c>
      <c r="AC1386" s="3">
        <v>280</v>
      </c>
      <c r="AD1386" s="3">
        <v>2</v>
      </c>
      <c r="AE1386" s="3">
        <v>2</v>
      </c>
      <c r="AF1386" s="3">
        <v>11</v>
      </c>
      <c r="AG1386" s="3">
        <v>13</v>
      </c>
      <c r="AH1386" s="3">
        <v>6</v>
      </c>
      <c r="AI1386" s="3">
        <v>7</v>
      </c>
      <c r="AJ1386" s="3">
        <v>3</v>
      </c>
      <c r="AK1386" s="3">
        <v>4</v>
      </c>
      <c r="AL1386" s="3">
        <v>6</v>
      </c>
      <c r="AM1386" s="3">
        <v>6</v>
      </c>
      <c r="AN1386" s="3">
        <v>0</v>
      </c>
      <c r="AO1386" s="3">
        <v>0</v>
      </c>
      <c r="AP1386" s="3">
        <v>0</v>
      </c>
      <c r="AQ1386" s="3">
        <v>0</v>
      </c>
      <c r="AR1386" s="2" t="s">
        <v>5</v>
      </c>
      <c r="AS1386" s="2" t="s">
        <v>16</v>
      </c>
      <c r="AT1386" s="5" t="str">
        <f>HYPERLINK("http://catalog.hathitrust.org/Record/000331898","HathiTrust Record")</f>
        <v>HathiTrust Record</v>
      </c>
      <c r="AU1386" s="5" t="str">
        <f>HYPERLINK("https://creighton-primo.hosted.exlibrisgroup.com/primo-explore/search?tab=default_tab&amp;search_scope=EVERYTHING&amp;vid=01CRU&amp;lang=en_US&amp;offset=0&amp;query=any,contains,991000734749702656","Catalog Record")</f>
        <v>Catalog Record</v>
      </c>
      <c r="AV1386" s="5" t="str">
        <f>HYPERLINK("http://www.worldcat.org/oclc/10948836","WorldCat Record")</f>
        <v>WorldCat Record</v>
      </c>
      <c r="AW1386" s="2" t="s">
        <v>16584</v>
      </c>
      <c r="AX1386" s="2" t="s">
        <v>16585</v>
      </c>
      <c r="AY1386" s="2" t="s">
        <v>16586</v>
      </c>
      <c r="AZ1386" s="2" t="s">
        <v>16586</v>
      </c>
      <c r="BA1386" s="2" t="s">
        <v>16587</v>
      </c>
      <c r="BB1386" s="2" t="s">
        <v>21</v>
      </c>
      <c r="BD1386" s="2" t="s">
        <v>16588</v>
      </c>
      <c r="BE1386" s="2" t="s">
        <v>16589</v>
      </c>
      <c r="BF1386" s="2" t="s">
        <v>16590</v>
      </c>
    </row>
    <row r="1387" spans="1:58" ht="41.25" customHeight="1" x14ac:dyDescent="0.25">
      <c r="A1387" s="8" t="s">
        <v>5</v>
      </c>
      <c r="B1387" s="1" t="s">
        <v>0</v>
      </c>
      <c r="C1387" s="1" t="s">
        <v>1</v>
      </c>
      <c r="D1387" s="1" t="s">
        <v>16591</v>
      </c>
      <c r="E1387" s="1" t="s">
        <v>16592</v>
      </c>
      <c r="F1387" s="1" t="s">
        <v>16593</v>
      </c>
      <c r="H1387" s="2" t="s">
        <v>5</v>
      </c>
      <c r="I1387" s="2" t="s">
        <v>6</v>
      </c>
      <c r="J1387" s="2" t="s">
        <v>5</v>
      </c>
      <c r="K1387" s="2" t="s">
        <v>5</v>
      </c>
      <c r="L1387" s="2" t="s">
        <v>7</v>
      </c>
      <c r="M1387" s="1" t="s">
        <v>16594</v>
      </c>
      <c r="N1387" s="1" t="s">
        <v>16595</v>
      </c>
      <c r="O1387" s="2" t="s">
        <v>354</v>
      </c>
      <c r="Q1387" s="2" t="s">
        <v>11</v>
      </c>
      <c r="R1387" s="2" t="s">
        <v>229</v>
      </c>
      <c r="T1387" s="2" t="s">
        <v>520</v>
      </c>
      <c r="U1387" s="3">
        <v>0</v>
      </c>
      <c r="V1387" s="3">
        <v>0</v>
      </c>
      <c r="W1387" s="4" t="s">
        <v>1443</v>
      </c>
      <c r="X1387" s="4" t="s">
        <v>1443</v>
      </c>
      <c r="Y1387" s="4" t="s">
        <v>604</v>
      </c>
      <c r="Z1387" s="4" t="s">
        <v>604</v>
      </c>
      <c r="AA1387" s="3">
        <v>220</v>
      </c>
      <c r="AB1387" s="3">
        <v>194</v>
      </c>
      <c r="AC1387" s="3">
        <v>197</v>
      </c>
      <c r="AD1387" s="3">
        <v>3</v>
      </c>
      <c r="AE1387" s="3">
        <v>3</v>
      </c>
      <c r="AF1387" s="3">
        <v>8</v>
      </c>
      <c r="AG1387" s="3">
        <v>8</v>
      </c>
      <c r="AH1387" s="3">
        <v>1</v>
      </c>
      <c r="AI1387" s="3">
        <v>1</v>
      </c>
      <c r="AJ1387" s="3">
        <v>3</v>
      </c>
      <c r="AK1387" s="3">
        <v>3</v>
      </c>
      <c r="AL1387" s="3">
        <v>3</v>
      </c>
      <c r="AM1387" s="3">
        <v>3</v>
      </c>
      <c r="AN1387" s="3">
        <v>2</v>
      </c>
      <c r="AO1387" s="3">
        <v>2</v>
      </c>
      <c r="AP1387" s="3">
        <v>0</v>
      </c>
      <c r="AQ1387" s="3">
        <v>0</v>
      </c>
      <c r="AR1387" s="2" t="s">
        <v>5</v>
      </c>
      <c r="AS1387" s="2" t="s">
        <v>16</v>
      </c>
      <c r="AT1387" s="5" t="str">
        <f>HYPERLINK("http://catalog.hathitrust.org/Record/000682464","HathiTrust Record")</f>
        <v>HathiTrust Record</v>
      </c>
      <c r="AU1387" s="5" t="str">
        <f>HYPERLINK("https://creighton-primo.hosted.exlibrisgroup.com/primo-explore/search?tab=default_tab&amp;search_scope=EVERYTHING&amp;vid=01CRU&amp;lang=en_US&amp;offset=0&amp;query=any,contains,991000176489702656","Catalog Record")</f>
        <v>Catalog Record</v>
      </c>
      <c r="AV1387" s="5" t="str">
        <f>HYPERLINK("http://www.worldcat.org/oclc/5411191","WorldCat Record")</f>
        <v>WorldCat Record</v>
      </c>
      <c r="AW1387" s="2" t="s">
        <v>16596</v>
      </c>
      <c r="AX1387" s="2" t="s">
        <v>16597</v>
      </c>
      <c r="AY1387" s="2" t="s">
        <v>16598</v>
      </c>
      <c r="AZ1387" s="2" t="s">
        <v>16598</v>
      </c>
      <c r="BA1387" s="2" t="s">
        <v>16599</v>
      </c>
      <c r="BB1387" s="2" t="s">
        <v>21</v>
      </c>
      <c r="BD1387" s="2" t="s">
        <v>16600</v>
      </c>
      <c r="BE1387" s="2" t="s">
        <v>16601</v>
      </c>
      <c r="BF1387" s="2" t="s">
        <v>16602</v>
      </c>
    </row>
    <row r="1388" spans="1:58" ht="41.25" customHeight="1" x14ac:dyDescent="0.25">
      <c r="A1388" s="8" t="s">
        <v>5</v>
      </c>
      <c r="B1388" s="1" t="s">
        <v>0</v>
      </c>
      <c r="C1388" s="1" t="s">
        <v>1</v>
      </c>
      <c r="D1388" s="1" t="s">
        <v>16603</v>
      </c>
      <c r="E1388" s="1" t="s">
        <v>16604</v>
      </c>
      <c r="F1388" s="1" t="s">
        <v>16605</v>
      </c>
      <c r="H1388" s="2" t="s">
        <v>5</v>
      </c>
      <c r="I1388" s="2" t="s">
        <v>6</v>
      </c>
      <c r="J1388" s="2" t="s">
        <v>5</v>
      </c>
      <c r="K1388" s="2" t="s">
        <v>5</v>
      </c>
      <c r="L1388" s="2" t="s">
        <v>7</v>
      </c>
      <c r="M1388" s="1" t="s">
        <v>16606</v>
      </c>
      <c r="N1388" s="1" t="s">
        <v>9760</v>
      </c>
      <c r="O1388" s="2" t="s">
        <v>888</v>
      </c>
      <c r="P1388" s="1" t="s">
        <v>16607</v>
      </c>
      <c r="Q1388" s="2" t="s">
        <v>11</v>
      </c>
      <c r="R1388" s="2" t="s">
        <v>426</v>
      </c>
      <c r="T1388" s="2" t="s">
        <v>520</v>
      </c>
      <c r="U1388" s="3">
        <v>3</v>
      </c>
      <c r="V1388" s="3">
        <v>3</v>
      </c>
      <c r="W1388" s="4" t="s">
        <v>16608</v>
      </c>
      <c r="X1388" s="4" t="s">
        <v>16608</v>
      </c>
      <c r="Y1388" s="4" t="s">
        <v>16284</v>
      </c>
      <c r="Z1388" s="4" t="s">
        <v>16284</v>
      </c>
      <c r="AA1388" s="3">
        <v>360</v>
      </c>
      <c r="AB1388" s="3">
        <v>295</v>
      </c>
      <c r="AC1388" s="3">
        <v>302</v>
      </c>
      <c r="AD1388" s="3">
        <v>4</v>
      </c>
      <c r="AE1388" s="3">
        <v>4</v>
      </c>
      <c r="AF1388" s="3">
        <v>7</v>
      </c>
      <c r="AG1388" s="3">
        <v>7</v>
      </c>
      <c r="AH1388" s="3">
        <v>2</v>
      </c>
      <c r="AI1388" s="3">
        <v>2</v>
      </c>
      <c r="AJ1388" s="3">
        <v>0</v>
      </c>
      <c r="AK1388" s="3">
        <v>0</v>
      </c>
      <c r="AL1388" s="3">
        <v>4</v>
      </c>
      <c r="AM1388" s="3">
        <v>4</v>
      </c>
      <c r="AN1388" s="3">
        <v>2</v>
      </c>
      <c r="AO1388" s="3">
        <v>2</v>
      </c>
      <c r="AP1388" s="3">
        <v>0</v>
      </c>
      <c r="AQ1388" s="3">
        <v>0</v>
      </c>
      <c r="AR1388" s="2" t="s">
        <v>5</v>
      </c>
      <c r="AS1388" s="2" t="s">
        <v>16</v>
      </c>
      <c r="AT1388" s="5" t="str">
        <f>HYPERLINK("http://catalog.hathitrust.org/Record/000204479","HathiTrust Record")</f>
        <v>HathiTrust Record</v>
      </c>
      <c r="AU1388" s="5" t="str">
        <f>HYPERLINK("https://creighton-primo.hosted.exlibrisgroup.com/primo-explore/search?tab=default_tab&amp;search_scope=EVERYTHING&amp;vid=01CRU&amp;lang=en_US&amp;offset=0&amp;query=any,contains,991000864289702656","Catalog Record")</f>
        <v>Catalog Record</v>
      </c>
      <c r="AV1388" s="5" t="str">
        <f>HYPERLINK("http://www.worldcat.org/oclc/9489046","WorldCat Record")</f>
        <v>WorldCat Record</v>
      </c>
      <c r="AW1388" s="2" t="s">
        <v>16609</v>
      </c>
      <c r="AX1388" s="2" t="s">
        <v>16610</v>
      </c>
      <c r="AY1388" s="2" t="s">
        <v>16611</v>
      </c>
      <c r="AZ1388" s="2" t="s">
        <v>16611</v>
      </c>
      <c r="BA1388" s="2" t="s">
        <v>16612</v>
      </c>
      <c r="BB1388" s="2" t="s">
        <v>21</v>
      </c>
      <c r="BD1388" s="2" t="s">
        <v>16613</v>
      </c>
      <c r="BE1388" s="2" t="s">
        <v>16614</v>
      </c>
      <c r="BF1388" s="2" t="s">
        <v>16615</v>
      </c>
    </row>
    <row r="1389" spans="1:58" ht="41.25" customHeight="1" x14ac:dyDescent="0.25">
      <c r="A1389" s="8" t="s">
        <v>5</v>
      </c>
      <c r="B1389" s="1" t="s">
        <v>0</v>
      </c>
      <c r="C1389" s="1" t="s">
        <v>1</v>
      </c>
      <c r="D1389" s="1" t="s">
        <v>16616</v>
      </c>
      <c r="E1389" s="1" t="s">
        <v>16617</v>
      </c>
      <c r="F1389" s="1" t="s">
        <v>16618</v>
      </c>
      <c r="H1389" s="2" t="s">
        <v>5</v>
      </c>
      <c r="I1389" s="2" t="s">
        <v>6</v>
      </c>
      <c r="J1389" s="2" t="s">
        <v>5</v>
      </c>
      <c r="K1389" s="2" t="s">
        <v>5</v>
      </c>
      <c r="L1389" s="2" t="s">
        <v>7</v>
      </c>
      <c r="N1389" s="1" t="s">
        <v>16619</v>
      </c>
      <c r="O1389" s="2" t="s">
        <v>414</v>
      </c>
      <c r="Q1389" s="2" t="s">
        <v>11</v>
      </c>
      <c r="R1389" s="2" t="s">
        <v>93</v>
      </c>
      <c r="S1389" s="1" t="s">
        <v>16620</v>
      </c>
      <c r="T1389" s="2" t="s">
        <v>520</v>
      </c>
      <c r="U1389" s="3">
        <v>1</v>
      </c>
      <c r="V1389" s="3">
        <v>1</v>
      </c>
      <c r="W1389" s="4" t="s">
        <v>1248</v>
      </c>
      <c r="X1389" s="4" t="s">
        <v>1248</v>
      </c>
      <c r="Y1389" s="4" t="s">
        <v>1249</v>
      </c>
      <c r="Z1389" s="4" t="s">
        <v>1249</v>
      </c>
      <c r="AA1389" s="3">
        <v>39</v>
      </c>
      <c r="AB1389" s="3">
        <v>35</v>
      </c>
      <c r="AC1389" s="3">
        <v>38</v>
      </c>
      <c r="AD1389" s="3">
        <v>1</v>
      </c>
      <c r="AE1389" s="3">
        <v>1</v>
      </c>
      <c r="AF1389" s="3">
        <v>1</v>
      </c>
      <c r="AG1389" s="3">
        <v>1</v>
      </c>
      <c r="AH1389" s="3">
        <v>0</v>
      </c>
      <c r="AI1389" s="3">
        <v>0</v>
      </c>
      <c r="AJ1389" s="3">
        <v>0</v>
      </c>
      <c r="AK1389" s="3">
        <v>0</v>
      </c>
      <c r="AL1389" s="3">
        <v>1</v>
      </c>
      <c r="AM1389" s="3">
        <v>1</v>
      </c>
      <c r="AN1389" s="3">
        <v>0</v>
      </c>
      <c r="AO1389" s="3">
        <v>0</v>
      </c>
      <c r="AP1389" s="3">
        <v>0</v>
      </c>
      <c r="AQ1389" s="3">
        <v>0</v>
      </c>
      <c r="AR1389" s="2" t="s">
        <v>5</v>
      </c>
      <c r="AS1389" s="2" t="s">
        <v>16</v>
      </c>
      <c r="AT1389" s="5" t="str">
        <f>HYPERLINK("http://catalog.hathitrust.org/Record/000192596","HathiTrust Record")</f>
        <v>HathiTrust Record</v>
      </c>
      <c r="AU1389" s="5" t="str">
        <f>HYPERLINK("https://creighton-primo.hosted.exlibrisgroup.com/primo-explore/search?tab=default_tab&amp;search_scope=EVERYTHING&amp;vid=01CRU&amp;lang=en_US&amp;offset=0&amp;query=any,contains,991001384149702656","Catalog Record")</f>
        <v>Catalog Record</v>
      </c>
      <c r="AV1389" s="5" t="str">
        <f>HYPERLINK("http://www.worldcat.org/oclc/1471687","WorldCat Record")</f>
        <v>WorldCat Record</v>
      </c>
      <c r="AW1389" s="2" t="s">
        <v>16621</v>
      </c>
      <c r="AX1389" s="2" t="s">
        <v>16622</v>
      </c>
      <c r="AY1389" s="2" t="s">
        <v>16623</v>
      </c>
      <c r="AZ1389" s="2" t="s">
        <v>16623</v>
      </c>
      <c r="BA1389" s="2" t="s">
        <v>16624</v>
      </c>
      <c r="BB1389" s="2" t="s">
        <v>21</v>
      </c>
      <c r="BE1389" s="2" t="s">
        <v>16625</v>
      </c>
      <c r="BF1389" s="2" t="s">
        <v>16626</v>
      </c>
    </row>
    <row r="1390" spans="1:58" ht="41.25" customHeight="1" x14ac:dyDescent="0.25">
      <c r="A1390" s="8" t="s">
        <v>5</v>
      </c>
      <c r="B1390" s="1" t="s">
        <v>0</v>
      </c>
      <c r="C1390" s="1" t="s">
        <v>1</v>
      </c>
      <c r="D1390" s="1" t="s">
        <v>16627</v>
      </c>
      <c r="E1390" s="1" t="s">
        <v>16628</v>
      </c>
      <c r="F1390" s="1" t="s">
        <v>16629</v>
      </c>
      <c r="H1390" s="2" t="s">
        <v>5</v>
      </c>
      <c r="I1390" s="2" t="s">
        <v>6</v>
      </c>
      <c r="J1390" s="2" t="s">
        <v>5</v>
      </c>
      <c r="K1390" s="2" t="s">
        <v>5</v>
      </c>
      <c r="L1390" s="2" t="s">
        <v>7</v>
      </c>
      <c r="N1390" s="1" t="s">
        <v>2384</v>
      </c>
      <c r="O1390" s="2" t="s">
        <v>888</v>
      </c>
      <c r="Q1390" s="2" t="s">
        <v>11</v>
      </c>
      <c r="R1390" s="2" t="s">
        <v>426</v>
      </c>
      <c r="T1390" s="2" t="s">
        <v>520</v>
      </c>
      <c r="U1390" s="3">
        <v>4</v>
      </c>
      <c r="V1390" s="3">
        <v>4</v>
      </c>
      <c r="W1390" s="4" t="s">
        <v>16630</v>
      </c>
      <c r="X1390" s="4" t="s">
        <v>16630</v>
      </c>
      <c r="Y1390" s="4" t="s">
        <v>15242</v>
      </c>
      <c r="Z1390" s="4" t="s">
        <v>15242</v>
      </c>
      <c r="AA1390" s="3">
        <v>222</v>
      </c>
      <c r="AB1390" s="3">
        <v>182</v>
      </c>
      <c r="AC1390" s="3">
        <v>356</v>
      </c>
      <c r="AD1390" s="3">
        <v>2</v>
      </c>
      <c r="AE1390" s="3">
        <v>3</v>
      </c>
      <c r="AF1390" s="3">
        <v>6</v>
      </c>
      <c r="AG1390" s="3">
        <v>13</v>
      </c>
      <c r="AH1390" s="3">
        <v>1</v>
      </c>
      <c r="AI1390" s="3">
        <v>4</v>
      </c>
      <c r="AJ1390" s="3">
        <v>4</v>
      </c>
      <c r="AK1390" s="3">
        <v>4</v>
      </c>
      <c r="AL1390" s="3">
        <v>3</v>
      </c>
      <c r="AM1390" s="3">
        <v>8</v>
      </c>
      <c r="AN1390" s="3">
        <v>0</v>
      </c>
      <c r="AO1390" s="3">
        <v>1</v>
      </c>
      <c r="AP1390" s="3">
        <v>0</v>
      </c>
      <c r="AQ1390" s="3">
        <v>0</v>
      </c>
      <c r="AR1390" s="2" t="s">
        <v>5</v>
      </c>
      <c r="AS1390" s="2" t="s">
        <v>16</v>
      </c>
      <c r="AT1390" s="5" t="str">
        <f>HYPERLINK("http://catalog.hathitrust.org/Record/000244967","HathiTrust Record")</f>
        <v>HathiTrust Record</v>
      </c>
      <c r="AU1390" s="5" t="str">
        <f>HYPERLINK("https://creighton-primo.hosted.exlibrisgroup.com/primo-explore/search?tab=default_tab&amp;search_scope=EVERYTHING&amp;vid=01CRU&amp;lang=en_US&amp;offset=0&amp;query=any,contains,991001531499702656","Catalog Record")</f>
        <v>Catalog Record</v>
      </c>
      <c r="AV1390" s="5" t="str">
        <f>HYPERLINK("http://www.worldcat.org/oclc/9945016","WorldCat Record")</f>
        <v>WorldCat Record</v>
      </c>
      <c r="AW1390" s="2" t="s">
        <v>16631</v>
      </c>
      <c r="AX1390" s="2" t="s">
        <v>16632</v>
      </c>
      <c r="AY1390" s="2" t="s">
        <v>16633</v>
      </c>
      <c r="AZ1390" s="2" t="s">
        <v>16633</v>
      </c>
      <c r="BA1390" s="2" t="s">
        <v>16634</v>
      </c>
      <c r="BB1390" s="2" t="s">
        <v>21</v>
      </c>
      <c r="BD1390" s="2" t="s">
        <v>16635</v>
      </c>
      <c r="BE1390" s="2" t="s">
        <v>16636</v>
      </c>
      <c r="BF1390" s="2" t="s">
        <v>16637</v>
      </c>
    </row>
    <row r="1391" spans="1:58" ht="41.25" customHeight="1" x14ac:dyDescent="0.25">
      <c r="A1391" s="8" t="s">
        <v>5</v>
      </c>
      <c r="B1391" s="1" t="s">
        <v>0</v>
      </c>
      <c r="C1391" s="1" t="s">
        <v>1</v>
      </c>
      <c r="D1391" s="1" t="s">
        <v>16638</v>
      </c>
      <c r="E1391" s="1" t="s">
        <v>16639</v>
      </c>
      <c r="F1391" s="1" t="s">
        <v>16640</v>
      </c>
      <c r="H1391" s="2" t="s">
        <v>5</v>
      </c>
      <c r="I1391" s="2" t="s">
        <v>6</v>
      </c>
      <c r="J1391" s="2" t="s">
        <v>5</v>
      </c>
      <c r="K1391" s="2" t="s">
        <v>5</v>
      </c>
      <c r="L1391" s="2" t="s">
        <v>7</v>
      </c>
      <c r="M1391" s="1" t="s">
        <v>16641</v>
      </c>
      <c r="N1391" s="1" t="s">
        <v>16642</v>
      </c>
      <c r="O1391" s="2" t="s">
        <v>228</v>
      </c>
      <c r="Q1391" s="2" t="s">
        <v>11</v>
      </c>
      <c r="R1391" s="2" t="s">
        <v>1427</v>
      </c>
      <c r="T1391" s="2" t="s">
        <v>520</v>
      </c>
      <c r="U1391" s="3">
        <v>6</v>
      </c>
      <c r="V1391" s="3">
        <v>6</v>
      </c>
      <c r="W1391" s="4" t="s">
        <v>16643</v>
      </c>
      <c r="X1391" s="4" t="s">
        <v>16643</v>
      </c>
      <c r="Y1391" s="4" t="s">
        <v>16284</v>
      </c>
      <c r="Z1391" s="4" t="s">
        <v>16284</v>
      </c>
      <c r="AA1391" s="3">
        <v>82</v>
      </c>
      <c r="AB1391" s="3">
        <v>12</v>
      </c>
      <c r="AC1391" s="3">
        <v>12</v>
      </c>
      <c r="AD1391" s="3">
        <v>1</v>
      </c>
      <c r="AE1391" s="3">
        <v>1</v>
      </c>
      <c r="AF1391" s="3">
        <v>0</v>
      </c>
      <c r="AG1391" s="3">
        <v>0</v>
      </c>
      <c r="AH1391" s="3">
        <v>0</v>
      </c>
      <c r="AI1391" s="3">
        <v>0</v>
      </c>
      <c r="AJ1391" s="3">
        <v>0</v>
      </c>
      <c r="AK1391" s="3">
        <v>0</v>
      </c>
      <c r="AL1391" s="3">
        <v>0</v>
      </c>
      <c r="AM1391" s="3">
        <v>0</v>
      </c>
      <c r="AN1391" s="3">
        <v>0</v>
      </c>
      <c r="AO1391" s="3">
        <v>0</v>
      </c>
      <c r="AP1391" s="3">
        <v>0</v>
      </c>
      <c r="AQ1391" s="3">
        <v>0</v>
      </c>
      <c r="AR1391" s="2" t="s">
        <v>5</v>
      </c>
      <c r="AS1391" s="2" t="s">
        <v>5</v>
      </c>
      <c r="AU1391" s="5" t="str">
        <f>HYPERLINK("https://creighton-primo.hosted.exlibrisgroup.com/primo-explore/search?tab=default_tab&amp;search_scope=EVERYTHING&amp;vid=01CRU&amp;lang=en_US&amp;offset=0&amp;query=any,contains,991000864329702656","Catalog Record")</f>
        <v>Catalog Record</v>
      </c>
      <c r="AV1391" s="5" t="str">
        <f>HYPERLINK("http://www.worldcat.org/oclc/9017285","WorldCat Record")</f>
        <v>WorldCat Record</v>
      </c>
      <c r="AW1391" s="2" t="s">
        <v>16644</v>
      </c>
      <c r="AX1391" s="2" t="s">
        <v>16645</v>
      </c>
      <c r="AY1391" s="2" t="s">
        <v>16646</v>
      </c>
      <c r="AZ1391" s="2" t="s">
        <v>16646</v>
      </c>
      <c r="BA1391" s="2" t="s">
        <v>16647</v>
      </c>
      <c r="BB1391" s="2" t="s">
        <v>21</v>
      </c>
      <c r="BD1391" s="2" t="s">
        <v>16648</v>
      </c>
      <c r="BE1391" s="2" t="s">
        <v>16649</v>
      </c>
      <c r="BF1391" s="2" t="s">
        <v>16650</v>
      </c>
    </row>
    <row r="1392" spans="1:58" ht="41.25" customHeight="1" x14ac:dyDescent="0.25">
      <c r="A1392" s="8" t="s">
        <v>5</v>
      </c>
      <c r="B1392" s="1" t="s">
        <v>0</v>
      </c>
      <c r="C1392" s="1" t="s">
        <v>1</v>
      </c>
      <c r="D1392" s="1" t="s">
        <v>16651</v>
      </c>
      <c r="E1392" s="1" t="s">
        <v>16652</v>
      </c>
      <c r="F1392" s="1" t="s">
        <v>16653</v>
      </c>
      <c r="H1392" s="2" t="s">
        <v>5</v>
      </c>
      <c r="I1392" s="2" t="s">
        <v>6</v>
      </c>
      <c r="J1392" s="2" t="s">
        <v>5</v>
      </c>
      <c r="K1392" s="2" t="s">
        <v>5</v>
      </c>
      <c r="L1392" s="2" t="s">
        <v>7</v>
      </c>
      <c r="M1392" s="1" t="s">
        <v>16654</v>
      </c>
      <c r="N1392" s="1" t="s">
        <v>16655</v>
      </c>
      <c r="O1392" s="2" t="s">
        <v>1378</v>
      </c>
      <c r="P1392" s="1" t="s">
        <v>901</v>
      </c>
      <c r="Q1392" s="2" t="s">
        <v>11</v>
      </c>
      <c r="R1392" s="2" t="s">
        <v>12</v>
      </c>
      <c r="T1392" s="2" t="s">
        <v>520</v>
      </c>
      <c r="U1392" s="3">
        <v>2</v>
      </c>
      <c r="V1392" s="3">
        <v>2</v>
      </c>
      <c r="W1392" s="4" t="s">
        <v>16656</v>
      </c>
      <c r="X1392" s="4" t="s">
        <v>16656</v>
      </c>
      <c r="Y1392" s="4" t="s">
        <v>16657</v>
      </c>
      <c r="Z1392" s="4" t="s">
        <v>16657</v>
      </c>
      <c r="AA1392" s="3">
        <v>48</v>
      </c>
      <c r="AB1392" s="3">
        <v>38</v>
      </c>
      <c r="AC1392" s="3">
        <v>268</v>
      </c>
      <c r="AD1392" s="3">
        <v>1</v>
      </c>
      <c r="AE1392" s="3">
        <v>3</v>
      </c>
      <c r="AF1392" s="3">
        <v>0</v>
      </c>
      <c r="AG1392" s="3">
        <v>3</v>
      </c>
      <c r="AH1392" s="3">
        <v>0</v>
      </c>
      <c r="AI1392" s="3">
        <v>0</v>
      </c>
      <c r="AJ1392" s="3">
        <v>0</v>
      </c>
      <c r="AK1392" s="3">
        <v>0</v>
      </c>
      <c r="AL1392" s="3">
        <v>0</v>
      </c>
      <c r="AM1392" s="3">
        <v>1</v>
      </c>
      <c r="AN1392" s="3">
        <v>0</v>
      </c>
      <c r="AO1392" s="3">
        <v>2</v>
      </c>
      <c r="AP1392" s="3">
        <v>0</v>
      </c>
      <c r="AQ1392" s="3">
        <v>0</v>
      </c>
      <c r="AR1392" s="2" t="s">
        <v>5</v>
      </c>
      <c r="AS1392" s="2" t="s">
        <v>16</v>
      </c>
      <c r="AT1392" s="5" t="str">
        <f>HYPERLINK("http://catalog.hathitrust.org/Record/003946767","HathiTrust Record")</f>
        <v>HathiTrust Record</v>
      </c>
      <c r="AU1392" s="5" t="str">
        <f>HYPERLINK("https://creighton-primo.hosted.exlibrisgroup.com/primo-explore/search?tab=default_tab&amp;search_scope=EVERYTHING&amp;vid=01CRU&amp;lang=en_US&amp;offset=0&amp;query=any,contains,991001140519702656","Catalog Record")</f>
        <v>Catalog Record</v>
      </c>
      <c r="AV1392" s="5" t="str">
        <f>HYPERLINK("http://www.worldcat.org/oclc/36225478","WorldCat Record")</f>
        <v>WorldCat Record</v>
      </c>
      <c r="AW1392" s="2" t="s">
        <v>16658</v>
      </c>
      <c r="AX1392" s="2" t="s">
        <v>16659</v>
      </c>
      <c r="AY1392" s="2" t="s">
        <v>16660</v>
      </c>
      <c r="AZ1392" s="2" t="s">
        <v>16660</v>
      </c>
      <c r="BA1392" s="2" t="s">
        <v>16661</v>
      </c>
      <c r="BB1392" s="2" t="s">
        <v>21</v>
      </c>
      <c r="BD1392" s="2" t="s">
        <v>16662</v>
      </c>
      <c r="BE1392" s="2" t="s">
        <v>16663</v>
      </c>
      <c r="BF1392" s="2" t="s">
        <v>16664</v>
      </c>
    </row>
    <row r="1393" spans="1:58" ht="41.25" customHeight="1" x14ac:dyDescent="0.25">
      <c r="A1393" s="8" t="s">
        <v>5</v>
      </c>
      <c r="B1393" s="1" t="s">
        <v>0</v>
      </c>
      <c r="C1393" s="1" t="s">
        <v>1</v>
      </c>
      <c r="D1393" s="1" t="s">
        <v>16665</v>
      </c>
      <c r="E1393" s="1" t="s">
        <v>16666</v>
      </c>
      <c r="F1393" s="1" t="s">
        <v>16667</v>
      </c>
      <c r="H1393" s="2" t="s">
        <v>5</v>
      </c>
      <c r="I1393" s="2" t="s">
        <v>6</v>
      </c>
      <c r="J1393" s="2" t="s">
        <v>5</v>
      </c>
      <c r="K1393" s="2" t="s">
        <v>5</v>
      </c>
      <c r="L1393" s="2" t="s">
        <v>7</v>
      </c>
      <c r="M1393" s="1" t="s">
        <v>16668</v>
      </c>
      <c r="N1393" s="1" t="s">
        <v>16669</v>
      </c>
      <c r="O1393" s="2" t="s">
        <v>10</v>
      </c>
      <c r="Q1393" s="2" t="s">
        <v>11</v>
      </c>
      <c r="R1393" s="2" t="s">
        <v>1140</v>
      </c>
      <c r="T1393" s="2" t="s">
        <v>520</v>
      </c>
      <c r="U1393" s="3">
        <v>2</v>
      </c>
      <c r="V1393" s="3">
        <v>2</v>
      </c>
      <c r="W1393" s="4" t="s">
        <v>16560</v>
      </c>
      <c r="X1393" s="4" t="s">
        <v>16560</v>
      </c>
      <c r="Y1393" s="4" t="s">
        <v>16284</v>
      </c>
      <c r="Z1393" s="4" t="s">
        <v>16284</v>
      </c>
      <c r="AA1393" s="3">
        <v>240</v>
      </c>
      <c r="AB1393" s="3">
        <v>213</v>
      </c>
      <c r="AC1393" s="3">
        <v>213</v>
      </c>
      <c r="AD1393" s="3">
        <v>3</v>
      </c>
      <c r="AE1393" s="3">
        <v>3</v>
      </c>
      <c r="AF1393" s="3">
        <v>9</v>
      </c>
      <c r="AG1393" s="3">
        <v>9</v>
      </c>
      <c r="AH1393" s="3">
        <v>2</v>
      </c>
      <c r="AI1393" s="3">
        <v>2</v>
      </c>
      <c r="AJ1393" s="3">
        <v>3</v>
      </c>
      <c r="AK1393" s="3">
        <v>3</v>
      </c>
      <c r="AL1393" s="3">
        <v>4</v>
      </c>
      <c r="AM1393" s="3">
        <v>4</v>
      </c>
      <c r="AN1393" s="3">
        <v>2</v>
      </c>
      <c r="AO1393" s="3">
        <v>2</v>
      </c>
      <c r="AP1393" s="3">
        <v>0</v>
      </c>
      <c r="AQ1393" s="3">
        <v>0</v>
      </c>
      <c r="AR1393" s="2" t="s">
        <v>5</v>
      </c>
      <c r="AS1393" s="2" t="s">
        <v>16</v>
      </c>
      <c r="AT1393" s="5" t="str">
        <f>HYPERLINK("http://catalog.hathitrust.org/Record/010058032","HathiTrust Record")</f>
        <v>HathiTrust Record</v>
      </c>
      <c r="AU1393" s="5" t="str">
        <f>HYPERLINK("https://creighton-primo.hosted.exlibrisgroup.com/primo-explore/search?tab=default_tab&amp;search_scope=EVERYTHING&amp;vid=01CRU&amp;lang=en_US&amp;offset=0&amp;query=any,contains,991000864419702656","Catalog Record")</f>
        <v>Catalog Record</v>
      </c>
      <c r="AV1393" s="5" t="str">
        <f>HYPERLINK("http://www.worldcat.org/oclc/2818625","WorldCat Record")</f>
        <v>WorldCat Record</v>
      </c>
      <c r="AW1393" s="2" t="s">
        <v>16670</v>
      </c>
      <c r="AX1393" s="2" t="s">
        <v>16671</v>
      </c>
      <c r="AY1393" s="2" t="s">
        <v>16672</v>
      </c>
      <c r="AZ1393" s="2" t="s">
        <v>16672</v>
      </c>
      <c r="BA1393" s="2" t="s">
        <v>16673</v>
      </c>
      <c r="BB1393" s="2" t="s">
        <v>21</v>
      </c>
      <c r="BD1393" s="2" t="s">
        <v>16674</v>
      </c>
      <c r="BE1393" s="2" t="s">
        <v>16675</v>
      </c>
      <c r="BF1393" s="2" t="s">
        <v>16676</v>
      </c>
    </row>
    <row r="1394" spans="1:58" ht="41.25" customHeight="1" x14ac:dyDescent="0.25">
      <c r="A1394" s="8" t="s">
        <v>5</v>
      </c>
      <c r="B1394" s="1" t="s">
        <v>0</v>
      </c>
      <c r="C1394" s="1" t="s">
        <v>1</v>
      </c>
      <c r="D1394" s="1" t="s">
        <v>16677</v>
      </c>
      <c r="E1394" s="1" t="s">
        <v>16678</v>
      </c>
      <c r="F1394" s="1" t="s">
        <v>16679</v>
      </c>
      <c r="H1394" s="2" t="s">
        <v>5</v>
      </c>
      <c r="I1394" s="2" t="s">
        <v>6</v>
      </c>
      <c r="J1394" s="2" t="s">
        <v>5</v>
      </c>
      <c r="K1394" s="2" t="s">
        <v>5</v>
      </c>
      <c r="L1394" s="2" t="s">
        <v>7</v>
      </c>
      <c r="N1394" s="1" t="s">
        <v>16680</v>
      </c>
      <c r="O1394" s="2" t="s">
        <v>382</v>
      </c>
      <c r="Q1394" s="2" t="s">
        <v>11</v>
      </c>
      <c r="R1394" s="2" t="s">
        <v>426</v>
      </c>
      <c r="T1394" s="2" t="s">
        <v>520</v>
      </c>
      <c r="U1394" s="3">
        <v>2</v>
      </c>
      <c r="V1394" s="3">
        <v>2</v>
      </c>
      <c r="W1394" s="4" t="s">
        <v>6610</v>
      </c>
      <c r="X1394" s="4" t="s">
        <v>6610</v>
      </c>
      <c r="Y1394" s="4" t="s">
        <v>16284</v>
      </c>
      <c r="Z1394" s="4" t="s">
        <v>16284</v>
      </c>
      <c r="AA1394" s="3">
        <v>223</v>
      </c>
      <c r="AB1394" s="3">
        <v>187</v>
      </c>
      <c r="AC1394" s="3">
        <v>189</v>
      </c>
      <c r="AD1394" s="3">
        <v>1</v>
      </c>
      <c r="AE1394" s="3">
        <v>1</v>
      </c>
      <c r="AF1394" s="3">
        <v>6</v>
      </c>
      <c r="AG1394" s="3">
        <v>6</v>
      </c>
      <c r="AH1394" s="3">
        <v>3</v>
      </c>
      <c r="AI1394" s="3">
        <v>3</v>
      </c>
      <c r="AJ1394" s="3">
        <v>2</v>
      </c>
      <c r="AK1394" s="3">
        <v>2</v>
      </c>
      <c r="AL1394" s="3">
        <v>4</v>
      </c>
      <c r="AM1394" s="3">
        <v>4</v>
      </c>
      <c r="AN1394" s="3">
        <v>0</v>
      </c>
      <c r="AO1394" s="3">
        <v>0</v>
      </c>
      <c r="AP1394" s="3">
        <v>0</v>
      </c>
      <c r="AQ1394" s="3">
        <v>0</v>
      </c>
      <c r="AR1394" s="2" t="s">
        <v>5</v>
      </c>
      <c r="AS1394" s="2" t="s">
        <v>16</v>
      </c>
      <c r="AT1394" s="5" t="str">
        <f>HYPERLINK("http://catalog.hathitrust.org/Record/000569146","HathiTrust Record")</f>
        <v>HathiTrust Record</v>
      </c>
      <c r="AU1394" s="5" t="str">
        <f>HYPERLINK("https://creighton-primo.hosted.exlibrisgroup.com/primo-explore/search?tab=default_tab&amp;search_scope=EVERYTHING&amp;vid=01CRU&amp;lang=en_US&amp;offset=0&amp;query=any,contains,991000864439702656","Catalog Record")</f>
        <v>Catalog Record</v>
      </c>
      <c r="AV1394" s="5" t="str">
        <f>HYPERLINK("http://www.worldcat.org/oclc/11469620","WorldCat Record")</f>
        <v>WorldCat Record</v>
      </c>
      <c r="AW1394" s="2" t="s">
        <v>16681</v>
      </c>
      <c r="AX1394" s="2" t="s">
        <v>16682</v>
      </c>
      <c r="AY1394" s="2" t="s">
        <v>16683</v>
      </c>
      <c r="AZ1394" s="2" t="s">
        <v>16683</v>
      </c>
      <c r="BA1394" s="2" t="s">
        <v>16684</v>
      </c>
      <c r="BB1394" s="2" t="s">
        <v>21</v>
      </c>
      <c r="BD1394" s="2" t="s">
        <v>16685</v>
      </c>
      <c r="BE1394" s="2" t="s">
        <v>16686</v>
      </c>
      <c r="BF1394" s="2" t="s">
        <v>16687</v>
      </c>
    </row>
    <row r="1395" spans="1:58" ht="41.25" customHeight="1" x14ac:dyDescent="0.25">
      <c r="A1395" s="8" t="s">
        <v>5</v>
      </c>
      <c r="B1395" s="1" t="s">
        <v>0</v>
      </c>
      <c r="C1395" s="1" t="s">
        <v>1</v>
      </c>
      <c r="D1395" s="1" t="s">
        <v>16688</v>
      </c>
      <c r="E1395" s="1" t="s">
        <v>16689</v>
      </c>
      <c r="F1395" s="1" t="s">
        <v>16690</v>
      </c>
      <c r="H1395" s="2" t="s">
        <v>5</v>
      </c>
      <c r="I1395" s="2" t="s">
        <v>6</v>
      </c>
      <c r="J1395" s="2" t="s">
        <v>5</v>
      </c>
      <c r="K1395" s="2" t="s">
        <v>5</v>
      </c>
      <c r="L1395" s="2" t="s">
        <v>7</v>
      </c>
      <c r="M1395" s="1" t="s">
        <v>16691</v>
      </c>
      <c r="N1395" s="1" t="s">
        <v>16692</v>
      </c>
      <c r="O1395" s="2" t="s">
        <v>393</v>
      </c>
      <c r="P1395" s="1" t="s">
        <v>211</v>
      </c>
      <c r="Q1395" s="2" t="s">
        <v>11</v>
      </c>
      <c r="R1395" s="2" t="s">
        <v>1427</v>
      </c>
      <c r="T1395" s="2" t="s">
        <v>520</v>
      </c>
      <c r="U1395" s="3">
        <v>2</v>
      </c>
      <c r="V1395" s="3">
        <v>2</v>
      </c>
      <c r="W1395" s="4" t="s">
        <v>16283</v>
      </c>
      <c r="X1395" s="4" t="s">
        <v>16283</v>
      </c>
      <c r="Y1395" s="4" t="s">
        <v>16284</v>
      </c>
      <c r="Z1395" s="4" t="s">
        <v>16284</v>
      </c>
      <c r="AA1395" s="3">
        <v>147</v>
      </c>
      <c r="AB1395" s="3">
        <v>81</v>
      </c>
      <c r="AC1395" s="3">
        <v>433</v>
      </c>
      <c r="AD1395" s="3">
        <v>1</v>
      </c>
      <c r="AE1395" s="3">
        <v>4</v>
      </c>
      <c r="AF1395" s="3">
        <v>3</v>
      </c>
      <c r="AG1395" s="3">
        <v>10</v>
      </c>
      <c r="AH1395" s="3">
        <v>1</v>
      </c>
      <c r="AI1395" s="3">
        <v>3</v>
      </c>
      <c r="AJ1395" s="3">
        <v>1</v>
      </c>
      <c r="AK1395" s="3">
        <v>2</v>
      </c>
      <c r="AL1395" s="3">
        <v>1</v>
      </c>
      <c r="AM1395" s="3">
        <v>4</v>
      </c>
      <c r="AN1395" s="3">
        <v>0</v>
      </c>
      <c r="AO1395" s="3">
        <v>2</v>
      </c>
      <c r="AP1395" s="3">
        <v>0</v>
      </c>
      <c r="AQ1395" s="3">
        <v>0</v>
      </c>
      <c r="AR1395" s="2" t="s">
        <v>5</v>
      </c>
      <c r="AS1395" s="2" t="s">
        <v>16</v>
      </c>
      <c r="AT1395" s="5" t="str">
        <f>HYPERLINK("http://catalog.hathitrust.org/Record/000767094","HathiTrust Record")</f>
        <v>HathiTrust Record</v>
      </c>
      <c r="AU1395" s="5" t="str">
        <f>HYPERLINK("https://creighton-primo.hosted.exlibrisgroup.com/primo-explore/search?tab=default_tab&amp;search_scope=EVERYTHING&amp;vid=01CRU&amp;lang=en_US&amp;offset=0&amp;query=any,contains,991000864479702656","Catalog Record")</f>
        <v>Catalog Record</v>
      </c>
      <c r="AV1395" s="5" t="str">
        <f>HYPERLINK("http://www.worldcat.org/oclc/7553814","WorldCat Record")</f>
        <v>WorldCat Record</v>
      </c>
      <c r="AW1395" s="2" t="s">
        <v>16693</v>
      </c>
      <c r="AX1395" s="2" t="s">
        <v>16694</v>
      </c>
      <c r="AY1395" s="2" t="s">
        <v>16695</v>
      </c>
      <c r="AZ1395" s="2" t="s">
        <v>16695</v>
      </c>
      <c r="BA1395" s="2" t="s">
        <v>16696</v>
      </c>
      <c r="BB1395" s="2" t="s">
        <v>21</v>
      </c>
      <c r="BD1395" s="2" t="s">
        <v>16697</v>
      </c>
      <c r="BE1395" s="2" t="s">
        <v>16698</v>
      </c>
      <c r="BF1395" s="2" t="s">
        <v>16699</v>
      </c>
    </row>
    <row r="1396" spans="1:58" ht="41.25" customHeight="1" x14ac:dyDescent="0.25">
      <c r="A1396" s="8" t="s">
        <v>5</v>
      </c>
      <c r="B1396" s="1" t="s">
        <v>0</v>
      </c>
      <c r="C1396" s="1" t="s">
        <v>1</v>
      </c>
      <c r="D1396" s="1" t="s">
        <v>16700</v>
      </c>
      <c r="E1396" s="1" t="s">
        <v>16701</v>
      </c>
      <c r="F1396" s="1" t="s">
        <v>16702</v>
      </c>
      <c r="H1396" s="2" t="s">
        <v>5</v>
      </c>
      <c r="I1396" s="2" t="s">
        <v>6</v>
      </c>
      <c r="J1396" s="2" t="s">
        <v>5</v>
      </c>
      <c r="K1396" s="2" t="s">
        <v>5</v>
      </c>
      <c r="L1396" s="2" t="s">
        <v>7</v>
      </c>
      <c r="M1396" s="1" t="s">
        <v>16703</v>
      </c>
      <c r="N1396" s="1" t="s">
        <v>16704</v>
      </c>
      <c r="O1396" s="2" t="s">
        <v>989</v>
      </c>
      <c r="Q1396" s="2" t="s">
        <v>11</v>
      </c>
      <c r="R1396" s="2" t="s">
        <v>1325</v>
      </c>
      <c r="T1396" s="2" t="s">
        <v>520</v>
      </c>
      <c r="U1396" s="3">
        <v>3</v>
      </c>
      <c r="V1396" s="3">
        <v>3</v>
      </c>
      <c r="W1396" s="4" t="s">
        <v>16705</v>
      </c>
      <c r="X1396" s="4" t="s">
        <v>16705</v>
      </c>
      <c r="Y1396" s="4" t="s">
        <v>16705</v>
      </c>
      <c r="Z1396" s="4" t="s">
        <v>16705</v>
      </c>
      <c r="AA1396" s="3">
        <v>8</v>
      </c>
      <c r="AB1396" s="3">
        <v>7</v>
      </c>
      <c r="AC1396" s="3">
        <v>7</v>
      </c>
      <c r="AD1396" s="3">
        <v>1</v>
      </c>
      <c r="AE1396" s="3">
        <v>1</v>
      </c>
      <c r="AF1396" s="3">
        <v>1</v>
      </c>
      <c r="AG1396" s="3">
        <v>1</v>
      </c>
      <c r="AH1396" s="3">
        <v>0</v>
      </c>
      <c r="AI1396" s="3">
        <v>0</v>
      </c>
      <c r="AJ1396" s="3">
        <v>0</v>
      </c>
      <c r="AK1396" s="3">
        <v>0</v>
      </c>
      <c r="AL1396" s="3">
        <v>1</v>
      </c>
      <c r="AM1396" s="3">
        <v>1</v>
      </c>
      <c r="AN1396" s="3">
        <v>0</v>
      </c>
      <c r="AO1396" s="3">
        <v>0</v>
      </c>
      <c r="AP1396" s="3">
        <v>0</v>
      </c>
      <c r="AQ1396" s="3">
        <v>0</v>
      </c>
      <c r="AR1396" s="2" t="s">
        <v>5</v>
      </c>
      <c r="AS1396" s="2" t="s">
        <v>5</v>
      </c>
      <c r="AU1396" s="5" t="str">
        <f>HYPERLINK("https://creighton-primo.hosted.exlibrisgroup.com/primo-explore/search?tab=default_tab&amp;search_scope=EVERYTHING&amp;vid=01CRU&amp;lang=en_US&amp;offset=0&amp;query=any,contains,991001305059702656","Catalog Record")</f>
        <v>Catalog Record</v>
      </c>
      <c r="AV1396" s="5" t="str">
        <f>HYPERLINK("http://www.worldcat.org/oclc/23378647","WorldCat Record")</f>
        <v>WorldCat Record</v>
      </c>
      <c r="AW1396" s="2" t="s">
        <v>16706</v>
      </c>
      <c r="AX1396" s="2" t="s">
        <v>16707</v>
      </c>
      <c r="AY1396" s="2" t="s">
        <v>16708</v>
      </c>
      <c r="AZ1396" s="2" t="s">
        <v>16708</v>
      </c>
      <c r="BA1396" s="2" t="s">
        <v>16709</v>
      </c>
      <c r="BB1396" s="2" t="s">
        <v>21</v>
      </c>
      <c r="BE1396" s="2" t="s">
        <v>16710</v>
      </c>
      <c r="BF1396" s="2" t="s">
        <v>16711</v>
      </c>
    </row>
    <row r="1397" spans="1:58" ht="41.25" customHeight="1" x14ac:dyDescent="0.25">
      <c r="A1397" s="8" t="s">
        <v>5</v>
      </c>
      <c r="B1397" s="1" t="s">
        <v>0</v>
      </c>
      <c r="C1397" s="1" t="s">
        <v>1</v>
      </c>
      <c r="D1397" s="1" t="s">
        <v>16712</v>
      </c>
      <c r="E1397" s="1" t="s">
        <v>16713</v>
      </c>
      <c r="F1397" s="1" t="s">
        <v>16714</v>
      </c>
      <c r="H1397" s="2" t="s">
        <v>5</v>
      </c>
      <c r="I1397" s="2" t="s">
        <v>6</v>
      </c>
      <c r="J1397" s="2" t="s">
        <v>5</v>
      </c>
      <c r="K1397" s="2" t="s">
        <v>5</v>
      </c>
      <c r="L1397" s="2" t="s">
        <v>7</v>
      </c>
      <c r="M1397" s="1" t="s">
        <v>16715</v>
      </c>
      <c r="N1397" s="1" t="s">
        <v>6384</v>
      </c>
      <c r="O1397" s="2" t="s">
        <v>1004</v>
      </c>
      <c r="P1397" s="1" t="s">
        <v>211</v>
      </c>
      <c r="Q1397" s="2" t="s">
        <v>11</v>
      </c>
      <c r="R1397" s="2" t="s">
        <v>78</v>
      </c>
      <c r="T1397" s="2" t="s">
        <v>520</v>
      </c>
      <c r="U1397" s="3">
        <v>1</v>
      </c>
      <c r="V1397" s="3">
        <v>1</v>
      </c>
      <c r="W1397" s="4" t="s">
        <v>1703</v>
      </c>
      <c r="X1397" s="4" t="s">
        <v>1703</v>
      </c>
      <c r="Y1397" s="4" t="s">
        <v>1703</v>
      </c>
      <c r="Z1397" s="4" t="s">
        <v>1703</v>
      </c>
      <c r="AA1397" s="3">
        <v>461</v>
      </c>
      <c r="AB1397" s="3">
        <v>360</v>
      </c>
      <c r="AC1397" s="3">
        <v>507</v>
      </c>
      <c r="AD1397" s="3">
        <v>2</v>
      </c>
      <c r="AE1397" s="3">
        <v>4</v>
      </c>
      <c r="AF1397" s="3">
        <v>11</v>
      </c>
      <c r="AG1397" s="3">
        <v>17</v>
      </c>
      <c r="AH1397" s="3">
        <v>4</v>
      </c>
      <c r="AI1397" s="3">
        <v>6</v>
      </c>
      <c r="AJ1397" s="3">
        <v>1</v>
      </c>
      <c r="AK1397" s="3">
        <v>2</v>
      </c>
      <c r="AL1397" s="3">
        <v>5</v>
      </c>
      <c r="AM1397" s="3">
        <v>9</v>
      </c>
      <c r="AN1397" s="3">
        <v>1</v>
      </c>
      <c r="AO1397" s="3">
        <v>3</v>
      </c>
      <c r="AP1397" s="3">
        <v>0</v>
      </c>
      <c r="AQ1397" s="3">
        <v>0</v>
      </c>
      <c r="AR1397" s="2" t="s">
        <v>5</v>
      </c>
      <c r="AS1397" s="2" t="s">
        <v>16</v>
      </c>
      <c r="AT1397" s="5" t="str">
        <f>HYPERLINK("http://catalog.hathitrust.org/Record/004032663","HathiTrust Record")</f>
        <v>HathiTrust Record</v>
      </c>
      <c r="AU1397" s="5" t="str">
        <f>HYPERLINK("https://creighton-primo.hosted.exlibrisgroup.com/primo-explore/search?tab=default_tab&amp;search_scope=EVERYTHING&amp;vid=01CRU&amp;lang=en_US&amp;offset=0&amp;query=any,contains,991000789649702656","Catalog Record")</f>
        <v>Catalog Record</v>
      </c>
      <c r="AV1397" s="5" t="str">
        <f>HYPERLINK("http://www.worldcat.org/oclc/40331081","WorldCat Record")</f>
        <v>WorldCat Record</v>
      </c>
      <c r="AW1397" s="2" t="s">
        <v>16716</v>
      </c>
      <c r="AX1397" s="2" t="s">
        <v>16717</v>
      </c>
      <c r="AY1397" s="2" t="s">
        <v>16718</v>
      </c>
      <c r="AZ1397" s="2" t="s">
        <v>16718</v>
      </c>
      <c r="BA1397" s="2" t="s">
        <v>16719</v>
      </c>
      <c r="BB1397" s="2" t="s">
        <v>21</v>
      </c>
      <c r="BD1397" s="2" t="s">
        <v>16720</v>
      </c>
      <c r="BE1397" s="2" t="s">
        <v>16721</v>
      </c>
      <c r="BF1397" s="2" t="s">
        <v>16722</v>
      </c>
    </row>
    <row r="1398" spans="1:58" ht="41.25" customHeight="1" x14ac:dyDescent="0.25">
      <c r="A1398" s="8" t="s">
        <v>5</v>
      </c>
      <c r="B1398" s="1" t="s">
        <v>0</v>
      </c>
      <c r="C1398" s="1" t="s">
        <v>1</v>
      </c>
      <c r="D1398" s="1" t="s">
        <v>16723</v>
      </c>
      <c r="E1398" s="1" t="s">
        <v>16724</v>
      </c>
      <c r="F1398" s="1" t="s">
        <v>16725</v>
      </c>
      <c r="H1398" s="2" t="s">
        <v>5</v>
      </c>
      <c r="I1398" s="2" t="s">
        <v>6</v>
      </c>
      <c r="J1398" s="2" t="s">
        <v>5</v>
      </c>
      <c r="K1398" s="2" t="s">
        <v>5</v>
      </c>
      <c r="L1398" s="2" t="s">
        <v>7</v>
      </c>
      <c r="N1398" s="1" t="s">
        <v>10080</v>
      </c>
      <c r="O1398" s="2" t="s">
        <v>210</v>
      </c>
      <c r="Q1398" s="2" t="s">
        <v>11</v>
      </c>
      <c r="R1398" s="2" t="s">
        <v>426</v>
      </c>
      <c r="T1398" s="2" t="s">
        <v>520</v>
      </c>
      <c r="U1398" s="3">
        <v>14</v>
      </c>
      <c r="V1398" s="3">
        <v>14</v>
      </c>
      <c r="W1398" s="4" t="s">
        <v>1799</v>
      </c>
      <c r="X1398" s="4" t="s">
        <v>1799</v>
      </c>
      <c r="Y1398" s="4" t="s">
        <v>7578</v>
      </c>
      <c r="Z1398" s="4" t="s">
        <v>7578</v>
      </c>
      <c r="AA1398" s="3">
        <v>385</v>
      </c>
      <c r="AB1398" s="3">
        <v>324</v>
      </c>
      <c r="AC1398" s="3">
        <v>331</v>
      </c>
      <c r="AD1398" s="3">
        <v>2</v>
      </c>
      <c r="AE1398" s="3">
        <v>2</v>
      </c>
      <c r="AF1398" s="3">
        <v>15</v>
      </c>
      <c r="AG1398" s="3">
        <v>15</v>
      </c>
      <c r="AH1398" s="3">
        <v>5</v>
      </c>
      <c r="AI1398" s="3">
        <v>5</v>
      </c>
      <c r="AJ1398" s="3">
        <v>5</v>
      </c>
      <c r="AK1398" s="3">
        <v>5</v>
      </c>
      <c r="AL1398" s="3">
        <v>9</v>
      </c>
      <c r="AM1398" s="3">
        <v>9</v>
      </c>
      <c r="AN1398" s="3">
        <v>1</v>
      </c>
      <c r="AO1398" s="3">
        <v>1</v>
      </c>
      <c r="AP1398" s="3">
        <v>0</v>
      </c>
      <c r="AQ1398" s="3">
        <v>0</v>
      </c>
      <c r="AR1398" s="2" t="s">
        <v>5</v>
      </c>
      <c r="AS1398" s="2" t="s">
        <v>16</v>
      </c>
      <c r="AT1398" s="5" t="str">
        <f>HYPERLINK("http://catalog.hathitrust.org/Record/002547102","HathiTrust Record")</f>
        <v>HathiTrust Record</v>
      </c>
      <c r="AU1398" s="5" t="str">
        <f>HYPERLINK("https://creighton-primo.hosted.exlibrisgroup.com/primo-explore/search?tab=default_tab&amp;search_scope=EVERYTHING&amp;vid=01CRU&amp;lang=en_US&amp;offset=0&amp;query=any,contains,991001478969702656","Catalog Record")</f>
        <v>Catalog Record</v>
      </c>
      <c r="AV1398" s="5" t="str">
        <f>HYPERLINK("http://www.worldcat.org/oclc/25369189","WorldCat Record")</f>
        <v>WorldCat Record</v>
      </c>
      <c r="AW1398" s="2" t="s">
        <v>16726</v>
      </c>
      <c r="AX1398" s="2" t="s">
        <v>16727</v>
      </c>
      <c r="AY1398" s="2" t="s">
        <v>16728</v>
      </c>
      <c r="AZ1398" s="2" t="s">
        <v>16728</v>
      </c>
      <c r="BA1398" s="2" t="s">
        <v>16729</v>
      </c>
      <c r="BB1398" s="2" t="s">
        <v>21</v>
      </c>
      <c r="BD1398" s="2" t="s">
        <v>16730</v>
      </c>
      <c r="BE1398" s="2" t="s">
        <v>16731</v>
      </c>
      <c r="BF1398" s="2" t="s">
        <v>16732</v>
      </c>
    </row>
    <row r="1399" spans="1:58" ht="41.25" customHeight="1" x14ac:dyDescent="0.25">
      <c r="A1399" s="8" t="s">
        <v>5</v>
      </c>
      <c r="B1399" s="1" t="s">
        <v>0</v>
      </c>
      <c r="C1399" s="1" t="s">
        <v>1</v>
      </c>
      <c r="D1399" s="1" t="s">
        <v>16733</v>
      </c>
      <c r="E1399" s="1" t="s">
        <v>16734</v>
      </c>
      <c r="F1399" s="1" t="s">
        <v>16735</v>
      </c>
      <c r="H1399" s="2" t="s">
        <v>5</v>
      </c>
      <c r="I1399" s="2" t="s">
        <v>6</v>
      </c>
      <c r="J1399" s="2" t="s">
        <v>5</v>
      </c>
      <c r="K1399" s="2" t="s">
        <v>5</v>
      </c>
      <c r="L1399" s="2" t="s">
        <v>7</v>
      </c>
      <c r="M1399" s="1" t="s">
        <v>16736</v>
      </c>
      <c r="N1399" s="1" t="s">
        <v>3451</v>
      </c>
      <c r="O1399" s="2" t="s">
        <v>872</v>
      </c>
      <c r="Q1399" s="2" t="s">
        <v>11</v>
      </c>
      <c r="R1399" s="2" t="s">
        <v>426</v>
      </c>
      <c r="T1399" s="2" t="s">
        <v>520</v>
      </c>
      <c r="U1399" s="3">
        <v>16</v>
      </c>
      <c r="V1399" s="3">
        <v>16</v>
      </c>
      <c r="W1399" s="4" t="s">
        <v>16737</v>
      </c>
      <c r="X1399" s="4" t="s">
        <v>16737</v>
      </c>
      <c r="Y1399" s="4" t="s">
        <v>16738</v>
      </c>
      <c r="Z1399" s="4" t="s">
        <v>16738</v>
      </c>
      <c r="AA1399" s="3">
        <v>199</v>
      </c>
      <c r="AB1399" s="3">
        <v>166</v>
      </c>
      <c r="AC1399" s="3">
        <v>166</v>
      </c>
      <c r="AD1399" s="3">
        <v>1</v>
      </c>
      <c r="AE1399" s="3">
        <v>1</v>
      </c>
      <c r="AF1399" s="3">
        <v>7</v>
      </c>
      <c r="AG1399" s="3">
        <v>7</v>
      </c>
      <c r="AH1399" s="3">
        <v>2</v>
      </c>
      <c r="AI1399" s="3">
        <v>2</v>
      </c>
      <c r="AJ1399" s="3">
        <v>1</v>
      </c>
      <c r="AK1399" s="3">
        <v>1</v>
      </c>
      <c r="AL1399" s="3">
        <v>4</v>
      </c>
      <c r="AM1399" s="3">
        <v>4</v>
      </c>
      <c r="AN1399" s="3">
        <v>0</v>
      </c>
      <c r="AO1399" s="3">
        <v>0</v>
      </c>
      <c r="AP1399" s="3">
        <v>0</v>
      </c>
      <c r="AQ1399" s="3">
        <v>0</v>
      </c>
      <c r="AR1399" s="2" t="s">
        <v>5</v>
      </c>
      <c r="AS1399" s="2" t="s">
        <v>5</v>
      </c>
      <c r="AU1399" s="5" t="str">
        <f>HYPERLINK("https://creighton-primo.hosted.exlibrisgroup.com/primo-explore/search?tab=default_tab&amp;search_scope=EVERYTHING&amp;vid=01CRU&amp;lang=en_US&amp;offset=0&amp;query=any,contains,991000884109702656","Catalog Record")</f>
        <v>Catalog Record</v>
      </c>
      <c r="AV1399" s="5" t="str">
        <f>HYPERLINK("http://www.worldcat.org/oclc/19517302","WorldCat Record")</f>
        <v>WorldCat Record</v>
      </c>
      <c r="AW1399" s="2" t="s">
        <v>16739</v>
      </c>
      <c r="AX1399" s="2" t="s">
        <v>16740</v>
      </c>
      <c r="AY1399" s="2" t="s">
        <v>16741</v>
      </c>
      <c r="AZ1399" s="2" t="s">
        <v>16741</v>
      </c>
      <c r="BA1399" s="2" t="s">
        <v>16742</v>
      </c>
      <c r="BB1399" s="2" t="s">
        <v>21</v>
      </c>
      <c r="BD1399" s="2" t="s">
        <v>16743</v>
      </c>
      <c r="BE1399" s="2" t="s">
        <v>16744</v>
      </c>
      <c r="BF1399" s="2" t="s">
        <v>16745</v>
      </c>
    </row>
    <row r="1400" spans="1:58" ht="41.25" customHeight="1" x14ac:dyDescent="0.25">
      <c r="A1400" s="8" t="s">
        <v>5</v>
      </c>
      <c r="B1400" s="1" t="s">
        <v>0</v>
      </c>
      <c r="C1400" s="1" t="s">
        <v>1</v>
      </c>
      <c r="D1400" s="1" t="s">
        <v>16746</v>
      </c>
      <c r="E1400" s="1" t="s">
        <v>16747</v>
      </c>
      <c r="F1400" s="1" t="s">
        <v>16748</v>
      </c>
      <c r="H1400" s="2" t="s">
        <v>5</v>
      </c>
      <c r="I1400" s="2" t="s">
        <v>6</v>
      </c>
      <c r="J1400" s="2" t="s">
        <v>5</v>
      </c>
      <c r="K1400" s="2" t="s">
        <v>16</v>
      </c>
      <c r="L1400" s="2" t="s">
        <v>7</v>
      </c>
      <c r="N1400" s="1" t="s">
        <v>11795</v>
      </c>
      <c r="O1400" s="2" t="s">
        <v>1195</v>
      </c>
      <c r="P1400" s="1" t="s">
        <v>211</v>
      </c>
      <c r="Q1400" s="2" t="s">
        <v>11</v>
      </c>
      <c r="R1400" s="2" t="s">
        <v>31</v>
      </c>
      <c r="T1400" s="2" t="s">
        <v>520</v>
      </c>
      <c r="U1400" s="3">
        <v>3</v>
      </c>
      <c r="V1400" s="3">
        <v>3</v>
      </c>
      <c r="W1400" s="4" t="s">
        <v>11832</v>
      </c>
      <c r="X1400" s="4" t="s">
        <v>11832</v>
      </c>
      <c r="Y1400" s="4" t="s">
        <v>5057</v>
      </c>
      <c r="Z1400" s="4" t="s">
        <v>5057</v>
      </c>
      <c r="AA1400" s="3">
        <v>441</v>
      </c>
      <c r="AB1400" s="3">
        <v>353</v>
      </c>
      <c r="AC1400" s="3">
        <v>904</v>
      </c>
      <c r="AD1400" s="3">
        <v>1</v>
      </c>
      <c r="AE1400" s="3">
        <v>6</v>
      </c>
      <c r="AF1400" s="3">
        <v>10</v>
      </c>
      <c r="AG1400" s="3">
        <v>24</v>
      </c>
      <c r="AH1400" s="3">
        <v>2</v>
      </c>
      <c r="AI1400" s="3">
        <v>8</v>
      </c>
      <c r="AJ1400" s="3">
        <v>2</v>
      </c>
      <c r="AK1400" s="3">
        <v>4</v>
      </c>
      <c r="AL1400" s="3">
        <v>8</v>
      </c>
      <c r="AM1400" s="3">
        <v>12</v>
      </c>
      <c r="AN1400" s="3">
        <v>0</v>
      </c>
      <c r="AO1400" s="3">
        <v>4</v>
      </c>
      <c r="AP1400" s="3">
        <v>0</v>
      </c>
      <c r="AQ1400" s="3">
        <v>0</v>
      </c>
      <c r="AR1400" s="2" t="s">
        <v>5</v>
      </c>
      <c r="AS1400" s="2" t="s">
        <v>16</v>
      </c>
      <c r="AT1400" s="5" t="str">
        <f>HYPERLINK("http://catalog.hathitrust.org/Record/004094893","HathiTrust Record")</f>
        <v>HathiTrust Record</v>
      </c>
      <c r="AU1400" s="5" t="str">
        <f>HYPERLINK("https://creighton-primo.hosted.exlibrisgroup.com/primo-explore/search?tab=default_tab&amp;search_scope=EVERYTHING&amp;vid=01CRU&amp;lang=en_US&amp;offset=0&amp;query=any,contains,991000276549702656","Catalog Record")</f>
        <v>Catalog Record</v>
      </c>
      <c r="AV1400" s="5" t="str">
        <f>HYPERLINK("http://www.worldcat.org/oclc/43676426","WorldCat Record")</f>
        <v>WorldCat Record</v>
      </c>
      <c r="AW1400" s="2" t="s">
        <v>16538</v>
      </c>
      <c r="AX1400" s="2" t="s">
        <v>16749</v>
      </c>
      <c r="AY1400" s="2" t="s">
        <v>16750</v>
      </c>
      <c r="AZ1400" s="2" t="s">
        <v>16750</v>
      </c>
      <c r="BA1400" s="2" t="s">
        <v>16751</v>
      </c>
      <c r="BB1400" s="2" t="s">
        <v>21</v>
      </c>
      <c r="BD1400" s="2" t="s">
        <v>16752</v>
      </c>
      <c r="BE1400" s="2" t="s">
        <v>16753</v>
      </c>
      <c r="BF1400" s="2" t="s">
        <v>16754</v>
      </c>
    </row>
    <row r="1401" spans="1:58" ht="41.25" customHeight="1" x14ac:dyDescent="0.25">
      <c r="A1401" s="8" t="s">
        <v>5</v>
      </c>
      <c r="B1401" s="1" t="s">
        <v>0</v>
      </c>
      <c r="C1401" s="1" t="s">
        <v>1</v>
      </c>
      <c r="D1401" s="1" t="s">
        <v>16755</v>
      </c>
      <c r="E1401" s="1" t="s">
        <v>16756</v>
      </c>
      <c r="F1401" s="1" t="s">
        <v>16757</v>
      </c>
      <c r="H1401" s="2" t="s">
        <v>5</v>
      </c>
      <c r="I1401" s="2" t="s">
        <v>6</v>
      </c>
      <c r="J1401" s="2" t="s">
        <v>5</v>
      </c>
      <c r="K1401" s="2" t="s">
        <v>5</v>
      </c>
      <c r="L1401" s="2" t="s">
        <v>7</v>
      </c>
      <c r="N1401" s="1" t="s">
        <v>16758</v>
      </c>
      <c r="O1401" s="2" t="s">
        <v>734</v>
      </c>
      <c r="Q1401" s="2" t="s">
        <v>11</v>
      </c>
      <c r="R1401" s="2" t="s">
        <v>426</v>
      </c>
      <c r="T1401" s="2" t="s">
        <v>520</v>
      </c>
      <c r="U1401" s="3">
        <v>4</v>
      </c>
      <c r="V1401" s="3">
        <v>4</v>
      </c>
      <c r="W1401" s="4" t="s">
        <v>16759</v>
      </c>
      <c r="X1401" s="4" t="s">
        <v>16759</v>
      </c>
      <c r="Y1401" s="4" t="s">
        <v>16284</v>
      </c>
      <c r="Z1401" s="4" t="s">
        <v>16284</v>
      </c>
      <c r="AA1401" s="3">
        <v>167</v>
      </c>
      <c r="AB1401" s="3">
        <v>145</v>
      </c>
      <c r="AC1401" s="3">
        <v>145</v>
      </c>
      <c r="AD1401" s="3">
        <v>1</v>
      </c>
      <c r="AE1401" s="3">
        <v>1</v>
      </c>
      <c r="AF1401" s="3">
        <v>0</v>
      </c>
      <c r="AG1401" s="3">
        <v>0</v>
      </c>
      <c r="AH1401" s="3">
        <v>0</v>
      </c>
      <c r="AI1401" s="3">
        <v>0</v>
      </c>
      <c r="AJ1401" s="3">
        <v>0</v>
      </c>
      <c r="AK1401" s="3">
        <v>0</v>
      </c>
      <c r="AL1401" s="3">
        <v>0</v>
      </c>
      <c r="AM1401" s="3">
        <v>0</v>
      </c>
      <c r="AN1401" s="3">
        <v>0</v>
      </c>
      <c r="AO1401" s="3">
        <v>0</v>
      </c>
      <c r="AP1401" s="3">
        <v>0</v>
      </c>
      <c r="AQ1401" s="3">
        <v>0</v>
      </c>
      <c r="AR1401" s="2" t="s">
        <v>5</v>
      </c>
      <c r="AS1401" s="2" t="s">
        <v>5</v>
      </c>
      <c r="AU1401" s="5" t="str">
        <f>HYPERLINK("https://creighton-primo.hosted.exlibrisgroup.com/primo-explore/search?tab=default_tab&amp;search_scope=EVERYTHING&amp;vid=01CRU&amp;lang=en_US&amp;offset=0&amp;query=any,contains,991000864659702656","Catalog Record")</f>
        <v>Catalog Record</v>
      </c>
      <c r="AV1401" s="5" t="str">
        <f>HYPERLINK("http://www.worldcat.org/oclc/8907655","WorldCat Record")</f>
        <v>WorldCat Record</v>
      </c>
      <c r="AW1401" s="2" t="s">
        <v>16760</v>
      </c>
      <c r="AX1401" s="2" t="s">
        <v>16761</v>
      </c>
      <c r="AY1401" s="2" t="s">
        <v>16762</v>
      </c>
      <c r="AZ1401" s="2" t="s">
        <v>16762</v>
      </c>
      <c r="BA1401" s="2" t="s">
        <v>16763</v>
      </c>
      <c r="BB1401" s="2" t="s">
        <v>21</v>
      </c>
      <c r="BD1401" s="2" t="s">
        <v>16764</v>
      </c>
      <c r="BE1401" s="2" t="s">
        <v>16765</v>
      </c>
      <c r="BF1401" s="2" t="s">
        <v>16766</v>
      </c>
    </row>
    <row r="1402" spans="1:58" ht="41.25" customHeight="1" x14ac:dyDescent="0.25">
      <c r="A1402" s="8" t="s">
        <v>5</v>
      </c>
      <c r="B1402" s="1" t="s">
        <v>0</v>
      </c>
      <c r="C1402" s="1" t="s">
        <v>1</v>
      </c>
      <c r="D1402" s="1" t="s">
        <v>16767</v>
      </c>
      <c r="E1402" s="1" t="s">
        <v>16768</v>
      </c>
      <c r="F1402" s="1" t="s">
        <v>16769</v>
      </c>
      <c r="H1402" s="2" t="s">
        <v>5</v>
      </c>
      <c r="I1402" s="2" t="s">
        <v>6</v>
      </c>
      <c r="J1402" s="2" t="s">
        <v>5</v>
      </c>
      <c r="K1402" s="2" t="s">
        <v>5</v>
      </c>
      <c r="L1402" s="2" t="s">
        <v>7</v>
      </c>
      <c r="M1402" s="1" t="s">
        <v>16770</v>
      </c>
      <c r="N1402" s="1" t="s">
        <v>16771</v>
      </c>
      <c r="O1402" s="2" t="s">
        <v>939</v>
      </c>
      <c r="Q1402" s="2" t="s">
        <v>11</v>
      </c>
      <c r="R1402" s="2" t="s">
        <v>426</v>
      </c>
      <c r="T1402" s="2" t="s">
        <v>520</v>
      </c>
      <c r="U1402" s="3">
        <v>27</v>
      </c>
      <c r="V1402" s="3">
        <v>27</v>
      </c>
      <c r="W1402" s="4" t="s">
        <v>16772</v>
      </c>
      <c r="X1402" s="4" t="s">
        <v>16772</v>
      </c>
      <c r="Y1402" s="4" t="s">
        <v>6647</v>
      </c>
      <c r="Z1402" s="4" t="s">
        <v>6647</v>
      </c>
      <c r="AA1402" s="3">
        <v>351</v>
      </c>
      <c r="AB1402" s="3">
        <v>280</v>
      </c>
      <c r="AC1402" s="3">
        <v>448</v>
      </c>
      <c r="AD1402" s="3">
        <v>3</v>
      </c>
      <c r="AE1402" s="3">
        <v>3</v>
      </c>
      <c r="AF1402" s="3">
        <v>5</v>
      </c>
      <c r="AG1402" s="3">
        <v>16</v>
      </c>
      <c r="AH1402" s="3">
        <v>1</v>
      </c>
      <c r="AI1402" s="3">
        <v>3</v>
      </c>
      <c r="AJ1402" s="3">
        <v>1</v>
      </c>
      <c r="AK1402" s="3">
        <v>5</v>
      </c>
      <c r="AL1402" s="3">
        <v>3</v>
      </c>
      <c r="AM1402" s="3">
        <v>10</v>
      </c>
      <c r="AN1402" s="3">
        <v>1</v>
      </c>
      <c r="AO1402" s="3">
        <v>1</v>
      </c>
      <c r="AP1402" s="3">
        <v>0</v>
      </c>
      <c r="AQ1402" s="3">
        <v>0</v>
      </c>
      <c r="AR1402" s="2" t="s">
        <v>5</v>
      </c>
      <c r="AS1402" s="2" t="s">
        <v>16</v>
      </c>
      <c r="AT1402" s="5" t="str">
        <f>HYPERLINK("http://catalog.hathitrust.org/Record/000903981","HathiTrust Record")</f>
        <v>HathiTrust Record</v>
      </c>
      <c r="AU1402" s="5" t="str">
        <f>HYPERLINK("https://creighton-primo.hosted.exlibrisgroup.com/primo-explore/search?tab=default_tab&amp;search_scope=EVERYTHING&amp;vid=01CRU&amp;lang=en_US&amp;offset=0&amp;query=any,contains,991001416989702656","Catalog Record")</f>
        <v>Catalog Record</v>
      </c>
      <c r="AV1402" s="5" t="str">
        <f>HYPERLINK("http://www.worldcat.org/oclc/16224417","WorldCat Record")</f>
        <v>WorldCat Record</v>
      </c>
      <c r="AW1402" s="2" t="s">
        <v>16773</v>
      </c>
      <c r="AX1402" s="2" t="s">
        <v>16774</v>
      </c>
      <c r="AY1402" s="2" t="s">
        <v>16775</v>
      </c>
      <c r="AZ1402" s="2" t="s">
        <v>16775</v>
      </c>
      <c r="BA1402" s="2" t="s">
        <v>16776</v>
      </c>
      <c r="BB1402" s="2" t="s">
        <v>21</v>
      </c>
      <c r="BD1402" s="2" t="s">
        <v>16777</v>
      </c>
      <c r="BE1402" s="2" t="s">
        <v>16778</v>
      </c>
      <c r="BF1402" s="2" t="s">
        <v>16779</v>
      </c>
    </row>
    <row r="1403" spans="1:58" ht="41.25" customHeight="1" x14ac:dyDescent="0.25">
      <c r="A1403" s="8" t="s">
        <v>5</v>
      </c>
      <c r="B1403" s="1" t="s">
        <v>0</v>
      </c>
      <c r="C1403" s="1" t="s">
        <v>1</v>
      </c>
      <c r="D1403" s="1" t="s">
        <v>16780</v>
      </c>
      <c r="E1403" s="1" t="s">
        <v>16781</v>
      </c>
      <c r="F1403" s="1" t="s">
        <v>16782</v>
      </c>
      <c r="H1403" s="2" t="s">
        <v>5</v>
      </c>
      <c r="I1403" s="2" t="s">
        <v>6</v>
      </c>
      <c r="J1403" s="2" t="s">
        <v>5</v>
      </c>
      <c r="K1403" s="2" t="s">
        <v>5</v>
      </c>
      <c r="L1403" s="2" t="s">
        <v>7</v>
      </c>
      <c r="M1403" s="1" t="s">
        <v>16783</v>
      </c>
      <c r="N1403" s="1" t="s">
        <v>14577</v>
      </c>
      <c r="O1403" s="2" t="s">
        <v>989</v>
      </c>
      <c r="Q1403" s="2" t="s">
        <v>11</v>
      </c>
      <c r="R1403" s="2" t="s">
        <v>426</v>
      </c>
      <c r="T1403" s="2" t="s">
        <v>520</v>
      </c>
      <c r="U1403" s="3">
        <v>21</v>
      </c>
      <c r="V1403" s="3">
        <v>21</v>
      </c>
      <c r="W1403" s="4" t="s">
        <v>16784</v>
      </c>
      <c r="X1403" s="4" t="s">
        <v>16784</v>
      </c>
      <c r="Y1403" s="4" t="s">
        <v>1470</v>
      </c>
      <c r="Z1403" s="4" t="s">
        <v>1470</v>
      </c>
      <c r="AA1403" s="3">
        <v>181</v>
      </c>
      <c r="AB1403" s="3">
        <v>140</v>
      </c>
      <c r="AC1403" s="3">
        <v>397</v>
      </c>
      <c r="AD1403" s="3">
        <v>2</v>
      </c>
      <c r="AE1403" s="3">
        <v>4</v>
      </c>
      <c r="AF1403" s="3">
        <v>7</v>
      </c>
      <c r="AG1403" s="3">
        <v>17</v>
      </c>
      <c r="AH1403" s="3">
        <v>2</v>
      </c>
      <c r="AI1403" s="3">
        <v>6</v>
      </c>
      <c r="AJ1403" s="3">
        <v>2</v>
      </c>
      <c r="AK1403" s="3">
        <v>3</v>
      </c>
      <c r="AL1403" s="3">
        <v>6</v>
      </c>
      <c r="AM1403" s="3">
        <v>11</v>
      </c>
      <c r="AN1403" s="3">
        <v>0</v>
      </c>
      <c r="AO1403" s="3">
        <v>2</v>
      </c>
      <c r="AP1403" s="3">
        <v>0</v>
      </c>
      <c r="AQ1403" s="3">
        <v>0</v>
      </c>
      <c r="AR1403" s="2" t="s">
        <v>5</v>
      </c>
      <c r="AS1403" s="2" t="s">
        <v>16</v>
      </c>
      <c r="AT1403" s="5" t="str">
        <f>HYPERLINK("http://catalog.hathitrust.org/Record/002059428","HathiTrust Record")</f>
        <v>HathiTrust Record</v>
      </c>
      <c r="AU1403" s="5" t="str">
        <f>HYPERLINK("https://creighton-primo.hosted.exlibrisgroup.com/primo-explore/search?tab=default_tab&amp;search_scope=EVERYTHING&amp;vid=01CRU&amp;lang=en_US&amp;offset=0&amp;query=any,contains,991000820939702656","Catalog Record")</f>
        <v>Catalog Record</v>
      </c>
      <c r="AV1403" s="5" t="str">
        <f>HYPERLINK("http://www.worldcat.org/oclc/20798629","WorldCat Record")</f>
        <v>WorldCat Record</v>
      </c>
      <c r="AW1403" s="2" t="s">
        <v>16785</v>
      </c>
      <c r="AX1403" s="2" t="s">
        <v>16786</v>
      </c>
      <c r="AY1403" s="2" t="s">
        <v>16787</v>
      </c>
      <c r="AZ1403" s="2" t="s">
        <v>16787</v>
      </c>
      <c r="BA1403" s="2" t="s">
        <v>16788</v>
      </c>
      <c r="BB1403" s="2" t="s">
        <v>21</v>
      </c>
      <c r="BD1403" s="2" t="s">
        <v>16789</v>
      </c>
      <c r="BE1403" s="2" t="s">
        <v>16790</v>
      </c>
      <c r="BF1403" s="2" t="s">
        <v>16791</v>
      </c>
    </row>
    <row r="1404" spans="1:58" ht="41.25" customHeight="1" x14ac:dyDescent="0.25">
      <c r="A1404" s="8" t="s">
        <v>5</v>
      </c>
      <c r="B1404" s="1" t="s">
        <v>0</v>
      </c>
      <c r="C1404" s="1" t="s">
        <v>1</v>
      </c>
      <c r="D1404" s="1" t="s">
        <v>16792</v>
      </c>
      <c r="E1404" s="1" t="s">
        <v>16793</v>
      </c>
      <c r="F1404" s="1" t="s">
        <v>16794</v>
      </c>
      <c r="H1404" s="2" t="s">
        <v>5</v>
      </c>
      <c r="I1404" s="2" t="s">
        <v>6</v>
      </c>
      <c r="J1404" s="2" t="s">
        <v>5</v>
      </c>
      <c r="K1404" s="2" t="s">
        <v>5</v>
      </c>
      <c r="L1404" s="2" t="s">
        <v>7</v>
      </c>
      <c r="M1404" s="1" t="s">
        <v>16795</v>
      </c>
      <c r="N1404" s="1" t="s">
        <v>587</v>
      </c>
      <c r="O1404" s="2" t="s">
        <v>354</v>
      </c>
      <c r="Q1404" s="2" t="s">
        <v>11</v>
      </c>
      <c r="R1404" s="2" t="s">
        <v>426</v>
      </c>
      <c r="T1404" s="2" t="s">
        <v>520</v>
      </c>
      <c r="U1404" s="3">
        <v>2</v>
      </c>
      <c r="V1404" s="3">
        <v>2</v>
      </c>
      <c r="W1404" s="4" t="s">
        <v>16796</v>
      </c>
      <c r="X1404" s="4" t="s">
        <v>16796</v>
      </c>
      <c r="Y1404" s="4" t="s">
        <v>14808</v>
      </c>
      <c r="Z1404" s="4" t="s">
        <v>14808</v>
      </c>
      <c r="AA1404" s="3">
        <v>261</v>
      </c>
      <c r="AB1404" s="3">
        <v>232</v>
      </c>
      <c r="AC1404" s="3">
        <v>390</v>
      </c>
      <c r="AD1404" s="3">
        <v>2</v>
      </c>
      <c r="AE1404" s="3">
        <v>2</v>
      </c>
      <c r="AF1404" s="3">
        <v>11</v>
      </c>
      <c r="AG1404" s="3">
        <v>19</v>
      </c>
      <c r="AH1404" s="3">
        <v>4</v>
      </c>
      <c r="AI1404" s="3">
        <v>7</v>
      </c>
      <c r="AJ1404" s="3">
        <v>3</v>
      </c>
      <c r="AK1404" s="3">
        <v>6</v>
      </c>
      <c r="AL1404" s="3">
        <v>6</v>
      </c>
      <c r="AM1404" s="3">
        <v>10</v>
      </c>
      <c r="AN1404" s="3">
        <v>1</v>
      </c>
      <c r="AO1404" s="3">
        <v>1</v>
      </c>
      <c r="AP1404" s="3">
        <v>0</v>
      </c>
      <c r="AQ1404" s="3">
        <v>0</v>
      </c>
      <c r="AR1404" s="2" t="s">
        <v>5</v>
      </c>
      <c r="AS1404" s="2" t="s">
        <v>16</v>
      </c>
      <c r="AT1404" s="5" t="str">
        <f>HYPERLINK("http://catalog.hathitrust.org/Record/000717179","HathiTrust Record")</f>
        <v>HathiTrust Record</v>
      </c>
      <c r="AU1404" s="5" t="str">
        <f>HYPERLINK("https://creighton-primo.hosted.exlibrisgroup.com/primo-explore/search?tab=default_tab&amp;search_scope=EVERYTHING&amp;vid=01CRU&amp;lang=en_US&amp;offset=0&amp;query=any,contains,991000734339702656","Catalog Record")</f>
        <v>Catalog Record</v>
      </c>
      <c r="AV1404" s="5" t="str">
        <f>HYPERLINK("http://www.worldcat.org/oclc/5726296","WorldCat Record")</f>
        <v>WorldCat Record</v>
      </c>
      <c r="AW1404" s="2" t="s">
        <v>16797</v>
      </c>
      <c r="AX1404" s="2" t="s">
        <v>16798</v>
      </c>
      <c r="AY1404" s="2" t="s">
        <v>16799</v>
      </c>
      <c r="AZ1404" s="2" t="s">
        <v>16799</v>
      </c>
      <c r="BA1404" s="2" t="s">
        <v>16800</v>
      </c>
      <c r="BB1404" s="2" t="s">
        <v>21</v>
      </c>
      <c r="BD1404" s="2" t="s">
        <v>16801</v>
      </c>
      <c r="BE1404" s="2" t="s">
        <v>16802</v>
      </c>
      <c r="BF1404" s="2" t="s">
        <v>16803</v>
      </c>
    </row>
    <row r="1405" spans="1:58" ht="41.25" customHeight="1" x14ac:dyDescent="0.25">
      <c r="A1405" s="8" t="s">
        <v>5</v>
      </c>
      <c r="B1405" s="1" t="s">
        <v>0</v>
      </c>
      <c r="C1405" s="1" t="s">
        <v>1</v>
      </c>
      <c r="D1405" s="1" t="s">
        <v>16804</v>
      </c>
      <c r="E1405" s="1" t="s">
        <v>16805</v>
      </c>
      <c r="F1405" s="1" t="s">
        <v>16806</v>
      </c>
      <c r="H1405" s="2" t="s">
        <v>5</v>
      </c>
      <c r="I1405" s="2" t="s">
        <v>6</v>
      </c>
      <c r="J1405" s="2" t="s">
        <v>5</v>
      </c>
      <c r="K1405" s="2" t="s">
        <v>16</v>
      </c>
      <c r="L1405" s="2" t="s">
        <v>7</v>
      </c>
      <c r="M1405" s="1" t="s">
        <v>16783</v>
      </c>
      <c r="N1405" s="1" t="s">
        <v>1390</v>
      </c>
      <c r="O1405" s="2" t="s">
        <v>1391</v>
      </c>
      <c r="P1405" s="1" t="s">
        <v>1208</v>
      </c>
      <c r="Q1405" s="2" t="s">
        <v>11</v>
      </c>
      <c r="R1405" s="2" t="s">
        <v>78</v>
      </c>
      <c r="T1405" s="2" t="s">
        <v>520</v>
      </c>
      <c r="U1405" s="3">
        <v>0</v>
      </c>
      <c r="V1405" s="3">
        <v>0</v>
      </c>
      <c r="W1405" s="4" t="s">
        <v>10786</v>
      </c>
      <c r="X1405" s="4" t="s">
        <v>10786</v>
      </c>
      <c r="Y1405" s="4" t="s">
        <v>10787</v>
      </c>
      <c r="Z1405" s="4" t="s">
        <v>10787</v>
      </c>
      <c r="AA1405" s="3">
        <v>346</v>
      </c>
      <c r="AB1405" s="3">
        <v>244</v>
      </c>
      <c r="AC1405" s="3">
        <v>751</v>
      </c>
      <c r="AD1405" s="3">
        <v>1</v>
      </c>
      <c r="AE1405" s="3">
        <v>5</v>
      </c>
      <c r="AF1405" s="3">
        <v>4</v>
      </c>
      <c r="AG1405" s="3">
        <v>20</v>
      </c>
      <c r="AH1405" s="3">
        <v>1</v>
      </c>
      <c r="AI1405" s="3">
        <v>7</v>
      </c>
      <c r="AJ1405" s="3">
        <v>1</v>
      </c>
      <c r="AK1405" s="3">
        <v>2</v>
      </c>
      <c r="AL1405" s="3">
        <v>3</v>
      </c>
      <c r="AM1405" s="3">
        <v>9</v>
      </c>
      <c r="AN1405" s="3">
        <v>0</v>
      </c>
      <c r="AO1405" s="3">
        <v>4</v>
      </c>
      <c r="AP1405" s="3">
        <v>0</v>
      </c>
      <c r="AQ1405" s="3">
        <v>0</v>
      </c>
      <c r="AR1405" s="2" t="s">
        <v>5</v>
      </c>
      <c r="AS1405" s="2" t="s">
        <v>5</v>
      </c>
      <c r="AU1405" s="5" t="str">
        <f>HYPERLINK("https://creighton-primo.hosted.exlibrisgroup.com/primo-explore/search?tab=default_tab&amp;search_scope=EVERYTHING&amp;vid=01CRU&amp;lang=en_US&amp;offset=0&amp;query=any,contains,991000384279702656","Catalog Record")</f>
        <v>Catalog Record</v>
      </c>
      <c r="AV1405" s="5" t="str">
        <f>HYPERLINK("http://www.worldcat.org/oclc/52638798","WorldCat Record")</f>
        <v>WorldCat Record</v>
      </c>
      <c r="AW1405" s="2" t="s">
        <v>16807</v>
      </c>
      <c r="AX1405" s="2" t="s">
        <v>16808</v>
      </c>
      <c r="AY1405" s="2" t="s">
        <v>16809</v>
      </c>
      <c r="AZ1405" s="2" t="s">
        <v>16809</v>
      </c>
      <c r="BA1405" s="2" t="s">
        <v>16810</v>
      </c>
      <c r="BB1405" s="2" t="s">
        <v>21</v>
      </c>
      <c r="BD1405" s="2" t="s">
        <v>16811</v>
      </c>
      <c r="BE1405" s="2" t="s">
        <v>16812</v>
      </c>
      <c r="BF1405" s="2" t="s">
        <v>16813</v>
      </c>
    </row>
    <row r="1406" spans="1:58" ht="41.25" customHeight="1" x14ac:dyDescent="0.25">
      <c r="A1406" s="8" t="s">
        <v>5</v>
      </c>
      <c r="B1406" s="1" t="s">
        <v>0</v>
      </c>
      <c r="C1406" s="1" t="s">
        <v>1</v>
      </c>
      <c r="D1406" s="1" t="s">
        <v>16814</v>
      </c>
      <c r="E1406" s="1" t="s">
        <v>16815</v>
      </c>
      <c r="F1406" s="1" t="s">
        <v>16816</v>
      </c>
      <c r="H1406" s="2" t="s">
        <v>5</v>
      </c>
      <c r="I1406" s="2" t="s">
        <v>6</v>
      </c>
      <c r="J1406" s="2" t="s">
        <v>5</v>
      </c>
      <c r="K1406" s="2" t="s">
        <v>5</v>
      </c>
      <c r="L1406" s="2" t="s">
        <v>7</v>
      </c>
      <c r="M1406" s="1" t="s">
        <v>16817</v>
      </c>
      <c r="N1406" s="1" t="s">
        <v>16818</v>
      </c>
      <c r="O1406" s="2" t="s">
        <v>734</v>
      </c>
      <c r="Q1406" s="2" t="s">
        <v>11</v>
      </c>
      <c r="R1406" s="2" t="s">
        <v>426</v>
      </c>
      <c r="T1406" s="2" t="s">
        <v>520</v>
      </c>
      <c r="U1406" s="3">
        <v>43</v>
      </c>
      <c r="V1406" s="3">
        <v>43</v>
      </c>
      <c r="W1406" s="4" t="s">
        <v>3415</v>
      </c>
      <c r="X1406" s="4" t="s">
        <v>3415</v>
      </c>
      <c r="Y1406" s="4" t="s">
        <v>16284</v>
      </c>
      <c r="Z1406" s="4" t="s">
        <v>16284</v>
      </c>
      <c r="AA1406" s="3">
        <v>28</v>
      </c>
      <c r="AB1406" s="3">
        <v>25</v>
      </c>
      <c r="AC1406" s="3">
        <v>700</v>
      </c>
      <c r="AD1406" s="3">
        <v>1</v>
      </c>
      <c r="AE1406" s="3">
        <v>2</v>
      </c>
      <c r="AF1406" s="3">
        <v>0</v>
      </c>
      <c r="AG1406" s="3">
        <v>23</v>
      </c>
      <c r="AH1406" s="3">
        <v>0</v>
      </c>
      <c r="AI1406" s="3">
        <v>11</v>
      </c>
      <c r="AJ1406" s="3">
        <v>0</v>
      </c>
      <c r="AK1406" s="3">
        <v>3</v>
      </c>
      <c r="AL1406" s="3">
        <v>0</v>
      </c>
      <c r="AM1406" s="3">
        <v>14</v>
      </c>
      <c r="AN1406" s="3">
        <v>0</v>
      </c>
      <c r="AO1406" s="3">
        <v>1</v>
      </c>
      <c r="AP1406" s="3">
        <v>0</v>
      </c>
      <c r="AQ1406" s="3">
        <v>0</v>
      </c>
      <c r="AR1406" s="2" t="s">
        <v>5</v>
      </c>
      <c r="AS1406" s="2" t="s">
        <v>5</v>
      </c>
      <c r="AU1406" s="5" t="str">
        <f>HYPERLINK("https://creighton-primo.hosted.exlibrisgroup.com/primo-explore/search?tab=default_tab&amp;search_scope=EVERYTHING&amp;vid=01CRU&amp;lang=en_US&amp;offset=0&amp;query=any,contains,991000864739702656","Catalog Record")</f>
        <v>Catalog Record</v>
      </c>
      <c r="AV1406" s="5" t="str">
        <f>HYPERLINK("http://www.worldcat.org/oclc/8285407","WorldCat Record")</f>
        <v>WorldCat Record</v>
      </c>
      <c r="AW1406" s="2" t="s">
        <v>16819</v>
      </c>
      <c r="AX1406" s="2" t="s">
        <v>16820</v>
      </c>
      <c r="AY1406" s="2" t="s">
        <v>16821</v>
      </c>
      <c r="AZ1406" s="2" t="s">
        <v>16821</v>
      </c>
      <c r="BA1406" s="2" t="s">
        <v>16822</v>
      </c>
      <c r="BB1406" s="2" t="s">
        <v>21</v>
      </c>
      <c r="BD1406" s="2" t="s">
        <v>16823</v>
      </c>
      <c r="BE1406" s="2" t="s">
        <v>16824</v>
      </c>
      <c r="BF1406" s="2" t="s">
        <v>16825</v>
      </c>
    </row>
    <row r="1407" spans="1:58" ht="41.25" customHeight="1" x14ac:dyDescent="0.25">
      <c r="A1407" s="8" t="s">
        <v>5</v>
      </c>
      <c r="B1407" s="1" t="s">
        <v>0</v>
      </c>
      <c r="C1407" s="1" t="s">
        <v>1</v>
      </c>
      <c r="D1407" s="1" t="s">
        <v>16826</v>
      </c>
      <c r="E1407" s="1" t="s">
        <v>16827</v>
      </c>
      <c r="F1407" s="1" t="s">
        <v>16828</v>
      </c>
      <c r="H1407" s="2" t="s">
        <v>5</v>
      </c>
      <c r="I1407" s="2" t="s">
        <v>6</v>
      </c>
      <c r="J1407" s="2" t="s">
        <v>5</v>
      </c>
      <c r="K1407" s="2" t="s">
        <v>5</v>
      </c>
      <c r="L1407" s="2" t="s">
        <v>7</v>
      </c>
      <c r="N1407" s="1" t="s">
        <v>16829</v>
      </c>
      <c r="O1407" s="2" t="s">
        <v>1339</v>
      </c>
      <c r="Q1407" s="2" t="s">
        <v>11</v>
      </c>
      <c r="R1407" s="2" t="s">
        <v>426</v>
      </c>
      <c r="S1407" s="1" t="s">
        <v>16830</v>
      </c>
      <c r="T1407" s="2" t="s">
        <v>520</v>
      </c>
      <c r="U1407" s="3">
        <v>1</v>
      </c>
      <c r="V1407" s="3">
        <v>1</v>
      </c>
      <c r="W1407" s="4" t="s">
        <v>2336</v>
      </c>
      <c r="X1407" s="4" t="s">
        <v>2336</v>
      </c>
      <c r="Y1407" s="4" t="s">
        <v>522</v>
      </c>
      <c r="Z1407" s="4" t="s">
        <v>522</v>
      </c>
      <c r="AA1407" s="3">
        <v>154</v>
      </c>
      <c r="AB1407" s="3">
        <v>140</v>
      </c>
      <c r="AC1407" s="3">
        <v>142</v>
      </c>
      <c r="AD1407" s="3">
        <v>3</v>
      </c>
      <c r="AE1407" s="3">
        <v>3</v>
      </c>
      <c r="AF1407" s="3">
        <v>10</v>
      </c>
      <c r="AG1407" s="3">
        <v>10</v>
      </c>
      <c r="AH1407" s="3">
        <v>3</v>
      </c>
      <c r="AI1407" s="3">
        <v>3</v>
      </c>
      <c r="AJ1407" s="3">
        <v>2</v>
      </c>
      <c r="AK1407" s="3">
        <v>2</v>
      </c>
      <c r="AL1407" s="3">
        <v>6</v>
      </c>
      <c r="AM1407" s="3">
        <v>6</v>
      </c>
      <c r="AN1407" s="3">
        <v>2</v>
      </c>
      <c r="AO1407" s="3">
        <v>2</v>
      </c>
      <c r="AP1407" s="3">
        <v>0</v>
      </c>
      <c r="AQ1407" s="3">
        <v>0</v>
      </c>
      <c r="AR1407" s="2" t="s">
        <v>5</v>
      </c>
      <c r="AS1407" s="2" t="s">
        <v>16</v>
      </c>
      <c r="AT1407" s="5" t="str">
        <f>HYPERLINK("http://catalog.hathitrust.org/Record/002506725","HathiTrust Record")</f>
        <v>HathiTrust Record</v>
      </c>
      <c r="AU1407" s="5" t="str">
        <f>HYPERLINK("https://creighton-primo.hosted.exlibrisgroup.com/primo-explore/search?tab=default_tab&amp;search_scope=EVERYTHING&amp;vid=01CRU&amp;lang=en_US&amp;offset=0&amp;query=any,contains,991001269579702656","Catalog Record")</f>
        <v>Catalog Record</v>
      </c>
      <c r="AV1407" s="5" t="str">
        <f>HYPERLINK("http://www.worldcat.org/oclc/18686319","WorldCat Record")</f>
        <v>WorldCat Record</v>
      </c>
      <c r="AW1407" s="2" t="s">
        <v>16831</v>
      </c>
      <c r="AX1407" s="2" t="s">
        <v>16832</v>
      </c>
      <c r="AY1407" s="2" t="s">
        <v>16833</v>
      </c>
      <c r="AZ1407" s="2" t="s">
        <v>16833</v>
      </c>
      <c r="BA1407" s="2" t="s">
        <v>16834</v>
      </c>
      <c r="BB1407" s="2" t="s">
        <v>21</v>
      </c>
      <c r="BD1407" s="2" t="s">
        <v>16835</v>
      </c>
      <c r="BE1407" s="2" t="s">
        <v>16836</v>
      </c>
      <c r="BF1407" s="2" t="s">
        <v>16837</v>
      </c>
    </row>
    <row r="1408" spans="1:58" ht="41.25" customHeight="1" x14ac:dyDescent="0.25">
      <c r="A1408" s="8" t="s">
        <v>5</v>
      </c>
      <c r="B1408" s="1" t="s">
        <v>0</v>
      </c>
      <c r="C1408" s="1" t="s">
        <v>1</v>
      </c>
      <c r="D1408" s="1" t="s">
        <v>16838</v>
      </c>
      <c r="E1408" s="1" t="s">
        <v>16839</v>
      </c>
      <c r="F1408" s="1" t="s">
        <v>16840</v>
      </c>
      <c r="H1408" s="2" t="s">
        <v>5</v>
      </c>
      <c r="I1408" s="2" t="s">
        <v>6</v>
      </c>
      <c r="J1408" s="2" t="s">
        <v>5</v>
      </c>
      <c r="K1408" s="2" t="s">
        <v>5</v>
      </c>
      <c r="L1408" s="2" t="s">
        <v>7</v>
      </c>
      <c r="M1408" s="1" t="s">
        <v>16841</v>
      </c>
      <c r="N1408" s="1" t="s">
        <v>16595</v>
      </c>
      <c r="O1408" s="2" t="s">
        <v>354</v>
      </c>
      <c r="Q1408" s="2" t="s">
        <v>11</v>
      </c>
      <c r="R1408" s="2" t="s">
        <v>229</v>
      </c>
      <c r="T1408" s="2" t="s">
        <v>520</v>
      </c>
      <c r="U1408" s="3">
        <v>3</v>
      </c>
      <c r="V1408" s="3">
        <v>3</v>
      </c>
      <c r="W1408" s="4" t="s">
        <v>16842</v>
      </c>
      <c r="X1408" s="4" t="s">
        <v>16842</v>
      </c>
      <c r="Y1408" s="4" t="s">
        <v>14808</v>
      </c>
      <c r="Z1408" s="4" t="s">
        <v>14808</v>
      </c>
      <c r="AA1408" s="3">
        <v>283</v>
      </c>
      <c r="AB1408" s="3">
        <v>235</v>
      </c>
      <c r="AC1408" s="3">
        <v>242</v>
      </c>
      <c r="AD1408" s="3">
        <v>3</v>
      </c>
      <c r="AE1408" s="3">
        <v>3</v>
      </c>
      <c r="AF1408" s="3">
        <v>10</v>
      </c>
      <c r="AG1408" s="3">
        <v>10</v>
      </c>
      <c r="AH1408" s="3">
        <v>1</v>
      </c>
      <c r="AI1408" s="3">
        <v>1</v>
      </c>
      <c r="AJ1408" s="3">
        <v>3</v>
      </c>
      <c r="AK1408" s="3">
        <v>3</v>
      </c>
      <c r="AL1408" s="3">
        <v>5</v>
      </c>
      <c r="AM1408" s="3">
        <v>5</v>
      </c>
      <c r="AN1408" s="3">
        <v>2</v>
      </c>
      <c r="AO1408" s="3">
        <v>2</v>
      </c>
      <c r="AP1408" s="3">
        <v>0</v>
      </c>
      <c r="AQ1408" s="3">
        <v>0</v>
      </c>
      <c r="AR1408" s="2" t="s">
        <v>5</v>
      </c>
      <c r="AS1408" s="2" t="s">
        <v>16</v>
      </c>
      <c r="AT1408" s="5" t="str">
        <f>HYPERLINK("http://catalog.hathitrust.org/Record/000148821","HathiTrust Record")</f>
        <v>HathiTrust Record</v>
      </c>
      <c r="AU1408" s="5" t="str">
        <f>HYPERLINK("https://creighton-primo.hosted.exlibrisgroup.com/primo-explore/search?tab=default_tab&amp;search_scope=EVERYTHING&amp;vid=01CRU&amp;lang=en_US&amp;offset=0&amp;query=any,contains,991000734669702656","Catalog Record")</f>
        <v>Catalog Record</v>
      </c>
      <c r="AV1408" s="5" t="str">
        <f>HYPERLINK("http://www.worldcat.org/oclc/5101184","WorldCat Record")</f>
        <v>WorldCat Record</v>
      </c>
      <c r="AW1408" s="2" t="s">
        <v>16843</v>
      </c>
      <c r="AX1408" s="2" t="s">
        <v>16844</v>
      </c>
      <c r="AY1408" s="2" t="s">
        <v>16845</v>
      </c>
      <c r="AZ1408" s="2" t="s">
        <v>16845</v>
      </c>
      <c r="BA1408" s="2" t="s">
        <v>16846</v>
      </c>
      <c r="BB1408" s="2" t="s">
        <v>21</v>
      </c>
      <c r="BD1408" s="2" t="s">
        <v>16847</v>
      </c>
      <c r="BE1408" s="2" t="s">
        <v>16848</v>
      </c>
      <c r="BF1408" s="2" t="s">
        <v>16849</v>
      </c>
    </row>
    <row r="1409" spans="1:58" ht="41.25" customHeight="1" x14ac:dyDescent="0.25">
      <c r="A1409" s="8" t="s">
        <v>5</v>
      </c>
      <c r="B1409" s="1" t="s">
        <v>0</v>
      </c>
      <c r="C1409" s="1" t="s">
        <v>1</v>
      </c>
      <c r="D1409" s="1" t="s">
        <v>16850</v>
      </c>
      <c r="E1409" s="1" t="s">
        <v>16851</v>
      </c>
      <c r="F1409" s="1" t="s">
        <v>16852</v>
      </c>
      <c r="H1409" s="2" t="s">
        <v>5</v>
      </c>
      <c r="I1409" s="2" t="s">
        <v>6</v>
      </c>
      <c r="J1409" s="2" t="s">
        <v>5</v>
      </c>
      <c r="K1409" s="2" t="s">
        <v>5</v>
      </c>
      <c r="L1409" s="2" t="s">
        <v>7</v>
      </c>
      <c r="M1409" s="1" t="s">
        <v>16853</v>
      </c>
      <c r="N1409" s="1" t="s">
        <v>16854</v>
      </c>
      <c r="O1409" s="2" t="s">
        <v>136</v>
      </c>
      <c r="Q1409" s="2" t="s">
        <v>11</v>
      </c>
      <c r="R1409" s="2" t="s">
        <v>78</v>
      </c>
      <c r="T1409" s="2" t="s">
        <v>520</v>
      </c>
      <c r="U1409" s="3">
        <v>16</v>
      </c>
      <c r="V1409" s="3">
        <v>16</v>
      </c>
      <c r="W1409" s="4" t="s">
        <v>11832</v>
      </c>
      <c r="X1409" s="4" t="s">
        <v>11832</v>
      </c>
      <c r="Y1409" s="4" t="s">
        <v>10458</v>
      </c>
      <c r="Z1409" s="4" t="s">
        <v>10458</v>
      </c>
      <c r="AA1409" s="3">
        <v>184</v>
      </c>
      <c r="AB1409" s="3">
        <v>146</v>
      </c>
      <c r="AC1409" s="3">
        <v>151</v>
      </c>
      <c r="AD1409" s="3">
        <v>1</v>
      </c>
      <c r="AE1409" s="3">
        <v>1</v>
      </c>
      <c r="AF1409" s="3">
        <v>3</v>
      </c>
      <c r="AG1409" s="3">
        <v>3</v>
      </c>
      <c r="AH1409" s="3">
        <v>1</v>
      </c>
      <c r="AI1409" s="3">
        <v>1</v>
      </c>
      <c r="AJ1409" s="3">
        <v>1</v>
      </c>
      <c r="AK1409" s="3">
        <v>1</v>
      </c>
      <c r="AL1409" s="3">
        <v>2</v>
      </c>
      <c r="AM1409" s="3">
        <v>2</v>
      </c>
      <c r="AN1409" s="3">
        <v>0</v>
      </c>
      <c r="AO1409" s="3">
        <v>0</v>
      </c>
      <c r="AP1409" s="3">
        <v>0</v>
      </c>
      <c r="AQ1409" s="3">
        <v>0</v>
      </c>
      <c r="AR1409" s="2" t="s">
        <v>5</v>
      </c>
      <c r="AS1409" s="2" t="s">
        <v>5</v>
      </c>
      <c r="AU1409" s="5" t="str">
        <f>HYPERLINK("https://creighton-primo.hosted.exlibrisgroup.com/primo-explore/search?tab=default_tab&amp;search_scope=EVERYTHING&amp;vid=01CRU&amp;lang=en_US&amp;offset=0&amp;query=any,contains,991000781149702656","Catalog Record")</f>
        <v>Catalog Record</v>
      </c>
      <c r="AV1409" s="5" t="str">
        <f>HYPERLINK("http://www.worldcat.org/oclc/21560491","WorldCat Record")</f>
        <v>WorldCat Record</v>
      </c>
      <c r="AW1409" s="2" t="s">
        <v>16855</v>
      </c>
      <c r="AX1409" s="2" t="s">
        <v>16856</v>
      </c>
      <c r="AY1409" s="2" t="s">
        <v>16857</v>
      </c>
      <c r="AZ1409" s="2" t="s">
        <v>16857</v>
      </c>
      <c r="BA1409" s="2" t="s">
        <v>16858</v>
      </c>
      <c r="BB1409" s="2" t="s">
        <v>21</v>
      </c>
      <c r="BD1409" s="2" t="s">
        <v>16859</v>
      </c>
      <c r="BE1409" s="2" t="s">
        <v>16860</v>
      </c>
      <c r="BF1409" s="2" t="s">
        <v>16861</v>
      </c>
    </row>
    <row r="1410" spans="1:58" ht="41.25" customHeight="1" x14ac:dyDescent="0.25">
      <c r="A1410" s="8" t="s">
        <v>5</v>
      </c>
      <c r="B1410" s="1" t="s">
        <v>0</v>
      </c>
      <c r="C1410" s="1" t="s">
        <v>1</v>
      </c>
      <c r="D1410" s="1" t="s">
        <v>16862</v>
      </c>
      <c r="E1410" s="1" t="s">
        <v>16863</v>
      </c>
      <c r="F1410" s="1" t="s">
        <v>16864</v>
      </c>
      <c r="H1410" s="2" t="s">
        <v>5</v>
      </c>
      <c r="I1410" s="2" t="s">
        <v>6</v>
      </c>
      <c r="J1410" s="2" t="s">
        <v>5</v>
      </c>
      <c r="K1410" s="2" t="s">
        <v>16</v>
      </c>
      <c r="L1410" s="2" t="s">
        <v>7</v>
      </c>
      <c r="N1410" s="1" t="s">
        <v>16865</v>
      </c>
      <c r="O1410" s="2" t="s">
        <v>393</v>
      </c>
      <c r="Q1410" s="2" t="s">
        <v>11</v>
      </c>
      <c r="R1410" s="2" t="s">
        <v>12</v>
      </c>
      <c r="T1410" s="2" t="s">
        <v>520</v>
      </c>
      <c r="U1410" s="3">
        <v>18</v>
      </c>
      <c r="V1410" s="3">
        <v>18</v>
      </c>
      <c r="W1410" s="4" t="s">
        <v>4842</v>
      </c>
      <c r="X1410" s="4" t="s">
        <v>4842</v>
      </c>
      <c r="Y1410" s="4" t="s">
        <v>14808</v>
      </c>
      <c r="Z1410" s="4" t="s">
        <v>14808</v>
      </c>
      <c r="AA1410" s="3">
        <v>309</v>
      </c>
      <c r="AB1410" s="3">
        <v>270</v>
      </c>
      <c r="AC1410" s="3">
        <v>533</v>
      </c>
      <c r="AD1410" s="3">
        <v>3</v>
      </c>
      <c r="AE1410" s="3">
        <v>4</v>
      </c>
      <c r="AF1410" s="3">
        <v>12</v>
      </c>
      <c r="AG1410" s="3">
        <v>19</v>
      </c>
      <c r="AH1410" s="3">
        <v>2</v>
      </c>
      <c r="AI1410" s="3">
        <v>7</v>
      </c>
      <c r="AJ1410" s="3">
        <v>3</v>
      </c>
      <c r="AK1410" s="3">
        <v>3</v>
      </c>
      <c r="AL1410" s="3">
        <v>6</v>
      </c>
      <c r="AM1410" s="3">
        <v>9</v>
      </c>
      <c r="AN1410" s="3">
        <v>2</v>
      </c>
      <c r="AO1410" s="3">
        <v>3</v>
      </c>
      <c r="AP1410" s="3">
        <v>1</v>
      </c>
      <c r="AQ1410" s="3">
        <v>1</v>
      </c>
      <c r="AR1410" s="2" t="s">
        <v>5</v>
      </c>
      <c r="AS1410" s="2" t="s">
        <v>16</v>
      </c>
      <c r="AT1410" s="5" t="str">
        <f>HYPERLINK("http://catalog.hathitrust.org/Record/000148143","HathiTrust Record")</f>
        <v>HathiTrust Record</v>
      </c>
      <c r="AU1410" s="5" t="str">
        <f>HYPERLINK("https://creighton-primo.hosted.exlibrisgroup.com/primo-explore/search?tab=default_tab&amp;search_scope=EVERYTHING&amp;vid=01CRU&amp;lang=en_US&amp;offset=0&amp;query=any,contains,991000734249702656","Catalog Record")</f>
        <v>Catalog Record</v>
      </c>
      <c r="AV1410" s="5" t="str">
        <f>HYPERLINK("http://www.worldcat.org/oclc/6789703","WorldCat Record")</f>
        <v>WorldCat Record</v>
      </c>
      <c r="AW1410" s="2" t="s">
        <v>16866</v>
      </c>
      <c r="AX1410" s="2" t="s">
        <v>16867</v>
      </c>
      <c r="AY1410" s="2" t="s">
        <v>16868</v>
      </c>
      <c r="AZ1410" s="2" t="s">
        <v>16868</v>
      </c>
      <c r="BA1410" s="2" t="s">
        <v>16869</v>
      </c>
      <c r="BB1410" s="2" t="s">
        <v>21</v>
      </c>
      <c r="BD1410" s="2" t="s">
        <v>16870</v>
      </c>
      <c r="BE1410" s="2" t="s">
        <v>16871</v>
      </c>
      <c r="BF1410" s="2" t="s">
        <v>16872</v>
      </c>
    </row>
    <row r="1411" spans="1:58" ht="41.25" customHeight="1" x14ac:dyDescent="0.25">
      <c r="A1411" s="8" t="s">
        <v>5</v>
      </c>
      <c r="B1411" s="1" t="s">
        <v>0</v>
      </c>
      <c r="C1411" s="1" t="s">
        <v>1</v>
      </c>
      <c r="D1411" s="1" t="s">
        <v>16873</v>
      </c>
      <c r="E1411" s="1" t="s">
        <v>16874</v>
      </c>
      <c r="F1411" s="1" t="s">
        <v>16875</v>
      </c>
      <c r="H1411" s="2" t="s">
        <v>5</v>
      </c>
      <c r="I1411" s="2" t="s">
        <v>6</v>
      </c>
      <c r="J1411" s="2" t="s">
        <v>5</v>
      </c>
      <c r="K1411" s="2" t="s">
        <v>5</v>
      </c>
      <c r="L1411" s="2" t="s">
        <v>7</v>
      </c>
      <c r="N1411" s="1" t="s">
        <v>11598</v>
      </c>
      <c r="O1411" s="2" t="s">
        <v>136</v>
      </c>
      <c r="Q1411" s="2" t="s">
        <v>11</v>
      </c>
      <c r="R1411" s="2" t="s">
        <v>1019</v>
      </c>
      <c r="T1411" s="2" t="s">
        <v>520</v>
      </c>
      <c r="U1411" s="3">
        <v>17</v>
      </c>
      <c r="V1411" s="3">
        <v>17</v>
      </c>
      <c r="W1411" s="4" t="s">
        <v>16876</v>
      </c>
      <c r="X1411" s="4" t="s">
        <v>16876</v>
      </c>
      <c r="Y1411" s="4" t="s">
        <v>1470</v>
      </c>
      <c r="Z1411" s="4" t="s">
        <v>1470</v>
      </c>
      <c r="AA1411" s="3">
        <v>216</v>
      </c>
      <c r="AB1411" s="3">
        <v>168</v>
      </c>
      <c r="AC1411" s="3">
        <v>170</v>
      </c>
      <c r="AD1411" s="3">
        <v>1</v>
      </c>
      <c r="AE1411" s="3">
        <v>1</v>
      </c>
      <c r="AF1411" s="3">
        <v>5</v>
      </c>
      <c r="AG1411" s="3">
        <v>5</v>
      </c>
      <c r="AH1411" s="3">
        <v>1</v>
      </c>
      <c r="AI1411" s="3">
        <v>1</v>
      </c>
      <c r="AJ1411" s="3">
        <v>2</v>
      </c>
      <c r="AK1411" s="3">
        <v>2</v>
      </c>
      <c r="AL1411" s="3">
        <v>3</v>
      </c>
      <c r="AM1411" s="3">
        <v>3</v>
      </c>
      <c r="AN1411" s="3">
        <v>0</v>
      </c>
      <c r="AO1411" s="3">
        <v>0</v>
      </c>
      <c r="AP1411" s="3">
        <v>0</v>
      </c>
      <c r="AQ1411" s="3">
        <v>0</v>
      </c>
      <c r="AR1411" s="2" t="s">
        <v>5</v>
      </c>
      <c r="AS1411" s="2" t="s">
        <v>16</v>
      </c>
      <c r="AT1411" s="5" t="str">
        <f>HYPERLINK("http://catalog.hathitrust.org/Record/002560540","HathiTrust Record")</f>
        <v>HathiTrust Record</v>
      </c>
      <c r="AU1411" s="5" t="str">
        <f>HYPERLINK("https://creighton-primo.hosted.exlibrisgroup.com/primo-explore/search?tab=default_tab&amp;search_scope=EVERYTHING&amp;vid=01CRU&amp;lang=en_US&amp;offset=0&amp;query=any,contains,991000819489702656","Catalog Record")</f>
        <v>Catalog Record</v>
      </c>
      <c r="AV1411" s="5" t="str">
        <f>HYPERLINK("http://www.worldcat.org/oclc/22382975","WorldCat Record")</f>
        <v>WorldCat Record</v>
      </c>
      <c r="AW1411" s="2" t="s">
        <v>16877</v>
      </c>
      <c r="AX1411" s="2" t="s">
        <v>16878</v>
      </c>
      <c r="AY1411" s="2" t="s">
        <v>16879</v>
      </c>
      <c r="AZ1411" s="2" t="s">
        <v>16879</v>
      </c>
      <c r="BA1411" s="2" t="s">
        <v>16880</v>
      </c>
      <c r="BB1411" s="2" t="s">
        <v>21</v>
      </c>
      <c r="BD1411" s="2" t="s">
        <v>16881</v>
      </c>
      <c r="BE1411" s="2" t="s">
        <v>16882</v>
      </c>
      <c r="BF1411" s="2" t="s">
        <v>16883</v>
      </c>
    </row>
    <row r="1412" spans="1:58" ht="41.25" customHeight="1" x14ac:dyDescent="0.25">
      <c r="A1412" s="8" t="s">
        <v>5</v>
      </c>
      <c r="B1412" s="1" t="s">
        <v>0</v>
      </c>
      <c r="C1412" s="1" t="s">
        <v>1</v>
      </c>
      <c r="D1412" s="1" t="s">
        <v>16884</v>
      </c>
      <c r="E1412" s="1" t="s">
        <v>16885</v>
      </c>
      <c r="F1412" s="1" t="s">
        <v>16886</v>
      </c>
      <c r="H1412" s="2" t="s">
        <v>5</v>
      </c>
      <c r="I1412" s="2" t="s">
        <v>6</v>
      </c>
      <c r="J1412" s="2" t="s">
        <v>5</v>
      </c>
      <c r="K1412" s="2" t="s">
        <v>16</v>
      </c>
      <c r="L1412" s="2" t="s">
        <v>7</v>
      </c>
      <c r="N1412" s="1" t="s">
        <v>16887</v>
      </c>
      <c r="O1412" s="2" t="s">
        <v>939</v>
      </c>
      <c r="P1412" s="1" t="s">
        <v>901</v>
      </c>
      <c r="Q1412" s="2" t="s">
        <v>11</v>
      </c>
      <c r="R1412" s="2" t="s">
        <v>426</v>
      </c>
      <c r="T1412" s="2" t="s">
        <v>520</v>
      </c>
      <c r="U1412" s="3">
        <v>20</v>
      </c>
      <c r="V1412" s="3">
        <v>20</v>
      </c>
      <c r="W1412" s="4" t="s">
        <v>3668</v>
      </c>
      <c r="X1412" s="4" t="s">
        <v>3668</v>
      </c>
      <c r="Y1412" s="4" t="s">
        <v>3668</v>
      </c>
      <c r="Z1412" s="4" t="s">
        <v>3668</v>
      </c>
      <c r="AA1412" s="3">
        <v>386</v>
      </c>
      <c r="AB1412" s="3">
        <v>317</v>
      </c>
      <c r="AC1412" s="3">
        <v>633</v>
      </c>
      <c r="AD1412" s="3">
        <v>3</v>
      </c>
      <c r="AE1412" s="3">
        <v>6</v>
      </c>
      <c r="AF1412" s="3">
        <v>9</v>
      </c>
      <c r="AG1412" s="3">
        <v>18</v>
      </c>
      <c r="AH1412" s="3">
        <v>3</v>
      </c>
      <c r="AI1412" s="3">
        <v>4</v>
      </c>
      <c r="AJ1412" s="3">
        <v>2</v>
      </c>
      <c r="AK1412" s="3">
        <v>3</v>
      </c>
      <c r="AL1412" s="3">
        <v>6</v>
      </c>
      <c r="AM1412" s="3">
        <v>11</v>
      </c>
      <c r="AN1412" s="3">
        <v>1</v>
      </c>
      <c r="AO1412" s="3">
        <v>4</v>
      </c>
      <c r="AP1412" s="3">
        <v>0</v>
      </c>
      <c r="AQ1412" s="3">
        <v>0</v>
      </c>
      <c r="AR1412" s="2" t="s">
        <v>5</v>
      </c>
      <c r="AS1412" s="2" t="s">
        <v>16</v>
      </c>
      <c r="AT1412" s="5" t="str">
        <f>HYPERLINK("http://catalog.hathitrust.org/Record/000949105","HathiTrust Record")</f>
        <v>HathiTrust Record</v>
      </c>
      <c r="AU1412" s="5" t="str">
        <f>HYPERLINK("https://creighton-primo.hosted.exlibrisgroup.com/primo-explore/search?tab=default_tab&amp;search_scope=EVERYTHING&amp;vid=01CRU&amp;lang=en_US&amp;offset=0&amp;query=any,contains,991001346789702656","Catalog Record")</f>
        <v>Catalog Record</v>
      </c>
      <c r="AV1412" s="5" t="str">
        <f>HYPERLINK("http://www.worldcat.org/oclc/16900799","WorldCat Record")</f>
        <v>WorldCat Record</v>
      </c>
      <c r="AW1412" s="2" t="s">
        <v>16888</v>
      </c>
      <c r="AX1412" s="2" t="s">
        <v>16889</v>
      </c>
      <c r="AY1412" s="2" t="s">
        <v>16890</v>
      </c>
      <c r="AZ1412" s="2" t="s">
        <v>16890</v>
      </c>
      <c r="BA1412" s="2" t="s">
        <v>16891</v>
      </c>
      <c r="BB1412" s="2" t="s">
        <v>21</v>
      </c>
      <c r="BD1412" s="2" t="s">
        <v>16892</v>
      </c>
      <c r="BE1412" s="2" t="s">
        <v>16893</v>
      </c>
      <c r="BF1412" s="2" t="s">
        <v>16894</v>
      </c>
    </row>
    <row r="1413" spans="1:58" ht="41.25" customHeight="1" x14ac:dyDescent="0.25">
      <c r="A1413" s="8" t="s">
        <v>5</v>
      </c>
      <c r="B1413" s="1" t="s">
        <v>0</v>
      </c>
      <c r="C1413" s="1" t="s">
        <v>1</v>
      </c>
      <c r="D1413" s="1" t="s">
        <v>16895</v>
      </c>
      <c r="E1413" s="1" t="s">
        <v>16896</v>
      </c>
      <c r="F1413" s="1" t="s">
        <v>16897</v>
      </c>
      <c r="H1413" s="2" t="s">
        <v>5</v>
      </c>
      <c r="I1413" s="2" t="s">
        <v>6</v>
      </c>
      <c r="J1413" s="2" t="s">
        <v>5</v>
      </c>
      <c r="K1413" s="2" t="s">
        <v>5</v>
      </c>
      <c r="L1413" s="2" t="s">
        <v>7</v>
      </c>
      <c r="N1413" s="1" t="s">
        <v>16898</v>
      </c>
      <c r="O1413" s="2" t="s">
        <v>989</v>
      </c>
      <c r="Q1413" s="2" t="s">
        <v>11</v>
      </c>
      <c r="R1413" s="2" t="s">
        <v>426</v>
      </c>
      <c r="T1413" s="2" t="s">
        <v>520</v>
      </c>
      <c r="U1413" s="3">
        <v>12</v>
      </c>
      <c r="V1413" s="3">
        <v>12</v>
      </c>
      <c r="W1413" s="4" t="s">
        <v>16784</v>
      </c>
      <c r="X1413" s="4" t="s">
        <v>16784</v>
      </c>
      <c r="Y1413" s="4" t="s">
        <v>1222</v>
      </c>
      <c r="Z1413" s="4" t="s">
        <v>1222</v>
      </c>
      <c r="AA1413" s="3">
        <v>337</v>
      </c>
      <c r="AB1413" s="3">
        <v>278</v>
      </c>
      <c r="AC1413" s="3">
        <v>285</v>
      </c>
      <c r="AD1413" s="3">
        <v>2</v>
      </c>
      <c r="AE1413" s="3">
        <v>2</v>
      </c>
      <c r="AF1413" s="3">
        <v>16</v>
      </c>
      <c r="AG1413" s="3">
        <v>16</v>
      </c>
      <c r="AH1413" s="3">
        <v>4</v>
      </c>
      <c r="AI1413" s="3">
        <v>4</v>
      </c>
      <c r="AJ1413" s="3">
        <v>4</v>
      </c>
      <c r="AK1413" s="3">
        <v>4</v>
      </c>
      <c r="AL1413" s="3">
        <v>10</v>
      </c>
      <c r="AM1413" s="3">
        <v>10</v>
      </c>
      <c r="AN1413" s="3">
        <v>1</v>
      </c>
      <c r="AO1413" s="3">
        <v>1</v>
      </c>
      <c r="AP1413" s="3">
        <v>0</v>
      </c>
      <c r="AQ1413" s="3">
        <v>0</v>
      </c>
      <c r="AR1413" s="2" t="s">
        <v>5</v>
      </c>
      <c r="AS1413" s="2" t="s">
        <v>16</v>
      </c>
      <c r="AT1413" s="5" t="str">
        <f>HYPERLINK("http://catalog.hathitrust.org/Record/002435325","HathiTrust Record")</f>
        <v>HathiTrust Record</v>
      </c>
      <c r="AU1413" s="5" t="str">
        <f>HYPERLINK("https://creighton-primo.hosted.exlibrisgroup.com/primo-explore/search?tab=default_tab&amp;search_scope=EVERYTHING&amp;vid=01CRU&amp;lang=en_US&amp;offset=0&amp;query=any,contains,991001449339702656","Catalog Record")</f>
        <v>Catalog Record</v>
      </c>
      <c r="AV1413" s="5" t="str">
        <f>HYPERLINK("http://www.worldcat.org/oclc/21195977","WorldCat Record")</f>
        <v>WorldCat Record</v>
      </c>
      <c r="AW1413" s="2" t="s">
        <v>16899</v>
      </c>
      <c r="AX1413" s="2" t="s">
        <v>16900</v>
      </c>
      <c r="AY1413" s="2" t="s">
        <v>16901</v>
      </c>
      <c r="AZ1413" s="2" t="s">
        <v>16901</v>
      </c>
      <c r="BA1413" s="2" t="s">
        <v>16902</v>
      </c>
      <c r="BB1413" s="2" t="s">
        <v>21</v>
      </c>
      <c r="BD1413" s="2" t="s">
        <v>16903</v>
      </c>
      <c r="BE1413" s="2" t="s">
        <v>16904</v>
      </c>
      <c r="BF1413" s="2" t="s">
        <v>16905</v>
      </c>
    </row>
    <row r="1414" spans="1:58" ht="41.25" customHeight="1" x14ac:dyDescent="0.25">
      <c r="A1414" s="8" t="s">
        <v>5</v>
      </c>
      <c r="B1414" s="1" t="s">
        <v>0</v>
      </c>
      <c r="C1414" s="1" t="s">
        <v>1</v>
      </c>
      <c r="D1414" s="1" t="s">
        <v>16906</v>
      </c>
      <c r="E1414" s="1" t="s">
        <v>16907</v>
      </c>
      <c r="F1414" s="1" t="s">
        <v>16908</v>
      </c>
      <c r="H1414" s="2" t="s">
        <v>5</v>
      </c>
      <c r="I1414" s="2" t="s">
        <v>6</v>
      </c>
      <c r="J1414" s="2" t="s">
        <v>5</v>
      </c>
      <c r="K1414" s="2" t="s">
        <v>5</v>
      </c>
      <c r="L1414" s="2" t="s">
        <v>7</v>
      </c>
      <c r="N1414" s="1" t="s">
        <v>11007</v>
      </c>
      <c r="O1414" s="2" t="s">
        <v>872</v>
      </c>
      <c r="Q1414" s="2" t="s">
        <v>11</v>
      </c>
      <c r="R1414" s="2" t="s">
        <v>426</v>
      </c>
      <c r="T1414" s="2" t="s">
        <v>520</v>
      </c>
      <c r="U1414" s="3">
        <v>8</v>
      </c>
      <c r="V1414" s="3">
        <v>8</v>
      </c>
      <c r="W1414" s="4" t="s">
        <v>16448</v>
      </c>
      <c r="X1414" s="4" t="s">
        <v>16448</v>
      </c>
      <c r="Y1414" s="4" t="s">
        <v>8868</v>
      </c>
      <c r="Z1414" s="4" t="s">
        <v>8868</v>
      </c>
      <c r="AA1414" s="3">
        <v>232</v>
      </c>
      <c r="AB1414" s="3">
        <v>183</v>
      </c>
      <c r="AC1414" s="3">
        <v>185</v>
      </c>
      <c r="AD1414" s="3">
        <v>1</v>
      </c>
      <c r="AE1414" s="3">
        <v>1</v>
      </c>
      <c r="AF1414" s="3">
        <v>8</v>
      </c>
      <c r="AG1414" s="3">
        <v>8</v>
      </c>
      <c r="AH1414" s="3">
        <v>3</v>
      </c>
      <c r="AI1414" s="3">
        <v>3</v>
      </c>
      <c r="AJ1414" s="3">
        <v>3</v>
      </c>
      <c r="AK1414" s="3">
        <v>3</v>
      </c>
      <c r="AL1414" s="3">
        <v>6</v>
      </c>
      <c r="AM1414" s="3">
        <v>6</v>
      </c>
      <c r="AN1414" s="3">
        <v>0</v>
      </c>
      <c r="AO1414" s="3">
        <v>0</v>
      </c>
      <c r="AP1414" s="3">
        <v>0</v>
      </c>
      <c r="AQ1414" s="3">
        <v>0</v>
      </c>
      <c r="AR1414" s="2" t="s">
        <v>5</v>
      </c>
      <c r="AS1414" s="2" t="s">
        <v>16</v>
      </c>
      <c r="AT1414" s="5" t="str">
        <f>HYPERLINK("http://catalog.hathitrust.org/Record/001298685","HathiTrust Record")</f>
        <v>HathiTrust Record</v>
      </c>
      <c r="AU1414" s="5" t="str">
        <f>HYPERLINK("https://creighton-primo.hosted.exlibrisgroup.com/primo-explore/search?tab=default_tab&amp;search_scope=EVERYTHING&amp;vid=01CRU&amp;lang=en_US&amp;offset=0&amp;query=any,contains,991001252829702656","Catalog Record")</f>
        <v>Catalog Record</v>
      </c>
      <c r="AV1414" s="5" t="str">
        <f>HYPERLINK("http://www.worldcat.org/oclc/18106431","WorldCat Record")</f>
        <v>WorldCat Record</v>
      </c>
      <c r="AW1414" s="2" t="s">
        <v>16909</v>
      </c>
      <c r="AX1414" s="2" t="s">
        <v>16910</v>
      </c>
      <c r="AY1414" s="2" t="s">
        <v>16911</v>
      </c>
      <c r="AZ1414" s="2" t="s">
        <v>16911</v>
      </c>
      <c r="BA1414" s="2" t="s">
        <v>16912</v>
      </c>
      <c r="BB1414" s="2" t="s">
        <v>21</v>
      </c>
      <c r="BD1414" s="2" t="s">
        <v>16913</v>
      </c>
      <c r="BE1414" s="2" t="s">
        <v>16914</v>
      </c>
      <c r="BF1414" s="2" t="s">
        <v>16915</v>
      </c>
    </row>
    <row r="1415" spans="1:58" ht="41.25" customHeight="1" x14ac:dyDescent="0.25">
      <c r="A1415" s="8" t="s">
        <v>5</v>
      </c>
      <c r="B1415" s="1" t="s">
        <v>0</v>
      </c>
      <c r="C1415" s="1" t="s">
        <v>1</v>
      </c>
      <c r="D1415" s="1" t="s">
        <v>16916</v>
      </c>
      <c r="E1415" s="1" t="s">
        <v>16917</v>
      </c>
      <c r="F1415" s="1" t="s">
        <v>16864</v>
      </c>
      <c r="H1415" s="2" t="s">
        <v>5</v>
      </c>
      <c r="I1415" s="2" t="s">
        <v>6</v>
      </c>
      <c r="J1415" s="2" t="s">
        <v>5</v>
      </c>
      <c r="K1415" s="2" t="s">
        <v>16</v>
      </c>
      <c r="L1415" s="2" t="s">
        <v>7</v>
      </c>
      <c r="N1415" s="1" t="s">
        <v>10200</v>
      </c>
      <c r="O1415" s="2" t="s">
        <v>939</v>
      </c>
      <c r="P1415" s="1" t="s">
        <v>211</v>
      </c>
      <c r="Q1415" s="2" t="s">
        <v>11</v>
      </c>
      <c r="R1415" s="2" t="s">
        <v>12</v>
      </c>
      <c r="S1415" s="1" t="s">
        <v>7334</v>
      </c>
      <c r="T1415" s="2" t="s">
        <v>520</v>
      </c>
      <c r="U1415" s="3">
        <v>7</v>
      </c>
      <c r="V1415" s="3">
        <v>7</v>
      </c>
      <c r="W1415" s="4" t="s">
        <v>16918</v>
      </c>
      <c r="X1415" s="4" t="s">
        <v>16918</v>
      </c>
      <c r="Y1415" s="4" t="s">
        <v>7670</v>
      </c>
      <c r="Z1415" s="4" t="s">
        <v>7670</v>
      </c>
      <c r="AA1415" s="3">
        <v>133</v>
      </c>
      <c r="AB1415" s="3">
        <v>128</v>
      </c>
      <c r="AC1415" s="3">
        <v>533</v>
      </c>
      <c r="AD1415" s="3">
        <v>2</v>
      </c>
      <c r="AE1415" s="3">
        <v>4</v>
      </c>
      <c r="AF1415" s="3">
        <v>5</v>
      </c>
      <c r="AG1415" s="3">
        <v>19</v>
      </c>
      <c r="AH1415" s="3">
        <v>1</v>
      </c>
      <c r="AI1415" s="3">
        <v>7</v>
      </c>
      <c r="AJ1415" s="3">
        <v>1</v>
      </c>
      <c r="AK1415" s="3">
        <v>3</v>
      </c>
      <c r="AL1415" s="3">
        <v>3</v>
      </c>
      <c r="AM1415" s="3">
        <v>9</v>
      </c>
      <c r="AN1415" s="3">
        <v>1</v>
      </c>
      <c r="AO1415" s="3">
        <v>3</v>
      </c>
      <c r="AP1415" s="3">
        <v>0</v>
      </c>
      <c r="AQ1415" s="3">
        <v>1</v>
      </c>
      <c r="AR1415" s="2" t="s">
        <v>5</v>
      </c>
      <c r="AS1415" s="2" t="s">
        <v>5</v>
      </c>
      <c r="AU1415" s="5" t="str">
        <f>HYPERLINK("https://creighton-primo.hosted.exlibrisgroup.com/primo-explore/search?tab=default_tab&amp;search_scope=EVERYTHING&amp;vid=01CRU&amp;lang=en_US&amp;offset=0&amp;query=any,contains,991001345489702656","Catalog Record")</f>
        <v>Catalog Record</v>
      </c>
      <c r="AV1415" s="5" t="str">
        <f>HYPERLINK("http://www.worldcat.org/oclc/18909482","WorldCat Record")</f>
        <v>WorldCat Record</v>
      </c>
      <c r="AW1415" s="2" t="s">
        <v>16866</v>
      </c>
      <c r="AX1415" s="2" t="s">
        <v>16919</v>
      </c>
      <c r="AY1415" s="2" t="s">
        <v>16920</v>
      </c>
      <c r="AZ1415" s="2" t="s">
        <v>16920</v>
      </c>
      <c r="BA1415" s="2" t="s">
        <v>16921</v>
      </c>
      <c r="BB1415" s="2" t="s">
        <v>21</v>
      </c>
      <c r="BD1415" s="2" t="s">
        <v>16922</v>
      </c>
      <c r="BE1415" s="2" t="s">
        <v>16923</v>
      </c>
      <c r="BF1415" s="2" t="s">
        <v>16924</v>
      </c>
    </row>
    <row r="1416" spans="1:58" ht="41.25" customHeight="1" x14ac:dyDescent="0.25">
      <c r="A1416" s="8" t="s">
        <v>5</v>
      </c>
      <c r="B1416" s="1" t="s">
        <v>0</v>
      </c>
      <c r="C1416" s="1" t="s">
        <v>1</v>
      </c>
      <c r="D1416" s="1" t="s">
        <v>16925</v>
      </c>
      <c r="E1416" s="1" t="s">
        <v>16926</v>
      </c>
      <c r="F1416" s="1" t="s">
        <v>16927</v>
      </c>
      <c r="H1416" s="2" t="s">
        <v>5</v>
      </c>
      <c r="I1416" s="2" t="s">
        <v>6</v>
      </c>
      <c r="J1416" s="2" t="s">
        <v>5</v>
      </c>
      <c r="K1416" s="2" t="s">
        <v>5</v>
      </c>
      <c r="L1416" s="2" t="s">
        <v>7</v>
      </c>
      <c r="N1416" s="1" t="s">
        <v>16928</v>
      </c>
      <c r="O1416" s="2" t="s">
        <v>1102</v>
      </c>
      <c r="Q1416" s="2" t="s">
        <v>11</v>
      </c>
      <c r="R1416" s="2" t="s">
        <v>3571</v>
      </c>
      <c r="T1416" s="2" t="s">
        <v>520</v>
      </c>
      <c r="U1416" s="3">
        <v>5</v>
      </c>
      <c r="V1416" s="3">
        <v>5</v>
      </c>
      <c r="W1416" s="4" t="s">
        <v>12273</v>
      </c>
      <c r="X1416" s="4" t="s">
        <v>12273</v>
      </c>
      <c r="Y1416" s="4" t="s">
        <v>16929</v>
      </c>
      <c r="Z1416" s="4" t="s">
        <v>16929</v>
      </c>
      <c r="AA1416" s="3">
        <v>132</v>
      </c>
      <c r="AB1416" s="3">
        <v>68</v>
      </c>
      <c r="AC1416" s="3">
        <v>82</v>
      </c>
      <c r="AD1416" s="3">
        <v>1</v>
      </c>
      <c r="AE1416" s="3">
        <v>1</v>
      </c>
      <c r="AF1416" s="3">
        <v>5</v>
      </c>
      <c r="AG1416" s="3">
        <v>5</v>
      </c>
      <c r="AH1416" s="3">
        <v>1</v>
      </c>
      <c r="AI1416" s="3">
        <v>1</v>
      </c>
      <c r="AJ1416" s="3">
        <v>1</v>
      </c>
      <c r="AK1416" s="3">
        <v>1</v>
      </c>
      <c r="AL1416" s="3">
        <v>4</v>
      </c>
      <c r="AM1416" s="3">
        <v>4</v>
      </c>
      <c r="AN1416" s="3">
        <v>0</v>
      </c>
      <c r="AO1416" s="3">
        <v>0</v>
      </c>
      <c r="AP1416" s="3">
        <v>0</v>
      </c>
      <c r="AQ1416" s="3">
        <v>0</v>
      </c>
      <c r="AR1416" s="2" t="s">
        <v>5</v>
      </c>
      <c r="AS1416" s="2" t="s">
        <v>16</v>
      </c>
      <c r="AT1416" s="5" t="str">
        <f>HYPERLINK("http://catalog.hathitrust.org/Record/000436722","HathiTrust Record")</f>
        <v>HathiTrust Record</v>
      </c>
      <c r="AU1416" s="5" t="str">
        <f>HYPERLINK("https://creighton-primo.hosted.exlibrisgroup.com/primo-explore/search?tab=default_tab&amp;search_scope=EVERYTHING&amp;vid=01CRU&amp;lang=en_US&amp;offset=0&amp;query=any,contains,991000864869702656","Catalog Record")</f>
        <v>Catalog Record</v>
      </c>
      <c r="AV1416" s="5" t="str">
        <f>HYPERLINK("http://www.worldcat.org/oclc/12286600","WorldCat Record")</f>
        <v>WorldCat Record</v>
      </c>
      <c r="AW1416" s="2" t="s">
        <v>16930</v>
      </c>
      <c r="AX1416" s="2" t="s">
        <v>16931</v>
      </c>
      <c r="AY1416" s="2" t="s">
        <v>16932</v>
      </c>
      <c r="AZ1416" s="2" t="s">
        <v>16932</v>
      </c>
      <c r="BA1416" s="2" t="s">
        <v>16933</v>
      </c>
      <c r="BB1416" s="2" t="s">
        <v>21</v>
      </c>
      <c r="BD1416" s="2" t="s">
        <v>16934</v>
      </c>
      <c r="BE1416" s="2" t="s">
        <v>16935</v>
      </c>
      <c r="BF1416" s="2" t="s">
        <v>16936</v>
      </c>
    </row>
    <row r="1417" spans="1:58" ht="41.25" customHeight="1" x14ac:dyDescent="0.25">
      <c r="A1417" s="8" t="s">
        <v>5</v>
      </c>
      <c r="B1417" s="1" t="s">
        <v>0</v>
      </c>
      <c r="C1417" s="1" t="s">
        <v>1</v>
      </c>
      <c r="D1417" s="1" t="s">
        <v>16937</v>
      </c>
      <c r="E1417" s="1" t="s">
        <v>16938</v>
      </c>
      <c r="F1417" s="1" t="s">
        <v>16939</v>
      </c>
      <c r="H1417" s="2" t="s">
        <v>5</v>
      </c>
      <c r="I1417" s="2" t="s">
        <v>6</v>
      </c>
      <c r="J1417" s="2" t="s">
        <v>5</v>
      </c>
      <c r="K1417" s="2" t="s">
        <v>5</v>
      </c>
      <c r="L1417" s="2" t="s">
        <v>7</v>
      </c>
      <c r="N1417" s="1" t="s">
        <v>11583</v>
      </c>
      <c r="O1417" s="2" t="s">
        <v>872</v>
      </c>
      <c r="Q1417" s="2" t="s">
        <v>11</v>
      </c>
      <c r="R1417" s="2" t="s">
        <v>426</v>
      </c>
      <c r="T1417" s="2" t="s">
        <v>520</v>
      </c>
      <c r="U1417" s="3">
        <v>6</v>
      </c>
      <c r="V1417" s="3">
        <v>6</v>
      </c>
      <c r="W1417" s="4" t="s">
        <v>16940</v>
      </c>
      <c r="X1417" s="4" t="s">
        <v>16940</v>
      </c>
      <c r="Y1417" s="4" t="s">
        <v>4189</v>
      </c>
      <c r="Z1417" s="4" t="s">
        <v>4189</v>
      </c>
      <c r="AA1417" s="3">
        <v>215</v>
      </c>
      <c r="AB1417" s="3">
        <v>179</v>
      </c>
      <c r="AC1417" s="3">
        <v>182</v>
      </c>
      <c r="AD1417" s="3">
        <v>1</v>
      </c>
      <c r="AE1417" s="3">
        <v>1</v>
      </c>
      <c r="AF1417" s="3">
        <v>9</v>
      </c>
      <c r="AG1417" s="3">
        <v>9</v>
      </c>
      <c r="AH1417" s="3">
        <v>2</v>
      </c>
      <c r="AI1417" s="3">
        <v>2</v>
      </c>
      <c r="AJ1417" s="3">
        <v>3</v>
      </c>
      <c r="AK1417" s="3">
        <v>3</v>
      </c>
      <c r="AL1417" s="3">
        <v>7</v>
      </c>
      <c r="AM1417" s="3">
        <v>7</v>
      </c>
      <c r="AN1417" s="3">
        <v>0</v>
      </c>
      <c r="AO1417" s="3">
        <v>0</v>
      </c>
      <c r="AP1417" s="3">
        <v>0</v>
      </c>
      <c r="AQ1417" s="3">
        <v>0</v>
      </c>
      <c r="AR1417" s="2" t="s">
        <v>5</v>
      </c>
      <c r="AS1417" s="2" t="s">
        <v>16</v>
      </c>
      <c r="AT1417" s="5" t="str">
        <f>HYPERLINK("http://catalog.hathitrust.org/Record/001093831","HathiTrust Record")</f>
        <v>HathiTrust Record</v>
      </c>
      <c r="AU1417" s="5" t="str">
        <f>HYPERLINK("https://creighton-primo.hosted.exlibrisgroup.com/primo-explore/search?tab=default_tab&amp;search_scope=EVERYTHING&amp;vid=01CRU&amp;lang=en_US&amp;offset=0&amp;query=any,contains,991001249379702656","Catalog Record")</f>
        <v>Catalog Record</v>
      </c>
      <c r="AV1417" s="5" t="str">
        <f>HYPERLINK("http://www.worldcat.org/oclc/18560159","WorldCat Record")</f>
        <v>WorldCat Record</v>
      </c>
      <c r="AW1417" s="2" t="s">
        <v>16941</v>
      </c>
      <c r="AX1417" s="2" t="s">
        <v>16942</v>
      </c>
      <c r="AY1417" s="2" t="s">
        <v>16943</v>
      </c>
      <c r="AZ1417" s="2" t="s">
        <v>16943</v>
      </c>
      <c r="BA1417" s="2" t="s">
        <v>16944</v>
      </c>
      <c r="BB1417" s="2" t="s">
        <v>21</v>
      </c>
      <c r="BD1417" s="2" t="s">
        <v>16945</v>
      </c>
      <c r="BE1417" s="2" t="s">
        <v>16946</v>
      </c>
      <c r="BF1417" s="2" t="s">
        <v>16947</v>
      </c>
    </row>
    <row r="1418" spans="1:58" ht="41.25" customHeight="1" x14ac:dyDescent="0.25">
      <c r="A1418" s="8" t="s">
        <v>5</v>
      </c>
      <c r="B1418" s="1" t="s">
        <v>0</v>
      </c>
      <c r="C1418" s="1" t="s">
        <v>1</v>
      </c>
      <c r="D1418" s="1" t="s">
        <v>16948</v>
      </c>
      <c r="E1418" s="1" t="s">
        <v>16949</v>
      </c>
      <c r="F1418" s="1" t="s">
        <v>16950</v>
      </c>
      <c r="H1418" s="2" t="s">
        <v>5</v>
      </c>
      <c r="I1418" s="2" t="s">
        <v>6</v>
      </c>
      <c r="J1418" s="2" t="s">
        <v>5</v>
      </c>
      <c r="K1418" s="2" t="s">
        <v>5</v>
      </c>
      <c r="L1418" s="2" t="s">
        <v>7</v>
      </c>
      <c r="N1418" s="1" t="s">
        <v>11985</v>
      </c>
      <c r="O1418" s="2" t="s">
        <v>872</v>
      </c>
      <c r="Q1418" s="2" t="s">
        <v>11</v>
      </c>
      <c r="R1418" s="2" t="s">
        <v>78</v>
      </c>
      <c r="T1418" s="2" t="s">
        <v>520</v>
      </c>
      <c r="U1418" s="3">
        <v>19</v>
      </c>
      <c r="V1418" s="3">
        <v>19</v>
      </c>
      <c r="W1418" s="4" t="s">
        <v>16951</v>
      </c>
      <c r="X1418" s="4" t="s">
        <v>16951</v>
      </c>
      <c r="Y1418" s="4" t="s">
        <v>16952</v>
      </c>
      <c r="Z1418" s="4" t="s">
        <v>16952</v>
      </c>
      <c r="AA1418" s="3">
        <v>330</v>
      </c>
      <c r="AB1418" s="3">
        <v>257</v>
      </c>
      <c r="AC1418" s="3">
        <v>264</v>
      </c>
      <c r="AD1418" s="3">
        <v>2</v>
      </c>
      <c r="AE1418" s="3">
        <v>2</v>
      </c>
      <c r="AF1418" s="3">
        <v>7</v>
      </c>
      <c r="AG1418" s="3">
        <v>7</v>
      </c>
      <c r="AH1418" s="3">
        <v>3</v>
      </c>
      <c r="AI1418" s="3">
        <v>3</v>
      </c>
      <c r="AJ1418" s="3">
        <v>1</v>
      </c>
      <c r="AK1418" s="3">
        <v>1</v>
      </c>
      <c r="AL1418" s="3">
        <v>5</v>
      </c>
      <c r="AM1418" s="3">
        <v>5</v>
      </c>
      <c r="AN1418" s="3">
        <v>1</v>
      </c>
      <c r="AO1418" s="3">
        <v>1</v>
      </c>
      <c r="AP1418" s="3">
        <v>0</v>
      </c>
      <c r="AQ1418" s="3">
        <v>0</v>
      </c>
      <c r="AR1418" s="2" t="s">
        <v>5</v>
      </c>
      <c r="AS1418" s="2" t="s">
        <v>16</v>
      </c>
      <c r="AT1418" s="5" t="str">
        <f>HYPERLINK("http://catalog.hathitrust.org/Record/001085917","HathiTrust Record")</f>
        <v>HathiTrust Record</v>
      </c>
      <c r="AU1418" s="5" t="str">
        <f>HYPERLINK("https://creighton-primo.hosted.exlibrisgroup.com/primo-explore/search?tab=default_tab&amp;search_scope=EVERYTHING&amp;vid=01CRU&amp;lang=en_US&amp;offset=0&amp;query=any,contains,991001121869702656","Catalog Record")</f>
        <v>Catalog Record</v>
      </c>
      <c r="AV1418" s="5" t="str">
        <f>HYPERLINK("http://www.worldcat.org/oclc/17353647","WorldCat Record")</f>
        <v>WorldCat Record</v>
      </c>
      <c r="AW1418" s="2" t="s">
        <v>16953</v>
      </c>
      <c r="AX1418" s="2" t="s">
        <v>16954</v>
      </c>
      <c r="AY1418" s="2" t="s">
        <v>16955</v>
      </c>
      <c r="AZ1418" s="2" t="s">
        <v>16955</v>
      </c>
      <c r="BA1418" s="2" t="s">
        <v>16956</v>
      </c>
      <c r="BB1418" s="2" t="s">
        <v>21</v>
      </c>
      <c r="BD1418" s="2" t="s">
        <v>16957</v>
      </c>
      <c r="BE1418" s="2" t="s">
        <v>16958</v>
      </c>
      <c r="BF1418" s="2" t="s">
        <v>16959</v>
      </c>
    </row>
    <row r="1419" spans="1:58" ht="41.25" customHeight="1" x14ac:dyDescent="0.25">
      <c r="A1419" s="8" t="s">
        <v>5</v>
      </c>
      <c r="B1419" s="1" t="s">
        <v>0</v>
      </c>
      <c r="C1419" s="1" t="s">
        <v>1</v>
      </c>
      <c r="D1419" s="1" t="s">
        <v>16960</v>
      </c>
      <c r="E1419" s="1" t="s">
        <v>16961</v>
      </c>
      <c r="F1419" s="1" t="s">
        <v>16962</v>
      </c>
      <c r="H1419" s="2" t="s">
        <v>5</v>
      </c>
      <c r="I1419" s="2" t="s">
        <v>6</v>
      </c>
      <c r="J1419" s="2" t="s">
        <v>5</v>
      </c>
      <c r="K1419" s="2" t="s">
        <v>16</v>
      </c>
      <c r="L1419" s="2" t="s">
        <v>7</v>
      </c>
      <c r="N1419" s="1" t="s">
        <v>5929</v>
      </c>
      <c r="O1419" s="2" t="s">
        <v>393</v>
      </c>
      <c r="P1419" s="1" t="s">
        <v>2397</v>
      </c>
      <c r="Q1419" s="2" t="s">
        <v>11</v>
      </c>
      <c r="R1419" s="2" t="s">
        <v>93</v>
      </c>
      <c r="T1419" s="2" t="s">
        <v>520</v>
      </c>
      <c r="U1419" s="3">
        <v>10</v>
      </c>
      <c r="V1419" s="3">
        <v>10</v>
      </c>
      <c r="W1419" s="4" t="s">
        <v>16963</v>
      </c>
      <c r="X1419" s="4" t="s">
        <v>16963</v>
      </c>
      <c r="Y1419" s="4" t="s">
        <v>14808</v>
      </c>
      <c r="Z1419" s="4" t="s">
        <v>14808</v>
      </c>
      <c r="AA1419" s="3">
        <v>344</v>
      </c>
      <c r="AB1419" s="3">
        <v>276</v>
      </c>
      <c r="AC1419" s="3">
        <v>633</v>
      </c>
      <c r="AD1419" s="3">
        <v>3</v>
      </c>
      <c r="AE1419" s="3">
        <v>6</v>
      </c>
      <c r="AF1419" s="3">
        <v>9</v>
      </c>
      <c r="AG1419" s="3">
        <v>18</v>
      </c>
      <c r="AH1419" s="3">
        <v>2</v>
      </c>
      <c r="AI1419" s="3">
        <v>4</v>
      </c>
      <c r="AJ1419" s="3">
        <v>2</v>
      </c>
      <c r="AK1419" s="3">
        <v>3</v>
      </c>
      <c r="AL1419" s="3">
        <v>6</v>
      </c>
      <c r="AM1419" s="3">
        <v>11</v>
      </c>
      <c r="AN1419" s="3">
        <v>2</v>
      </c>
      <c r="AO1419" s="3">
        <v>4</v>
      </c>
      <c r="AP1419" s="3">
        <v>0</v>
      </c>
      <c r="AQ1419" s="3">
        <v>0</v>
      </c>
      <c r="AR1419" s="2" t="s">
        <v>5</v>
      </c>
      <c r="AS1419" s="2" t="s">
        <v>16</v>
      </c>
      <c r="AT1419" s="5" t="str">
        <f>HYPERLINK("http://catalog.hathitrust.org/Record/000181281","HathiTrust Record")</f>
        <v>HathiTrust Record</v>
      </c>
      <c r="AU1419" s="5" t="str">
        <f>HYPERLINK("https://creighton-primo.hosted.exlibrisgroup.com/primo-explore/search?tab=default_tab&amp;search_scope=EVERYTHING&amp;vid=01CRU&amp;lang=en_US&amp;offset=0&amp;query=any,contains,991000734309702656","Catalog Record")</f>
        <v>Catalog Record</v>
      </c>
      <c r="AV1419" s="5" t="str">
        <f>HYPERLINK("http://www.worldcat.org/oclc/6042961","WorldCat Record")</f>
        <v>WorldCat Record</v>
      </c>
      <c r="AW1419" s="2" t="s">
        <v>16888</v>
      </c>
      <c r="AX1419" s="2" t="s">
        <v>16964</v>
      </c>
      <c r="AY1419" s="2" t="s">
        <v>16965</v>
      </c>
      <c r="AZ1419" s="2" t="s">
        <v>16965</v>
      </c>
      <c r="BA1419" s="2" t="s">
        <v>16966</v>
      </c>
      <c r="BB1419" s="2" t="s">
        <v>21</v>
      </c>
      <c r="BD1419" s="2" t="s">
        <v>16967</v>
      </c>
      <c r="BE1419" s="2" t="s">
        <v>16968</v>
      </c>
      <c r="BF1419" s="2" t="s">
        <v>16969</v>
      </c>
    </row>
    <row r="1420" spans="1:58" ht="41.25" customHeight="1" x14ac:dyDescent="0.25">
      <c r="A1420" s="8" t="s">
        <v>5</v>
      </c>
      <c r="B1420" s="1" t="s">
        <v>0</v>
      </c>
      <c r="C1420" s="1" t="s">
        <v>1</v>
      </c>
      <c r="D1420" s="1" t="s">
        <v>16970</v>
      </c>
      <c r="E1420" s="1" t="s">
        <v>16971</v>
      </c>
      <c r="F1420" s="1" t="s">
        <v>16972</v>
      </c>
      <c r="H1420" s="2" t="s">
        <v>5</v>
      </c>
      <c r="I1420" s="2" t="s">
        <v>6</v>
      </c>
      <c r="J1420" s="2" t="s">
        <v>5</v>
      </c>
      <c r="K1420" s="2" t="s">
        <v>5</v>
      </c>
      <c r="L1420" s="2" t="s">
        <v>7</v>
      </c>
      <c r="N1420" s="1" t="s">
        <v>3693</v>
      </c>
      <c r="O1420" s="2" t="s">
        <v>1102</v>
      </c>
      <c r="P1420" s="1" t="s">
        <v>211</v>
      </c>
      <c r="Q1420" s="2" t="s">
        <v>11</v>
      </c>
      <c r="R1420" s="2" t="s">
        <v>426</v>
      </c>
      <c r="T1420" s="2" t="s">
        <v>520</v>
      </c>
      <c r="U1420" s="3">
        <v>21</v>
      </c>
      <c r="V1420" s="3">
        <v>21</v>
      </c>
      <c r="W1420" s="4" t="s">
        <v>16973</v>
      </c>
      <c r="X1420" s="4" t="s">
        <v>16973</v>
      </c>
      <c r="Y1420" s="4" t="s">
        <v>14808</v>
      </c>
      <c r="Z1420" s="4" t="s">
        <v>14808</v>
      </c>
      <c r="AA1420" s="3">
        <v>294</v>
      </c>
      <c r="AB1420" s="3">
        <v>248</v>
      </c>
      <c r="AC1420" s="3">
        <v>521</v>
      </c>
      <c r="AD1420" s="3">
        <v>2</v>
      </c>
      <c r="AE1420" s="3">
        <v>4</v>
      </c>
      <c r="AF1420" s="3">
        <v>5</v>
      </c>
      <c r="AG1420" s="3">
        <v>15</v>
      </c>
      <c r="AH1420" s="3">
        <v>1</v>
      </c>
      <c r="AI1420" s="3">
        <v>5</v>
      </c>
      <c r="AJ1420" s="3">
        <v>1</v>
      </c>
      <c r="AK1420" s="3">
        <v>3</v>
      </c>
      <c r="AL1420" s="3">
        <v>4</v>
      </c>
      <c r="AM1420" s="3">
        <v>9</v>
      </c>
      <c r="AN1420" s="3">
        <v>0</v>
      </c>
      <c r="AO1420" s="3">
        <v>2</v>
      </c>
      <c r="AP1420" s="3">
        <v>0</v>
      </c>
      <c r="AQ1420" s="3">
        <v>0</v>
      </c>
      <c r="AR1420" s="2" t="s">
        <v>5</v>
      </c>
      <c r="AS1420" s="2" t="s">
        <v>16</v>
      </c>
      <c r="AT1420" s="5" t="str">
        <f>HYPERLINK("http://catalog.hathitrust.org/Record/000395497","HathiTrust Record")</f>
        <v>HathiTrust Record</v>
      </c>
      <c r="AU1420" s="5" t="str">
        <f>HYPERLINK("https://creighton-primo.hosted.exlibrisgroup.com/primo-explore/search?tab=default_tab&amp;search_scope=EVERYTHING&amp;vid=01CRU&amp;lang=en_US&amp;offset=0&amp;query=any,contains,991000734219702656","Catalog Record")</f>
        <v>Catalog Record</v>
      </c>
      <c r="AV1420" s="5" t="str">
        <f>HYPERLINK("http://www.worldcat.org/oclc/13216176","WorldCat Record")</f>
        <v>WorldCat Record</v>
      </c>
      <c r="AW1420" s="2" t="s">
        <v>16974</v>
      </c>
      <c r="AX1420" s="2" t="s">
        <v>16975</v>
      </c>
      <c r="AY1420" s="2" t="s">
        <v>16976</v>
      </c>
      <c r="AZ1420" s="2" t="s">
        <v>16976</v>
      </c>
      <c r="BA1420" s="2" t="s">
        <v>16977</v>
      </c>
      <c r="BB1420" s="2" t="s">
        <v>21</v>
      </c>
      <c r="BD1420" s="2" t="s">
        <v>16978</v>
      </c>
      <c r="BE1420" s="2" t="s">
        <v>16979</v>
      </c>
      <c r="BF1420" s="2" t="s">
        <v>16980</v>
      </c>
    </row>
    <row r="1421" spans="1:58" ht="41.25" customHeight="1" x14ac:dyDescent="0.25">
      <c r="A1421" s="8" t="s">
        <v>5</v>
      </c>
      <c r="B1421" s="1" t="s">
        <v>0</v>
      </c>
      <c r="C1421" s="1" t="s">
        <v>1</v>
      </c>
      <c r="D1421" s="1" t="s">
        <v>16981</v>
      </c>
      <c r="E1421" s="1" t="s">
        <v>16982</v>
      </c>
      <c r="F1421" s="1" t="s">
        <v>16983</v>
      </c>
      <c r="H1421" s="2" t="s">
        <v>5</v>
      </c>
      <c r="I1421" s="2" t="s">
        <v>6</v>
      </c>
      <c r="J1421" s="2" t="s">
        <v>5</v>
      </c>
      <c r="K1421" s="2" t="s">
        <v>5</v>
      </c>
      <c r="L1421" s="2" t="s">
        <v>7</v>
      </c>
      <c r="M1421" s="1" t="s">
        <v>16984</v>
      </c>
      <c r="N1421" s="1" t="s">
        <v>16985</v>
      </c>
      <c r="O1421" s="2" t="s">
        <v>1863</v>
      </c>
      <c r="P1421" s="1" t="s">
        <v>211</v>
      </c>
      <c r="Q1421" s="2" t="s">
        <v>11</v>
      </c>
      <c r="R1421" s="2" t="s">
        <v>12</v>
      </c>
      <c r="T1421" s="2" t="s">
        <v>520</v>
      </c>
      <c r="U1421" s="3">
        <v>1</v>
      </c>
      <c r="V1421" s="3">
        <v>1</v>
      </c>
      <c r="W1421" s="4" t="s">
        <v>15525</v>
      </c>
      <c r="X1421" s="4" t="s">
        <v>15525</v>
      </c>
      <c r="Y1421" s="4" t="s">
        <v>5105</v>
      </c>
      <c r="Z1421" s="4" t="s">
        <v>5105</v>
      </c>
      <c r="AA1421" s="3">
        <v>339</v>
      </c>
      <c r="AB1421" s="3">
        <v>291</v>
      </c>
      <c r="AC1421" s="3">
        <v>417</v>
      </c>
      <c r="AD1421" s="3">
        <v>1</v>
      </c>
      <c r="AE1421" s="3">
        <v>2</v>
      </c>
      <c r="AF1421" s="3">
        <v>10</v>
      </c>
      <c r="AG1421" s="3">
        <v>18</v>
      </c>
      <c r="AH1421" s="3">
        <v>4</v>
      </c>
      <c r="AI1421" s="3">
        <v>5</v>
      </c>
      <c r="AJ1421" s="3">
        <v>1</v>
      </c>
      <c r="AK1421" s="3">
        <v>4</v>
      </c>
      <c r="AL1421" s="3">
        <v>5</v>
      </c>
      <c r="AM1421" s="3">
        <v>9</v>
      </c>
      <c r="AN1421" s="3">
        <v>0</v>
      </c>
      <c r="AO1421" s="3">
        <v>1</v>
      </c>
      <c r="AP1421" s="3">
        <v>0</v>
      </c>
      <c r="AQ1421" s="3">
        <v>0</v>
      </c>
      <c r="AR1421" s="2" t="s">
        <v>5</v>
      </c>
      <c r="AS1421" s="2" t="s">
        <v>5</v>
      </c>
      <c r="AU1421" s="5" t="str">
        <f>HYPERLINK("https://creighton-primo.hosted.exlibrisgroup.com/primo-explore/search?tab=default_tab&amp;search_scope=EVERYTHING&amp;vid=01CRU&amp;lang=en_US&amp;offset=0&amp;query=any,contains,991000302439702656","Catalog Record")</f>
        <v>Catalog Record</v>
      </c>
      <c r="AV1421" s="5" t="str">
        <f>HYPERLINK("http://www.worldcat.org/oclc/48494935","WorldCat Record")</f>
        <v>WorldCat Record</v>
      </c>
      <c r="AW1421" s="2" t="s">
        <v>16986</v>
      </c>
      <c r="AX1421" s="2" t="s">
        <v>16987</v>
      </c>
      <c r="AY1421" s="2" t="s">
        <v>16988</v>
      </c>
      <c r="AZ1421" s="2" t="s">
        <v>16988</v>
      </c>
      <c r="BA1421" s="2" t="s">
        <v>16989</v>
      </c>
      <c r="BB1421" s="2" t="s">
        <v>21</v>
      </c>
      <c r="BD1421" s="2" t="s">
        <v>16990</v>
      </c>
      <c r="BE1421" s="2" t="s">
        <v>16991</v>
      </c>
      <c r="BF1421" s="2" t="s">
        <v>16992</v>
      </c>
    </row>
    <row r="1422" spans="1:58" ht="41.25" customHeight="1" x14ac:dyDescent="0.25">
      <c r="A1422" s="8" t="s">
        <v>5</v>
      </c>
      <c r="B1422" s="1" t="s">
        <v>0</v>
      </c>
      <c r="C1422" s="1" t="s">
        <v>1</v>
      </c>
      <c r="D1422" s="1" t="s">
        <v>16993</v>
      </c>
      <c r="E1422" s="1" t="s">
        <v>16994</v>
      </c>
      <c r="F1422" s="1" t="s">
        <v>16995</v>
      </c>
      <c r="H1422" s="2" t="s">
        <v>5</v>
      </c>
      <c r="I1422" s="2" t="s">
        <v>6</v>
      </c>
      <c r="J1422" s="2" t="s">
        <v>5</v>
      </c>
      <c r="K1422" s="2" t="s">
        <v>5</v>
      </c>
      <c r="L1422" s="2" t="s">
        <v>7</v>
      </c>
      <c r="N1422" s="1" t="s">
        <v>3780</v>
      </c>
      <c r="O1422" s="2" t="s">
        <v>382</v>
      </c>
      <c r="Q1422" s="2" t="s">
        <v>11</v>
      </c>
      <c r="R1422" s="2" t="s">
        <v>426</v>
      </c>
      <c r="S1422" s="1" t="s">
        <v>16996</v>
      </c>
      <c r="T1422" s="2" t="s">
        <v>520</v>
      </c>
      <c r="U1422" s="3">
        <v>4</v>
      </c>
      <c r="V1422" s="3">
        <v>4</v>
      </c>
      <c r="W1422" s="4" t="s">
        <v>16997</v>
      </c>
      <c r="X1422" s="4" t="s">
        <v>16997</v>
      </c>
      <c r="Y1422" s="4" t="s">
        <v>1249</v>
      </c>
      <c r="Z1422" s="4" t="s">
        <v>1249</v>
      </c>
      <c r="AA1422" s="3">
        <v>243</v>
      </c>
      <c r="AB1422" s="3">
        <v>211</v>
      </c>
      <c r="AC1422" s="3">
        <v>218</v>
      </c>
      <c r="AD1422" s="3">
        <v>2</v>
      </c>
      <c r="AE1422" s="3">
        <v>2</v>
      </c>
      <c r="AF1422" s="3">
        <v>17</v>
      </c>
      <c r="AG1422" s="3">
        <v>17</v>
      </c>
      <c r="AH1422" s="3">
        <v>7</v>
      </c>
      <c r="AI1422" s="3">
        <v>7</v>
      </c>
      <c r="AJ1422" s="3">
        <v>3</v>
      </c>
      <c r="AK1422" s="3">
        <v>3</v>
      </c>
      <c r="AL1422" s="3">
        <v>10</v>
      </c>
      <c r="AM1422" s="3">
        <v>10</v>
      </c>
      <c r="AN1422" s="3">
        <v>1</v>
      </c>
      <c r="AO1422" s="3">
        <v>1</v>
      </c>
      <c r="AP1422" s="3">
        <v>0</v>
      </c>
      <c r="AQ1422" s="3">
        <v>0</v>
      </c>
      <c r="AR1422" s="2" t="s">
        <v>5</v>
      </c>
      <c r="AS1422" s="2" t="s">
        <v>16</v>
      </c>
      <c r="AT1422" s="5" t="str">
        <f>HYPERLINK("http://catalog.hathitrust.org/Record/002505072","HathiTrust Record")</f>
        <v>HathiTrust Record</v>
      </c>
      <c r="AU1422" s="5" t="str">
        <f>HYPERLINK("https://creighton-primo.hosted.exlibrisgroup.com/primo-explore/search?tab=default_tab&amp;search_scope=EVERYTHING&amp;vid=01CRU&amp;lang=en_US&amp;offset=0&amp;query=any,contains,991001385769702656","Catalog Record")</f>
        <v>Catalog Record</v>
      </c>
      <c r="AV1422" s="5" t="str">
        <f>HYPERLINK("http://www.worldcat.org/oclc/12692314","WorldCat Record")</f>
        <v>WorldCat Record</v>
      </c>
      <c r="AW1422" s="2" t="s">
        <v>16998</v>
      </c>
      <c r="AX1422" s="2" t="s">
        <v>16999</v>
      </c>
      <c r="AY1422" s="2" t="s">
        <v>17000</v>
      </c>
      <c r="AZ1422" s="2" t="s">
        <v>17000</v>
      </c>
      <c r="BA1422" s="2" t="s">
        <v>17001</v>
      </c>
      <c r="BB1422" s="2" t="s">
        <v>21</v>
      </c>
      <c r="BD1422" s="2" t="s">
        <v>17002</v>
      </c>
      <c r="BE1422" s="2" t="s">
        <v>17003</v>
      </c>
      <c r="BF1422" s="2" t="s">
        <v>17004</v>
      </c>
    </row>
    <row r="1423" spans="1:58" ht="41.25" customHeight="1" x14ac:dyDescent="0.25">
      <c r="A1423" s="8" t="s">
        <v>5</v>
      </c>
      <c r="B1423" s="1" t="s">
        <v>0</v>
      </c>
      <c r="C1423" s="1" t="s">
        <v>1</v>
      </c>
      <c r="D1423" s="1" t="s">
        <v>17005</v>
      </c>
      <c r="E1423" s="1" t="s">
        <v>17006</v>
      </c>
      <c r="F1423" s="1" t="s">
        <v>17007</v>
      </c>
      <c r="H1423" s="2" t="s">
        <v>5</v>
      </c>
      <c r="I1423" s="2" t="s">
        <v>6</v>
      </c>
      <c r="J1423" s="2" t="s">
        <v>5</v>
      </c>
      <c r="K1423" s="2" t="s">
        <v>5</v>
      </c>
      <c r="L1423" s="2" t="s">
        <v>7</v>
      </c>
      <c r="M1423" s="1" t="s">
        <v>17008</v>
      </c>
      <c r="N1423" s="1" t="s">
        <v>17009</v>
      </c>
      <c r="O1423" s="2" t="s">
        <v>17010</v>
      </c>
      <c r="Q1423" s="2" t="s">
        <v>11</v>
      </c>
      <c r="R1423" s="2" t="s">
        <v>12</v>
      </c>
      <c r="S1423" s="1" t="s">
        <v>17011</v>
      </c>
      <c r="T1423" s="2" t="s">
        <v>520</v>
      </c>
      <c r="U1423" s="3">
        <v>1</v>
      </c>
      <c r="V1423" s="3">
        <v>1</v>
      </c>
      <c r="W1423" s="4" t="s">
        <v>2225</v>
      </c>
      <c r="X1423" s="4" t="s">
        <v>2225</v>
      </c>
      <c r="Y1423" s="4" t="s">
        <v>2226</v>
      </c>
      <c r="Z1423" s="4" t="s">
        <v>2226</v>
      </c>
      <c r="AA1423" s="3">
        <v>30</v>
      </c>
      <c r="AB1423" s="3">
        <v>28</v>
      </c>
      <c r="AC1423" s="3">
        <v>30</v>
      </c>
      <c r="AD1423" s="3">
        <v>2</v>
      </c>
      <c r="AE1423" s="3">
        <v>2</v>
      </c>
      <c r="AF1423" s="3">
        <v>2</v>
      </c>
      <c r="AG1423" s="3">
        <v>2</v>
      </c>
      <c r="AH1423" s="3">
        <v>0</v>
      </c>
      <c r="AI1423" s="3">
        <v>0</v>
      </c>
      <c r="AJ1423" s="3">
        <v>0</v>
      </c>
      <c r="AK1423" s="3">
        <v>0</v>
      </c>
      <c r="AL1423" s="3">
        <v>1</v>
      </c>
      <c r="AM1423" s="3">
        <v>1</v>
      </c>
      <c r="AN1423" s="3">
        <v>1</v>
      </c>
      <c r="AO1423" s="3">
        <v>1</v>
      </c>
      <c r="AP1423" s="3">
        <v>0</v>
      </c>
      <c r="AQ1423" s="3">
        <v>0</v>
      </c>
      <c r="AR1423" s="2" t="s">
        <v>5</v>
      </c>
      <c r="AS1423" s="2" t="s">
        <v>5</v>
      </c>
      <c r="AT1423" s="5" t="str">
        <f>HYPERLINK("http://catalog.hathitrust.org/Record/001588338","HathiTrust Record")</f>
        <v>HathiTrust Record</v>
      </c>
      <c r="AU1423" s="5" t="str">
        <f>HYPERLINK("https://creighton-primo.hosted.exlibrisgroup.com/primo-explore/search?tab=default_tab&amp;search_scope=EVERYTHING&amp;vid=01CRU&amp;lang=en_US&amp;offset=0&amp;query=any,contains,991001518159702656","Catalog Record")</f>
        <v>Catalog Record</v>
      </c>
      <c r="AV1423" s="5" t="str">
        <f>HYPERLINK("http://www.worldcat.org/oclc/1291957","WorldCat Record")</f>
        <v>WorldCat Record</v>
      </c>
      <c r="AW1423" s="2" t="s">
        <v>17012</v>
      </c>
      <c r="AX1423" s="2" t="s">
        <v>17013</v>
      </c>
      <c r="AY1423" s="2" t="s">
        <v>17014</v>
      </c>
      <c r="AZ1423" s="2" t="s">
        <v>17014</v>
      </c>
      <c r="BA1423" s="2" t="s">
        <v>17015</v>
      </c>
      <c r="BB1423" s="2" t="s">
        <v>21</v>
      </c>
      <c r="BE1423" s="2" t="s">
        <v>17016</v>
      </c>
      <c r="BF1423" s="2" t="s">
        <v>17017</v>
      </c>
    </row>
    <row r="1424" spans="1:58" ht="41.25" customHeight="1" x14ac:dyDescent="0.25">
      <c r="A1424" s="8" t="s">
        <v>5</v>
      </c>
      <c r="B1424" s="1" t="s">
        <v>0</v>
      </c>
      <c r="C1424" s="1" t="s">
        <v>1</v>
      </c>
      <c r="D1424" s="1" t="s">
        <v>17018</v>
      </c>
      <c r="E1424" s="1" t="s">
        <v>17019</v>
      </c>
      <c r="F1424" s="1" t="s">
        <v>17020</v>
      </c>
      <c r="H1424" s="2" t="s">
        <v>5</v>
      </c>
      <c r="I1424" s="2" t="s">
        <v>6</v>
      </c>
      <c r="J1424" s="2" t="s">
        <v>5</v>
      </c>
      <c r="K1424" s="2" t="s">
        <v>5</v>
      </c>
      <c r="L1424" s="2" t="s">
        <v>7</v>
      </c>
      <c r="N1424" s="1" t="s">
        <v>17021</v>
      </c>
      <c r="O1424" s="2" t="s">
        <v>210</v>
      </c>
      <c r="Q1424" s="2" t="s">
        <v>11</v>
      </c>
      <c r="R1424" s="2" t="s">
        <v>12</v>
      </c>
      <c r="S1424" s="1" t="s">
        <v>17022</v>
      </c>
      <c r="T1424" s="2" t="s">
        <v>520</v>
      </c>
      <c r="U1424" s="3">
        <v>0</v>
      </c>
      <c r="V1424" s="3">
        <v>0</v>
      </c>
      <c r="W1424" s="4" t="s">
        <v>903</v>
      </c>
      <c r="X1424" s="4" t="s">
        <v>903</v>
      </c>
      <c r="Y1424" s="4" t="s">
        <v>604</v>
      </c>
      <c r="Z1424" s="4" t="s">
        <v>604</v>
      </c>
      <c r="AA1424" s="3">
        <v>252</v>
      </c>
      <c r="AB1424" s="3">
        <v>224</v>
      </c>
      <c r="AC1424" s="3">
        <v>231</v>
      </c>
      <c r="AD1424" s="3">
        <v>3</v>
      </c>
      <c r="AE1424" s="3">
        <v>3</v>
      </c>
      <c r="AF1424" s="3">
        <v>16</v>
      </c>
      <c r="AG1424" s="3">
        <v>16</v>
      </c>
      <c r="AH1424" s="3">
        <v>6</v>
      </c>
      <c r="AI1424" s="3">
        <v>6</v>
      </c>
      <c r="AJ1424" s="3">
        <v>5</v>
      </c>
      <c r="AK1424" s="3">
        <v>5</v>
      </c>
      <c r="AL1424" s="3">
        <v>8</v>
      </c>
      <c r="AM1424" s="3">
        <v>8</v>
      </c>
      <c r="AN1424" s="3">
        <v>1</v>
      </c>
      <c r="AO1424" s="3">
        <v>1</v>
      </c>
      <c r="AP1424" s="3">
        <v>0</v>
      </c>
      <c r="AQ1424" s="3">
        <v>0</v>
      </c>
      <c r="AR1424" s="2" t="s">
        <v>5</v>
      </c>
      <c r="AS1424" s="2" t="s">
        <v>16</v>
      </c>
      <c r="AT1424" s="5" t="str">
        <f>HYPERLINK("http://catalog.hathitrust.org/Record/002638108","HathiTrust Record")</f>
        <v>HathiTrust Record</v>
      </c>
      <c r="AU1424" s="5" t="str">
        <f>HYPERLINK("https://creighton-primo.hosted.exlibrisgroup.com/primo-explore/search?tab=default_tab&amp;search_scope=EVERYTHING&amp;vid=01CRU&amp;lang=en_US&amp;offset=0&amp;query=any,contains,991000233759702656","Catalog Record")</f>
        <v>Catalog Record</v>
      </c>
      <c r="AV1424" s="5" t="str">
        <f>HYPERLINK("http://www.worldcat.org/oclc/25660900","WorldCat Record")</f>
        <v>WorldCat Record</v>
      </c>
      <c r="AW1424" s="2" t="s">
        <v>17023</v>
      </c>
      <c r="AX1424" s="2" t="s">
        <v>17024</v>
      </c>
      <c r="AY1424" s="2" t="s">
        <v>17025</v>
      </c>
      <c r="AZ1424" s="2" t="s">
        <v>17025</v>
      </c>
      <c r="BA1424" s="2" t="s">
        <v>17026</v>
      </c>
      <c r="BB1424" s="2" t="s">
        <v>21</v>
      </c>
      <c r="BD1424" s="2" t="s">
        <v>17027</v>
      </c>
      <c r="BE1424" s="2" t="s">
        <v>17028</v>
      </c>
      <c r="BF1424" s="2" t="s">
        <v>17029</v>
      </c>
    </row>
    <row r="1425" spans="1:58" ht="41.25" customHeight="1" x14ac:dyDescent="0.25">
      <c r="A1425" s="8" t="s">
        <v>5</v>
      </c>
      <c r="B1425" s="1" t="s">
        <v>0</v>
      </c>
      <c r="C1425" s="1" t="s">
        <v>1</v>
      </c>
      <c r="D1425" s="1" t="s">
        <v>17030</v>
      </c>
      <c r="E1425" s="1" t="s">
        <v>17031</v>
      </c>
      <c r="F1425" s="1" t="s">
        <v>17032</v>
      </c>
      <c r="H1425" s="2" t="s">
        <v>5</v>
      </c>
      <c r="I1425" s="2" t="s">
        <v>6</v>
      </c>
      <c r="J1425" s="2" t="s">
        <v>5</v>
      </c>
      <c r="K1425" s="2" t="s">
        <v>5</v>
      </c>
      <c r="L1425" s="2" t="s">
        <v>7</v>
      </c>
      <c r="N1425" s="1" t="s">
        <v>1510</v>
      </c>
      <c r="O1425" s="2" t="s">
        <v>546</v>
      </c>
      <c r="Q1425" s="2" t="s">
        <v>11</v>
      </c>
      <c r="R1425" s="2" t="s">
        <v>12</v>
      </c>
      <c r="S1425" s="1" t="s">
        <v>17033</v>
      </c>
      <c r="T1425" s="2" t="s">
        <v>520</v>
      </c>
      <c r="U1425" s="3">
        <v>0</v>
      </c>
      <c r="V1425" s="3">
        <v>0</v>
      </c>
      <c r="W1425" s="4" t="s">
        <v>903</v>
      </c>
      <c r="X1425" s="4" t="s">
        <v>903</v>
      </c>
      <c r="Y1425" s="4" t="s">
        <v>604</v>
      </c>
      <c r="Z1425" s="4" t="s">
        <v>604</v>
      </c>
      <c r="AA1425" s="3">
        <v>242</v>
      </c>
      <c r="AB1425" s="3">
        <v>217</v>
      </c>
      <c r="AC1425" s="3">
        <v>219</v>
      </c>
      <c r="AD1425" s="3">
        <v>2</v>
      </c>
      <c r="AE1425" s="3">
        <v>2</v>
      </c>
      <c r="AF1425" s="3">
        <v>14</v>
      </c>
      <c r="AG1425" s="3">
        <v>14</v>
      </c>
      <c r="AH1425" s="3">
        <v>4</v>
      </c>
      <c r="AI1425" s="3">
        <v>4</v>
      </c>
      <c r="AJ1425" s="3">
        <v>5</v>
      </c>
      <c r="AK1425" s="3">
        <v>5</v>
      </c>
      <c r="AL1425" s="3">
        <v>10</v>
      </c>
      <c r="AM1425" s="3">
        <v>10</v>
      </c>
      <c r="AN1425" s="3">
        <v>0</v>
      </c>
      <c r="AO1425" s="3">
        <v>0</v>
      </c>
      <c r="AP1425" s="3">
        <v>0</v>
      </c>
      <c r="AQ1425" s="3">
        <v>0</v>
      </c>
      <c r="AR1425" s="2" t="s">
        <v>5</v>
      </c>
      <c r="AS1425" s="2" t="s">
        <v>16</v>
      </c>
      <c r="AT1425" s="5" t="str">
        <f>HYPERLINK("http://catalog.hathitrust.org/Record/002810526","HathiTrust Record")</f>
        <v>HathiTrust Record</v>
      </c>
      <c r="AU1425" s="5" t="str">
        <f>HYPERLINK("https://creighton-primo.hosted.exlibrisgroup.com/primo-explore/search?tab=default_tab&amp;search_scope=EVERYTHING&amp;vid=01CRU&amp;lang=en_US&amp;offset=0&amp;query=any,contains,991000246829702656","Catalog Record")</f>
        <v>Catalog Record</v>
      </c>
      <c r="AV1425" s="5" t="str">
        <f>HYPERLINK("http://www.worldcat.org/oclc/29960865","WorldCat Record")</f>
        <v>WorldCat Record</v>
      </c>
      <c r="AW1425" s="2" t="s">
        <v>17034</v>
      </c>
      <c r="AX1425" s="2" t="s">
        <v>17035</v>
      </c>
      <c r="AY1425" s="2" t="s">
        <v>17036</v>
      </c>
      <c r="AZ1425" s="2" t="s">
        <v>17036</v>
      </c>
      <c r="BA1425" s="2" t="s">
        <v>17037</v>
      </c>
      <c r="BB1425" s="2" t="s">
        <v>21</v>
      </c>
      <c r="BD1425" s="2" t="s">
        <v>17038</v>
      </c>
      <c r="BE1425" s="2" t="s">
        <v>17039</v>
      </c>
      <c r="BF1425" s="2" t="s">
        <v>17040</v>
      </c>
    </row>
    <row r="1426" spans="1:58" ht="41.25" customHeight="1" x14ac:dyDescent="0.25">
      <c r="A1426" s="8" t="s">
        <v>5</v>
      </c>
      <c r="B1426" s="1" t="s">
        <v>0</v>
      </c>
      <c r="C1426" s="1" t="s">
        <v>1</v>
      </c>
      <c r="D1426" s="1" t="s">
        <v>17041</v>
      </c>
      <c r="E1426" s="1" t="s">
        <v>17042</v>
      </c>
      <c r="F1426" s="1" t="s">
        <v>17043</v>
      </c>
      <c r="H1426" s="2" t="s">
        <v>5</v>
      </c>
      <c r="I1426" s="2" t="s">
        <v>6</v>
      </c>
      <c r="J1426" s="2" t="s">
        <v>5</v>
      </c>
      <c r="K1426" s="2" t="s">
        <v>5</v>
      </c>
      <c r="L1426" s="2" t="s">
        <v>7</v>
      </c>
      <c r="M1426" s="1" t="s">
        <v>17044</v>
      </c>
      <c r="N1426" s="1" t="s">
        <v>2643</v>
      </c>
      <c r="O1426" s="2" t="s">
        <v>354</v>
      </c>
      <c r="Q1426" s="2" t="s">
        <v>11</v>
      </c>
      <c r="R1426" s="2" t="s">
        <v>93</v>
      </c>
      <c r="S1426" s="1" t="s">
        <v>3264</v>
      </c>
      <c r="T1426" s="2" t="s">
        <v>520</v>
      </c>
      <c r="U1426" s="3">
        <v>19</v>
      </c>
      <c r="V1426" s="3">
        <v>19</v>
      </c>
      <c r="W1426" s="4" t="s">
        <v>17045</v>
      </c>
      <c r="X1426" s="4" t="s">
        <v>17045</v>
      </c>
      <c r="Y1426" s="4" t="s">
        <v>14808</v>
      </c>
      <c r="Z1426" s="4" t="s">
        <v>14808</v>
      </c>
      <c r="AA1426" s="3">
        <v>321</v>
      </c>
      <c r="AB1426" s="3">
        <v>259</v>
      </c>
      <c r="AC1426" s="3">
        <v>260</v>
      </c>
      <c r="AD1426" s="3">
        <v>2</v>
      </c>
      <c r="AE1426" s="3">
        <v>2</v>
      </c>
      <c r="AF1426" s="3">
        <v>10</v>
      </c>
      <c r="AG1426" s="3">
        <v>10</v>
      </c>
      <c r="AH1426" s="3">
        <v>4</v>
      </c>
      <c r="AI1426" s="3">
        <v>4</v>
      </c>
      <c r="AJ1426" s="3">
        <v>3</v>
      </c>
      <c r="AK1426" s="3">
        <v>3</v>
      </c>
      <c r="AL1426" s="3">
        <v>5</v>
      </c>
      <c r="AM1426" s="3">
        <v>5</v>
      </c>
      <c r="AN1426" s="3">
        <v>1</v>
      </c>
      <c r="AO1426" s="3">
        <v>1</v>
      </c>
      <c r="AP1426" s="3">
        <v>0</v>
      </c>
      <c r="AQ1426" s="3">
        <v>0</v>
      </c>
      <c r="AR1426" s="2" t="s">
        <v>5</v>
      </c>
      <c r="AS1426" s="2" t="s">
        <v>16</v>
      </c>
      <c r="AT1426" s="5" t="str">
        <f>HYPERLINK("http://catalog.hathitrust.org/Record/000713742","HathiTrust Record")</f>
        <v>HathiTrust Record</v>
      </c>
      <c r="AU1426" s="5" t="str">
        <f>HYPERLINK("https://creighton-primo.hosted.exlibrisgroup.com/primo-explore/search?tab=default_tab&amp;search_scope=EVERYTHING&amp;vid=01CRU&amp;lang=en_US&amp;offset=0&amp;query=any,contains,991000734099702656","Catalog Record")</f>
        <v>Catalog Record</v>
      </c>
      <c r="AV1426" s="5" t="str">
        <f>HYPERLINK("http://www.worldcat.org/oclc/5992416","WorldCat Record")</f>
        <v>WorldCat Record</v>
      </c>
      <c r="AW1426" s="2" t="s">
        <v>17046</v>
      </c>
      <c r="AX1426" s="2" t="s">
        <v>17047</v>
      </c>
      <c r="AY1426" s="2" t="s">
        <v>17048</v>
      </c>
      <c r="AZ1426" s="2" t="s">
        <v>17048</v>
      </c>
      <c r="BA1426" s="2" t="s">
        <v>17049</v>
      </c>
      <c r="BB1426" s="2" t="s">
        <v>21</v>
      </c>
      <c r="BD1426" s="2" t="s">
        <v>17050</v>
      </c>
      <c r="BE1426" s="2" t="s">
        <v>17051</v>
      </c>
      <c r="BF1426" s="2" t="s">
        <v>17052</v>
      </c>
    </row>
    <row r="1427" spans="1:58" ht="41.25" customHeight="1" x14ac:dyDescent="0.25">
      <c r="A1427" s="8" t="s">
        <v>5</v>
      </c>
      <c r="B1427" s="1" t="s">
        <v>0</v>
      </c>
      <c r="C1427" s="1" t="s">
        <v>1</v>
      </c>
      <c r="D1427" s="1" t="s">
        <v>17053</v>
      </c>
      <c r="E1427" s="1" t="s">
        <v>17054</v>
      </c>
      <c r="F1427" s="1" t="s">
        <v>17055</v>
      </c>
      <c r="H1427" s="2" t="s">
        <v>5</v>
      </c>
      <c r="I1427" s="2" t="s">
        <v>6</v>
      </c>
      <c r="J1427" s="2" t="s">
        <v>5</v>
      </c>
      <c r="K1427" s="2" t="s">
        <v>5</v>
      </c>
      <c r="L1427" s="2" t="s">
        <v>7</v>
      </c>
      <c r="M1427" s="1" t="s">
        <v>17056</v>
      </c>
      <c r="N1427" s="1" t="s">
        <v>17057</v>
      </c>
      <c r="O1427" s="2" t="s">
        <v>107</v>
      </c>
      <c r="Q1427" s="2" t="s">
        <v>11</v>
      </c>
      <c r="R1427" s="2" t="s">
        <v>229</v>
      </c>
      <c r="T1427" s="2" t="s">
        <v>520</v>
      </c>
      <c r="U1427" s="3">
        <v>5</v>
      </c>
      <c r="V1427" s="3">
        <v>5</v>
      </c>
      <c r="W1427" s="4" t="s">
        <v>300</v>
      </c>
      <c r="X1427" s="4" t="s">
        <v>300</v>
      </c>
      <c r="Y1427" s="4" t="s">
        <v>8254</v>
      </c>
      <c r="Z1427" s="4" t="s">
        <v>8254</v>
      </c>
      <c r="AA1427" s="3">
        <v>268</v>
      </c>
      <c r="AB1427" s="3">
        <v>196</v>
      </c>
      <c r="AC1427" s="3">
        <v>502</v>
      </c>
      <c r="AD1427" s="3">
        <v>2</v>
      </c>
      <c r="AE1427" s="3">
        <v>5</v>
      </c>
      <c r="AF1427" s="3">
        <v>8</v>
      </c>
      <c r="AG1427" s="3">
        <v>15</v>
      </c>
      <c r="AH1427" s="3">
        <v>2</v>
      </c>
      <c r="AI1427" s="3">
        <v>5</v>
      </c>
      <c r="AJ1427" s="3">
        <v>2</v>
      </c>
      <c r="AK1427" s="3">
        <v>3</v>
      </c>
      <c r="AL1427" s="3">
        <v>4</v>
      </c>
      <c r="AM1427" s="3">
        <v>5</v>
      </c>
      <c r="AN1427" s="3">
        <v>1</v>
      </c>
      <c r="AO1427" s="3">
        <v>3</v>
      </c>
      <c r="AP1427" s="3">
        <v>0</v>
      </c>
      <c r="AQ1427" s="3">
        <v>0</v>
      </c>
      <c r="AR1427" s="2" t="s">
        <v>5</v>
      </c>
      <c r="AS1427" s="2" t="s">
        <v>5</v>
      </c>
      <c r="AU1427" s="5" t="str">
        <f>HYPERLINK("https://creighton-primo.hosted.exlibrisgroup.com/primo-explore/search?tab=default_tab&amp;search_scope=EVERYTHING&amp;vid=01CRU&amp;lang=en_US&amp;offset=0&amp;query=any,contains,991001744279702656","Catalog Record")</f>
        <v>Catalog Record</v>
      </c>
      <c r="AV1427" s="5" t="str">
        <f>HYPERLINK("http://www.worldcat.org/oclc/60414604","WorldCat Record")</f>
        <v>WorldCat Record</v>
      </c>
      <c r="AW1427" s="2" t="s">
        <v>17058</v>
      </c>
      <c r="AX1427" s="2" t="s">
        <v>17059</v>
      </c>
      <c r="AY1427" s="2" t="s">
        <v>17060</v>
      </c>
      <c r="AZ1427" s="2" t="s">
        <v>17060</v>
      </c>
      <c r="BA1427" s="2" t="s">
        <v>17061</v>
      </c>
      <c r="BB1427" s="2" t="s">
        <v>21</v>
      </c>
      <c r="BD1427" s="2" t="s">
        <v>17062</v>
      </c>
      <c r="BE1427" s="2" t="s">
        <v>17063</v>
      </c>
      <c r="BF1427" s="2" t="s">
        <v>17064</v>
      </c>
    </row>
    <row r="1428" spans="1:58" ht="41.25" customHeight="1" x14ac:dyDescent="0.25">
      <c r="A1428" s="8" t="s">
        <v>5</v>
      </c>
      <c r="B1428" s="1" t="s">
        <v>0</v>
      </c>
      <c r="C1428" s="1" t="s">
        <v>1</v>
      </c>
      <c r="D1428" s="1" t="s">
        <v>17065</v>
      </c>
      <c r="E1428" s="1" t="s">
        <v>17066</v>
      </c>
      <c r="F1428" s="1" t="s">
        <v>17067</v>
      </c>
      <c r="H1428" s="2" t="s">
        <v>5</v>
      </c>
      <c r="I1428" s="2" t="s">
        <v>6</v>
      </c>
      <c r="J1428" s="2" t="s">
        <v>5</v>
      </c>
      <c r="K1428" s="2" t="s">
        <v>5</v>
      </c>
      <c r="L1428" s="2" t="s">
        <v>7</v>
      </c>
      <c r="M1428" s="1" t="s">
        <v>17068</v>
      </c>
      <c r="N1428" s="1" t="s">
        <v>17069</v>
      </c>
      <c r="O1428" s="2" t="s">
        <v>939</v>
      </c>
      <c r="Q1428" s="2" t="s">
        <v>11</v>
      </c>
      <c r="R1428" s="2" t="s">
        <v>426</v>
      </c>
      <c r="S1428" s="1" t="s">
        <v>2800</v>
      </c>
      <c r="T1428" s="2" t="s">
        <v>520</v>
      </c>
      <c r="U1428" s="3">
        <v>14</v>
      </c>
      <c r="V1428" s="3">
        <v>14</v>
      </c>
      <c r="W1428" s="4" t="s">
        <v>11661</v>
      </c>
      <c r="X1428" s="4" t="s">
        <v>11661</v>
      </c>
      <c r="Y1428" s="4" t="s">
        <v>14220</v>
      </c>
      <c r="Z1428" s="4" t="s">
        <v>14220</v>
      </c>
      <c r="AA1428" s="3">
        <v>90</v>
      </c>
      <c r="AB1428" s="3">
        <v>62</v>
      </c>
      <c r="AC1428" s="3">
        <v>109</v>
      </c>
      <c r="AD1428" s="3">
        <v>1</v>
      </c>
      <c r="AE1428" s="3">
        <v>1</v>
      </c>
      <c r="AF1428" s="3">
        <v>3</v>
      </c>
      <c r="AG1428" s="3">
        <v>5</v>
      </c>
      <c r="AH1428" s="3">
        <v>1</v>
      </c>
      <c r="AI1428" s="3">
        <v>1</v>
      </c>
      <c r="AJ1428" s="3">
        <v>1</v>
      </c>
      <c r="AK1428" s="3">
        <v>1</v>
      </c>
      <c r="AL1428" s="3">
        <v>3</v>
      </c>
      <c r="AM1428" s="3">
        <v>5</v>
      </c>
      <c r="AN1428" s="3">
        <v>0</v>
      </c>
      <c r="AO1428" s="3">
        <v>0</v>
      </c>
      <c r="AP1428" s="3">
        <v>0</v>
      </c>
      <c r="AQ1428" s="3">
        <v>0</v>
      </c>
      <c r="AR1428" s="2" t="s">
        <v>5</v>
      </c>
      <c r="AS1428" s="2" t="s">
        <v>16</v>
      </c>
      <c r="AT1428" s="5" t="str">
        <f>HYPERLINK("http://catalog.hathitrust.org/Record/004446505","HathiTrust Record")</f>
        <v>HathiTrust Record</v>
      </c>
      <c r="AU1428" s="5" t="str">
        <f>HYPERLINK("https://creighton-primo.hosted.exlibrisgroup.com/primo-explore/search?tab=default_tab&amp;search_scope=EVERYTHING&amp;vid=01CRU&amp;lang=en_US&amp;offset=0&amp;query=any,contains,991001189249702656","Catalog Record")</f>
        <v>Catalog Record</v>
      </c>
      <c r="AV1428" s="5" t="str">
        <f>HYPERLINK("http://www.worldcat.org/oclc/16950728","WorldCat Record")</f>
        <v>WorldCat Record</v>
      </c>
      <c r="AW1428" s="2" t="s">
        <v>17070</v>
      </c>
      <c r="AX1428" s="2" t="s">
        <v>17071</v>
      </c>
      <c r="AY1428" s="2" t="s">
        <v>17072</v>
      </c>
      <c r="AZ1428" s="2" t="s">
        <v>17072</v>
      </c>
      <c r="BA1428" s="2" t="s">
        <v>17073</v>
      </c>
      <c r="BB1428" s="2" t="s">
        <v>21</v>
      </c>
      <c r="BD1428" s="2" t="s">
        <v>17074</v>
      </c>
      <c r="BE1428" s="2" t="s">
        <v>17075</v>
      </c>
      <c r="BF1428" s="2" t="s">
        <v>17076</v>
      </c>
    </row>
    <row r="1429" spans="1:58" ht="41.25" customHeight="1" x14ac:dyDescent="0.25">
      <c r="A1429" s="8" t="s">
        <v>5</v>
      </c>
      <c r="B1429" s="1" t="s">
        <v>0</v>
      </c>
      <c r="C1429" s="1" t="s">
        <v>1</v>
      </c>
      <c r="D1429" s="1" t="s">
        <v>17077</v>
      </c>
      <c r="E1429" s="1" t="s">
        <v>17078</v>
      </c>
      <c r="F1429" s="1" t="s">
        <v>17079</v>
      </c>
      <c r="H1429" s="2" t="s">
        <v>5</v>
      </c>
      <c r="I1429" s="2" t="s">
        <v>6</v>
      </c>
      <c r="J1429" s="2" t="s">
        <v>5</v>
      </c>
      <c r="K1429" s="2" t="s">
        <v>5</v>
      </c>
      <c r="L1429" s="2" t="s">
        <v>7</v>
      </c>
      <c r="N1429" s="1" t="s">
        <v>2799</v>
      </c>
      <c r="O1429" s="2" t="s">
        <v>210</v>
      </c>
      <c r="Q1429" s="2" t="s">
        <v>11</v>
      </c>
      <c r="R1429" s="2" t="s">
        <v>78</v>
      </c>
      <c r="T1429" s="2" t="s">
        <v>520</v>
      </c>
      <c r="U1429" s="3">
        <v>9</v>
      </c>
      <c r="V1429" s="3">
        <v>9</v>
      </c>
      <c r="W1429" s="4" t="s">
        <v>17080</v>
      </c>
      <c r="X1429" s="4" t="s">
        <v>17080</v>
      </c>
      <c r="Y1429" s="4" t="s">
        <v>17081</v>
      </c>
      <c r="Z1429" s="4" t="s">
        <v>17081</v>
      </c>
      <c r="AA1429" s="3">
        <v>220</v>
      </c>
      <c r="AB1429" s="3">
        <v>184</v>
      </c>
      <c r="AC1429" s="3">
        <v>191</v>
      </c>
      <c r="AD1429" s="3">
        <v>1</v>
      </c>
      <c r="AE1429" s="3">
        <v>1</v>
      </c>
      <c r="AF1429" s="3">
        <v>5</v>
      </c>
      <c r="AG1429" s="3">
        <v>5</v>
      </c>
      <c r="AH1429" s="3">
        <v>3</v>
      </c>
      <c r="AI1429" s="3">
        <v>3</v>
      </c>
      <c r="AJ1429" s="3">
        <v>1</v>
      </c>
      <c r="AK1429" s="3">
        <v>1</v>
      </c>
      <c r="AL1429" s="3">
        <v>3</v>
      </c>
      <c r="AM1429" s="3">
        <v>3</v>
      </c>
      <c r="AN1429" s="3">
        <v>0</v>
      </c>
      <c r="AO1429" s="3">
        <v>0</v>
      </c>
      <c r="AP1429" s="3">
        <v>0</v>
      </c>
      <c r="AQ1429" s="3">
        <v>0</v>
      </c>
      <c r="AR1429" s="2" t="s">
        <v>5</v>
      </c>
      <c r="AS1429" s="2" t="s">
        <v>16</v>
      </c>
      <c r="AT1429" s="5" t="str">
        <f>HYPERLINK("http://catalog.hathitrust.org/Record/002604191","HathiTrust Record")</f>
        <v>HathiTrust Record</v>
      </c>
      <c r="AU1429" s="5" t="str">
        <f>HYPERLINK("https://creighton-primo.hosted.exlibrisgroup.com/primo-explore/search?tab=default_tab&amp;search_scope=EVERYTHING&amp;vid=01CRU&amp;lang=en_US&amp;offset=0&amp;query=any,contains,991001229329702656","Catalog Record")</f>
        <v>Catalog Record</v>
      </c>
      <c r="AV1429" s="5" t="str">
        <f>HYPERLINK("http://www.worldcat.org/oclc/25316802","WorldCat Record")</f>
        <v>WorldCat Record</v>
      </c>
      <c r="AW1429" s="2" t="s">
        <v>17082</v>
      </c>
      <c r="AX1429" s="2" t="s">
        <v>17083</v>
      </c>
      <c r="AY1429" s="2" t="s">
        <v>17084</v>
      </c>
      <c r="AZ1429" s="2" t="s">
        <v>17084</v>
      </c>
      <c r="BA1429" s="2" t="s">
        <v>17085</v>
      </c>
      <c r="BB1429" s="2" t="s">
        <v>21</v>
      </c>
      <c r="BD1429" s="2" t="s">
        <v>17086</v>
      </c>
      <c r="BE1429" s="2" t="s">
        <v>17087</v>
      </c>
      <c r="BF1429" s="2" t="s">
        <v>17088</v>
      </c>
    </row>
    <row r="1430" spans="1:58" ht="41.25" customHeight="1" x14ac:dyDescent="0.25">
      <c r="A1430" s="8" t="s">
        <v>5</v>
      </c>
      <c r="B1430" s="1" t="s">
        <v>0</v>
      </c>
      <c r="C1430" s="1" t="s">
        <v>1</v>
      </c>
      <c r="D1430" s="1" t="s">
        <v>17089</v>
      </c>
      <c r="E1430" s="1" t="s">
        <v>17090</v>
      </c>
      <c r="F1430" s="1" t="s">
        <v>17091</v>
      </c>
      <c r="H1430" s="2" t="s">
        <v>5</v>
      </c>
      <c r="I1430" s="2" t="s">
        <v>6</v>
      </c>
      <c r="J1430" s="2" t="s">
        <v>5</v>
      </c>
      <c r="K1430" s="2" t="s">
        <v>5</v>
      </c>
      <c r="L1430" s="2" t="s">
        <v>6</v>
      </c>
      <c r="N1430" s="1" t="s">
        <v>17092</v>
      </c>
      <c r="O1430" s="2" t="s">
        <v>1863</v>
      </c>
      <c r="Q1430" s="2" t="s">
        <v>11</v>
      </c>
      <c r="R1430" s="2" t="s">
        <v>12</v>
      </c>
      <c r="T1430" s="2" t="s">
        <v>520</v>
      </c>
      <c r="U1430" s="3">
        <v>1</v>
      </c>
      <c r="V1430" s="3">
        <v>1</v>
      </c>
      <c r="W1430" s="4" t="s">
        <v>9354</v>
      </c>
      <c r="X1430" s="4" t="s">
        <v>9354</v>
      </c>
      <c r="Y1430" s="4" t="s">
        <v>14529</v>
      </c>
      <c r="Z1430" s="4" t="s">
        <v>14529</v>
      </c>
      <c r="AA1430" s="3">
        <v>283</v>
      </c>
      <c r="AB1430" s="3">
        <v>193</v>
      </c>
      <c r="AC1430" s="3">
        <v>1202</v>
      </c>
      <c r="AD1430" s="3">
        <v>1</v>
      </c>
      <c r="AE1430" s="3">
        <v>18</v>
      </c>
      <c r="AF1430" s="3">
        <v>13</v>
      </c>
      <c r="AG1430" s="3">
        <v>43</v>
      </c>
      <c r="AH1430" s="3">
        <v>6</v>
      </c>
      <c r="AI1430" s="3">
        <v>12</v>
      </c>
      <c r="AJ1430" s="3">
        <v>2</v>
      </c>
      <c r="AK1430" s="3">
        <v>8</v>
      </c>
      <c r="AL1430" s="3">
        <v>8</v>
      </c>
      <c r="AM1430" s="3">
        <v>15</v>
      </c>
      <c r="AN1430" s="3">
        <v>0</v>
      </c>
      <c r="AO1430" s="3">
        <v>14</v>
      </c>
      <c r="AP1430" s="3">
        <v>0</v>
      </c>
      <c r="AQ1430" s="3">
        <v>1</v>
      </c>
      <c r="AR1430" s="2" t="s">
        <v>5</v>
      </c>
      <c r="AS1430" s="2" t="s">
        <v>5</v>
      </c>
      <c r="AU1430" s="5" t="str">
        <f>HYPERLINK("https://creighton-primo.hosted.exlibrisgroup.com/primo-explore/search?tab=default_tab&amp;search_scope=EVERYTHING&amp;vid=01CRU&amp;lang=en_US&amp;offset=0&amp;query=any,contains,991000347519702656","Catalog Record")</f>
        <v>Catalog Record</v>
      </c>
      <c r="AV1430" s="5" t="str">
        <f>HYPERLINK("http://www.worldcat.org/oclc/44420605","WorldCat Record")</f>
        <v>WorldCat Record</v>
      </c>
      <c r="AW1430" s="2" t="s">
        <v>17093</v>
      </c>
      <c r="AX1430" s="2" t="s">
        <v>17094</v>
      </c>
      <c r="AY1430" s="2" t="s">
        <v>17095</v>
      </c>
      <c r="AZ1430" s="2" t="s">
        <v>17095</v>
      </c>
      <c r="BA1430" s="2" t="s">
        <v>17096</v>
      </c>
      <c r="BB1430" s="2" t="s">
        <v>21</v>
      </c>
      <c r="BD1430" s="2" t="s">
        <v>17097</v>
      </c>
      <c r="BE1430" s="2" t="s">
        <v>17098</v>
      </c>
      <c r="BF1430" s="2" t="s">
        <v>17099</v>
      </c>
    </row>
    <row r="1431" spans="1:58" ht="41.25" customHeight="1" x14ac:dyDescent="0.25">
      <c r="A1431" s="8" t="s">
        <v>5</v>
      </c>
      <c r="B1431" s="1" t="s">
        <v>0</v>
      </c>
      <c r="C1431" s="1" t="s">
        <v>1</v>
      </c>
      <c r="D1431" s="1" t="s">
        <v>17100</v>
      </c>
      <c r="E1431" s="1" t="s">
        <v>17101</v>
      </c>
      <c r="F1431" s="1" t="s">
        <v>17102</v>
      </c>
      <c r="H1431" s="2" t="s">
        <v>5</v>
      </c>
      <c r="I1431" s="2" t="s">
        <v>6</v>
      </c>
      <c r="J1431" s="2" t="s">
        <v>5</v>
      </c>
      <c r="K1431" s="2" t="s">
        <v>5</v>
      </c>
      <c r="L1431" s="2" t="s">
        <v>7</v>
      </c>
      <c r="N1431" s="1" t="s">
        <v>3619</v>
      </c>
      <c r="O1431" s="2" t="s">
        <v>17010</v>
      </c>
      <c r="Q1431" s="2" t="s">
        <v>11</v>
      </c>
      <c r="R1431" s="2" t="s">
        <v>12</v>
      </c>
      <c r="T1431" s="2" t="s">
        <v>520</v>
      </c>
      <c r="U1431" s="3">
        <v>1</v>
      </c>
      <c r="V1431" s="3">
        <v>1</v>
      </c>
      <c r="W1431" s="4" t="s">
        <v>1987</v>
      </c>
      <c r="X1431" s="4" t="s">
        <v>1987</v>
      </c>
      <c r="Y1431" s="4" t="s">
        <v>2226</v>
      </c>
      <c r="Z1431" s="4" t="s">
        <v>2226</v>
      </c>
      <c r="AA1431" s="3">
        <v>36</v>
      </c>
      <c r="AB1431" s="3">
        <v>34</v>
      </c>
      <c r="AC1431" s="3">
        <v>36</v>
      </c>
      <c r="AD1431" s="3">
        <v>1</v>
      </c>
      <c r="AE1431" s="3">
        <v>1</v>
      </c>
      <c r="AF1431" s="3">
        <v>1</v>
      </c>
      <c r="AG1431" s="3">
        <v>1</v>
      </c>
      <c r="AH1431" s="3">
        <v>0</v>
      </c>
      <c r="AI1431" s="3">
        <v>0</v>
      </c>
      <c r="AJ1431" s="3">
        <v>0</v>
      </c>
      <c r="AK1431" s="3">
        <v>0</v>
      </c>
      <c r="AL1431" s="3">
        <v>1</v>
      </c>
      <c r="AM1431" s="3">
        <v>1</v>
      </c>
      <c r="AN1431" s="3">
        <v>0</v>
      </c>
      <c r="AO1431" s="3">
        <v>0</v>
      </c>
      <c r="AP1431" s="3">
        <v>0</v>
      </c>
      <c r="AQ1431" s="3">
        <v>0</v>
      </c>
      <c r="AR1431" s="2" t="s">
        <v>16</v>
      </c>
      <c r="AS1431" s="2" t="s">
        <v>5</v>
      </c>
      <c r="AT1431" s="5" t="str">
        <f>HYPERLINK("http://catalog.hathitrust.org/Record/102559137","HathiTrust Record")</f>
        <v>HathiTrust Record</v>
      </c>
      <c r="AU1431" s="5" t="str">
        <f>HYPERLINK("https://creighton-primo.hosted.exlibrisgroup.com/primo-explore/search?tab=default_tab&amp;search_scope=EVERYTHING&amp;vid=01CRU&amp;lang=en_US&amp;offset=0&amp;query=any,contains,991001518459702656","Catalog Record")</f>
        <v>Catalog Record</v>
      </c>
      <c r="AV1431" s="5" t="str">
        <f>HYPERLINK("http://www.worldcat.org/oclc/14671215","WorldCat Record")</f>
        <v>WorldCat Record</v>
      </c>
      <c r="AW1431" s="2" t="s">
        <v>17103</v>
      </c>
      <c r="AX1431" s="2" t="s">
        <v>17104</v>
      </c>
      <c r="AY1431" s="2" t="s">
        <v>17105</v>
      </c>
      <c r="AZ1431" s="2" t="s">
        <v>17105</v>
      </c>
      <c r="BA1431" s="2" t="s">
        <v>17106</v>
      </c>
      <c r="BB1431" s="2" t="s">
        <v>21</v>
      </c>
      <c r="BE1431" s="2" t="s">
        <v>17107</v>
      </c>
      <c r="BF1431" s="2" t="s">
        <v>17108</v>
      </c>
    </row>
    <row r="1432" spans="1:58" ht="41.25" customHeight="1" x14ac:dyDescent="0.25">
      <c r="A1432" s="8" t="s">
        <v>5</v>
      </c>
      <c r="B1432" s="1" t="s">
        <v>0</v>
      </c>
      <c r="C1432" s="1" t="s">
        <v>1</v>
      </c>
      <c r="D1432" s="1" t="s">
        <v>17109</v>
      </c>
      <c r="E1432" s="1" t="s">
        <v>17110</v>
      </c>
      <c r="F1432" s="1" t="s">
        <v>17111</v>
      </c>
      <c r="H1432" s="2" t="s">
        <v>5</v>
      </c>
      <c r="I1432" s="2" t="s">
        <v>6</v>
      </c>
      <c r="J1432" s="2" t="s">
        <v>5</v>
      </c>
      <c r="K1432" s="2" t="s">
        <v>5</v>
      </c>
      <c r="L1432" s="2" t="s">
        <v>7</v>
      </c>
      <c r="N1432" s="1" t="s">
        <v>17112</v>
      </c>
      <c r="O1432" s="2" t="s">
        <v>1863</v>
      </c>
      <c r="Q1432" s="2" t="s">
        <v>11</v>
      </c>
      <c r="R1432" s="2" t="s">
        <v>1427</v>
      </c>
      <c r="T1432" s="2" t="s">
        <v>520</v>
      </c>
      <c r="U1432" s="3">
        <v>4</v>
      </c>
      <c r="V1432" s="3">
        <v>4</v>
      </c>
      <c r="W1432" s="4" t="s">
        <v>5081</v>
      </c>
      <c r="X1432" s="4" t="s">
        <v>5081</v>
      </c>
      <c r="Y1432" s="4" t="s">
        <v>2956</v>
      </c>
      <c r="Z1432" s="4" t="s">
        <v>2956</v>
      </c>
      <c r="AA1432" s="3">
        <v>294</v>
      </c>
      <c r="AB1432" s="3">
        <v>168</v>
      </c>
      <c r="AC1432" s="3">
        <v>184</v>
      </c>
      <c r="AD1432" s="3">
        <v>1</v>
      </c>
      <c r="AE1432" s="3">
        <v>1</v>
      </c>
      <c r="AF1432" s="3">
        <v>4</v>
      </c>
      <c r="AG1432" s="3">
        <v>6</v>
      </c>
      <c r="AH1432" s="3">
        <v>1</v>
      </c>
      <c r="AI1432" s="3">
        <v>2</v>
      </c>
      <c r="AJ1432" s="3">
        <v>2</v>
      </c>
      <c r="AK1432" s="3">
        <v>3</v>
      </c>
      <c r="AL1432" s="3">
        <v>3</v>
      </c>
      <c r="AM1432" s="3">
        <v>5</v>
      </c>
      <c r="AN1432" s="3">
        <v>0</v>
      </c>
      <c r="AO1432" s="3">
        <v>0</v>
      </c>
      <c r="AP1432" s="3">
        <v>0</v>
      </c>
      <c r="AQ1432" s="3">
        <v>0</v>
      </c>
      <c r="AR1432" s="2" t="s">
        <v>5</v>
      </c>
      <c r="AS1432" s="2" t="s">
        <v>16</v>
      </c>
      <c r="AT1432" s="5" t="str">
        <f>HYPERLINK("http://catalog.hathitrust.org/Record/004168566","HathiTrust Record")</f>
        <v>HathiTrust Record</v>
      </c>
      <c r="AU1432" s="5" t="str">
        <f>HYPERLINK("https://creighton-primo.hosted.exlibrisgroup.com/primo-explore/search?tab=default_tab&amp;search_scope=EVERYTHING&amp;vid=01CRU&amp;lang=en_US&amp;offset=0&amp;query=any,contains,991000310189702656","Catalog Record")</f>
        <v>Catalog Record</v>
      </c>
      <c r="AV1432" s="5" t="str">
        <f>HYPERLINK("http://www.worldcat.org/oclc/44868895","WorldCat Record")</f>
        <v>WorldCat Record</v>
      </c>
      <c r="AW1432" s="2" t="s">
        <v>17113</v>
      </c>
      <c r="AX1432" s="2" t="s">
        <v>17114</v>
      </c>
      <c r="AY1432" s="2" t="s">
        <v>17115</v>
      </c>
      <c r="AZ1432" s="2" t="s">
        <v>17115</v>
      </c>
      <c r="BA1432" s="2" t="s">
        <v>17116</v>
      </c>
      <c r="BB1432" s="2" t="s">
        <v>21</v>
      </c>
      <c r="BD1432" s="2" t="s">
        <v>17117</v>
      </c>
      <c r="BE1432" s="2" t="s">
        <v>17118</v>
      </c>
      <c r="BF1432" s="2" t="s">
        <v>17119</v>
      </c>
    </row>
    <row r="1433" spans="1:58" ht="41.25" customHeight="1" x14ac:dyDescent="0.25">
      <c r="A1433" s="8" t="s">
        <v>5</v>
      </c>
      <c r="B1433" s="1" t="s">
        <v>0</v>
      </c>
      <c r="C1433" s="1" t="s">
        <v>1</v>
      </c>
      <c r="D1433" s="1" t="s">
        <v>17120</v>
      </c>
      <c r="E1433" s="1" t="s">
        <v>17121</v>
      </c>
      <c r="F1433" s="1" t="s">
        <v>17122</v>
      </c>
      <c r="H1433" s="2" t="s">
        <v>5</v>
      </c>
      <c r="I1433" s="2" t="s">
        <v>6</v>
      </c>
      <c r="J1433" s="2" t="s">
        <v>5</v>
      </c>
      <c r="K1433" s="2" t="s">
        <v>5</v>
      </c>
      <c r="L1433" s="2" t="s">
        <v>7</v>
      </c>
      <c r="N1433" s="1" t="s">
        <v>14517</v>
      </c>
      <c r="O1433" s="2" t="s">
        <v>136</v>
      </c>
      <c r="P1433" s="1" t="s">
        <v>17123</v>
      </c>
      <c r="Q1433" s="2" t="s">
        <v>11</v>
      </c>
      <c r="R1433" s="2" t="s">
        <v>31</v>
      </c>
      <c r="T1433" s="2" t="s">
        <v>520</v>
      </c>
      <c r="U1433" s="3">
        <v>17</v>
      </c>
      <c r="V1433" s="3">
        <v>17</v>
      </c>
      <c r="W1433" s="4" t="s">
        <v>17124</v>
      </c>
      <c r="X1433" s="4" t="s">
        <v>17124</v>
      </c>
      <c r="Y1433" s="4" t="s">
        <v>7829</v>
      </c>
      <c r="Z1433" s="4" t="s">
        <v>7829</v>
      </c>
      <c r="AA1433" s="3">
        <v>359</v>
      </c>
      <c r="AB1433" s="3">
        <v>293</v>
      </c>
      <c r="AC1433" s="3">
        <v>300</v>
      </c>
      <c r="AD1433" s="3">
        <v>2</v>
      </c>
      <c r="AE1433" s="3">
        <v>2</v>
      </c>
      <c r="AF1433" s="3">
        <v>10</v>
      </c>
      <c r="AG1433" s="3">
        <v>10</v>
      </c>
      <c r="AH1433" s="3">
        <v>3</v>
      </c>
      <c r="AI1433" s="3">
        <v>3</v>
      </c>
      <c r="AJ1433" s="3">
        <v>3</v>
      </c>
      <c r="AK1433" s="3">
        <v>3</v>
      </c>
      <c r="AL1433" s="3">
        <v>7</v>
      </c>
      <c r="AM1433" s="3">
        <v>7</v>
      </c>
      <c r="AN1433" s="3">
        <v>1</v>
      </c>
      <c r="AO1433" s="3">
        <v>1</v>
      </c>
      <c r="AP1433" s="3">
        <v>0</v>
      </c>
      <c r="AQ1433" s="3">
        <v>0</v>
      </c>
      <c r="AR1433" s="2" t="s">
        <v>5</v>
      </c>
      <c r="AS1433" s="2" t="s">
        <v>16</v>
      </c>
      <c r="AT1433" s="5" t="str">
        <f>HYPERLINK("http://catalog.hathitrust.org/Record/002439554","HathiTrust Record")</f>
        <v>HathiTrust Record</v>
      </c>
      <c r="AU1433" s="5" t="str">
        <f>HYPERLINK("https://creighton-primo.hosted.exlibrisgroup.com/primo-explore/search?tab=default_tab&amp;search_scope=EVERYTHING&amp;vid=01CRU&amp;lang=en_US&amp;offset=0&amp;query=any,contains,991000932889702656","Catalog Record")</f>
        <v>Catalog Record</v>
      </c>
      <c r="AV1433" s="5" t="str">
        <f>HYPERLINK("http://www.worldcat.org/oclc/22705958","WorldCat Record")</f>
        <v>WorldCat Record</v>
      </c>
      <c r="AW1433" s="2" t="s">
        <v>17125</v>
      </c>
      <c r="AX1433" s="2" t="s">
        <v>17126</v>
      </c>
      <c r="AY1433" s="2" t="s">
        <v>17127</v>
      </c>
      <c r="AZ1433" s="2" t="s">
        <v>17127</v>
      </c>
      <c r="BA1433" s="2" t="s">
        <v>17128</v>
      </c>
      <c r="BB1433" s="2" t="s">
        <v>21</v>
      </c>
      <c r="BD1433" s="2" t="s">
        <v>17129</v>
      </c>
      <c r="BE1433" s="2" t="s">
        <v>17130</v>
      </c>
      <c r="BF1433" s="2" t="s">
        <v>17131</v>
      </c>
    </row>
    <row r="1434" spans="1:58" ht="41.25" customHeight="1" x14ac:dyDescent="0.25">
      <c r="A1434" s="8" t="s">
        <v>5</v>
      </c>
      <c r="B1434" s="1" t="s">
        <v>0</v>
      </c>
      <c r="C1434" s="1" t="s">
        <v>1</v>
      </c>
      <c r="D1434" s="1" t="s">
        <v>17132</v>
      </c>
      <c r="E1434" s="1" t="s">
        <v>17133</v>
      </c>
      <c r="F1434" s="1" t="s">
        <v>17134</v>
      </c>
      <c r="H1434" s="2" t="s">
        <v>5</v>
      </c>
      <c r="I1434" s="2" t="s">
        <v>6</v>
      </c>
      <c r="J1434" s="2" t="s">
        <v>5</v>
      </c>
      <c r="K1434" s="2" t="s">
        <v>5</v>
      </c>
      <c r="L1434" s="2" t="s">
        <v>7</v>
      </c>
      <c r="N1434" s="1" t="s">
        <v>17135</v>
      </c>
      <c r="O1434" s="2" t="s">
        <v>151</v>
      </c>
      <c r="Q1434" s="2" t="s">
        <v>11</v>
      </c>
      <c r="R1434" s="2" t="s">
        <v>93</v>
      </c>
      <c r="S1434" s="1" t="s">
        <v>9631</v>
      </c>
      <c r="T1434" s="2" t="s">
        <v>520</v>
      </c>
      <c r="U1434" s="3">
        <v>2</v>
      </c>
      <c r="V1434" s="3">
        <v>2</v>
      </c>
      <c r="W1434" s="4" t="s">
        <v>10642</v>
      </c>
      <c r="X1434" s="4" t="s">
        <v>10642</v>
      </c>
      <c r="Y1434" s="4" t="s">
        <v>16284</v>
      </c>
      <c r="Z1434" s="4" t="s">
        <v>16284</v>
      </c>
      <c r="AA1434" s="3">
        <v>110</v>
      </c>
      <c r="AB1434" s="3">
        <v>100</v>
      </c>
      <c r="AC1434" s="3">
        <v>100</v>
      </c>
      <c r="AD1434" s="3">
        <v>2</v>
      </c>
      <c r="AE1434" s="3">
        <v>2</v>
      </c>
      <c r="AF1434" s="3">
        <v>2</v>
      </c>
      <c r="AG1434" s="3">
        <v>2</v>
      </c>
      <c r="AH1434" s="3">
        <v>0</v>
      </c>
      <c r="AI1434" s="3">
        <v>0</v>
      </c>
      <c r="AJ1434" s="3">
        <v>0</v>
      </c>
      <c r="AK1434" s="3">
        <v>0</v>
      </c>
      <c r="AL1434" s="3">
        <v>1</v>
      </c>
      <c r="AM1434" s="3">
        <v>1</v>
      </c>
      <c r="AN1434" s="3">
        <v>1</v>
      </c>
      <c r="AO1434" s="3">
        <v>1</v>
      </c>
      <c r="AP1434" s="3">
        <v>0</v>
      </c>
      <c r="AQ1434" s="3">
        <v>0</v>
      </c>
      <c r="AR1434" s="2" t="s">
        <v>5</v>
      </c>
      <c r="AS1434" s="2" t="s">
        <v>5</v>
      </c>
      <c r="AU1434" s="5" t="str">
        <f>HYPERLINK("https://creighton-primo.hosted.exlibrisgroup.com/primo-explore/search?tab=default_tab&amp;search_scope=EVERYTHING&amp;vid=01CRU&amp;lang=en_US&amp;offset=0&amp;query=any,contains,991000865119702656","Catalog Record")</f>
        <v>Catalog Record</v>
      </c>
      <c r="AV1434" s="5" t="str">
        <f>HYPERLINK("http://www.worldcat.org/oclc/2931099","WorldCat Record")</f>
        <v>WorldCat Record</v>
      </c>
      <c r="AW1434" s="2" t="s">
        <v>17136</v>
      </c>
      <c r="AX1434" s="2" t="s">
        <v>17137</v>
      </c>
      <c r="AY1434" s="2" t="s">
        <v>17138</v>
      </c>
      <c r="AZ1434" s="2" t="s">
        <v>17138</v>
      </c>
      <c r="BA1434" s="2" t="s">
        <v>17139</v>
      </c>
      <c r="BB1434" s="2" t="s">
        <v>21</v>
      </c>
      <c r="BE1434" s="2" t="s">
        <v>17140</v>
      </c>
      <c r="BF1434" s="2" t="s">
        <v>17141</v>
      </c>
    </row>
    <row r="1435" spans="1:58" ht="41.25" customHeight="1" x14ac:dyDescent="0.25">
      <c r="A1435" s="8" t="s">
        <v>5</v>
      </c>
      <c r="B1435" s="1" t="s">
        <v>0</v>
      </c>
      <c r="C1435" s="1" t="s">
        <v>1</v>
      </c>
      <c r="D1435" s="1" t="s">
        <v>17142</v>
      </c>
      <c r="E1435" s="1" t="s">
        <v>17143</v>
      </c>
      <c r="F1435" s="1" t="s">
        <v>17144</v>
      </c>
      <c r="H1435" s="2" t="s">
        <v>5</v>
      </c>
      <c r="I1435" s="2" t="s">
        <v>6</v>
      </c>
      <c r="J1435" s="2" t="s">
        <v>5</v>
      </c>
      <c r="K1435" s="2" t="s">
        <v>5</v>
      </c>
      <c r="L1435" s="2" t="s">
        <v>7</v>
      </c>
      <c r="N1435" s="1" t="s">
        <v>2175</v>
      </c>
      <c r="O1435" s="2" t="s">
        <v>382</v>
      </c>
      <c r="Q1435" s="2" t="s">
        <v>11</v>
      </c>
      <c r="R1435" s="2" t="s">
        <v>426</v>
      </c>
      <c r="T1435" s="2" t="s">
        <v>520</v>
      </c>
      <c r="U1435" s="3">
        <v>7</v>
      </c>
      <c r="V1435" s="3">
        <v>7</v>
      </c>
      <c r="W1435" s="4" t="s">
        <v>17145</v>
      </c>
      <c r="X1435" s="4" t="s">
        <v>17145</v>
      </c>
      <c r="Y1435" s="4" t="s">
        <v>16284</v>
      </c>
      <c r="Z1435" s="4" t="s">
        <v>16284</v>
      </c>
      <c r="AA1435" s="3">
        <v>216</v>
      </c>
      <c r="AB1435" s="3">
        <v>200</v>
      </c>
      <c r="AC1435" s="3">
        <v>207</v>
      </c>
      <c r="AD1435" s="3">
        <v>2</v>
      </c>
      <c r="AE1435" s="3">
        <v>2</v>
      </c>
      <c r="AF1435" s="3">
        <v>9</v>
      </c>
      <c r="AG1435" s="3">
        <v>9</v>
      </c>
      <c r="AH1435" s="3">
        <v>2</v>
      </c>
      <c r="AI1435" s="3">
        <v>2</v>
      </c>
      <c r="AJ1435" s="3">
        <v>3</v>
      </c>
      <c r="AK1435" s="3">
        <v>3</v>
      </c>
      <c r="AL1435" s="3">
        <v>8</v>
      </c>
      <c r="AM1435" s="3">
        <v>8</v>
      </c>
      <c r="AN1435" s="3">
        <v>0</v>
      </c>
      <c r="AO1435" s="3">
        <v>0</v>
      </c>
      <c r="AP1435" s="3">
        <v>0</v>
      </c>
      <c r="AQ1435" s="3">
        <v>0</v>
      </c>
      <c r="AR1435" s="2" t="s">
        <v>5</v>
      </c>
      <c r="AS1435" s="2" t="s">
        <v>16</v>
      </c>
      <c r="AT1435" s="5" t="str">
        <f>HYPERLINK("http://catalog.hathitrust.org/Record/000653309","HathiTrust Record")</f>
        <v>HathiTrust Record</v>
      </c>
      <c r="AU1435" s="5" t="str">
        <f>HYPERLINK("https://creighton-primo.hosted.exlibrisgroup.com/primo-explore/search?tab=default_tab&amp;search_scope=EVERYTHING&amp;vid=01CRU&amp;lang=en_US&amp;offset=0&amp;query=any,contains,991000865149702656","Catalog Record")</f>
        <v>Catalog Record</v>
      </c>
      <c r="AV1435" s="5" t="str">
        <f>HYPERLINK("http://www.worldcat.org/oclc/11782867","WorldCat Record")</f>
        <v>WorldCat Record</v>
      </c>
      <c r="AW1435" s="2" t="s">
        <v>17146</v>
      </c>
      <c r="AX1435" s="2" t="s">
        <v>17147</v>
      </c>
      <c r="AY1435" s="2" t="s">
        <v>17148</v>
      </c>
      <c r="AZ1435" s="2" t="s">
        <v>17148</v>
      </c>
      <c r="BA1435" s="2" t="s">
        <v>17149</v>
      </c>
      <c r="BB1435" s="2" t="s">
        <v>21</v>
      </c>
      <c r="BD1435" s="2" t="s">
        <v>17150</v>
      </c>
      <c r="BE1435" s="2" t="s">
        <v>17151</v>
      </c>
      <c r="BF1435" s="2" t="s">
        <v>17152</v>
      </c>
    </row>
    <row r="1436" spans="1:58" ht="41.25" customHeight="1" x14ac:dyDescent="0.25">
      <c r="A1436" s="8" t="s">
        <v>5</v>
      </c>
      <c r="B1436" s="1" t="s">
        <v>0</v>
      </c>
      <c r="C1436" s="1" t="s">
        <v>1</v>
      </c>
      <c r="D1436" s="1" t="s">
        <v>17153</v>
      </c>
      <c r="E1436" s="1" t="s">
        <v>17154</v>
      </c>
      <c r="F1436" s="1" t="s">
        <v>17155</v>
      </c>
      <c r="H1436" s="2" t="s">
        <v>5</v>
      </c>
      <c r="I1436" s="2" t="s">
        <v>6</v>
      </c>
      <c r="J1436" s="2" t="s">
        <v>5</v>
      </c>
      <c r="K1436" s="2" t="s">
        <v>5</v>
      </c>
      <c r="L1436" s="2" t="s">
        <v>7</v>
      </c>
      <c r="M1436" s="1" t="s">
        <v>10580</v>
      </c>
      <c r="N1436" s="1" t="s">
        <v>17156</v>
      </c>
      <c r="O1436" s="2" t="s">
        <v>354</v>
      </c>
      <c r="Q1436" s="2" t="s">
        <v>11</v>
      </c>
      <c r="R1436" s="2" t="s">
        <v>426</v>
      </c>
      <c r="S1436" s="1" t="s">
        <v>17157</v>
      </c>
      <c r="T1436" s="2" t="s">
        <v>520</v>
      </c>
      <c r="U1436" s="3">
        <v>2</v>
      </c>
      <c r="V1436" s="3">
        <v>2</v>
      </c>
      <c r="W1436" s="4" t="s">
        <v>3807</v>
      </c>
      <c r="X1436" s="4" t="s">
        <v>3807</v>
      </c>
      <c r="Y1436" s="4" t="s">
        <v>16284</v>
      </c>
      <c r="Z1436" s="4" t="s">
        <v>16284</v>
      </c>
      <c r="AA1436" s="3">
        <v>83</v>
      </c>
      <c r="AB1436" s="3">
        <v>60</v>
      </c>
      <c r="AC1436" s="3">
        <v>60</v>
      </c>
      <c r="AD1436" s="3">
        <v>1</v>
      </c>
      <c r="AE1436" s="3">
        <v>1</v>
      </c>
      <c r="AF1436" s="3">
        <v>3</v>
      </c>
      <c r="AG1436" s="3">
        <v>3</v>
      </c>
      <c r="AH1436" s="3">
        <v>1</v>
      </c>
      <c r="AI1436" s="3">
        <v>1</v>
      </c>
      <c r="AJ1436" s="3">
        <v>0</v>
      </c>
      <c r="AK1436" s="3">
        <v>0</v>
      </c>
      <c r="AL1436" s="3">
        <v>3</v>
      </c>
      <c r="AM1436" s="3">
        <v>3</v>
      </c>
      <c r="AN1436" s="3">
        <v>0</v>
      </c>
      <c r="AO1436" s="3">
        <v>0</v>
      </c>
      <c r="AP1436" s="3">
        <v>0</v>
      </c>
      <c r="AQ1436" s="3">
        <v>0</v>
      </c>
      <c r="AR1436" s="2" t="s">
        <v>5</v>
      </c>
      <c r="AS1436" s="2" t="s">
        <v>5</v>
      </c>
      <c r="AU1436" s="5" t="str">
        <f>HYPERLINK("https://creighton-primo.hosted.exlibrisgroup.com/primo-explore/search?tab=default_tab&amp;search_scope=EVERYTHING&amp;vid=01CRU&amp;lang=en_US&amp;offset=0&amp;query=any,contains,991000865189702656","Catalog Record")</f>
        <v>Catalog Record</v>
      </c>
      <c r="AV1436" s="5" t="str">
        <f>HYPERLINK("http://www.worldcat.org/oclc/6486973","WorldCat Record")</f>
        <v>WorldCat Record</v>
      </c>
      <c r="AW1436" s="2" t="s">
        <v>17158</v>
      </c>
      <c r="AX1436" s="2" t="s">
        <v>17159</v>
      </c>
      <c r="AY1436" s="2" t="s">
        <v>17160</v>
      </c>
      <c r="AZ1436" s="2" t="s">
        <v>17160</v>
      </c>
      <c r="BA1436" s="2" t="s">
        <v>17161</v>
      </c>
      <c r="BB1436" s="2" t="s">
        <v>21</v>
      </c>
      <c r="BD1436" s="2" t="s">
        <v>17162</v>
      </c>
      <c r="BE1436" s="2" t="s">
        <v>17163</v>
      </c>
      <c r="BF1436" s="2" t="s">
        <v>17164</v>
      </c>
    </row>
    <row r="1437" spans="1:58" ht="41.25" customHeight="1" x14ac:dyDescent="0.25">
      <c r="A1437" s="8" t="s">
        <v>5</v>
      </c>
      <c r="B1437" s="1" t="s">
        <v>0</v>
      </c>
      <c r="C1437" s="1" t="s">
        <v>1</v>
      </c>
      <c r="D1437" s="1" t="s">
        <v>17165</v>
      </c>
      <c r="E1437" s="1" t="s">
        <v>17166</v>
      </c>
      <c r="F1437" s="1" t="s">
        <v>17167</v>
      </c>
      <c r="H1437" s="2" t="s">
        <v>5</v>
      </c>
      <c r="I1437" s="2" t="s">
        <v>6</v>
      </c>
      <c r="J1437" s="2" t="s">
        <v>5</v>
      </c>
      <c r="K1437" s="2" t="s">
        <v>5</v>
      </c>
      <c r="L1437" s="2" t="s">
        <v>7</v>
      </c>
      <c r="M1437" s="1" t="s">
        <v>17168</v>
      </c>
      <c r="N1437" s="1" t="s">
        <v>10456</v>
      </c>
      <c r="O1437" s="2" t="s">
        <v>136</v>
      </c>
      <c r="Q1437" s="2" t="s">
        <v>11</v>
      </c>
      <c r="R1437" s="2" t="s">
        <v>31</v>
      </c>
      <c r="T1437" s="2" t="s">
        <v>520</v>
      </c>
      <c r="U1437" s="3">
        <v>8</v>
      </c>
      <c r="V1437" s="3">
        <v>8</v>
      </c>
      <c r="W1437" s="4" t="s">
        <v>17169</v>
      </c>
      <c r="X1437" s="4" t="s">
        <v>17169</v>
      </c>
      <c r="Y1437" s="4" t="s">
        <v>2201</v>
      </c>
      <c r="Z1437" s="4" t="s">
        <v>2201</v>
      </c>
      <c r="AA1437" s="3">
        <v>356</v>
      </c>
      <c r="AB1437" s="3">
        <v>291</v>
      </c>
      <c r="AC1437" s="3">
        <v>293</v>
      </c>
      <c r="AD1437" s="3">
        <v>2</v>
      </c>
      <c r="AE1437" s="3">
        <v>2</v>
      </c>
      <c r="AF1437" s="3">
        <v>18</v>
      </c>
      <c r="AG1437" s="3">
        <v>18</v>
      </c>
      <c r="AH1437" s="3">
        <v>9</v>
      </c>
      <c r="AI1437" s="3">
        <v>9</v>
      </c>
      <c r="AJ1437" s="3">
        <v>4</v>
      </c>
      <c r="AK1437" s="3">
        <v>4</v>
      </c>
      <c r="AL1437" s="3">
        <v>12</v>
      </c>
      <c r="AM1437" s="3">
        <v>12</v>
      </c>
      <c r="AN1437" s="3">
        <v>0</v>
      </c>
      <c r="AO1437" s="3">
        <v>0</v>
      </c>
      <c r="AP1437" s="3">
        <v>0</v>
      </c>
      <c r="AQ1437" s="3">
        <v>0</v>
      </c>
      <c r="AR1437" s="2" t="s">
        <v>5</v>
      </c>
      <c r="AS1437" s="2" t="s">
        <v>16</v>
      </c>
      <c r="AT1437" s="5" t="str">
        <f>HYPERLINK("http://catalog.hathitrust.org/Record/002443274","HathiTrust Record")</f>
        <v>HathiTrust Record</v>
      </c>
      <c r="AU1437" s="5" t="str">
        <f>HYPERLINK("https://creighton-primo.hosted.exlibrisgroup.com/primo-explore/search?tab=default_tab&amp;search_scope=EVERYTHING&amp;vid=01CRU&amp;lang=en_US&amp;offset=0&amp;query=any,contains,991000933219702656","Catalog Record")</f>
        <v>Catalog Record</v>
      </c>
      <c r="AV1437" s="5" t="str">
        <f>HYPERLINK("http://www.worldcat.org/oclc/22183291","WorldCat Record")</f>
        <v>WorldCat Record</v>
      </c>
      <c r="AW1437" s="2" t="s">
        <v>17170</v>
      </c>
      <c r="AX1437" s="2" t="s">
        <v>17171</v>
      </c>
      <c r="AY1437" s="2" t="s">
        <v>17172</v>
      </c>
      <c r="AZ1437" s="2" t="s">
        <v>17172</v>
      </c>
      <c r="BA1437" s="2" t="s">
        <v>17173</v>
      </c>
      <c r="BB1437" s="2" t="s">
        <v>21</v>
      </c>
      <c r="BD1437" s="2" t="s">
        <v>17174</v>
      </c>
      <c r="BE1437" s="2" t="s">
        <v>17175</v>
      </c>
      <c r="BF1437" s="2" t="s">
        <v>17176</v>
      </c>
    </row>
    <row r="1438" spans="1:58" ht="41.25" customHeight="1" x14ac:dyDescent="0.25">
      <c r="A1438" s="8" t="s">
        <v>5</v>
      </c>
      <c r="B1438" s="1" t="s">
        <v>0</v>
      </c>
      <c r="C1438" s="1" t="s">
        <v>1</v>
      </c>
      <c r="D1438" s="1" t="s">
        <v>17177</v>
      </c>
      <c r="E1438" s="1" t="s">
        <v>17178</v>
      </c>
      <c r="F1438" s="1" t="s">
        <v>17179</v>
      </c>
      <c r="H1438" s="2" t="s">
        <v>5</v>
      </c>
      <c r="I1438" s="2" t="s">
        <v>6</v>
      </c>
      <c r="J1438" s="2" t="s">
        <v>5</v>
      </c>
      <c r="K1438" s="2" t="s">
        <v>5</v>
      </c>
      <c r="L1438" s="2" t="s">
        <v>7</v>
      </c>
      <c r="M1438" s="1" t="s">
        <v>7966</v>
      </c>
      <c r="N1438" s="1" t="s">
        <v>17180</v>
      </c>
      <c r="O1438" s="2" t="s">
        <v>989</v>
      </c>
      <c r="Q1438" s="2" t="s">
        <v>11</v>
      </c>
      <c r="R1438" s="2" t="s">
        <v>426</v>
      </c>
      <c r="S1438" s="1" t="s">
        <v>17181</v>
      </c>
      <c r="T1438" s="2" t="s">
        <v>520</v>
      </c>
      <c r="U1438" s="3">
        <v>14</v>
      </c>
      <c r="V1438" s="3">
        <v>14</v>
      </c>
      <c r="W1438" s="4" t="s">
        <v>16951</v>
      </c>
      <c r="X1438" s="4" t="s">
        <v>16951</v>
      </c>
      <c r="Y1438" s="4" t="s">
        <v>1470</v>
      </c>
      <c r="Z1438" s="4" t="s">
        <v>1470</v>
      </c>
      <c r="AA1438" s="3">
        <v>495</v>
      </c>
      <c r="AB1438" s="3">
        <v>407</v>
      </c>
      <c r="AC1438" s="3">
        <v>424</v>
      </c>
      <c r="AD1438" s="3">
        <v>3</v>
      </c>
      <c r="AE1438" s="3">
        <v>3</v>
      </c>
      <c r="AF1438" s="3">
        <v>12</v>
      </c>
      <c r="AG1438" s="3">
        <v>14</v>
      </c>
      <c r="AH1438" s="3">
        <v>7</v>
      </c>
      <c r="AI1438" s="3">
        <v>8</v>
      </c>
      <c r="AJ1438" s="3">
        <v>2</v>
      </c>
      <c r="AK1438" s="3">
        <v>3</v>
      </c>
      <c r="AL1438" s="3">
        <v>7</v>
      </c>
      <c r="AM1438" s="3">
        <v>7</v>
      </c>
      <c r="AN1438" s="3">
        <v>1</v>
      </c>
      <c r="AO1438" s="3">
        <v>1</v>
      </c>
      <c r="AP1438" s="3">
        <v>0</v>
      </c>
      <c r="AQ1438" s="3">
        <v>0</v>
      </c>
      <c r="AR1438" s="2" t="s">
        <v>5</v>
      </c>
      <c r="AS1438" s="2" t="s">
        <v>16</v>
      </c>
      <c r="AT1438" s="5" t="str">
        <f>HYPERLINK("http://catalog.hathitrust.org/Record/001953151","HathiTrust Record")</f>
        <v>HathiTrust Record</v>
      </c>
      <c r="AU1438" s="5" t="str">
        <f>HYPERLINK("https://creighton-primo.hosted.exlibrisgroup.com/primo-explore/search?tab=default_tab&amp;search_scope=EVERYTHING&amp;vid=01CRU&amp;lang=en_US&amp;offset=0&amp;query=any,contains,991001767899702656","Catalog Record")</f>
        <v>Catalog Record</v>
      </c>
      <c r="AV1438" s="5" t="str">
        <f>HYPERLINK("http://www.worldcat.org/oclc/21037002","WorldCat Record")</f>
        <v>WorldCat Record</v>
      </c>
      <c r="AW1438" s="2" t="s">
        <v>17182</v>
      </c>
      <c r="AX1438" s="2" t="s">
        <v>17183</v>
      </c>
      <c r="AY1438" s="2" t="s">
        <v>17184</v>
      </c>
      <c r="AZ1438" s="2" t="s">
        <v>17184</v>
      </c>
      <c r="BA1438" s="2" t="s">
        <v>17185</v>
      </c>
      <c r="BB1438" s="2" t="s">
        <v>21</v>
      </c>
      <c r="BD1438" s="2" t="s">
        <v>17186</v>
      </c>
      <c r="BE1438" s="2" t="s">
        <v>17187</v>
      </c>
      <c r="BF1438" s="2" t="s">
        <v>17188</v>
      </c>
    </row>
    <row r="1439" spans="1:58" ht="41.25" customHeight="1" x14ac:dyDescent="0.25">
      <c r="A1439" s="8" t="s">
        <v>5</v>
      </c>
      <c r="B1439" s="1" t="s">
        <v>0</v>
      </c>
      <c r="C1439" s="1" t="s">
        <v>1</v>
      </c>
      <c r="D1439" s="1" t="s">
        <v>17189</v>
      </c>
      <c r="E1439" s="1" t="s">
        <v>17190</v>
      </c>
      <c r="F1439" s="1" t="s">
        <v>17191</v>
      </c>
      <c r="H1439" s="2" t="s">
        <v>5</v>
      </c>
      <c r="I1439" s="2" t="s">
        <v>6</v>
      </c>
      <c r="J1439" s="2" t="s">
        <v>5</v>
      </c>
      <c r="K1439" s="2" t="s">
        <v>5</v>
      </c>
      <c r="L1439" s="2" t="s">
        <v>7</v>
      </c>
      <c r="N1439" s="1" t="s">
        <v>3535</v>
      </c>
      <c r="O1439" s="2" t="s">
        <v>354</v>
      </c>
      <c r="Q1439" s="2" t="s">
        <v>11</v>
      </c>
      <c r="R1439" s="2" t="s">
        <v>12</v>
      </c>
      <c r="T1439" s="2" t="s">
        <v>520</v>
      </c>
      <c r="U1439" s="3">
        <v>5</v>
      </c>
      <c r="V1439" s="3">
        <v>5</v>
      </c>
      <c r="W1439" s="4" t="s">
        <v>17192</v>
      </c>
      <c r="X1439" s="4" t="s">
        <v>17192</v>
      </c>
      <c r="Y1439" s="4" t="s">
        <v>15</v>
      </c>
      <c r="Z1439" s="4" t="s">
        <v>15</v>
      </c>
      <c r="AA1439" s="3">
        <v>202</v>
      </c>
      <c r="AB1439" s="3">
        <v>163</v>
      </c>
      <c r="AC1439" s="3">
        <v>163</v>
      </c>
      <c r="AD1439" s="3">
        <v>2</v>
      </c>
      <c r="AE1439" s="3">
        <v>2</v>
      </c>
      <c r="AF1439" s="3">
        <v>5</v>
      </c>
      <c r="AG1439" s="3">
        <v>5</v>
      </c>
      <c r="AH1439" s="3">
        <v>2</v>
      </c>
      <c r="AI1439" s="3">
        <v>2</v>
      </c>
      <c r="AJ1439" s="3">
        <v>1</v>
      </c>
      <c r="AK1439" s="3">
        <v>1</v>
      </c>
      <c r="AL1439" s="3">
        <v>3</v>
      </c>
      <c r="AM1439" s="3">
        <v>3</v>
      </c>
      <c r="AN1439" s="3">
        <v>1</v>
      </c>
      <c r="AO1439" s="3">
        <v>1</v>
      </c>
      <c r="AP1439" s="3">
        <v>0</v>
      </c>
      <c r="AQ1439" s="3">
        <v>0</v>
      </c>
      <c r="AR1439" s="2" t="s">
        <v>5</v>
      </c>
      <c r="AS1439" s="2" t="s">
        <v>5</v>
      </c>
      <c r="AU1439" s="5" t="str">
        <f>HYPERLINK("https://creighton-primo.hosted.exlibrisgroup.com/primo-explore/search?tab=default_tab&amp;search_scope=EVERYTHING&amp;vid=01CRU&amp;lang=en_US&amp;offset=0&amp;query=any,contains,991000865259702656","Catalog Record")</f>
        <v>Catalog Record</v>
      </c>
      <c r="AV1439" s="5" t="str">
        <f>HYPERLINK("http://www.worldcat.org/oclc/5564319","WorldCat Record")</f>
        <v>WorldCat Record</v>
      </c>
      <c r="AW1439" s="2" t="s">
        <v>17193</v>
      </c>
      <c r="AX1439" s="2" t="s">
        <v>17194</v>
      </c>
      <c r="AY1439" s="2" t="s">
        <v>17195</v>
      </c>
      <c r="AZ1439" s="2" t="s">
        <v>17195</v>
      </c>
      <c r="BA1439" s="2" t="s">
        <v>17196</v>
      </c>
      <c r="BB1439" s="2" t="s">
        <v>21</v>
      </c>
      <c r="BE1439" s="2" t="s">
        <v>17197</v>
      </c>
      <c r="BF1439" s="2" t="s">
        <v>17198</v>
      </c>
    </row>
    <row r="1440" spans="1:58" ht="41.25" customHeight="1" x14ac:dyDescent="0.25">
      <c r="A1440" s="8" t="s">
        <v>5</v>
      </c>
      <c r="B1440" s="1" t="s">
        <v>0</v>
      </c>
      <c r="C1440" s="1" t="s">
        <v>1</v>
      </c>
      <c r="D1440" s="1" t="s">
        <v>17199</v>
      </c>
      <c r="E1440" s="1" t="s">
        <v>17200</v>
      </c>
      <c r="F1440" s="1" t="s">
        <v>17201</v>
      </c>
      <c r="H1440" s="2" t="s">
        <v>5</v>
      </c>
      <c r="I1440" s="2" t="s">
        <v>6</v>
      </c>
      <c r="J1440" s="2" t="s">
        <v>5</v>
      </c>
      <c r="K1440" s="2" t="s">
        <v>5</v>
      </c>
      <c r="L1440" s="2" t="s">
        <v>7</v>
      </c>
      <c r="N1440" s="1" t="s">
        <v>4756</v>
      </c>
      <c r="O1440" s="2" t="s">
        <v>939</v>
      </c>
      <c r="Q1440" s="2" t="s">
        <v>11</v>
      </c>
      <c r="R1440" s="2" t="s">
        <v>426</v>
      </c>
      <c r="T1440" s="2" t="s">
        <v>520</v>
      </c>
      <c r="U1440" s="3">
        <v>29</v>
      </c>
      <c r="V1440" s="3">
        <v>29</v>
      </c>
      <c r="W1440" s="4" t="s">
        <v>1730</v>
      </c>
      <c r="X1440" s="4" t="s">
        <v>1730</v>
      </c>
      <c r="Y1440" s="4" t="s">
        <v>11535</v>
      </c>
      <c r="Z1440" s="4" t="s">
        <v>11535</v>
      </c>
      <c r="AA1440" s="3">
        <v>171</v>
      </c>
      <c r="AB1440" s="3">
        <v>155</v>
      </c>
      <c r="AC1440" s="3">
        <v>157</v>
      </c>
      <c r="AD1440" s="3">
        <v>1</v>
      </c>
      <c r="AE1440" s="3">
        <v>1</v>
      </c>
      <c r="AF1440" s="3">
        <v>8</v>
      </c>
      <c r="AG1440" s="3">
        <v>8</v>
      </c>
      <c r="AH1440" s="3">
        <v>3</v>
      </c>
      <c r="AI1440" s="3">
        <v>3</v>
      </c>
      <c r="AJ1440" s="3">
        <v>2</v>
      </c>
      <c r="AK1440" s="3">
        <v>2</v>
      </c>
      <c r="AL1440" s="3">
        <v>7</v>
      </c>
      <c r="AM1440" s="3">
        <v>7</v>
      </c>
      <c r="AN1440" s="3">
        <v>0</v>
      </c>
      <c r="AO1440" s="3">
        <v>0</v>
      </c>
      <c r="AP1440" s="3">
        <v>0</v>
      </c>
      <c r="AQ1440" s="3">
        <v>0</v>
      </c>
      <c r="AR1440" s="2" t="s">
        <v>5</v>
      </c>
      <c r="AS1440" s="2" t="s">
        <v>16</v>
      </c>
      <c r="AT1440" s="5" t="str">
        <f>HYPERLINK("http://catalog.hathitrust.org/Record/000844723","HathiTrust Record")</f>
        <v>HathiTrust Record</v>
      </c>
      <c r="AU1440" s="5" t="str">
        <f>HYPERLINK("https://creighton-primo.hosted.exlibrisgroup.com/primo-explore/search?tab=default_tab&amp;search_scope=EVERYTHING&amp;vid=01CRU&amp;lang=en_US&amp;offset=0&amp;query=any,contains,991001187019702656","Catalog Record")</f>
        <v>Catalog Record</v>
      </c>
      <c r="AV1440" s="5" t="str">
        <f>HYPERLINK("http://www.worldcat.org/oclc/16646523","WorldCat Record")</f>
        <v>WorldCat Record</v>
      </c>
      <c r="AW1440" s="2" t="s">
        <v>17202</v>
      </c>
      <c r="AX1440" s="2" t="s">
        <v>17203</v>
      </c>
      <c r="AY1440" s="2" t="s">
        <v>17204</v>
      </c>
      <c r="AZ1440" s="2" t="s">
        <v>17204</v>
      </c>
      <c r="BA1440" s="2" t="s">
        <v>17205</v>
      </c>
      <c r="BB1440" s="2" t="s">
        <v>21</v>
      </c>
      <c r="BD1440" s="2" t="s">
        <v>17206</v>
      </c>
      <c r="BE1440" s="2" t="s">
        <v>17207</v>
      </c>
      <c r="BF1440" s="2" t="s">
        <v>17208</v>
      </c>
    </row>
    <row r="1441" spans="1:58" ht="41.25" customHeight="1" x14ac:dyDescent="0.25">
      <c r="A1441" s="8" t="s">
        <v>5</v>
      </c>
      <c r="B1441" s="1" t="s">
        <v>0</v>
      </c>
      <c r="C1441" s="1" t="s">
        <v>1</v>
      </c>
      <c r="D1441" s="1" t="s">
        <v>17209</v>
      </c>
      <c r="E1441" s="1" t="s">
        <v>17210</v>
      </c>
      <c r="F1441" s="1" t="s">
        <v>17211</v>
      </c>
      <c r="H1441" s="2" t="s">
        <v>5</v>
      </c>
      <c r="I1441" s="2" t="s">
        <v>6</v>
      </c>
      <c r="J1441" s="2" t="s">
        <v>5</v>
      </c>
      <c r="K1441" s="2" t="s">
        <v>16</v>
      </c>
      <c r="L1441" s="2" t="s">
        <v>7</v>
      </c>
      <c r="N1441" s="1" t="s">
        <v>11985</v>
      </c>
      <c r="O1441" s="2" t="s">
        <v>872</v>
      </c>
      <c r="P1441" s="1" t="s">
        <v>211</v>
      </c>
      <c r="Q1441" s="2" t="s">
        <v>11</v>
      </c>
      <c r="R1441" s="2" t="s">
        <v>78</v>
      </c>
      <c r="T1441" s="2" t="s">
        <v>520</v>
      </c>
      <c r="U1441" s="3">
        <v>90</v>
      </c>
      <c r="V1441" s="3">
        <v>90</v>
      </c>
      <c r="W1441" s="4" t="s">
        <v>17212</v>
      </c>
      <c r="X1441" s="4" t="s">
        <v>17212</v>
      </c>
      <c r="Y1441" s="4" t="s">
        <v>17213</v>
      </c>
      <c r="Z1441" s="4" t="s">
        <v>17213</v>
      </c>
      <c r="AA1441" s="3">
        <v>235</v>
      </c>
      <c r="AB1441" s="3">
        <v>181</v>
      </c>
      <c r="AC1441" s="3">
        <v>1246</v>
      </c>
      <c r="AD1441" s="3">
        <v>2</v>
      </c>
      <c r="AE1441" s="3">
        <v>10</v>
      </c>
      <c r="AF1441" s="3">
        <v>7</v>
      </c>
      <c r="AG1441" s="3">
        <v>41</v>
      </c>
      <c r="AH1441" s="3">
        <v>1</v>
      </c>
      <c r="AI1441" s="3">
        <v>15</v>
      </c>
      <c r="AJ1441" s="3">
        <v>2</v>
      </c>
      <c r="AK1441" s="3">
        <v>10</v>
      </c>
      <c r="AL1441" s="3">
        <v>4</v>
      </c>
      <c r="AM1441" s="3">
        <v>14</v>
      </c>
      <c r="AN1441" s="3">
        <v>1</v>
      </c>
      <c r="AO1441" s="3">
        <v>8</v>
      </c>
      <c r="AP1441" s="3">
        <v>0</v>
      </c>
      <c r="AQ1441" s="3">
        <v>1</v>
      </c>
      <c r="AR1441" s="2" t="s">
        <v>5</v>
      </c>
      <c r="AS1441" s="2" t="s">
        <v>5</v>
      </c>
      <c r="AU1441" s="5" t="str">
        <f>HYPERLINK("https://creighton-primo.hosted.exlibrisgroup.com/primo-explore/search?tab=default_tab&amp;search_scope=EVERYTHING&amp;vid=01CRU&amp;lang=en_US&amp;offset=0&amp;query=any,contains,991001340059702656","Catalog Record")</f>
        <v>Catalog Record</v>
      </c>
      <c r="AV1441" s="5" t="str">
        <f>HYPERLINK("http://www.worldcat.org/oclc/19324356","WorldCat Record")</f>
        <v>WorldCat Record</v>
      </c>
      <c r="AW1441" s="2" t="s">
        <v>17214</v>
      </c>
      <c r="AX1441" s="2" t="s">
        <v>17215</v>
      </c>
      <c r="AY1441" s="2" t="s">
        <v>17216</v>
      </c>
      <c r="AZ1441" s="2" t="s">
        <v>17216</v>
      </c>
      <c r="BA1441" s="2" t="s">
        <v>17217</v>
      </c>
      <c r="BB1441" s="2" t="s">
        <v>21</v>
      </c>
      <c r="BD1441" s="2" t="s">
        <v>17218</v>
      </c>
      <c r="BE1441" s="2" t="s">
        <v>17219</v>
      </c>
      <c r="BF1441" s="2" t="s">
        <v>17220</v>
      </c>
    </row>
    <row r="1442" spans="1:58" ht="41.25" customHeight="1" x14ac:dyDescent="0.25">
      <c r="A1442" s="8" t="s">
        <v>5</v>
      </c>
      <c r="B1442" s="1" t="s">
        <v>0</v>
      </c>
      <c r="C1442" s="1" t="s">
        <v>1</v>
      </c>
      <c r="D1442" s="1" t="s">
        <v>17221</v>
      </c>
      <c r="E1442" s="1" t="s">
        <v>17222</v>
      </c>
      <c r="F1442" s="1" t="s">
        <v>17223</v>
      </c>
      <c r="H1442" s="2" t="s">
        <v>5</v>
      </c>
      <c r="I1442" s="2" t="s">
        <v>6</v>
      </c>
      <c r="J1442" s="2" t="s">
        <v>5</v>
      </c>
      <c r="K1442" s="2" t="s">
        <v>16</v>
      </c>
      <c r="L1442" s="2" t="s">
        <v>7</v>
      </c>
      <c r="N1442" s="1" t="s">
        <v>7953</v>
      </c>
      <c r="O1442" s="2" t="s">
        <v>1060</v>
      </c>
      <c r="P1442" s="1" t="s">
        <v>1284</v>
      </c>
      <c r="Q1442" s="2" t="s">
        <v>11</v>
      </c>
      <c r="R1442" s="2" t="s">
        <v>78</v>
      </c>
      <c r="T1442" s="2" t="s">
        <v>520</v>
      </c>
      <c r="U1442" s="3">
        <v>2</v>
      </c>
      <c r="V1442" s="3">
        <v>2</v>
      </c>
      <c r="W1442" s="4" t="s">
        <v>17224</v>
      </c>
      <c r="X1442" s="4" t="s">
        <v>17224</v>
      </c>
      <c r="Y1442" s="4" t="s">
        <v>17225</v>
      </c>
      <c r="Z1442" s="4" t="s">
        <v>17225</v>
      </c>
      <c r="AA1442" s="3">
        <v>443</v>
      </c>
      <c r="AB1442" s="3">
        <v>307</v>
      </c>
      <c r="AC1442" s="3">
        <v>1246</v>
      </c>
      <c r="AD1442" s="3">
        <v>0</v>
      </c>
      <c r="AE1442" s="3">
        <v>10</v>
      </c>
      <c r="AF1442" s="3">
        <v>10</v>
      </c>
      <c r="AG1442" s="3">
        <v>41</v>
      </c>
      <c r="AH1442" s="3">
        <v>4</v>
      </c>
      <c r="AI1442" s="3">
        <v>15</v>
      </c>
      <c r="AJ1442" s="3">
        <v>3</v>
      </c>
      <c r="AK1442" s="3">
        <v>10</v>
      </c>
      <c r="AL1442" s="3">
        <v>6</v>
      </c>
      <c r="AM1442" s="3">
        <v>14</v>
      </c>
      <c r="AN1442" s="3">
        <v>0</v>
      </c>
      <c r="AO1442" s="3">
        <v>8</v>
      </c>
      <c r="AP1442" s="3">
        <v>0</v>
      </c>
      <c r="AQ1442" s="3">
        <v>1</v>
      </c>
      <c r="AR1442" s="2" t="s">
        <v>5</v>
      </c>
      <c r="AS1442" s="2" t="s">
        <v>5</v>
      </c>
      <c r="AU1442" s="5" t="str">
        <f>HYPERLINK("https://creighton-primo.hosted.exlibrisgroup.com/primo-explore/search?tab=default_tab&amp;search_scope=EVERYTHING&amp;vid=01CRU&amp;lang=en_US&amp;offset=0&amp;query=any,contains,991001735659702656","Catalog Record")</f>
        <v>Catalog Record</v>
      </c>
      <c r="AV1442" s="5" t="str">
        <f>HYPERLINK("http://www.worldcat.org/oclc/55138520","WorldCat Record")</f>
        <v>WorldCat Record</v>
      </c>
      <c r="AW1442" s="2" t="s">
        <v>17214</v>
      </c>
      <c r="AX1442" s="2" t="s">
        <v>17226</v>
      </c>
      <c r="AY1442" s="2" t="s">
        <v>17227</v>
      </c>
      <c r="AZ1442" s="2" t="s">
        <v>17227</v>
      </c>
      <c r="BA1442" s="2" t="s">
        <v>17228</v>
      </c>
      <c r="BB1442" s="2" t="s">
        <v>21</v>
      </c>
      <c r="BD1442" s="2" t="s">
        <v>17229</v>
      </c>
      <c r="BE1442" s="2" t="s">
        <v>17230</v>
      </c>
      <c r="BF1442" s="2" t="s">
        <v>17231</v>
      </c>
    </row>
    <row r="1443" spans="1:58" ht="41.25" customHeight="1" x14ac:dyDescent="0.25">
      <c r="A1443" s="8" t="s">
        <v>5</v>
      </c>
      <c r="B1443" s="1" t="s">
        <v>0</v>
      </c>
      <c r="C1443" s="1" t="s">
        <v>1</v>
      </c>
      <c r="D1443" s="1" t="s">
        <v>17232</v>
      </c>
      <c r="E1443" s="1" t="s">
        <v>17233</v>
      </c>
      <c r="F1443" s="1" t="s">
        <v>17234</v>
      </c>
      <c r="H1443" s="2" t="s">
        <v>5</v>
      </c>
      <c r="I1443" s="2" t="s">
        <v>6</v>
      </c>
      <c r="J1443" s="2" t="s">
        <v>5</v>
      </c>
      <c r="K1443" s="2" t="s">
        <v>5</v>
      </c>
      <c r="L1443" s="2" t="s">
        <v>7</v>
      </c>
      <c r="N1443" s="1" t="s">
        <v>1139</v>
      </c>
      <c r="O1443" s="2" t="s">
        <v>136</v>
      </c>
      <c r="Q1443" s="2" t="s">
        <v>11</v>
      </c>
      <c r="R1443" s="2" t="s">
        <v>1140</v>
      </c>
      <c r="T1443" s="2" t="s">
        <v>520</v>
      </c>
      <c r="U1443" s="3">
        <v>14</v>
      </c>
      <c r="V1443" s="3">
        <v>14</v>
      </c>
      <c r="W1443" s="4" t="s">
        <v>17235</v>
      </c>
      <c r="X1443" s="4" t="s">
        <v>17235</v>
      </c>
      <c r="Y1443" s="4" t="s">
        <v>17236</v>
      </c>
      <c r="Z1443" s="4" t="s">
        <v>17236</v>
      </c>
      <c r="AA1443" s="3">
        <v>181</v>
      </c>
      <c r="AB1443" s="3">
        <v>160</v>
      </c>
      <c r="AC1443" s="3">
        <v>167</v>
      </c>
      <c r="AD1443" s="3">
        <v>2</v>
      </c>
      <c r="AE1443" s="3">
        <v>2</v>
      </c>
      <c r="AF1443" s="3">
        <v>11</v>
      </c>
      <c r="AG1443" s="3">
        <v>11</v>
      </c>
      <c r="AH1443" s="3">
        <v>5</v>
      </c>
      <c r="AI1443" s="3">
        <v>5</v>
      </c>
      <c r="AJ1443" s="3">
        <v>2</v>
      </c>
      <c r="AK1443" s="3">
        <v>2</v>
      </c>
      <c r="AL1443" s="3">
        <v>8</v>
      </c>
      <c r="AM1443" s="3">
        <v>8</v>
      </c>
      <c r="AN1443" s="3">
        <v>1</v>
      </c>
      <c r="AO1443" s="3">
        <v>1</v>
      </c>
      <c r="AP1443" s="3">
        <v>0</v>
      </c>
      <c r="AQ1443" s="3">
        <v>0</v>
      </c>
      <c r="AR1443" s="2" t="s">
        <v>5</v>
      </c>
      <c r="AS1443" s="2" t="s">
        <v>16</v>
      </c>
      <c r="AT1443" s="5" t="str">
        <f>HYPERLINK("http://catalog.hathitrust.org/Record/002441609","HathiTrust Record")</f>
        <v>HathiTrust Record</v>
      </c>
      <c r="AU1443" s="5" t="str">
        <f>HYPERLINK("https://creighton-primo.hosted.exlibrisgroup.com/primo-explore/search?tab=default_tab&amp;search_scope=EVERYTHING&amp;vid=01CRU&amp;lang=en_US&amp;offset=0&amp;query=any,contains,991001014909702656","Catalog Record")</f>
        <v>Catalog Record</v>
      </c>
      <c r="AV1443" s="5" t="str">
        <f>HYPERLINK("http://www.worldcat.org/oclc/22706202","WorldCat Record")</f>
        <v>WorldCat Record</v>
      </c>
      <c r="AW1443" s="2" t="s">
        <v>17237</v>
      </c>
      <c r="AX1443" s="2" t="s">
        <v>17238</v>
      </c>
      <c r="AY1443" s="2" t="s">
        <v>17239</v>
      </c>
      <c r="AZ1443" s="2" t="s">
        <v>17239</v>
      </c>
      <c r="BA1443" s="2" t="s">
        <v>17240</v>
      </c>
      <c r="BB1443" s="2" t="s">
        <v>21</v>
      </c>
      <c r="BD1443" s="2" t="s">
        <v>17241</v>
      </c>
      <c r="BE1443" s="2" t="s">
        <v>17242</v>
      </c>
      <c r="BF1443" s="2" t="s">
        <v>17243</v>
      </c>
    </row>
    <row r="1444" spans="1:58" ht="41.25" customHeight="1" x14ac:dyDescent="0.25">
      <c r="A1444" s="8" t="s">
        <v>5</v>
      </c>
      <c r="B1444" s="1" t="s">
        <v>0</v>
      </c>
      <c r="C1444" s="1" t="s">
        <v>1</v>
      </c>
      <c r="D1444" s="1" t="s">
        <v>17244</v>
      </c>
      <c r="E1444" s="1" t="s">
        <v>17245</v>
      </c>
      <c r="F1444" s="1" t="s">
        <v>17246</v>
      </c>
      <c r="H1444" s="2" t="s">
        <v>5</v>
      </c>
      <c r="I1444" s="2" t="s">
        <v>6</v>
      </c>
      <c r="J1444" s="2" t="s">
        <v>5</v>
      </c>
      <c r="K1444" s="2" t="s">
        <v>5</v>
      </c>
      <c r="L1444" s="2" t="s">
        <v>7</v>
      </c>
      <c r="N1444" s="1" t="s">
        <v>1310</v>
      </c>
      <c r="O1444" s="2" t="s">
        <v>354</v>
      </c>
      <c r="Q1444" s="2" t="s">
        <v>11</v>
      </c>
      <c r="R1444" s="2" t="s">
        <v>426</v>
      </c>
      <c r="T1444" s="2" t="s">
        <v>520</v>
      </c>
      <c r="U1444" s="3">
        <v>12</v>
      </c>
      <c r="V1444" s="3">
        <v>12</v>
      </c>
      <c r="W1444" s="4" t="s">
        <v>14315</v>
      </c>
      <c r="X1444" s="4" t="s">
        <v>14315</v>
      </c>
      <c r="Y1444" s="4" t="s">
        <v>197</v>
      </c>
      <c r="Z1444" s="4" t="s">
        <v>197</v>
      </c>
      <c r="AA1444" s="3">
        <v>199</v>
      </c>
      <c r="AB1444" s="3">
        <v>153</v>
      </c>
      <c r="AC1444" s="3">
        <v>153</v>
      </c>
      <c r="AD1444" s="3">
        <v>3</v>
      </c>
      <c r="AE1444" s="3">
        <v>3</v>
      </c>
      <c r="AF1444" s="3">
        <v>8</v>
      </c>
      <c r="AG1444" s="3">
        <v>8</v>
      </c>
      <c r="AH1444" s="3">
        <v>3</v>
      </c>
      <c r="AI1444" s="3">
        <v>3</v>
      </c>
      <c r="AJ1444" s="3">
        <v>3</v>
      </c>
      <c r="AK1444" s="3">
        <v>3</v>
      </c>
      <c r="AL1444" s="3">
        <v>4</v>
      </c>
      <c r="AM1444" s="3">
        <v>4</v>
      </c>
      <c r="AN1444" s="3">
        <v>2</v>
      </c>
      <c r="AO1444" s="3">
        <v>2</v>
      </c>
      <c r="AP1444" s="3">
        <v>0</v>
      </c>
      <c r="AQ1444" s="3">
        <v>0</v>
      </c>
      <c r="AR1444" s="2" t="s">
        <v>5</v>
      </c>
      <c r="AS1444" s="2" t="s">
        <v>5</v>
      </c>
      <c r="AU1444" s="5" t="str">
        <f>HYPERLINK("https://creighton-primo.hosted.exlibrisgroup.com/primo-explore/search?tab=default_tab&amp;search_scope=EVERYTHING&amp;vid=01CRU&amp;lang=en_US&amp;offset=0&amp;query=any,contains,991001086409702656","Catalog Record")</f>
        <v>Catalog Record</v>
      </c>
      <c r="AV1444" s="5" t="str">
        <f>HYPERLINK("http://www.worldcat.org/oclc/6304886","WorldCat Record")</f>
        <v>WorldCat Record</v>
      </c>
      <c r="AW1444" s="2" t="s">
        <v>17247</v>
      </c>
      <c r="AX1444" s="2" t="s">
        <v>17248</v>
      </c>
      <c r="AY1444" s="2" t="s">
        <v>17249</v>
      </c>
      <c r="AZ1444" s="2" t="s">
        <v>17249</v>
      </c>
      <c r="BA1444" s="2" t="s">
        <v>17250</v>
      </c>
      <c r="BB1444" s="2" t="s">
        <v>21</v>
      </c>
      <c r="BD1444" s="2" t="s">
        <v>17251</v>
      </c>
      <c r="BE1444" s="2" t="s">
        <v>17252</v>
      </c>
      <c r="BF1444" s="2" t="s">
        <v>17253</v>
      </c>
    </row>
    <row r="1445" spans="1:58" ht="41.25" customHeight="1" x14ac:dyDescent="0.25">
      <c r="A1445" s="8" t="s">
        <v>5</v>
      </c>
      <c r="B1445" s="1" t="s">
        <v>0</v>
      </c>
      <c r="C1445" s="1" t="s">
        <v>1</v>
      </c>
      <c r="D1445" s="1" t="s">
        <v>17254</v>
      </c>
      <c r="E1445" s="1" t="s">
        <v>17255</v>
      </c>
      <c r="F1445" s="1" t="s">
        <v>17256</v>
      </c>
      <c r="H1445" s="2" t="s">
        <v>5</v>
      </c>
      <c r="I1445" s="2" t="s">
        <v>6</v>
      </c>
      <c r="J1445" s="2" t="s">
        <v>5</v>
      </c>
      <c r="K1445" s="2" t="s">
        <v>5</v>
      </c>
      <c r="L1445" s="2" t="s">
        <v>7</v>
      </c>
      <c r="M1445" s="1" t="s">
        <v>17257</v>
      </c>
      <c r="N1445" s="1" t="s">
        <v>16513</v>
      </c>
      <c r="O1445" s="2" t="s">
        <v>92</v>
      </c>
      <c r="Q1445" s="2" t="s">
        <v>11</v>
      </c>
      <c r="R1445" s="2" t="s">
        <v>12</v>
      </c>
      <c r="T1445" s="2" t="s">
        <v>520</v>
      </c>
      <c r="U1445" s="3">
        <v>2</v>
      </c>
      <c r="V1445" s="3">
        <v>2</v>
      </c>
      <c r="W1445" s="4" t="s">
        <v>17258</v>
      </c>
      <c r="X1445" s="4" t="s">
        <v>17258</v>
      </c>
      <c r="Y1445" s="4" t="s">
        <v>16284</v>
      </c>
      <c r="Z1445" s="4" t="s">
        <v>16284</v>
      </c>
      <c r="AA1445" s="3">
        <v>173</v>
      </c>
      <c r="AB1445" s="3">
        <v>155</v>
      </c>
      <c r="AC1445" s="3">
        <v>157</v>
      </c>
      <c r="AD1445" s="3">
        <v>2</v>
      </c>
      <c r="AE1445" s="3">
        <v>2</v>
      </c>
      <c r="AF1445" s="3">
        <v>6</v>
      </c>
      <c r="AG1445" s="3">
        <v>6</v>
      </c>
      <c r="AH1445" s="3">
        <v>1</v>
      </c>
      <c r="AI1445" s="3">
        <v>1</v>
      </c>
      <c r="AJ1445" s="3">
        <v>1</v>
      </c>
      <c r="AK1445" s="3">
        <v>1</v>
      </c>
      <c r="AL1445" s="3">
        <v>4</v>
      </c>
      <c r="AM1445" s="3">
        <v>4</v>
      </c>
      <c r="AN1445" s="3">
        <v>1</v>
      </c>
      <c r="AO1445" s="3">
        <v>1</v>
      </c>
      <c r="AP1445" s="3">
        <v>0</v>
      </c>
      <c r="AQ1445" s="3">
        <v>0</v>
      </c>
      <c r="AR1445" s="2" t="s">
        <v>5</v>
      </c>
      <c r="AS1445" s="2" t="s">
        <v>16</v>
      </c>
      <c r="AT1445" s="5" t="str">
        <f>HYPERLINK("http://catalog.hathitrust.org/Record/000045141","HathiTrust Record")</f>
        <v>HathiTrust Record</v>
      </c>
      <c r="AU1445" s="5" t="str">
        <f>HYPERLINK("https://creighton-primo.hosted.exlibrisgroup.com/primo-explore/search?tab=default_tab&amp;search_scope=EVERYTHING&amp;vid=01CRU&amp;lang=en_US&amp;offset=0&amp;query=any,contains,991000865299702656","Catalog Record")</f>
        <v>Catalog Record</v>
      </c>
      <c r="AV1445" s="5" t="str">
        <f>HYPERLINK("http://www.worldcat.org/oclc/1529090","WorldCat Record")</f>
        <v>WorldCat Record</v>
      </c>
      <c r="AW1445" s="2" t="s">
        <v>17259</v>
      </c>
      <c r="AX1445" s="2" t="s">
        <v>17260</v>
      </c>
      <c r="AY1445" s="2" t="s">
        <v>17261</v>
      </c>
      <c r="AZ1445" s="2" t="s">
        <v>17261</v>
      </c>
      <c r="BA1445" s="2" t="s">
        <v>17262</v>
      </c>
      <c r="BB1445" s="2" t="s">
        <v>21</v>
      </c>
      <c r="BD1445" s="2" t="s">
        <v>17263</v>
      </c>
      <c r="BE1445" s="2" t="s">
        <v>17264</v>
      </c>
      <c r="BF1445" s="2" t="s">
        <v>17265</v>
      </c>
    </row>
    <row r="1446" spans="1:58" ht="41.25" customHeight="1" x14ac:dyDescent="0.25">
      <c r="A1446" s="8" t="s">
        <v>5</v>
      </c>
      <c r="B1446" s="1" t="s">
        <v>0</v>
      </c>
      <c r="C1446" s="1" t="s">
        <v>1</v>
      </c>
      <c r="D1446" s="1" t="s">
        <v>17266</v>
      </c>
      <c r="E1446" s="1" t="s">
        <v>17267</v>
      </c>
      <c r="F1446" s="1" t="s">
        <v>17268</v>
      </c>
      <c r="H1446" s="2" t="s">
        <v>5</v>
      </c>
      <c r="I1446" s="2" t="s">
        <v>6</v>
      </c>
      <c r="J1446" s="2" t="s">
        <v>5</v>
      </c>
      <c r="K1446" s="2" t="s">
        <v>5</v>
      </c>
      <c r="L1446" s="2" t="s">
        <v>7</v>
      </c>
      <c r="N1446" s="1" t="s">
        <v>17269</v>
      </c>
      <c r="O1446" s="2" t="s">
        <v>62</v>
      </c>
      <c r="Q1446" s="2" t="s">
        <v>11</v>
      </c>
      <c r="R1446" s="2" t="s">
        <v>78</v>
      </c>
      <c r="S1446" s="1" t="s">
        <v>9786</v>
      </c>
      <c r="T1446" s="2" t="s">
        <v>520</v>
      </c>
      <c r="U1446" s="3">
        <v>1</v>
      </c>
      <c r="V1446" s="3">
        <v>1</v>
      </c>
      <c r="W1446" s="4" t="s">
        <v>17270</v>
      </c>
      <c r="X1446" s="4" t="s">
        <v>17270</v>
      </c>
      <c r="Y1446" s="4" t="s">
        <v>16284</v>
      </c>
      <c r="Z1446" s="4" t="s">
        <v>16284</v>
      </c>
      <c r="AA1446" s="3">
        <v>193</v>
      </c>
      <c r="AB1446" s="3">
        <v>166</v>
      </c>
      <c r="AC1446" s="3">
        <v>355</v>
      </c>
      <c r="AD1446" s="3">
        <v>1</v>
      </c>
      <c r="AE1446" s="3">
        <v>2</v>
      </c>
      <c r="AF1446" s="3">
        <v>4</v>
      </c>
      <c r="AG1446" s="3">
        <v>7</v>
      </c>
      <c r="AH1446" s="3">
        <v>1</v>
      </c>
      <c r="AI1446" s="3">
        <v>3</v>
      </c>
      <c r="AJ1446" s="3">
        <v>1</v>
      </c>
      <c r="AK1446" s="3">
        <v>1</v>
      </c>
      <c r="AL1446" s="3">
        <v>3</v>
      </c>
      <c r="AM1446" s="3">
        <v>5</v>
      </c>
      <c r="AN1446" s="3">
        <v>0</v>
      </c>
      <c r="AO1446" s="3">
        <v>1</v>
      </c>
      <c r="AP1446" s="3">
        <v>0</v>
      </c>
      <c r="AQ1446" s="3">
        <v>0</v>
      </c>
      <c r="AR1446" s="2" t="s">
        <v>5</v>
      </c>
      <c r="AS1446" s="2" t="s">
        <v>5</v>
      </c>
      <c r="AU1446" s="5" t="str">
        <f>HYPERLINK("https://creighton-primo.hosted.exlibrisgroup.com/primo-explore/search?tab=default_tab&amp;search_scope=EVERYTHING&amp;vid=01CRU&amp;lang=en_US&amp;offset=0&amp;query=any,contains,991000865339702656","Catalog Record")</f>
        <v>Catalog Record</v>
      </c>
      <c r="AV1446" s="5" t="str">
        <f>HYPERLINK("http://www.worldcat.org/oclc/4476610","WorldCat Record")</f>
        <v>WorldCat Record</v>
      </c>
      <c r="AW1446" s="2" t="s">
        <v>17271</v>
      </c>
      <c r="AX1446" s="2" t="s">
        <v>17272</v>
      </c>
      <c r="AY1446" s="2" t="s">
        <v>17273</v>
      </c>
      <c r="AZ1446" s="2" t="s">
        <v>17273</v>
      </c>
      <c r="BA1446" s="2" t="s">
        <v>17274</v>
      </c>
      <c r="BB1446" s="2" t="s">
        <v>21</v>
      </c>
      <c r="BD1446" s="2" t="s">
        <v>17275</v>
      </c>
      <c r="BE1446" s="2" t="s">
        <v>17276</v>
      </c>
      <c r="BF1446" s="2" t="s">
        <v>17277</v>
      </c>
    </row>
    <row r="1447" spans="1:58" ht="41.25" customHeight="1" x14ac:dyDescent="0.25">
      <c r="A1447" s="8" t="s">
        <v>5</v>
      </c>
      <c r="B1447" s="1" t="s">
        <v>0</v>
      </c>
      <c r="C1447" s="1" t="s">
        <v>1</v>
      </c>
      <c r="D1447" s="1" t="s">
        <v>17278</v>
      </c>
      <c r="E1447" s="1" t="s">
        <v>17279</v>
      </c>
      <c r="F1447" s="1" t="s">
        <v>17280</v>
      </c>
      <c r="H1447" s="2" t="s">
        <v>5</v>
      </c>
      <c r="I1447" s="2" t="s">
        <v>6</v>
      </c>
      <c r="J1447" s="2" t="s">
        <v>5</v>
      </c>
      <c r="K1447" s="2" t="s">
        <v>5</v>
      </c>
      <c r="L1447" s="2" t="s">
        <v>7</v>
      </c>
      <c r="M1447" s="1" t="s">
        <v>17281</v>
      </c>
      <c r="N1447" s="1" t="s">
        <v>6104</v>
      </c>
      <c r="O1447" s="2" t="s">
        <v>285</v>
      </c>
      <c r="Q1447" s="2" t="s">
        <v>11</v>
      </c>
      <c r="R1447" s="2" t="s">
        <v>78</v>
      </c>
      <c r="T1447" s="2" t="s">
        <v>520</v>
      </c>
      <c r="U1447" s="3">
        <v>7</v>
      </c>
      <c r="V1447" s="3">
        <v>7</v>
      </c>
      <c r="W1447" s="4" t="s">
        <v>14315</v>
      </c>
      <c r="X1447" s="4" t="s">
        <v>14315</v>
      </c>
      <c r="Y1447" s="4" t="s">
        <v>16284</v>
      </c>
      <c r="Z1447" s="4" t="s">
        <v>16284</v>
      </c>
      <c r="AA1447" s="3">
        <v>199</v>
      </c>
      <c r="AB1447" s="3">
        <v>173</v>
      </c>
      <c r="AC1447" s="3">
        <v>175</v>
      </c>
      <c r="AD1447" s="3">
        <v>3</v>
      </c>
      <c r="AE1447" s="3">
        <v>3</v>
      </c>
      <c r="AF1447" s="3">
        <v>8</v>
      </c>
      <c r="AG1447" s="3">
        <v>8</v>
      </c>
      <c r="AH1447" s="3">
        <v>1</v>
      </c>
      <c r="AI1447" s="3">
        <v>1</v>
      </c>
      <c r="AJ1447" s="3">
        <v>2</v>
      </c>
      <c r="AK1447" s="3">
        <v>2</v>
      </c>
      <c r="AL1447" s="3">
        <v>5</v>
      </c>
      <c r="AM1447" s="3">
        <v>5</v>
      </c>
      <c r="AN1447" s="3">
        <v>2</v>
      </c>
      <c r="AO1447" s="3">
        <v>2</v>
      </c>
      <c r="AP1447" s="3">
        <v>0</v>
      </c>
      <c r="AQ1447" s="3">
        <v>0</v>
      </c>
      <c r="AR1447" s="2" t="s">
        <v>5</v>
      </c>
      <c r="AS1447" s="2" t="s">
        <v>16</v>
      </c>
      <c r="AT1447" s="5" t="str">
        <f>HYPERLINK("http://catalog.hathitrust.org/Record/000686807","HathiTrust Record")</f>
        <v>HathiTrust Record</v>
      </c>
      <c r="AU1447" s="5" t="str">
        <f>HYPERLINK("https://creighton-primo.hosted.exlibrisgroup.com/primo-explore/search?tab=default_tab&amp;search_scope=EVERYTHING&amp;vid=01CRU&amp;lang=en_US&amp;offset=0&amp;query=any,contains,991000865379702656","Catalog Record")</f>
        <v>Catalog Record</v>
      </c>
      <c r="AV1447" s="5" t="str">
        <f>HYPERLINK("http://www.worldcat.org/oclc/4933464","WorldCat Record")</f>
        <v>WorldCat Record</v>
      </c>
      <c r="AW1447" s="2" t="s">
        <v>17282</v>
      </c>
      <c r="AX1447" s="2" t="s">
        <v>17283</v>
      </c>
      <c r="AY1447" s="2" t="s">
        <v>17284</v>
      </c>
      <c r="AZ1447" s="2" t="s">
        <v>17284</v>
      </c>
      <c r="BA1447" s="2" t="s">
        <v>17285</v>
      </c>
      <c r="BB1447" s="2" t="s">
        <v>21</v>
      </c>
      <c r="BD1447" s="2" t="s">
        <v>17286</v>
      </c>
      <c r="BE1447" s="2" t="s">
        <v>17287</v>
      </c>
      <c r="BF1447" s="2" t="s">
        <v>17288</v>
      </c>
    </row>
    <row r="1448" spans="1:58" ht="41.25" customHeight="1" x14ac:dyDescent="0.25">
      <c r="A1448" s="8" t="s">
        <v>5</v>
      </c>
      <c r="B1448" s="1" t="s">
        <v>0</v>
      </c>
      <c r="C1448" s="1" t="s">
        <v>1</v>
      </c>
      <c r="D1448" s="1" t="s">
        <v>17289</v>
      </c>
      <c r="E1448" s="1" t="s">
        <v>17290</v>
      </c>
      <c r="F1448" s="1" t="s">
        <v>17291</v>
      </c>
      <c r="H1448" s="2" t="s">
        <v>5</v>
      </c>
      <c r="I1448" s="2" t="s">
        <v>6</v>
      </c>
      <c r="J1448" s="2" t="s">
        <v>5</v>
      </c>
      <c r="K1448" s="2" t="s">
        <v>5</v>
      </c>
      <c r="L1448" s="2" t="s">
        <v>7</v>
      </c>
      <c r="N1448" s="1" t="s">
        <v>11771</v>
      </c>
      <c r="O1448" s="2" t="s">
        <v>794</v>
      </c>
      <c r="P1448" s="1" t="s">
        <v>17292</v>
      </c>
      <c r="Q1448" s="2" t="s">
        <v>11</v>
      </c>
      <c r="R1448" s="2" t="s">
        <v>31</v>
      </c>
      <c r="T1448" s="2" t="s">
        <v>520</v>
      </c>
      <c r="U1448" s="3">
        <v>7</v>
      </c>
      <c r="V1448" s="3">
        <v>7</v>
      </c>
      <c r="W1448" s="4" t="s">
        <v>1730</v>
      </c>
      <c r="X1448" s="4" t="s">
        <v>1730</v>
      </c>
      <c r="Y1448" s="4" t="s">
        <v>1367</v>
      </c>
      <c r="Z1448" s="4" t="s">
        <v>1367</v>
      </c>
      <c r="AA1448" s="3">
        <v>469</v>
      </c>
      <c r="AB1448" s="3">
        <v>386</v>
      </c>
      <c r="AC1448" s="3">
        <v>393</v>
      </c>
      <c r="AD1448" s="3">
        <v>3</v>
      </c>
      <c r="AE1448" s="3">
        <v>3</v>
      </c>
      <c r="AF1448" s="3">
        <v>13</v>
      </c>
      <c r="AG1448" s="3">
        <v>13</v>
      </c>
      <c r="AH1448" s="3">
        <v>5</v>
      </c>
      <c r="AI1448" s="3">
        <v>5</v>
      </c>
      <c r="AJ1448" s="3">
        <v>3</v>
      </c>
      <c r="AK1448" s="3">
        <v>3</v>
      </c>
      <c r="AL1448" s="3">
        <v>8</v>
      </c>
      <c r="AM1448" s="3">
        <v>8</v>
      </c>
      <c r="AN1448" s="3">
        <v>0</v>
      </c>
      <c r="AO1448" s="3">
        <v>0</v>
      </c>
      <c r="AP1448" s="3">
        <v>0</v>
      </c>
      <c r="AQ1448" s="3">
        <v>0</v>
      </c>
      <c r="AR1448" s="2" t="s">
        <v>5</v>
      </c>
      <c r="AS1448" s="2" t="s">
        <v>16</v>
      </c>
      <c r="AT1448" s="5" t="str">
        <f>HYPERLINK("http://catalog.hathitrust.org/Record/002999690","HathiTrust Record")</f>
        <v>HathiTrust Record</v>
      </c>
      <c r="AU1448" s="5" t="str">
        <f>HYPERLINK("https://creighton-primo.hosted.exlibrisgroup.com/primo-explore/search?tab=default_tab&amp;search_scope=EVERYTHING&amp;vid=01CRU&amp;lang=en_US&amp;offset=0&amp;query=any,contains,991000833359702656","Catalog Record")</f>
        <v>Catalog Record</v>
      </c>
      <c r="AV1448" s="5" t="str">
        <f>HYPERLINK("http://www.worldcat.org/oclc/32590775","WorldCat Record")</f>
        <v>WorldCat Record</v>
      </c>
      <c r="AW1448" s="2" t="s">
        <v>17293</v>
      </c>
      <c r="AX1448" s="2" t="s">
        <v>17294</v>
      </c>
      <c r="AY1448" s="2" t="s">
        <v>17295</v>
      </c>
      <c r="AZ1448" s="2" t="s">
        <v>17295</v>
      </c>
      <c r="BA1448" s="2" t="s">
        <v>17296</v>
      </c>
      <c r="BB1448" s="2" t="s">
        <v>21</v>
      </c>
      <c r="BD1448" s="2" t="s">
        <v>17297</v>
      </c>
      <c r="BE1448" s="2" t="s">
        <v>17298</v>
      </c>
      <c r="BF1448" s="2" t="s">
        <v>17299</v>
      </c>
    </row>
    <row r="1449" spans="1:58" ht="41.25" customHeight="1" x14ac:dyDescent="0.25">
      <c r="A1449" s="8" t="s">
        <v>5</v>
      </c>
      <c r="B1449" s="1" t="s">
        <v>0</v>
      </c>
      <c r="C1449" s="1" t="s">
        <v>1</v>
      </c>
      <c r="D1449" s="1" t="s">
        <v>17300</v>
      </c>
      <c r="E1449" s="1" t="s">
        <v>17301</v>
      </c>
      <c r="F1449" s="1" t="s">
        <v>17302</v>
      </c>
      <c r="H1449" s="2" t="s">
        <v>5</v>
      </c>
      <c r="I1449" s="2" t="s">
        <v>6</v>
      </c>
      <c r="J1449" s="2" t="s">
        <v>5</v>
      </c>
      <c r="K1449" s="2" t="s">
        <v>5</v>
      </c>
      <c r="L1449" s="2" t="s">
        <v>7</v>
      </c>
      <c r="M1449" s="1" t="s">
        <v>17303</v>
      </c>
      <c r="N1449" s="1" t="s">
        <v>17304</v>
      </c>
      <c r="O1449" s="2" t="s">
        <v>382</v>
      </c>
      <c r="Q1449" s="2" t="s">
        <v>11</v>
      </c>
      <c r="R1449" s="2" t="s">
        <v>78</v>
      </c>
      <c r="T1449" s="2" t="s">
        <v>520</v>
      </c>
      <c r="U1449" s="3">
        <v>5</v>
      </c>
      <c r="V1449" s="3">
        <v>5</v>
      </c>
      <c r="W1449" s="4" t="s">
        <v>17305</v>
      </c>
      <c r="X1449" s="4" t="s">
        <v>17305</v>
      </c>
      <c r="Y1449" s="4" t="s">
        <v>14808</v>
      </c>
      <c r="Z1449" s="4" t="s">
        <v>14808</v>
      </c>
      <c r="AA1449" s="3">
        <v>50</v>
      </c>
      <c r="AB1449" s="3">
        <v>43</v>
      </c>
      <c r="AC1449" s="3">
        <v>48</v>
      </c>
      <c r="AD1449" s="3">
        <v>1</v>
      </c>
      <c r="AE1449" s="3">
        <v>1</v>
      </c>
      <c r="AF1449" s="3">
        <v>2</v>
      </c>
      <c r="AG1449" s="3">
        <v>2</v>
      </c>
      <c r="AH1449" s="3">
        <v>1</v>
      </c>
      <c r="AI1449" s="3">
        <v>1</v>
      </c>
      <c r="AJ1449" s="3">
        <v>1</v>
      </c>
      <c r="AK1449" s="3">
        <v>1</v>
      </c>
      <c r="AL1449" s="3">
        <v>1</v>
      </c>
      <c r="AM1449" s="3">
        <v>1</v>
      </c>
      <c r="AN1449" s="3">
        <v>0</v>
      </c>
      <c r="AO1449" s="3">
        <v>0</v>
      </c>
      <c r="AP1449" s="3">
        <v>0</v>
      </c>
      <c r="AQ1449" s="3">
        <v>0</v>
      </c>
      <c r="AR1449" s="2" t="s">
        <v>5</v>
      </c>
      <c r="AS1449" s="2" t="s">
        <v>5</v>
      </c>
      <c r="AU1449" s="5" t="str">
        <f>HYPERLINK("https://creighton-primo.hosted.exlibrisgroup.com/primo-explore/search?tab=default_tab&amp;search_scope=EVERYTHING&amp;vid=01CRU&amp;lang=en_US&amp;offset=0&amp;query=any,contains,991000734049702656","Catalog Record")</f>
        <v>Catalog Record</v>
      </c>
      <c r="AV1449" s="5" t="str">
        <f>HYPERLINK("http://www.worldcat.org/oclc/13062108","WorldCat Record")</f>
        <v>WorldCat Record</v>
      </c>
      <c r="AW1449" s="2" t="s">
        <v>17306</v>
      </c>
      <c r="AX1449" s="2" t="s">
        <v>17307</v>
      </c>
      <c r="AY1449" s="2" t="s">
        <v>17308</v>
      </c>
      <c r="AZ1449" s="2" t="s">
        <v>17308</v>
      </c>
      <c r="BA1449" s="2" t="s">
        <v>17309</v>
      </c>
      <c r="BB1449" s="2" t="s">
        <v>21</v>
      </c>
      <c r="BE1449" s="2" t="s">
        <v>17310</v>
      </c>
      <c r="BF1449" s="2" t="s">
        <v>17311</v>
      </c>
    </row>
    <row r="1450" spans="1:58" ht="41.25" customHeight="1" x14ac:dyDescent="0.25">
      <c r="A1450" s="8" t="s">
        <v>5</v>
      </c>
      <c r="B1450" s="1" t="s">
        <v>0</v>
      </c>
      <c r="C1450" s="1" t="s">
        <v>1</v>
      </c>
      <c r="D1450" s="1" t="s">
        <v>17312</v>
      </c>
      <c r="E1450" s="1" t="s">
        <v>17313</v>
      </c>
      <c r="F1450" s="1" t="s">
        <v>17314</v>
      </c>
      <c r="H1450" s="2" t="s">
        <v>5</v>
      </c>
      <c r="I1450" s="2" t="s">
        <v>6</v>
      </c>
      <c r="J1450" s="2" t="s">
        <v>5</v>
      </c>
      <c r="K1450" s="2" t="s">
        <v>5</v>
      </c>
      <c r="L1450" s="2" t="s">
        <v>7</v>
      </c>
      <c r="M1450" s="1" t="s">
        <v>17315</v>
      </c>
      <c r="N1450" s="1" t="s">
        <v>17316</v>
      </c>
      <c r="O1450" s="2" t="s">
        <v>92</v>
      </c>
      <c r="P1450" s="1" t="s">
        <v>211</v>
      </c>
      <c r="Q1450" s="2" t="s">
        <v>11</v>
      </c>
      <c r="R1450" s="2" t="s">
        <v>31</v>
      </c>
      <c r="T1450" s="2" t="s">
        <v>520</v>
      </c>
      <c r="U1450" s="3">
        <v>3</v>
      </c>
      <c r="V1450" s="3">
        <v>3</v>
      </c>
      <c r="W1450" s="4" t="s">
        <v>17317</v>
      </c>
      <c r="X1450" s="4" t="s">
        <v>17317</v>
      </c>
      <c r="Y1450" s="4" t="s">
        <v>15369</v>
      </c>
      <c r="Z1450" s="4" t="s">
        <v>15369</v>
      </c>
      <c r="AA1450" s="3">
        <v>136</v>
      </c>
      <c r="AB1450" s="3">
        <v>99</v>
      </c>
      <c r="AC1450" s="3">
        <v>101</v>
      </c>
      <c r="AD1450" s="3">
        <v>3</v>
      </c>
      <c r="AE1450" s="3">
        <v>3</v>
      </c>
      <c r="AF1450" s="3">
        <v>6</v>
      </c>
      <c r="AG1450" s="3">
        <v>6</v>
      </c>
      <c r="AH1450" s="3">
        <v>1</v>
      </c>
      <c r="AI1450" s="3">
        <v>1</v>
      </c>
      <c r="AJ1450" s="3">
        <v>1</v>
      </c>
      <c r="AK1450" s="3">
        <v>1</v>
      </c>
      <c r="AL1450" s="3">
        <v>3</v>
      </c>
      <c r="AM1450" s="3">
        <v>3</v>
      </c>
      <c r="AN1450" s="3">
        <v>2</v>
      </c>
      <c r="AO1450" s="3">
        <v>2</v>
      </c>
      <c r="AP1450" s="3">
        <v>0</v>
      </c>
      <c r="AQ1450" s="3">
        <v>0</v>
      </c>
      <c r="AR1450" s="2" t="s">
        <v>5</v>
      </c>
      <c r="AS1450" s="2" t="s">
        <v>16</v>
      </c>
      <c r="AT1450" s="5" t="str">
        <f>HYPERLINK("http://catalog.hathitrust.org/Record/000705016","HathiTrust Record")</f>
        <v>HathiTrust Record</v>
      </c>
      <c r="AU1450" s="5" t="str">
        <f>HYPERLINK("https://creighton-primo.hosted.exlibrisgroup.com/primo-explore/search?tab=default_tab&amp;search_scope=EVERYTHING&amp;vid=01CRU&amp;lang=en_US&amp;offset=0&amp;query=any,contains,991000865409702656","Catalog Record")</f>
        <v>Catalog Record</v>
      </c>
      <c r="AV1450" s="5" t="str">
        <f>HYPERLINK("http://www.worldcat.org/oclc/2075993","WorldCat Record")</f>
        <v>WorldCat Record</v>
      </c>
      <c r="AW1450" s="2" t="s">
        <v>17318</v>
      </c>
      <c r="AX1450" s="2" t="s">
        <v>17319</v>
      </c>
      <c r="AY1450" s="2" t="s">
        <v>17320</v>
      </c>
      <c r="AZ1450" s="2" t="s">
        <v>17320</v>
      </c>
      <c r="BA1450" s="2" t="s">
        <v>17321</v>
      </c>
      <c r="BB1450" s="2" t="s">
        <v>21</v>
      </c>
      <c r="BD1450" s="2" t="s">
        <v>17322</v>
      </c>
      <c r="BE1450" s="2" t="s">
        <v>17323</v>
      </c>
      <c r="BF1450" s="2" t="s">
        <v>17324</v>
      </c>
    </row>
    <row r="1451" spans="1:58" ht="41.25" customHeight="1" x14ac:dyDescent="0.25">
      <c r="A1451" s="8" t="s">
        <v>5</v>
      </c>
      <c r="B1451" s="1" t="s">
        <v>0</v>
      </c>
      <c r="C1451" s="1" t="s">
        <v>1</v>
      </c>
      <c r="D1451" s="1" t="s">
        <v>17325</v>
      </c>
      <c r="E1451" s="1" t="s">
        <v>17326</v>
      </c>
      <c r="F1451" s="1" t="s">
        <v>17327</v>
      </c>
      <c r="H1451" s="2" t="s">
        <v>5</v>
      </c>
      <c r="I1451" s="2" t="s">
        <v>6</v>
      </c>
      <c r="J1451" s="2" t="s">
        <v>5</v>
      </c>
      <c r="K1451" s="2" t="s">
        <v>5</v>
      </c>
      <c r="L1451" s="2" t="s">
        <v>7</v>
      </c>
      <c r="M1451" s="1" t="s">
        <v>17328</v>
      </c>
      <c r="N1451" s="1" t="s">
        <v>17329</v>
      </c>
      <c r="O1451" s="2" t="s">
        <v>4990</v>
      </c>
      <c r="Q1451" s="2" t="s">
        <v>11</v>
      </c>
      <c r="R1451" s="2" t="s">
        <v>1427</v>
      </c>
      <c r="T1451" s="2" t="s">
        <v>520</v>
      </c>
      <c r="U1451" s="3">
        <v>1</v>
      </c>
      <c r="V1451" s="3">
        <v>1</v>
      </c>
      <c r="W1451" s="4" t="s">
        <v>17330</v>
      </c>
      <c r="X1451" s="4" t="s">
        <v>17330</v>
      </c>
      <c r="Y1451" s="4" t="s">
        <v>17331</v>
      </c>
      <c r="Z1451" s="4" t="s">
        <v>17331</v>
      </c>
      <c r="AA1451" s="3">
        <v>112</v>
      </c>
      <c r="AB1451" s="3">
        <v>50</v>
      </c>
      <c r="AC1451" s="3">
        <v>52</v>
      </c>
      <c r="AD1451" s="3">
        <v>1</v>
      </c>
      <c r="AE1451" s="3">
        <v>1</v>
      </c>
      <c r="AF1451" s="3">
        <v>2</v>
      </c>
      <c r="AG1451" s="3">
        <v>2</v>
      </c>
      <c r="AH1451" s="3">
        <v>0</v>
      </c>
      <c r="AI1451" s="3">
        <v>0</v>
      </c>
      <c r="AJ1451" s="3">
        <v>0</v>
      </c>
      <c r="AK1451" s="3">
        <v>0</v>
      </c>
      <c r="AL1451" s="3">
        <v>2</v>
      </c>
      <c r="AM1451" s="3">
        <v>2</v>
      </c>
      <c r="AN1451" s="3">
        <v>0</v>
      </c>
      <c r="AO1451" s="3">
        <v>0</v>
      </c>
      <c r="AP1451" s="3">
        <v>0</v>
      </c>
      <c r="AQ1451" s="3">
        <v>0</v>
      </c>
      <c r="AR1451" s="2" t="s">
        <v>5</v>
      </c>
      <c r="AS1451" s="2" t="s">
        <v>16</v>
      </c>
      <c r="AT1451" s="5" t="str">
        <f>HYPERLINK("http://catalog.hathitrust.org/Record/004270178","HathiTrust Record")</f>
        <v>HathiTrust Record</v>
      </c>
      <c r="AU1451" s="5" t="str">
        <f>HYPERLINK("https://creighton-primo.hosted.exlibrisgroup.com/primo-explore/search?tab=default_tab&amp;search_scope=EVERYTHING&amp;vid=01CRU&amp;lang=en_US&amp;offset=0&amp;query=any,contains,991000382909702656","Catalog Record")</f>
        <v>Catalog Record</v>
      </c>
      <c r="AV1451" s="5" t="str">
        <f>HYPERLINK("http://www.worldcat.org/oclc/48361997","WorldCat Record")</f>
        <v>WorldCat Record</v>
      </c>
      <c r="AW1451" s="2" t="s">
        <v>17332</v>
      </c>
      <c r="AX1451" s="2" t="s">
        <v>17333</v>
      </c>
      <c r="AY1451" s="2" t="s">
        <v>17334</v>
      </c>
      <c r="AZ1451" s="2" t="s">
        <v>17334</v>
      </c>
      <c r="BA1451" s="2" t="s">
        <v>17335</v>
      </c>
      <c r="BB1451" s="2" t="s">
        <v>21</v>
      </c>
      <c r="BD1451" s="2" t="s">
        <v>17336</v>
      </c>
      <c r="BE1451" s="2" t="s">
        <v>17337</v>
      </c>
      <c r="BF1451" s="2" t="s">
        <v>17338</v>
      </c>
    </row>
    <row r="1452" spans="1:58" ht="41.25" customHeight="1" x14ac:dyDescent="0.25">
      <c r="A1452" s="8" t="s">
        <v>5</v>
      </c>
      <c r="B1452" s="1" t="s">
        <v>0</v>
      </c>
      <c r="C1452" s="1" t="s">
        <v>1</v>
      </c>
      <c r="D1452" s="1" t="s">
        <v>17339</v>
      </c>
      <c r="E1452" s="1" t="s">
        <v>17340</v>
      </c>
      <c r="F1452" s="1" t="s">
        <v>17341</v>
      </c>
      <c r="H1452" s="2" t="s">
        <v>5</v>
      </c>
      <c r="I1452" s="2" t="s">
        <v>6</v>
      </c>
      <c r="J1452" s="2" t="s">
        <v>5</v>
      </c>
      <c r="K1452" s="2" t="s">
        <v>5</v>
      </c>
      <c r="L1452" s="2" t="s">
        <v>7</v>
      </c>
      <c r="M1452" s="1" t="s">
        <v>17342</v>
      </c>
      <c r="N1452" s="1" t="s">
        <v>17343</v>
      </c>
      <c r="O1452" s="2" t="s">
        <v>151</v>
      </c>
      <c r="Q1452" s="2" t="s">
        <v>11</v>
      </c>
      <c r="R1452" s="2" t="s">
        <v>31</v>
      </c>
      <c r="T1452" s="2" t="s">
        <v>520</v>
      </c>
      <c r="U1452" s="3">
        <v>3</v>
      </c>
      <c r="V1452" s="3">
        <v>3</v>
      </c>
      <c r="W1452" s="4" t="s">
        <v>17344</v>
      </c>
      <c r="X1452" s="4" t="s">
        <v>17344</v>
      </c>
      <c r="Y1452" s="4" t="s">
        <v>49</v>
      </c>
      <c r="Z1452" s="4" t="s">
        <v>49</v>
      </c>
      <c r="AA1452" s="3">
        <v>214</v>
      </c>
      <c r="AB1452" s="3">
        <v>175</v>
      </c>
      <c r="AC1452" s="3">
        <v>177</v>
      </c>
      <c r="AD1452" s="3">
        <v>3</v>
      </c>
      <c r="AE1452" s="3">
        <v>3</v>
      </c>
      <c r="AF1452" s="3">
        <v>7</v>
      </c>
      <c r="AG1452" s="3">
        <v>7</v>
      </c>
      <c r="AH1452" s="3">
        <v>1</v>
      </c>
      <c r="AI1452" s="3">
        <v>1</v>
      </c>
      <c r="AJ1452" s="3">
        <v>2</v>
      </c>
      <c r="AK1452" s="3">
        <v>2</v>
      </c>
      <c r="AL1452" s="3">
        <v>3</v>
      </c>
      <c r="AM1452" s="3">
        <v>3</v>
      </c>
      <c r="AN1452" s="3">
        <v>2</v>
      </c>
      <c r="AO1452" s="3">
        <v>2</v>
      </c>
      <c r="AP1452" s="3">
        <v>0</v>
      </c>
      <c r="AQ1452" s="3">
        <v>0</v>
      </c>
      <c r="AR1452" s="2" t="s">
        <v>5</v>
      </c>
      <c r="AS1452" s="2" t="s">
        <v>16</v>
      </c>
      <c r="AT1452" s="5" t="str">
        <f>HYPERLINK("http://catalog.hathitrust.org/Record/000018482","HathiTrust Record")</f>
        <v>HathiTrust Record</v>
      </c>
      <c r="AU1452" s="5" t="str">
        <f>HYPERLINK("https://creighton-primo.hosted.exlibrisgroup.com/primo-explore/search?tab=default_tab&amp;search_scope=EVERYTHING&amp;vid=01CRU&amp;lang=en_US&amp;offset=0&amp;query=any,contains,991000865529702656","Catalog Record")</f>
        <v>Catalog Record</v>
      </c>
      <c r="AV1452" s="5" t="str">
        <f>HYPERLINK("http://www.worldcat.org/oclc/1207308","WorldCat Record")</f>
        <v>WorldCat Record</v>
      </c>
      <c r="AW1452" s="2" t="s">
        <v>17345</v>
      </c>
      <c r="AX1452" s="2" t="s">
        <v>17346</v>
      </c>
      <c r="AY1452" s="2" t="s">
        <v>17347</v>
      </c>
      <c r="AZ1452" s="2" t="s">
        <v>17347</v>
      </c>
      <c r="BA1452" s="2" t="s">
        <v>17348</v>
      </c>
      <c r="BB1452" s="2" t="s">
        <v>21</v>
      </c>
      <c r="BD1452" s="2" t="s">
        <v>17349</v>
      </c>
      <c r="BE1452" s="2" t="s">
        <v>17350</v>
      </c>
      <c r="BF1452" s="2" t="s">
        <v>17351</v>
      </c>
    </row>
    <row r="1453" spans="1:58" ht="41.25" customHeight="1" x14ac:dyDescent="0.25">
      <c r="A1453" s="8" t="s">
        <v>5</v>
      </c>
      <c r="B1453" s="1" t="s">
        <v>0</v>
      </c>
      <c r="C1453" s="1" t="s">
        <v>1</v>
      </c>
      <c r="D1453" s="1" t="s">
        <v>17352</v>
      </c>
      <c r="E1453" s="1" t="s">
        <v>17353</v>
      </c>
      <c r="F1453" s="1" t="s">
        <v>17354</v>
      </c>
      <c r="H1453" s="2" t="s">
        <v>5</v>
      </c>
      <c r="I1453" s="2" t="s">
        <v>6</v>
      </c>
      <c r="J1453" s="2" t="s">
        <v>5</v>
      </c>
      <c r="K1453" s="2" t="s">
        <v>5</v>
      </c>
      <c r="L1453" s="2" t="s">
        <v>7</v>
      </c>
      <c r="M1453" s="1" t="s">
        <v>17355</v>
      </c>
      <c r="N1453" s="1" t="s">
        <v>9120</v>
      </c>
      <c r="O1453" s="2" t="s">
        <v>393</v>
      </c>
      <c r="Q1453" s="2" t="s">
        <v>11</v>
      </c>
      <c r="R1453" s="2" t="s">
        <v>426</v>
      </c>
      <c r="T1453" s="2" t="s">
        <v>520</v>
      </c>
      <c r="U1453" s="3">
        <v>4</v>
      </c>
      <c r="V1453" s="3">
        <v>4</v>
      </c>
      <c r="W1453" s="4" t="s">
        <v>17356</v>
      </c>
      <c r="X1453" s="4" t="s">
        <v>17356</v>
      </c>
      <c r="Y1453" s="4" t="s">
        <v>16284</v>
      </c>
      <c r="Z1453" s="4" t="s">
        <v>16284</v>
      </c>
      <c r="AA1453" s="3">
        <v>162</v>
      </c>
      <c r="AB1453" s="3">
        <v>133</v>
      </c>
      <c r="AC1453" s="3">
        <v>135</v>
      </c>
      <c r="AD1453" s="3">
        <v>1</v>
      </c>
      <c r="AE1453" s="3">
        <v>1</v>
      </c>
      <c r="AF1453" s="3">
        <v>7</v>
      </c>
      <c r="AG1453" s="3">
        <v>7</v>
      </c>
      <c r="AH1453" s="3">
        <v>3</v>
      </c>
      <c r="AI1453" s="3">
        <v>3</v>
      </c>
      <c r="AJ1453" s="3">
        <v>2</v>
      </c>
      <c r="AK1453" s="3">
        <v>2</v>
      </c>
      <c r="AL1453" s="3">
        <v>6</v>
      </c>
      <c r="AM1453" s="3">
        <v>6</v>
      </c>
      <c r="AN1453" s="3">
        <v>0</v>
      </c>
      <c r="AO1453" s="3">
        <v>0</v>
      </c>
      <c r="AP1453" s="3">
        <v>0</v>
      </c>
      <c r="AQ1453" s="3">
        <v>0</v>
      </c>
      <c r="AR1453" s="2" t="s">
        <v>5</v>
      </c>
      <c r="AS1453" s="2" t="s">
        <v>16</v>
      </c>
      <c r="AT1453" s="5" t="str">
        <f>HYPERLINK("http://catalog.hathitrust.org/Record/000267317","HathiTrust Record")</f>
        <v>HathiTrust Record</v>
      </c>
      <c r="AU1453" s="5" t="str">
        <f>HYPERLINK("https://creighton-primo.hosted.exlibrisgroup.com/primo-explore/search?tab=default_tab&amp;search_scope=EVERYTHING&amp;vid=01CRU&amp;lang=en_US&amp;offset=0&amp;query=any,contains,991000865629702656","Catalog Record")</f>
        <v>Catalog Record</v>
      </c>
      <c r="AV1453" s="5" t="str">
        <f>HYPERLINK("http://www.worldcat.org/oclc/6943158","WorldCat Record")</f>
        <v>WorldCat Record</v>
      </c>
      <c r="AW1453" s="2" t="s">
        <v>17357</v>
      </c>
      <c r="AX1453" s="2" t="s">
        <v>17358</v>
      </c>
      <c r="AY1453" s="2" t="s">
        <v>17359</v>
      </c>
      <c r="AZ1453" s="2" t="s">
        <v>17359</v>
      </c>
      <c r="BA1453" s="2" t="s">
        <v>17360</v>
      </c>
      <c r="BB1453" s="2" t="s">
        <v>21</v>
      </c>
      <c r="BD1453" s="2" t="s">
        <v>17361</v>
      </c>
      <c r="BE1453" s="2" t="s">
        <v>17362</v>
      </c>
      <c r="BF1453" s="2" t="s">
        <v>17363</v>
      </c>
    </row>
    <row r="1454" spans="1:58" ht="41.25" customHeight="1" x14ac:dyDescent="0.25">
      <c r="A1454" s="8" t="s">
        <v>5</v>
      </c>
      <c r="B1454" s="1" t="s">
        <v>0</v>
      </c>
      <c r="C1454" s="1" t="s">
        <v>1</v>
      </c>
      <c r="D1454" s="1" t="s">
        <v>17364</v>
      </c>
      <c r="E1454" s="1" t="s">
        <v>17365</v>
      </c>
      <c r="F1454" s="1" t="s">
        <v>17366</v>
      </c>
      <c r="H1454" s="2" t="s">
        <v>5</v>
      </c>
      <c r="I1454" s="2" t="s">
        <v>6</v>
      </c>
      <c r="J1454" s="2" t="s">
        <v>5</v>
      </c>
      <c r="K1454" s="2" t="s">
        <v>5</v>
      </c>
      <c r="L1454" s="2" t="s">
        <v>7</v>
      </c>
      <c r="N1454" s="1" t="s">
        <v>12988</v>
      </c>
      <c r="O1454" s="2" t="s">
        <v>734</v>
      </c>
      <c r="Q1454" s="2" t="s">
        <v>11</v>
      </c>
      <c r="R1454" s="2" t="s">
        <v>426</v>
      </c>
      <c r="T1454" s="2" t="s">
        <v>520</v>
      </c>
      <c r="U1454" s="3">
        <v>6</v>
      </c>
      <c r="V1454" s="3">
        <v>6</v>
      </c>
      <c r="W1454" s="4" t="s">
        <v>17367</v>
      </c>
      <c r="X1454" s="4" t="s">
        <v>17367</v>
      </c>
      <c r="Y1454" s="4" t="s">
        <v>16284</v>
      </c>
      <c r="Z1454" s="4" t="s">
        <v>16284</v>
      </c>
      <c r="AA1454" s="3">
        <v>155</v>
      </c>
      <c r="AB1454" s="3">
        <v>140</v>
      </c>
      <c r="AC1454" s="3">
        <v>142</v>
      </c>
      <c r="AD1454" s="3">
        <v>1</v>
      </c>
      <c r="AE1454" s="3">
        <v>1</v>
      </c>
      <c r="AF1454" s="3">
        <v>5</v>
      </c>
      <c r="AG1454" s="3">
        <v>5</v>
      </c>
      <c r="AH1454" s="3">
        <v>2</v>
      </c>
      <c r="AI1454" s="3">
        <v>2</v>
      </c>
      <c r="AJ1454" s="3">
        <v>1</v>
      </c>
      <c r="AK1454" s="3">
        <v>1</v>
      </c>
      <c r="AL1454" s="3">
        <v>4</v>
      </c>
      <c r="AM1454" s="3">
        <v>4</v>
      </c>
      <c r="AN1454" s="3">
        <v>0</v>
      </c>
      <c r="AO1454" s="3">
        <v>0</v>
      </c>
      <c r="AP1454" s="3">
        <v>0</v>
      </c>
      <c r="AQ1454" s="3">
        <v>0</v>
      </c>
      <c r="AR1454" s="2" t="s">
        <v>5</v>
      </c>
      <c r="AS1454" s="2" t="s">
        <v>16</v>
      </c>
      <c r="AT1454" s="5" t="str">
        <f>HYPERLINK("http://catalog.hathitrust.org/Record/000322173","HathiTrust Record")</f>
        <v>HathiTrust Record</v>
      </c>
      <c r="AU1454" s="5" t="str">
        <f>HYPERLINK("https://creighton-primo.hosted.exlibrisgroup.com/primo-explore/search?tab=default_tab&amp;search_scope=EVERYTHING&amp;vid=01CRU&amp;lang=en_US&amp;offset=0&amp;query=any,contains,991000865669702656","Catalog Record")</f>
        <v>Catalog Record</v>
      </c>
      <c r="AV1454" s="5" t="str">
        <f>HYPERLINK("http://www.worldcat.org/oclc/9197744","WorldCat Record")</f>
        <v>WorldCat Record</v>
      </c>
      <c r="AW1454" s="2" t="s">
        <v>17368</v>
      </c>
      <c r="AX1454" s="2" t="s">
        <v>17369</v>
      </c>
      <c r="AY1454" s="2" t="s">
        <v>17370</v>
      </c>
      <c r="AZ1454" s="2" t="s">
        <v>17370</v>
      </c>
      <c r="BA1454" s="2" t="s">
        <v>17371</v>
      </c>
      <c r="BB1454" s="2" t="s">
        <v>21</v>
      </c>
      <c r="BD1454" s="2" t="s">
        <v>17372</v>
      </c>
      <c r="BE1454" s="2" t="s">
        <v>17373</v>
      </c>
      <c r="BF1454" s="2" t="s">
        <v>17374</v>
      </c>
    </row>
    <row r="1455" spans="1:58" ht="41.25" customHeight="1" x14ac:dyDescent="0.25">
      <c r="A1455" s="8" t="s">
        <v>5</v>
      </c>
      <c r="B1455" s="1" t="s">
        <v>0</v>
      </c>
      <c r="C1455" s="1" t="s">
        <v>1</v>
      </c>
      <c r="D1455" s="1" t="s">
        <v>17375</v>
      </c>
      <c r="E1455" s="1" t="s">
        <v>17376</v>
      </c>
      <c r="F1455" s="1" t="s">
        <v>17377</v>
      </c>
      <c r="H1455" s="2" t="s">
        <v>5</v>
      </c>
      <c r="I1455" s="2" t="s">
        <v>6</v>
      </c>
      <c r="J1455" s="2" t="s">
        <v>5</v>
      </c>
      <c r="K1455" s="2" t="s">
        <v>5</v>
      </c>
      <c r="L1455" s="2" t="s">
        <v>7</v>
      </c>
      <c r="N1455" s="1" t="s">
        <v>17378</v>
      </c>
      <c r="O1455" s="2" t="s">
        <v>888</v>
      </c>
      <c r="Q1455" s="2" t="s">
        <v>11</v>
      </c>
      <c r="R1455" s="2" t="s">
        <v>426</v>
      </c>
      <c r="T1455" s="2" t="s">
        <v>520</v>
      </c>
      <c r="U1455" s="3">
        <v>6</v>
      </c>
      <c r="V1455" s="3">
        <v>6</v>
      </c>
      <c r="W1455" s="4" t="s">
        <v>17379</v>
      </c>
      <c r="X1455" s="4" t="s">
        <v>17379</v>
      </c>
      <c r="Y1455" s="4" t="s">
        <v>15</v>
      </c>
      <c r="Z1455" s="4" t="s">
        <v>15</v>
      </c>
      <c r="AA1455" s="3">
        <v>196</v>
      </c>
      <c r="AB1455" s="3">
        <v>168</v>
      </c>
      <c r="AC1455" s="3">
        <v>175</v>
      </c>
      <c r="AD1455" s="3">
        <v>2</v>
      </c>
      <c r="AE1455" s="3">
        <v>2</v>
      </c>
      <c r="AF1455" s="3">
        <v>7</v>
      </c>
      <c r="AG1455" s="3">
        <v>7</v>
      </c>
      <c r="AH1455" s="3">
        <v>2</v>
      </c>
      <c r="AI1455" s="3">
        <v>2</v>
      </c>
      <c r="AJ1455" s="3">
        <v>2</v>
      </c>
      <c r="AK1455" s="3">
        <v>2</v>
      </c>
      <c r="AL1455" s="3">
        <v>5</v>
      </c>
      <c r="AM1455" s="3">
        <v>5</v>
      </c>
      <c r="AN1455" s="3">
        <v>1</v>
      </c>
      <c r="AO1455" s="3">
        <v>1</v>
      </c>
      <c r="AP1455" s="3">
        <v>0</v>
      </c>
      <c r="AQ1455" s="3">
        <v>0</v>
      </c>
      <c r="AR1455" s="2" t="s">
        <v>5</v>
      </c>
      <c r="AS1455" s="2" t="s">
        <v>16</v>
      </c>
      <c r="AT1455" s="5" t="str">
        <f>HYPERLINK("http://catalog.hathitrust.org/Record/000123304","HathiTrust Record")</f>
        <v>HathiTrust Record</v>
      </c>
      <c r="AU1455" s="5" t="str">
        <f>HYPERLINK("https://creighton-primo.hosted.exlibrisgroup.com/primo-explore/search?tab=default_tab&amp;search_scope=EVERYTHING&amp;vid=01CRU&amp;lang=en_US&amp;offset=0&amp;query=any,contains,991000865809702656","Catalog Record")</f>
        <v>Catalog Record</v>
      </c>
      <c r="AV1455" s="5" t="str">
        <f>HYPERLINK("http://www.worldcat.org/oclc/9683454","WorldCat Record")</f>
        <v>WorldCat Record</v>
      </c>
      <c r="AW1455" s="2" t="s">
        <v>17380</v>
      </c>
      <c r="AX1455" s="2" t="s">
        <v>17381</v>
      </c>
      <c r="AY1455" s="2" t="s">
        <v>17382</v>
      </c>
      <c r="AZ1455" s="2" t="s">
        <v>17382</v>
      </c>
      <c r="BA1455" s="2" t="s">
        <v>17383</v>
      </c>
      <c r="BB1455" s="2" t="s">
        <v>21</v>
      </c>
      <c r="BD1455" s="2" t="s">
        <v>17384</v>
      </c>
      <c r="BE1455" s="2" t="s">
        <v>17385</v>
      </c>
      <c r="BF1455" s="2" t="s">
        <v>17386</v>
      </c>
    </row>
    <row r="1456" spans="1:58" ht="41.25" customHeight="1" x14ac:dyDescent="0.25">
      <c r="A1456" s="8" t="s">
        <v>5</v>
      </c>
      <c r="B1456" s="1" t="s">
        <v>0</v>
      </c>
      <c r="C1456" s="1" t="s">
        <v>1</v>
      </c>
      <c r="D1456" s="1" t="s">
        <v>17387</v>
      </c>
      <c r="E1456" s="1" t="s">
        <v>17388</v>
      </c>
      <c r="F1456" s="1" t="s">
        <v>17389</v>
      </c>
      <c r="H1456" s="2" t="s">
        <v>5</v>
      </c>
      <c r="I1456" s="2" t="s">
        <v>6</v>
      </c>
      <c r="J1456" s="2" t="s">
        <v>5</v>
      </c>
      <c r="K1456" s="2" t="s">
        <v>5</v>
      </c>
      <c r="L1456" s="2" t="s">
        <v>7</v>
      </c>
      <c r="M1456" s="1" t="s">
        <v>17390</v>
      </c>
      <c r="N1456" s="1" t="s">
        <v>17391</v>
      </c>
      <c r="O1456" s="2" t="s">
        <v>1391</v>
      </c>
      <c r="Q1456" s="2" t="s">
        <v>11</v>
      </c>
      <c r="R1456" s="2" t="s">
        <v>1325</v>
      </c>
      <c r="S1456" s="1" t="s">
        <v>17392</v>
      </c>
      <c r="T1456" s="2" t="s">
        <v>520</v>
      </c>
      <c r="U1456" s="3">
        <v>2</v>
      </c>
      <c r="V1456" s="3">
        <v>2</v>
      </c>
      <c r="W1456" s="4" t="s">
        <v>17393</v>
      </c>
      <c r="X1456" s="4" t="s">
        <v>17393</v>
      </c>
      <c r="Y1456" s="4" t="s">
        <v>11430</v>
      </c>
      <c r="Z1456" s="4" t="s">
        <v>11430</v>
      </c>
      <c r="AA1456" s="3">
        <v>232</v>
      </c>
      <c r="AB1456" s="3">
        <v>224</v>
      </c>
      <c r="AC1456" s="3">
        <v>238</v>
      </c>
      <c r="AD1456" s="3">
        <v>1</v>
      </c>
      <c r="AE1456" s="3">
        <v>1</v>
      </c>
      <c r="AF1456" s="3">
        <v>9</v>
      </c>
      <c r="AG1456" s="3">
        <v>9</v>
      </c>
      <c r="AH1456" s="3">
        <v>2</v>
      </c>
      <c r="AI1456" s="3">
        <v>2</v>
      </c>
      <c r="AJ1456" s="3">
        <v>2</v>
      </c>
      <c r="AK1456" s="3">
        <v>2</v>
      </c>
      <c r="AL1456" s="3">
        <v>7</v>
      </c>
      <c r="AM1456" s="3">
        <v>7</v>
      </c>
      <c r="AN1456" s="3">
        <v>0</v>
      </c>
      <c r="AO1456" s="3">
        <v>0</v>
      </c>
      <c r="AP1456" s="3">
        <v>0</v>
      </c>
      <c r="AQ1456" s="3">
        <v>0</v>
      </c>
      <c r="AR1456" s="2" t="s">
        <v>5</v>
      </c>
      <c r="AS1456" s="2" t="s">
        <v>16</v>
      </c>
      <c r="AT1456" s="5" t="str">
        <f>HYPERLINK("http://catalog.hathitrust.org/Record/004925367","HathiTrust Record")</f>
        <v>HathiTrust Record</v>
      </c>
      <c r="AU1456" s="5" t="str">
        <f>HYPERLINK("https://creighton-primo.hosted.exlibrisgroup.com/primo-explore/search?tab=default_tab&amp;search_scope=EVERYTHING&amp;vid=01CRU&amp;lang=en_US&amp;offset=0&amp;query=any,contains,991000375469702656","Catalog Record")</f>
        <v>Catalog Record</v>
      </c>
      <c r="AV1456" s="5" t="str">
        <f>HYPERLINK("http://www.worldcat.org/oclc/54818510","WorldCat Record")</f>
        <v>WorldCat Record</v>
      </c>
      <c r="AW1456" s="2" t="s">
        <v>17394</v>
      </c>
      <c r="AX1456" s="2" t="s">
        <v>17395</v>
      </c>
      <c r="AY1456" s="2" t="s">
        <v>17396</v>
      </c>
      <c r="AZ1456" s="2" t="s">
        <v>17396</v>
      </c>
      <c r="BA1456" s="2" t="s">
        <v>17397</v>
      </c>
      <c r="BB1456" s="2" t="s">
        <v>21</v>
      </c>
      <c r="BD1456" s="2" t="s">
        <v>17398</v>
      </c>
      <c r="BE1456" s="2" t="s">
        <v>17399</v>
      </c>
      <c r="BF1456" s="2" t="s">
        <v>17400</v>
      </c>
    </row>
    <row r="1457" spans="1:58" ht="41.25" customHeight="1" x14ac:dyDescent="0.25">
      <c r="A1457" s="8" t="s">
        <v>5</v>
      </c>
      <c r="B1457" s="1" t="s">
        <v>0</v>
      </c>
      <c r="C1457" s="1" t="s">
        <v>1</v>
      </c>
      <c r="D1457" s="1" t="s">
        <v>17401</v>
      </c>
      <c r="E1457" s="1" t="s">
        <v>17402</v>
      </c>
      <c r="F1457" s="1" t="s">
        <v>17403</v>
      </c>
      <c r="H1457" s="2" t="s">
        <v>5</v>
      </c>
      <c r="I1457" s="2" t="s">
        <v>6</v>
      </c>
      <c r="J1457" s="2" t="s">
        <v>5</v>
      </c>
      <c r="K1457" s="2" t="s">
        <v>5</v>
      </c>
      <c r="L1457" s="2" t="s">
        <v>7</v>
      </c>
      <c r="M1457" s="1" t="s">
        <v>17404</v>
      </c>
      <c r="N1457" s="1" t="s">
        <v>3451</v>
      </c>
      <c r="O1457" s="2" t="s">
        <v>872</v>
      </c>
      <c r="P1457" s="1" t="s">
        <v>211</v>
      </c>
      <c r="Q1457" s="2" t="s">
        <v>11</v>
      </c>
      <c r="R1457" s="2" t="s">
        <v>426</v>
      </c>
      <c r="T1457" s="2" t="s">
        <v>520</v>
      </c>
      <c r="U1457" s="3">
        <v>7</v>
      </c>
      <c r="V1457" s="3">
        <v>7</v>
      </c>
      <c r="W1457" s="4" t="s">
        <v>17405</v>
      </c>
      <c r="X1457" s="4" t="s">
        <v>17405</v>
      </c>
      <c r="Y1457" s="4" t="s">
        <v>8868</v>
      </c>
      <c r="Z1457" s="4" t="s">
        <v>8868</v>
      </c>
      <c r="AA1457" s="3">
        <v>156</v>
      </c>
      <c r="AB1457" s="3">
        <v>135</v>
      </c>
      <c r="AC1457" s="3">
        <v>228</v>
      </c>
      <c r="AD1457" s="3">
        <v>2</v>
      </c>
      <c r="AE1457" s="3">
        <v>2</v>
      </c>
      <c r="AF1457" s="3">
        <v>4</v>
      </c>
      <c r="AG1457" s="3">
        <v>7</v>
      </c>
      <c r="AH1457" s="3">
        <v>1</v>
      </c>
      <c r="AI1457" s="3">
        <v>3</v>
      </c>
      <c r="AJ1457" s="3">
        <v>1</v>
      </c>
      <c r="AK1457" s="3">
        <v>1</v>
      </c>
      <c r="AL1457" s="3">
        <v>3</v>
      </c>
      <c r="AM1457" s="3">
        <v>6</v>
      </c>
      <c r="AN1457" s="3">
        <v>0</v>
      </c>
      <c r="AO1457" s="3">
        <v>0</v>
      </c>
      <c r="AP1457" s="3">
        <v>0</v>
      </c>
      <c r="AQ1457" s="3">
        <v>0</v>
      </c>
      <c r="AR1457" s="2" t="s">
        <v>5</v>
      </c>
      <c r="AS1457" s="2" t="s">
        <v>16</v>
      </c>
      <c r="AT1457" s="5" t="str">
        <f>HYPERLINK("http://catalog.hathitrust.org/Record/001820790","HathiTrust Record")</f>
        <v>HathiTrust Record</v>
      </c>
      <c r="AU1457" s="5" t="str">
        <f>HYPERLINK("https://creighton-primo.hosted.exlibrisgroup.com/primo-explore/search?tab=default_tab&amp;search_scope=EVERYTHING&amp;vid=01CRU&amp;lang=en_US&amp;offset=0&amp;query=any,contains,991001308339702656","Catalog Record")</f>
        <v>Catalog Record</v>
      </c>
      <c r="AV1457" s="5" t="str">
        <f>HYPERLINK("http://www.worldcat.org/oclc/18413394","WorldCat Record")</f>
        <v>WorldCat Record</v>
      </c>
      <c r="AW1457" s="2" t="s">
        <v>17406</v>
      </c>
      <c r="AX1457" s="2" t="s">
        <v>17407</v>
      </c>
      <c r="AY1457" s="2" t="s">
        <v>17408</v>
      </c>
      <c r="AZ1457" s="2" t="s">
        <v>17408</v>
      </c>
      <c r="BA1457" s="2" t="s">
        <v>17409</v>
      </c>
      <c r="BB1457" s="2" t="s">
        <v>21</v>
      </c>
      <c r="BD1457" s="2" t="s">
        <v>17410</v>
      </c>
      <c r="BE1457" s="2" t="s">
        <v>17411</v>
      </c>
      <c r="BF1457" s="2" t="s">
        <v>17412</v>
      </c>
    </row>
    <row r="1458" spans="1:58" ht="41.25" customHeight="1" x14ac:dyDescent="0.25">
      <c r="A1458" s="8" t="s">
        <v>5</v>
      </c>
      <c r="B1458" s="1" t="s">
        <v>0</v>
      </c>
      <c r="C1458" s="1" t="s">
        <v>1</v>
      </c>
      <c r="D1458" s="1" t="s">
        <v>17413</v>
      </c>
      <c r="E1458" s="1" t="s">
        <v>17414</v>
      </c>
      <c r="F1458" s="1" t="s">
        <v>17415</v>
      </c>
      <c r="H1458" s="2" t="s">
        <v>5</v>
      </c>
      <c r="I1458" s="2" t="s">
        <v>6</v>
      </c>
      <c r="J1458" s="2" t="s">
        <v>5</v>
      </c>
      <c r="K1458" s="2" t="s">
        <v>16</v>
      </c>
      <c r="L1458" s="2" t="s">
        <v>7</v>
      </c>
      <c r="M1458" s="1" t="s">
        <v>17416</v>
      </c>
      <c r="N1458" s="1" t="s">
        <v>17417</v>
      </c>
      <c r="O1458" s="2" t="s">
        <v>1391</v>
      </c>
      <c r="P1458" s="1" t="s">
        <v>211</v>
      </c>
      <c r="Q1458" s="2" t="s">
        <v>11</v>
      </c>
      <c r="R1458" s="2" t="s">
        <v>3571</v>
      </c>
      <c r="T1458" s="2" t="s">
        <v>520</v>
      </c>
      <c r="U1458" s="3">
        <v>0</v>
      </c>
      <c r="V1458" s="3">
        <v>0</v>
      </c>
      <c r="W1458" s="4" t="s">
        <v>17418</v>
      </c>
      <c r="X1458" s="4" t="s">
        <v>17418</v>
      </c>
      <c r="Y1458" s="4" t="s">
        <v>17419</v>
      </c>
      <c r="Z1458" s="4" t="s">
        <v>17419</v>
      </c>
      <c r="AA1458" s="3">
        <v>188</v>
      </c>
      <c r="AB1458" s="3">
        <v>83</v>
      </c>
      <c r="AC1458" s="3">
        <v>125</v>
      </c>
      <c r="AD1458" s="3">
        <v>1</v>
      </c>
      <c r="AE1458" s="3">
        <v>1</v>
      </c>
      <c r="AF1458" s="3">
        <v>1</v>
      </c>
      <c r="AG1458" s="3">
        <v>3</v>
      </c>
      <c r="AH1458" s="3">
        <v>0</v>
      </c>
      <c r="AI1458" s="3">
        <v>0</v>
      </c>
      <c r="AJ1458" s="3">
        <v>1</v>
      </c>
      <c r="AK1458" s="3">
        <v>1</v>
      </c>
      <c r="AL1458" s="3">
        <v>1</v>
      </c>
      <c r="AM1458" s="3">
        <v>3</v>
      </c>
      <c r="AN1458" s="3">
        <v>0</v>
      </c>
      <c r="AO1458" s="3">
        <v>0</v>
      </c>
      <c r="AP1458" s="3">
        <v>0</v>
      </c>
      <c r="AQ1458" s="3">
        <v>0</v>
      </c>
      <c r="AR1458" s="2" t="s">
        <v>5</v>
      </c>
      <c r="AS1458" s="2" t="s">
        <v>16</v>
      </c>
      <c r="AT1458" s="5" t="str">
        <f>HYPERLINK("http://catalog.hathitrust.org/Record/004995101","HathiTrust Record")</f>
        <v>HathiTrust Record</v>
      </c>
      <c r="AU1458" s="5" t="str">
        <f>HYPERLINK("https://creighton-primo.hosted.exlibrisgroup.com/primo-explore/search?tab=default_tab&amp;search_scope=EVERYTHING&amp;vid=01CRU&amp;lang=en_US&amp;offset=0&amp;query=any,contains,991000437879702656","Catalog Record")</f>
        <v>Catalog Record</v>
      </c>
      <c r="AV1458" s="5" t="str">
        <f>HYPERLINK("http://www.worldcat.org/oclc/56012245","WorldCat Record")</f>
        <v>WorldCat Record</v>
      </c>
      <c r="AW1458" s="2" t="s">
        <v>17420</v>
      </c>
      <c r="AX1458" s="2" t="s">
        <v>17421</v>
      </c>
      <c r="AY1458" s="2" t="s">
        <v>17422</v>
      </c>
      <c r="AZ1458" s="2" t="s">
        <v>17422</v>
      </c>
      <c r="BA1458" s="2" t="s">
        <v>17423</v>
      </c>
      <c r="BB1458" s="2" t="s">
        <v>21</v>
      </c>
      <c r="BD1458" s="2" t="s">
        <v>17424</v>
      </c>
      <c r="BE1458" s="2" t="s">
        <v>17425</v>
      </c>
      <c r="BF1458" s="2" t="s">
        <v>17426</v>
      </c>
    </row>
    <row r="1459" spans="1:58" ht="41.25" customHeight="1" x14ac:dyDescent="0.25">
      <c r="A1459" s="8" t="s">
        <v>5</v>
      </c>
      <c r="B1459" s="1" t="s">
        <v>0</v>
      </c>
      <c r="C1459" s="1" t="s">
        <v>1</v>
      </c>
      <c r="D1459" s="1" t="s">
        <v>17427</v>
      </c>
      <c r="E1459" s="1" t="s">
        <v>17428</v>
      </c>
      <c r="F1459" s="1" t="s">
        <v>17429</v>
      </c>
      <c r="H1459" s="2" t="s">
        <v>5</v>
      </c>
      <c r="I1459" s="2" t="s">
        <v>6</v>
      </c>
      <c r="J1459" s="2" t="s">
        <v>5</v>
      </c>
      <c r="K1459" s="2" t="s">
        <v>16</v>
      </c>
      <c r="L1459" s="2" t="s">
        <v>7</v>
      </c>
      <c r="M1459" s="1" t="s">
        <v>17416</v>
      </c>
      <c r="N1459" s="1" t="s">
        <v>17430</v>
      </c>
      <c r="O1459" s="2" t="s">
        <v>210</v>
      </c>
      <c r="Q1459" s="2" t="s">
        <v>11</v>
      </c>
      <c r="R1459" s="2" t="s">
        <v>1427</v>
      </c>
      <c r="T1459" s="2" t="s">
        <v>520</v>
      </c>
      <c r="U1459" s="3">
        <v>12</v>
      </c>
      <c r="V1459" s="3">
        <v>12</v>
      </c>
      <c r="W1459" s="4" t="s">
        <v>17431</v>
      </c>
      <c r="X1459" s="4" t="s">
        <v>17431</v>
      </c>
      <c r="Y1459" s="4" t="s">
        <v>2802</v>
      </c>
      <c r="Z1459" s="4" t="s">
        <v>2802</v>
      </c>
      <c r="AA1459" s="3">
        <v>120</v>
      </c>
      <c r="AB1459" s="3">
        <v>65</v>
      </c>
      <c r="AC1459" s="3">
        <v>125</v>
      </c>
      <c r="AD1459" s="3">
        <v>1</v>
      </c>
      <c r="AE1459" s="3">
        <v>1</v>
      </c>
      <c r="AF1459" s="3">
        <v>2</v>
      </c>
      <c r="AG1459" s="3">
        <v>3</v>
      </c>
      <c r="AH1459" s="3">
        <v>0</v>
      </c>
      <c r="AI1459" s="3">
        <v>0</v>
      </c>
      <c r="AJ1459" s="3">
        <v>0</v>
      </c>
      <c r="AK1459" s="3">
        <v>1</v>
      </c>
      <c r="AL1459" s="3">
        <v>2</v>
      </c>
      <c r="AM1459" s="3">
        <v>3</v>
      </c>
      <c r="AN1459" s="3">
        <v>0</v>
      </c>
      <c r="AO1459" s="3">
        <v>0</v>
      </c>
      <c r="AP1459" s="3">
        <v>0</v>
      </c>
      <c r="AQ1459" s="3">
        <v>0</v>
      </c>
      <c r="AR1459" s="2" t="s">
        <v>5</v>
      </c>
      <c r="AS1459" s="2" t="s">
        <v>16</v>
      </c>
      <c r="AT1459" s="5" t="str">
        <f>HYPERLINK("http://catalog.hathitrust.org/Record/002547381","HathiTrust Record")</f>
        <v>HathiTrust Record</v>
      </c>
      <c r="AU1459" s="5" t="str">
        <f>HYPERLINK("https://creighton-primo.hosted.exlibrisgroup.com/primo-explore/search?tab=default_tab&amp;search_scope=EVERYTHING&amp;vid=01CRU&amp;lang=en_US&amp;offset=0&amp;query=any,contains,991001350459702656","Catalog Record")</f>
        <v>Catalog Record</v>
      </c>
      <c r="AV1459" s="5" t="str">
        <f>HYPERLINK("http://www.worldcat.org/oclc/25908014","WorldCat Record")</f>
        <v>WorldCat Record</v>
      </c>
      <c r="AW1459" s="2" t="s">
        <v>17420</v>
      </c>
      <c r="AX1459" s="2" t="s">
        <v>17432</v>
      </c>
      <c r="AY1459" s="2" t="s">
        <v>17433</v>
      </c>
      <c r="AZ1459" s="2" t="s">
        <v>17433</v>
      </c>
      <c r="BA1459" s="2" t="s">
        <v>17434</v>
      </c>
      <c r="BB1459" s="2" t="s">
        <v>21</v>
      </c>
      <c r="BD1459" s="2" t="s">
        <v>17435</v>
      </c>
      <c r="BE1459" s="2" t="s">
        <v>17436</v>
      </c>
      <c r="BF1459" s="2" t="s">
        <v>17437</v>
      </c>
    </row>
    <row r="1460" spans="1:58" ht="41.25" customHeight="1" x14ac:dyDescent="0.25">
      <c r="A1460" s="8" t="s">
        <v>5</v>
      </c>
      <c r="B1460" s="1" t="s">
        <v>0</v>
      </c>
      <c r="C1460" s="1" t="s">
        <v>1</v>
      </c>
      <c r="D1460" s="1" t="s">
        <v>17438</v>
      </c>
      <c r="E1460" s="1" t="s">
        <v>17439</v>
      </c>
      <c r="F1460" s="1" t="s">
        <v>17440</v>
      </c>
      <c r="H1460" s="2" t="s">
        <v>5</v>
      </c>
      <c r="I1460" s="2" t="s">
        <v>6</v>
      </c>
      <c r="J1460" s="2" t="s">
        <v>5</v>
      </c>
      <c r="K1460" s="2" t="s">
        <v>16</v>
      </c>
      <c r="L1460" s="2" t="s">
        <v>7</v>
      </c>
      <c r="N1460" s="1" t="s">
        <v>5017</v>
      </c>
      <c r="O1460" s="2" t="s">
        <v>1004</v>
      </c>
      <c r="P1460" s="1" t="s">
        <v>901</v>
      </c>
      <c r="Q1460" s="2" t="s">
        <v>11</v>
      </c>
      <c r="R1460" s="2" t="s">
        <v>78</v>
      </c>
      <c r="T1460" s="2" t="s">
        <v>520</v>
      </c>
      <c r="U1460" s="3">
        <v>2</v>
      </c>
      <c r="V1460" s="3">
        <v>2</v>
      </c>
      <c r="W1460" s="4" t="s">
        <v>1703</v>
      </c>
      <c r="X1460" s="4" t="s">
        <v>1703</v>
      </c>
      <c r="Y1460" s="4" t="s">
        <v>1703</v>
      </c>
      <c r="Z1460" s="4" t="s">
        <v>1703</v>
      </c>
      <c r="AA1460" s="3">
        <v>335</v>
      </c>
      <c r="AB1460" s="3">
        <v>276</v>
      </c>
      <c r="AC1460" s="3">
        <v>662</v>
      </c>
      <c r="AD1460" s="3">
        <v>3</v>
      </c>
      <c r="AE1460" s="3">
        <v>6</v>
      </c>
      <c r="AF1460" s="3">
        <v>10</v>
      </c>
      <c r="AG1460" s="3">
        <v>20</v>
      </c>
      <c r="AH1460" s="3">
        <v>4</v>
      </c>
      <c r="AI1460" s="3">
        <v>6</v>
      </c>
      <c r="AJ1460" s="3">
        <v>2</v>
      </c>
      <c r="AK1460" s="3">
        <v>4</v>
      </c>
      <c r="AL1460" s="3">
        <v>4</v>
      </c>
      <c r="AM1460" s="3">
        <v>10</v>
      </c>
      <c r="AN1460" s="3">
        <v>1</v>
      </c>
      <c r="AO1460" s="3">
        <v>4</v>
      </c>
      <c r="AP1460" s="3">
        <v>0</v>
      </c>
      <c r="AQ1460" s="3">
        <v>0</v>
      </c>
      <c r="AR1460" s="2" t="s">
        <v>5</v>
      </c>
      <c r="AS1460" s="2" t="s">
        <v>16</v>
      </c>
      <c r="AT1460" s="5" t="str">
        <f>HYPERLINK("http://catalog.hathitrust.org/Record/004032664","HathiTrust Record")</f>
        <v>HathiTrust Record</v>
      </c>
      <c r="AU1460" s="5" t="str">
        <f>HYPERLINK("https://creighton-primo.hosted.exlibrisgroup.com/primo-explore/search?tab=default_tab&amp;search_scope=EVERYTHING&amp;vid=01CRU&amp;lang=en_US&amp;offset=0&amp;query=any,contains,991001557609702656","Catalog Record")</f>
        <v>Catalog Record</v>
      </c>
      <c r="AV1460" s="5" t="str">
        <f>HYPERLINK("http://www.worldcat.org/oclc/39811615","WorldCat Record")</f>
        <v>WorldCat Record</v>
      </c>
      <c r="AW1460" s="2" t="s">
        <v>17441</v>
      </c>
      <c r="AX1460" s="2" t="s">
        <v>17442</v>
      </c>
      <c r="AY1460" s="2" t="s">
        <v>17443</v>
      </c>
      <c r="AZ1460" s="2" t="s">
        <v>17443</v>
      </c>
      <c r="BA1460" s="2" t="s">
        <v>17444</v>
      </c>
      <c r="BB1460" s="2" t="s">
        <v>21</v>
      </c>
      <c r="BD1460" s="2" t="s">
        <v>17445</v>
      </c>
      <c r="BE1460" s="2" t="s">
        <v>17446</v>
      </c>
      <c r="BF1460" s="2" t="s">
        <v>17447</v>
      </c>
    </row>
    <row r="1461" spans="1:58" ht="41.25" customHeight="1" x14ac:dyDescent="0.25">
      <c r="A1461" s="8" t="s">
        <v>5</v>
      </c>
      <c r="B1461" s="1" t="s">
        <v>0</v>
      </c>
      <c r="C1461" s="1" t="s">
        <v>1</v>
      </c>
      <c r="D1461" s="1" t="s">
        <v>17448</v>
      </c>
      <c r="E1461" s="1" t="s">
        <v>17449</v>
      </c>
      <c r="F1461" s="1" t="s">
        <v>17450</v>
      </c>
      <c r="H1461" s="2" t="s">
        <v>5</v>
      </c>
      <c r="I1461" s="2" t="s">
        <v>6</v>
      </c>
      <c r="J1461" s="2" t="s">
        <v>5</v>
      </c>
      <c r="K1461" s="2" t="s">
        <v>16</v>
      </c>
      <c r="L1461" s="2" t="s">
        <v>7</v>
      </c>
      <c r="N1461" s="1" t="s">
        <v>17451</v>
      </c>
      <c r="O1461" s="2" t="s">
        <v>1391</v>
      </c>
      <c r="P1461" s="1" t="s">
        <v>1208</v>
      </c>
      <c r="Q1461" s="2" t="s">
        <v>11</v>
      </c>
      <c r="R1461" s="2" t="s">
        <v>31</v>
      </c>
      <c r="T1461" s="2" t="s">
        <v>520</v>
      </c>
      <c r="U1461" s="3">
        <v>1</v>
      </c>
      <c r="V1461" s="3">
        <v>1</v>
      </c>
      <c r="W1461" s="4" t="s">
        <v>17452</v>
      </c>
      <c r="X1461" s="4" t="s">
        <v>17452</v>
      </c>
      <c r="Y1461" s="4" t="s">
        <v>17453</v>
      </c>
      <c r="Z1461" s="4" t="s">
        <v>17453</v>
      </c>
      <c r="AA1461" s="3">
        <v>396</v>
      </c>
      <c r="AB1461" s="3">
        <v>309</v>
      </c>
      <c r="AC1461" s="3">
        <v>662</v>
      </c>
      <c r="AD1461" s="3">
        <v>3</v>
      </c>
      <c r="AE1461" s="3">
        <v>6</v>
      </c>
      <c r="AF1461" s="3">
        <v>10</v>
      </c>
      <c r="AG1461" s="3">
        <v>20</v>
      </c>
      <c r="AH1461" s="3">
        <v>1</v>
      </c>
      <c r="AI1461" s="3">
        <v>6</v>
      </c>
      <c r="AJ1461" s="3">
        <v>2</v>
      </c>
      <c r="AK1461" s="3">
        <v>4</v>
      </c>
      <c r="AL1461" s="3">
        <v>7</v>
      </c>
      <c r="AM1461" s="3">
        <v>10</v>
      </c>
      <c r="AN1461" s="3">
        <v>2</v>
      </c>
      <c r="AO1461" s="3">
        <v>4</v>
      </c>
      <c r="AP1461" s="3">
        <v>0</v>
      </c>
      <c r="AQ1461" s="3">
        <v>0</v>
      </c>
      <c r="AR1461" s="2" t="s">
        <v>5</v>
      </c>
      <c r="AS1461" s="2" t="s">
        <v>16</v>
      </c>
      <c r="AT1461" s="5" t="str">
        <f>HYPERLINK("http://catalog.hathitrust.org/Record/003884414","HathiTrust Record")</f>
        <v>HathiTrust Record</v>
      </c>
      <c r="AU1461" s="5" t="str">
        <f>HYPERLINK("https://creighton-primo.hosted.exlibrisgroup.com/primo-explore/search?tab=default_tab&amp;search_scope=EVERYTHING&amp;vid=01CRU&amp;lang=en_US&amp;offset=0&amp;query=any,contains,991001726819702656","Catalog Record")</f>
        <v>Catalog Record</v>
      </c>
      <c r="AV1461" s="5" t="str">
        <f>HYPERLINK("http://www.worldcat.org/oclc/53958693","WorldCat Record")</f>
        <v>WorldCat Record</v>
      </c>
      <c r="AW1461" s="2" t="s">
        <v>17441</v>
      </c>
      <c r="AX1461" s="2" t="s">
        <v>17454</v>
      </c>
      <c r="AY1461" s="2" t="s">
        <v>17455</v>
      </c>
      <c r="AZ1461" s="2" t="s">
        <v>17455</v>
      </c>
      <c r="BA1461" s="2" t="s">
        <v>17456</v>
      </c>
      <c r="BB1461" s="2" t="s">
        <v>21</v>
      </c>
      <c r="BD1461" s="2" t="s">
        <v>17457</v>
      </c>
      <c r="BE1461" s="2" t="s">
        <v>17458</v>
      </c>
      <c r="BF1461" s="2" t="s">
        <v>17459</v>
      </c>
    </row>
    <row r="1462" spans="1:58" ht="41.25" customHeight="1" x14ac:dyDescent="0.25">
      <c r="A1462" s="8" t="s">
        <v>5</v>
      </c>
      <c r="B1462" s="1" t="s">
        <v>0</v>
      </c>
      <c r="C1462" s="1" t="s">
        <v>1</v>
      </c>
      <c r="D1462" s="1" t="s">
        <v>17460</v>
      </c>
      <c r="E1462" s="1" t="s">
        <v>17461</v>
      </c>
      <c r="F1462" s="1" t="s">
        <v>17462</v>
      </c>
      <c r="H1462" s="2" t="s">
        <v>5</v>
      </c>
      <c r="I1462" s="2" t="s">
        <v>6</v>
      </c>
      <c r="J1462" s="2" t="s">
        <v>5</v>
      </c>
      <c r="K1462" s="2" t="s">
        <v>5</v>
      </c>
      <c r="L1462" s="2" t="s">
        <v>7</v>
      </c>
      <c r="M1462" s="1" t="s">
        <v>17463</v>
      </c>
      <c r="N1462" s="1" t="s">
        <v>7929</v>
      </c>
      <c r="O1462" s="2" t="s">
        <v>1102</v>
      </c>
      <c r="Q1462" s="2" t="s">
        <v>11</v>
      </c>
      <c r="R1462" s="2" t="s">
        <v>426</v>
      </c>
      <c r="T1462" s="2" t="s">
        <v>520</v>
      </c>
      <c r="U1462" s="3">
        <v>16</v>
      </c>
      <c r="V1462" s="3">
        <v>16</v>
      </c>
      <c r="W1462" s="4" t="s">
        <v>17317</v>
      </c>
      <c r="X1462" s="4" t="s">
        <v>17317</v>
      </c>
      <c r="Y1462" s="4" t="s">
        <v>15</v>
      </c>
      <c r="Z1462" s="4" t="s">
        <v>15</v>
      </c>
      <c r="AA1462" s="3">
        <v>200</v>
      </c>
      <c r="AB1462" s="3">
        <v>168</v>
      </c>
      <c r="AC1462" s="3">
        <v>176</v>
      </c>
      <c r="AD1462" s="3">
        <v>1</v>
      </c>
      <c r="AE1462" s="3">
        <v>1</v>
      </c>
      <c r="AF1462" s="3">
        <v>8</v>
      </c>
      <c r="AG1462" s="3">
        <v>8</v>
      </c>
      <c r="AH1462" s="3">
        <v>3</v>
      </c>
      <c r="AI1462" s="3">
        <v>3</v>
      </c>
      <c r="AJ1462" s="3">
        <v>2</v>
      </c>
      <c r="AK1462" s="3">
        <v>2</v>
      </c>
      <c r="AL1462" s="3">
        <v>7</v>
      </c>
      <c r="AM1462" s="3">
        <v>7</v>
      </c>
      <c r="AN1462" s="3">
        <v>0</v>
      </c>
      <c r="AO1462" s="3">
        <v>0</v>
      </c>
      <c r="AP1462" s="3">
        <v>0</v>
      </c>
      <c r="AQ1462" s="3">
        <v>0</v>
      </c>
      <c r="AR1462" s="2" t="s">
        <v>5</v>
      </c>
      <c r="AS1462" s="2" t="s">
        <v>16</v>
      </c>
      <c r="AT1462" s="5" t="str">
        <f>HYPERLINK("http://catalog.hathitrust.org/Record/000616699","HathiTrust Record")</f>
        <v>HathiTrust Record</v>
      </c>
      <c r="AU1462" s="5" t="str">
        <f>HYPERLINK("https://creighton-primo.hosted.exlibrisgroup.com/primo-explore/search?tab=default_tab&amp;search_scope=EVERYTHING&amp;vid=01CRU&amp;lang=en_US&amp;offset=0&amp;query=any,contains,991001436319702656","Catalog Record")</f>
        <v>Catalog Record</v>
      </c>
      <c r="AV1462" s="5" t="str">
        <f>HYPERLINK("http://www.worldcat.org/oclc/12344218","WorldCat Record")</f>
        <v>WorldCat Record</v>
      </c>
      <c r="AW1462" s="2" t="s">
        <v>17464</v>
      </c>
      <c r="AX1462" s="2" t="s">
        <v>17465</v>
      </c>
      <c r="AY1462" s="2" t="s">
        <v>17466</v>
      </c>
      <c r="AZ1462" s="2" t="s">
        <v>17466</v>
      </c>
      <c r="BA1462" s="2" t="s">
        <v>17467</v>
      </c>
      <c r="BB1462" s="2" t="s">
        <v>21</v>
      </c>
      <c r="BD1462" s="2" t="s">
        <v>17468</v>
      </c>
      <c r="BE1462" s="2" t="s">
        <v>17469</v>
      </c>
      <c r="BF1462" s="2" t="s">
        <v>17470</v>
      </c>
    </row>
    <row r="1463" spans="1:58" ht="41.25" customHeight="1" x14ac:dyDescent="0.25">
      <c r="A1463" s="8" t="s">
        <v>5</v>
      </c>
      <c r="B1463" s="1" t="s">
        <v>0</v>
      </c>
      <c r="C1463" s="1" t="s">
        <v>1</v>
      </c>
      <c r="D1463" s="1" t="s">
        <v>17471</v>
      </c>
      <c r="E1463" s="1" t="s">
        <v>17472</v>
      </c>
      <c r="F1463" s="1" t="s">
        <v>17473</v>
      </c>
      <c r="H1463" s="2" t="s">
        <v>5</v>
      </c>
      <c r="I1463" s="2" t="s">
        <v>6</v>
      </c>
      <c r="J1463" s="2" t="s">
        <v>5</v>
      </c>
      <c r="K1463" s="2" t="s">
        <v>5</v>
      </c>
      <c r="L1463" s="2" t="s">
        <v>7</v>
      </c>
      <c r="M1463" s="1" t="s">
        <v>17474</v>
      </c>
      <c r="N1463" s="1" t="s">
        <v>17475</v>
      </c>
      <c r="O1463" s="2" t="s">
        <v>393</v>
      </c>
      <c r="Q1463" s="2" t="s">
        <v>11</v>
      </c>
      <c r="R1463" s="2" t="s">
        <v>3571</v>
      </c>
      <c r="S1463" s="1" t="s">
        <v>17476</v>
      </c>
      <c r="T1463" s="2" t="s">
        <v>520</v>
      </c>
      <c r="U1463" s="3">
        <v>1</v>
      </c>
      <c r="V1463" s="3">
        <v>1</v>
      </c>
      <c r="W1463" s="4" t="s">
        <v>17477</v>
      </c>
      <c r="X1463" s="4" t="s">
        <v>17477</v>
      </c>
      <c r="Y1463" s="4" t="s">
        <v>15</v>
      </c>
      <c r="Z1463" s="4" t="s">
        <v>15</v>
      </c>
      <c r="AA1463" s="3">
        <v>80</v>
      </c>
      <c r="AB1463" s="3">
        <v>23</v>
      </c>
      <c r="AC1463" s="3">
        <v>23</v>
      </c>
      <c r="AD1463" s="3">
        <v>1</v>
      </c>
      <c r="AE1463" s="3">
        <v>1</v>
      </c>
      <c r="AF1463" s="3">
        <v>1</v>
      </c>
      <c r="AG1463" s="3">
        <v>1</v>
      </c>
      <c r="AH1463" s="3">
        <v>0</v>
      </c>
      <c r="AI1463" s="3">
        <v>0</v>
      </c>
      <c r="AJ1463" s="3">
        <v>0</v>
      </c>
      <c r="AK1463" s="3">
        <v>0</v>
      </c>
      <c r="AL1463" s="3">
        <v>1</v>
      </c>
      <c r="AM1463" s="3">
        <v>1</v>
      </c>
      <c r="AN1463" s="3">
        <v>0</v>
      </c>
      <c r="AO1463" s="3">
        <v>0</v>
      </c>
      <c r="AP1463" s="3">
        <v>0</v>
      </c>
      <c r="AQ1463" s="3">
        <v>0</v>
      </c>
      <c r="AR1463" s="2" t="s">
        <v>5</v>
      </c>
      <c r="AS1463" s="2" t="s">
        <v>5</v>
      </c>
      <c r="AU1463" s="5" t="str">
        <f>HYPERLINK("https://creighton-primo.hosted.exlibrisgroup.com/primo-explore/search?tab=default_tab&amp;search_scope=EVERYTHING&amp;vid=01CRU&amp;lang=en_US&amp;offset=0&amp;query=any,contains,991000865989702656","Catalog Record")</f>
        <v>Catalog Record</v>
      </c>
      <c r="AV1463" s="5" t="str">
        <f>HYPERLINK("http://www.worldcat.org/oclc/8453456","WorldCat Record")</f>
        <v>WorldCat Record</v>
      </c>
      <c r="AW1463" s="2" t="s">
        <v>17478</v>
      </c>
      <c r="AX1463" s="2" t="s">
        <v>17479</v>
      </c>
      <c r="AY1463" s="2" t="s">
        <v>17480</v>
      </c>
      <c r="AZ1463" s="2" t="s">
        <v>17480</v>
      </c>
      <c r="BA1463" s="2" t="s">
        <v>17481</v>
      </c>
      <c r="BB1463" s="2" t="s">
        <v>21</v>
      </c>
      <c r="BD1463" s="2" t="s">
        <v>17482</v>
      </c>
      <c r="BE1463" s="2" t="s">
        <v>17483</v>
      </c>
      <c r="BF1463" s="2" t="s">
        <v>17484</v>
      </c>
    </row>
    <row r="1464" spans="1:58" ht="41.25" customHeight="1" x14ac:dyDescent="0.25">
      <c r="A1464" s="8" t="s">
        <v>5</v>
      </c>
      <c r="B1464" s="1" t="s">
        <v>0</v>
      </c>
      <c r="C1464" s="1" t="s">
        <v>1</v>
      </c>
      <c r="D1464" s="1" t="s">
        <v>17485</v>
      </c>
      <c r="E1464" s="1" t="s">
        <v>17486</v>
      </c>
      <c r="F1464" s="1" t="s">
        <v>17487</v>
      </c>
      <c r="H1464" s="2" t="s">
        <v>5</v>
      </c>
      <c r="I1464" s="2" t="s">
        <v>6</v>
      </c>
      <c r="J1464" s="2" t="s">
        <v>5</v>
      </c>
      <c r="K1464" s="2" t="s">
        <v>5</v>
      </c>
      <c r="L1464" s="2" t="s">
        <v>7</v>
      </c>
      <c r="M1464" s="1" t="s">
        <v>17488</v>
      </c>
      <c r="N1464" s="1" t="s">
        <v>1233</v>
      </c>
      <c r="O1464" s="2" t="s">
        <v>136</v>
      </c>
      <c r="Q1464" s="2" t="s">
        <v>11</v>
      </c>
      <c r="R1464" s="2" t="s">
        <v>426</v>
      </c>
      <c r="S1464" s="1" t="s">
        <v>17181</v>
      </c>
      <c r="T1464" s="2" t="s">
        <v>520</v>
      </c>
      <c r="U1464" s="3">
        <v>2</v>
      </c>
      <c r="V1464" s="3">
        <v>2</v>
      </c>
      <c r="W1464" s="4" t="s">
        <v>17489</v>
      </c>
      <c r="X1464" s="4" t="s">
        <v>17489</v>
      </c>
      <c r="Y1464" s="4" t="s">
        <v>17489</v>
      </c>
      <c r="Z1464" s="4" t="s">
        <v>17489</v>
      </c>
      <c r="AA1464" s="3">
        <v>441</v>
      </c>
      <c r="AB1464" s="3">
        <v>377</v>
      </c>
      <c r="AC1464" s="3">
        <v>394</v>
      </c>
      <c r="AD1464" s="3">
        <v>2</v>
      </c>
      <c r="AE1464" s="3">
        <v>2</v>
      </c>
      <c r="AF1464" s="3">
        <v>12</v>
      </c>
      <c r="AG1464" s="3">
        <v>14</v>
      </c>
      <c r="AH1464" s="3">
        <v>6</v>
      </c>
      <c r="AI1464" s="3">
        <v>7</v>
      </c>
      <c r="AJ1464" s="3">
        <v>2</v>
      </c>
      <c r="AK1464" s="3">
        <v>3</v>
      </c>
      <c r="AL1464" s="3">
        <v>7</v>
      </c>
      <c r="AM1464" s="3">
        <v>7</v>
      </c>
      <c r="AN1464" s="3">
        <v>1</v>
      </c>
      <c r="AO1464" s="3">
        <v>1</v>
      </c>
      <c r="AP1464" s="3">
        <v>0</v>
      </c>
      <c r="AQ1464" s="3">
        <v>0</v>
      </c>
      <c r="AR1464" s="2" t="s">
        <v>5</v>
      </c>
      <c r="AS1464" s="2" t="s">
        <v>16</v>
      </c>
      <c r="AT1464" s="5" t="str">
        <f>HYPERLINK("http://catalog.hathitrust.org/Record/002453543","HathiTrust Record")</f>
        <v>HathiTrust Record</v>
      </c>
      <c r="AU1464" s="5" t="str">
        <f>HYPERLINK("https://creighton-primo.hosted.exlibrisgroup.com/primo-explore/search?tab=default_tab&amp;search_scope=EVERYTHING&amp;vid=01CRU&amp;lang=en_US&amp;offset=0&amp;query=any,contains,991001780189702656","Catalog Record")</f>
        <v>Catalog Record</v>
      </c>
      <c r="AV1464" s="5" t="str">
        <f>HYPERLINK("http://www.worldcat.org/oclc/23016038","WorldCat Record")</f>
        <v>WorldCat Record</v>
      </c>
      <c r="AW1464" s="2" t="s">
        <v>17490</v>
      </c>
      <c r="AX1464" s="2" t="s">
        <v>17491</v>
      </c>
      <c r="AY1464" s="2" t="s">
        <v>17492</v>
      </c>
      <c r="AZ1464" s="2" t="s">
        <v>17492</v>
      </c>
      <c r="BA1464" s="2" t="s">
        <v>17493</v>
      </c>
      <c r="BB1464" s="2" t="s">
        <v>21</v>
      </c>
      <c r="BD1464" s="2" t="s">
        <v>17494</v>
      </c>
      <c r="BE1464" s="2" t="s">
        <v>17495</v>
      </c>
      <c r="BF1464" s="2" t="s">
        <v>17496</v>
      </c>
    </row>
    <row r="1465" spans="1:58" ht="41.25" customHeight="1" x14ac:dyDescent="0.25">
      <c r="A1465" s="8" t="s">
        <v>5</v>
      </c>
      <c r="B1465" s="1" t="s">
        <v>0</v>
      </c>
      <c r="C1465" s="1" t="s">
        <v>1</v>
      </c>
      <c r="D1465" s="1" t="s">
        <v>17497</v>
      </c>
      <c r="E1465" s="1" t="s">
        <v>17498</v>
      </c>
      <c r="F1465" s="1" t="s">
        <v>17499</v>
      </c>
      <c r="H1465" s="2" t="s">
        <v>5</v>
      </c>
      <c r="I1465" s="2" t="s">
        <v>6</v>
      </c>
      <c r="J1465" s="2" t="s">
        <v>5</v>
      </c>
      <c r="K1465" s="2" t="s">
        <v>5</v>
      </c>
      <c r="L1465" s="2" t="s">
        <v>7</v>
      </c>
      <c r="M1465" s="1" t="s">
        <v>17500</v>
      </c>
      <c r="N1465" s="1" t="s">
        <v>3451</v>
      </c>
      <c r="O1465" s="2" t="s">
        <v>872</v>
      </c>
      <c r="Q1465" s="2" t="s">
        <v>11</v>
      </c>
      <c r="R1465" s="2" t="s">
        <v>426</v>
      </c>
      <c r="T1465" s="2" t="s">
        <v>520</v>
      </c>
      <c r="U1465" s="3">
        <v>3</v>
      </c>
      <c r="V1465" s="3">
        <v>3</v>
      </c>
      <c r="W1465" s="4" t="s">
        <v>7141</v>
      </c>
      <c r="X1465" s="4" t="s">
        <v>7141</v>
      </c>
      <c r="Y1465" s="4" t="s">
        <v>17501</v>
      </c>
      <c r="Z1465" s="4" t="s">
        <v>17501</v>
      </c>
      <c r="AA1465" s="3">
        <v>182</v>
      </c>
      <c r="AB1465" s="3">
        <v>154</v>
      </c>
      <c r="AC1465" s="3">
        <v>156</v>
      </c>
      <c r="AD1465" s="3">
        <v>1</v>
      </c>
      <c r="AE1465" s="3">
        <v>1</v>
      </c>
      <c r="AF1465" s="3">
        <v>5</v>
      </c>
      <c r="AG1465" s="3">
        <v>5</v>
      </c>
      <c r="AH1465" s="3">
        <v>1</v>
      </c>
      <c r="AI1465" s="3">
        <v>1</v>
      </c>
      <c r="AJ1465" s="3">
        <v>3</v>
      </c>
      <c r="AK1465" s="3">
        <v>3</v>
      </c>
      <c r="AL1465" s="3">
        <v>3</v>
      </c>
      <c r="AM1465" s="3">
        <v>3</v>
      </c>
      <c r="AN1465" s="3">
        <v>0</v>
      </c>
      <c r="AO1465" s="3">
        <v>0</v>
      </c>
      <c r="AP1465" s="3">
        <v>0</v>
      </c>
      <c r="AQ1465" s="3">
        <v>0</v>
      </c>
      <c r="AR1465" s="2" t="s">
        <v>5</v>
      </c>
      <c r="AS1465" s="2" t="s">
        <v>16</v>
      </c>
      <c r="AT1465" s="5" t="str">
        <f>HYPERLINK("http://catalog.hathitrust.org/Record/001814660","HathiTrust Record")</f>
        <v>HathiTrust Record</v>
      </c>
      <c r="AU1465" s="5" t="str">
        <f>HYPERLINK("https://creighton-primo.hosted.exlibrisgroup.com/primo-explore/search?tab=default_tab&amp;search_scope=EVERYTHING&amp;vid=01CRU&amp;lang=en_US&amp;offset=0&amp;query=any,contains,991001443539702656","Catalog Record")</f>
        <v>Catalog Record</v>
      </c>
      <c r="AV1465" s="5" t="str">
        <f>HYPERLINK("http://www.worldcat.org/oclc/20089650","WorldCat Record")</f>
        <v>WorldCat Record</v>
      </c>
      <c r="AW1465" s="2" t="s">
        <v>17502</v>
      </c>
      <c r="AX1465" s="2" t="s">
        <v>17503</v>
      </c>
      <c r="AY1465" s="2" t="s">
        <v>17504</v>
      </c>
      <c r="AZ1465" s="2" t="s">
        <v>17504</v>
      </c>
      <c r="BA1465" s="2" t="s">
        <v>17505</v>
      </c>
      <c r="BB1465" s="2" t="s">
        <v>21</v>
      </c>
      <c r="BD1465" s="2" t="s">
        <v>17506</v>
      </c>
      <c r="BE1465" s="2" t="s">
        <v>17507</v>
      </c>
      <c r="BF1465" s="2" t="s">
        <v>17508</v>
      </c>
    </row>
    <row r="1466" spans="1:58" ht="41.25" customHeight="1" x14ac:dyDescent="0.25">
      <c r="A1466" s="8" t="s">
        <v>5</v>
      </c>
      <c r="B1466" s="1" t="s">
        <v>0</v>
      </c>
      <c r="C1466" s="1" t="s">
        <v>1</v>
      </c>
      <c r="D1466" s="1" t="s">
        <v>17509</v>
      </c>
      <c r="E1466" s="1" t="s">
        <v>17510</v>
      </c>
      <c r="F1466" s="1" t="s">
        <v>17511</v>
      </c>
      <c r="H1466" s="2" t="s">
        <v>5</v>
      </c>
      <c r="I1466" s="2" t="s">
        <v>6</v>
      </c>
      <c r="J1466" s="2" t="s">
        <v>5</v>
      </c>
      <c r="K1466" s="2" t="s">
        <v>5</v>
      </c>
      <c r="L1466" s="2" t="s">
        <v>7</v>
      </c>
      <c r="N1466" s="1" t="s">
        <v>8612</v>
      </c>
      <c r="O1466" s="2" t="s">
        <v>939</v>
      </c>
      <c r="Q1466" s="2" t="s">
        <v>11</v>
      </c>
      <c r="R1466" s="2" t="s">
        <v>31</v>
      </c>
      <c r="S1466" s="1" t="s">
        <v>17512</v>
      </c>
      <c r="T1466" s="2" t="s">
        <v>520</v>
      </c>
      <c r="U1466" s="3">
        <v>4</v>
      </c>
      <c r="V1466" s="3">
        <v>4</v>
      </c>
      <c r="W1466" s="4" t="s">
        <v>8471</v>
      </c>
      <c r="X1466" s="4" t="s">
        <v>8471</v>
      </c>
      <c r="Y1466" s="4" t="s">
        <v>8614</v>
      </c>
      <c r="Z1466" s="4" t="s">
        <v>8614</v>
      </c>
      <c r="AA1466" s="3">
        <v>132</v>
      </c>
      <c r="AB1466" s="3">
        <v>122</v>
      </c>
      <c r="AC1466" s="3">
        <v>132</v>
      </c>
      <c r="AD1466" s="3">
        <v>3</v>
      </c>
      <c r="AE1466" s="3">
        <v>3</v>
      </c>
      <c r="AF1466" s="3">
        <v>6</v>
      </c>
      <c r="AG1466" s="3">
        <v>6</v>
      </c>
      <c r="AH1466" s="3">
        <v>0</v>
      </c>
      <c r="AI1466" s="3">
        <v>0</v>
      </c>
      <c r="AJ1466" s="3">
        <v>1</v>
      </c>
      <c r="AK1466" s="3">
        <v>1</v>
      </c>
      <c r="AL1466" s="3">
        <v>5</v>
      </c>
      <c r="AM1466" s="3">
        <v>5</v>
      </c>
      <c r="AN1466" s="3">
        <v>1</v>
      </c>
      <c r="AO1466" s="3">
        <v>1</v>
      </c>
      <c r="AP1466" s="3">
        <v>0</v>
      </c>
      <c r="AQ1466" s="3">
        <v>0</v>
      </c>
      <c r="AR1466" s="2" t="s">
        <v>5</v>
      </c>
      <c r="AS1466" s="2" t="s">
        <v>16</v>
      </c>
      <c r="AT1466" s="5" t="str">
        <f>HYPERLINK("http://catalog.hathitrust.org/Record/001071208","HathiTrust Record")</f>
        <v>HathiTrust Record</v>
      </c>
      <c r="AU1466" s="5" t="str">
        <f>HYPERLINK("https://creighton-primo.hosted.exlibrisgroup.com/primo-explore/search?tab=default_tab&amp;search_scope=EVERYTHING&amp;vid=01CRU&amp;lang=en_US&amp;offset=0&amp;query=any,contains,991000760399702656","Catalog Record")</f>
        <v>Catalog Record</v>
      </c>
      <c r="AV1466" s="5" t="str">
        <f>HYPERLINK("http://www.worldcat.org/oclc/20454896","WorldCat Record")</f>
        <v>WorldCat Record</v>
      </c>
      <c r="AW1466" s="2" t="s">
        <v>17513</v>
      </c>
      <c r="AX1466" s="2" t="s">
        <v>17514</v>
      </c>
      <c r="AY1466" s="2" t="s">
        <v>17515</v>
      </c>
      <c r="AZ1466" s="2" t="s">
        <v>17515</v>
      </c>
      <c r="BA1466" s="2" t="s">
        <v>17516</v>
      </c>
      <c r="BB1466" s="2" t="s">
        <v>21</v>
      </c>
      <c r="BE1466" s="2" t="s">
        <v>17517</v>
      </c>
      <c r="BF1466" s="2" t="s">
        <v>17518</v>
      </c>
    </row>
    <row r="1467" spans="1:58" ht="41.25" customHeight="1" x14ac:dyDescent="0.25">
      <c r="A1467" s="8" t="s">
        <v>5</v>
      </c>
      <c r="B1467" s="1" t="s">
        <v>0</v>
      </c>
      <c r="C1467" s="1" t="s">
        <v>1</v>
      </c>
      <c r="D1467" s="1" t="s">
        <v>17519</v>
      </c>
      <c r="E1467" s="1" t="s">
        <v>17520</v>
      </c>
      <c r="F1467" s="1" t="s">
        <v>17521</v>
      </c>
      <c r="H1467" s="2" t="s">
        <v>5</v>
      </c>
      <c r="I1467" s="2" t="s">
        <v>6</v>
      </c>
      <c r="J1467" s="2" t="s">
        <v>5</v>
      </c>
      <c r="K1467" s="2" t="s">
        <v>5</v>
      </c>
      <c r="L1467" s="2" t="s">
        <v>7</v>
      </c>
      <c r="M1467" s="1" t="s">
        <v>17522</v>
      </c>
      <c r="N1467" s="1" t="s">
        <v>17523</v>
      </c>
      <c r="O1467" s="2" t="s">
        <v>1004</v>
      </c>
      <c r="P1467" s="1" t="s">
        <v>211</v>
      </c>
      <c r="Q1467" s="2" t="s">
        <v>11</v>
      </c>
      <c r="R1467" s="2" t="s">
        <v>369</v>
      </c>
      <c r="T1467" s="2" t="s">
        <v>520</v>
      </c>
      <c r="U1467" s="3">
        <v>2</v>
      </c>
      <c r="V1467" s="3">
        <v>2</v>
      </c>
      <c r="W1467" s="4" t="s">
        <v>17524</v>
      </c>
      <c r="X1467" s="4" t="s">
        <v>17524</v>
      </c>
      <c r="Y1467" s="4" t="s">
        <v>17525</v>
      </c>
      <c r="Z1467" s="4" t="s">
        <v>17525</v>
      </c>
      <c r="AA1467" s="3">
        <v>203</v>
      </c>
      <c r="AB1467" s="3">
        <v>179</v>
      </c>
      <c r="AC1467" s="3">
        <v>277</v>
      </c>
      <c r="AD1467" s="3">
        <v>1</v>
      </c>
      <c r="AE1467" s="3">
        <v>2</v>
      </c>
      <c r="AF1467" s="3">
        <v>3</v>
      </c>
      <c r="AG1467" s="3">
        <v>6</v>
      </c>
      <c r="AH1467" s="3">
        <v>2</v>
      </c>
      <c r="AI1467" s="3">
        <v>3</v>
      </c>
      <c r="AJ1467" s="3">
        <v>1</v>
      </c>
      <c r="AK1467" s="3">
        <v>1</v>
      </c>
      <c r="AL1467" s="3">
        <v>1</v>
      </c>
      <c r="AM1467" s="3">
        <v>3</v>
      </c>
      <c r="AN1467" s="3">
        <v>0</v>
      </c>
      <c r="AO1467" s="3">
        <v>1</v>
      </c>
      <c r="AP1467" s="3">
        <v>0</v>
      </c>
      <c r="AQ1467" s="3">
        <v>0</v>
      </c>
      <c r="AR1467" s="2" t="s">
        <v>5</v>
      </c>
      <c r="AS1467" s="2" t="s">
        <v>16</v>
      </c>
      <c r="AT1467" s="5" t="str">
        <f>HYPERLINK("http://catalog.hathitrust.org/Record/004025648","HathiTrust Record")</f>
        <v>HathiTrust Record</v>
      </c>
      <c r="AU1467" s="5" t="str">
        <f>HYPERLINK("https://creighton-primo.hosted.exlibrisgroup.com/primo-explore/search?tab=default_tab&amp;search_scope=EVERYTHING&amp;vid=01CRU&amp;lang=en_US&amp;offset=0&amp;query=any,contains,991001561809702656","Catalog Record")</f>
        <v>Catalog Record</v>
      </c>
      <c r="AV1467" s="5" t="str">
        <f>HYPERLINK("http://www.worldcat.org/oclc/42435220","WorldCat Record")</f>
        <v>WorldCat Record</v>
      </c>
      <c r="AW1467" s="2" t="s">
        <v>17526</v>
      </c>
      <c r="AX1467" s="2" t="s">
        <v>17527</v>
      </c>
      <c r="AY1467" s="2" t="s">
        <v>17528</v>
      </c>
      <c r="AZ1467" s="2" t="s">
        <v>17528</v>
      </c>
      <c r="BA1467" s="2" t="s">
        <v>17529</v>
      </c>
      <c r="BB1467" s="2" t="s">
        <v>21</v>
      </c>
      <c r="BD1467" s="2" t="s">
        <v>17530</v>
      </c>
      <c r="BE1467" s="2" t="s">
        <v>17531</v>
      </c>
      <c r="BF1467" s="2" t="s">
        <v>17532</v>
      </c>
    </row>
    <row r="1468" spans="1:58" ht="41.25" customHeight="1" x14ac:dyDescent="0.25">
      <c r="A1468" s="8" t="s">
        <v>5</v>
      </c>
      <c r="B1468" s="1" t="s">
        <v>0</v>
      </c>
      <c r="C1468" s="1" t="s">
        <v>1</v>
      </c>
      <c r="D1468" s="1" t="s">
        <v>17533</v>
      </c>
      <c r="E1468" s="1" t="s">
        <v>17534</v>
      </c>
      <c r="F1468" s="1" t="s">
        <v>17535</v>
      </c>
      <c r="H1468" s="2" t="s">
        <v>5</v>
      </c>
      <c r="I1468" s="2" t="s">
        <v>6</v>
      </c>
      <c r="J1468" s="2" t="s">
        <v>5</v>
      </c>
      <c r="K1468" s="2" t="s">
        <v>5</v>
      </c>
      <c r="L1468" s="2" t="s">
        <v>7</v>
      </c>
      <c r="N1468" s="1" t="s">
        <v>9507</v>
      </c>
      <c r="O1468" s="2" t="s">
        <v>1004</v>
      </c>
      <c r="P1468" s="1" t="s">
        <v>1208</v>
      </c>
      <c r="Q1468" s="2" t="s">
        <v>11</v>
      </c>
      <c r="R1468" s="2" t="s">
        <v>78</v>
      </c>
      <c r="T1468" s="2" t="s">
        <v>520</v>
      </c>
      <c r="U1468" s="3">
        <v>4</v>
      </c>
      <c r="V1468" s="3">
        <v>4</v>
      </c>
      <c r="W1468" s="4" t="s">
        <v>17536</v>
      </c>
      <c r="X1468" s="4" t="s">
        <v>17536</v>
      </c>
      <c r="Y1468" s="4" t="s">
        <v>6092</v>
      </c>
      <c r="Z1468" s="4" t="s">
        <v>6092</v>
      </c>
      <c r="AA1468" s="3">
        <v>491</v>
      </c>
      <c r="AB1468" s="3">
        <v>410</v>
      </c>
      <c r="AC1468" s="3">
        <v>418</v>
      </c>
      <c r="AD1468" s="3">
        <v>1</v>
      </c>
      <c r="AE1468" s="3">
        <v>1</v>
      </c>
      <c r="AF1468" s="3">
        <v>16</v>
      </c>
      <c r="AG1468" s="3">
        <v>16</v>
      </c>
      <c r="AH1468" s="3">
        <v>7</v>
      </c>
      <c r="AI1468" s="3">
        <v>7</v>
      </c>
      <c r="AJ1468" s="3">
        <v>2</v>
      </c>
      <c r="AK1468" s="3">
        <v>2</v>
      </c>
      <c r="AL1468" s="3">
        <v>9</v>
      </c>
      <c r="AM1468" s="3">
        <v>9</v>
      </c>
      <c r="AN1468" s="3">
        <v>0</v>
      </c>
      <c r="AO1468" s="3">
        <v>0</v>
      </c>
      <c r="AP1468" s="3">
        <v>0</v>
      </c>
      <c r="AQ1468" s="3">
        <v>0</v>
      </c>
      <c r="AR1468" s="2" t="s">
        <v>5</v>
      </c>
      <c r="AS1468" s="2" t="s">
        <v>16</v>
      </c>
      <c r="AT1468" s="5" t="str">
        <f>HYPERLINK("http://catalog.hathitrust.org/Record/003998814","HathiTrust Record")</f>
        <v>HathiTrust Record</v>
      </c>
      <c r="AU1468" s="5" t="str">
        <f>HYPERLINK("https://creighton-primo.hosted.exlibrisgroup.com/primo-explore/search?tab=default_tab&amp;search_scope=EVERYTHING&amp;vid=01CRU&amp;lang=en_US&amp;offset=0&amp;query=any,contains,991001570749702656","Catalog Record")</f>
        <v>Catalog Record</v>
      </c>
      <c r="AV1468" s="5" t="str">
        <f>HYPERLINK("http://www.worldcat.org/oclc/39051025","WorldCat Record")</f>
        <v>WorldCat Record</v>
      </c>
      <c r="AW1468" s="2" t="s">
        <v>17537</v>
      </c>
      <c r="AX1468" s="2" t="s">
        <v>17538</v>
      </c>
      <c r="AY1468" s="2" t="s">
        <v>17539</v>
      </c>
      <c r="AZ1468" s="2" t="s">
        <v>17539</v>
      </c>
      <c r="BA1468" s="2" t="s">
        <v>17540</v>
      </c>
      <c r="BB1468" s="2" t="s">
        <v>21</v>
      </c>
      <c r="BD1468" s="2" t="s">
        <v>17541</v>
      </c>
      <c r="BE1468" s="2" t="s">
        <v>17542</v>
      </c>
      <c r="BF1468" s="2" t="s">
        <v>17543</v>
      </c>
    </row>
    <row r="1469" spans="1:58" ht="41.25" customHeight="1" x14ac:dyDescent="0.25">
      <c r="A1469" s="8" t="s">
        <v>5</v>
      </c>
      <c r="B1469" s="1" t="s">
        <v>0</v>
      </c>
      <c r="C1469" s="1" t="s">
        <v>1</v>
      </c>
      <c r="D1469" s="1" t="s">
        <v>17544</v>
      </c>
      <c r="E1469" s="1" t="s">
        <v>17545</v>
      </c>
      <c r="F1469" s="1" t="s">
        <v>17546</v>
      </c>
      <c r="H1469" s="2" t="s">
        <v>5</v>
      </c>
      <c r="I1469" s="2" t="s">
        <v>6</v>
      </c>
      <c r="J1469" s="2" t="s">
        <v>5</v>
      </c>
      <c r="K1469" s="2" t="s">
        <v>5</v>
      </c>
      <c r="L1469" s="2" t="s">
        <v>7</v>
      </c>
      <c r="N1469" s="1" t="s">
        <v>17547</v>
      </c>
      <c r="O1469" s="2" t="s">
        <v>1378</v>
      </c>
      <c r="Q1469" s="2" t="s">
        <v>11</v>
      </c>
      <c r="R1469" s="2" t="s">
        <v>271</v>
      </c>
      <c r="S1469" s="1" t="s">
        <v>6166</v>
      </c>
      <c r="T1469" s="2" t="s">
        <v>520</v>
      </c>
      <c r="U1469" s="3">
        <v>1</v>
      </c>
      <c r="V1469" s="3">
        <v>1</v>
      </c>
      <c r="W1469" s="4" t="s">
        <v>7490</v>
      </c>
      <c r="X1469" s="4" t="s">
        <v>7490</v>
      </c>
      <c r="Y1469" s="4" t="s">
        <v>17548</v>
      </c>
      <c r="Z1469" s="4" t="s">
        <v>17548</v>
      </c>
      <c r="AA1469" s="3">
        <v>331</v>
      </c>
      <c r="AB1469" s="3">
        <v>278</v>
      </c>
      <c r="AC1469" s="3">
        <v>281</v>
      </c>
      <c r="AD1469" s="3">
        <v>1</v>
      </c>
      <c r="AE1469" s="3">
        <v>1</v>
      </c>
      <c r="AF1469" s="3">
        <v>12</v>
      </c>
      <c r="AG1469" s="3">
        <v>12</v>
      </c>
      <c r="AH1469" s="3">
        <v>4</v>
      </c>
      <c r="AI1469" s="3">
        <v>4</v>
      </c>
      <c r="AJ1469" s="3">
        <v>4</v>
      </c>
      <c r="AK1469" s="3">
        <v>4</v>
      </c>
      <c r="AL1469" s="3">
        <v>7</v>
      </c>
      <c r="AM1469" s="3">
        <v>7</v>
      </c>
      <c r="AN1469" s="3">
        <v>0</v>
      </c>
      <c r="AO1469" s="3">
        <v>0</v>
      </c>
      <c r="AP1469" s="3">
        <v>0</v>
      </c>
      <c r="AQ1469" s="3">
        <v>0</v>
      </c>
      <c r="AR1469" s="2" t="s">
        <v>5</v>
      </c>
      <c r="AS1469" s="2" t="s">
        <v>16</v>
      </c>
      <c r="AT1469" s="5" t="str">
        <f>HYPERLINK("http://catalog.hathitrust.org/Record/003977754","HathiTrust Record")</f>
        <v>HathiTrust Record</v>
      </c>
      <c r="AU1469" s="5" t="str">
        <f>HYPERLINK("https://creighton-primo.hosted.exlibrisgroup.com/primo-explore/search?tab=default_tab&amp;search_scope=EVERYTHING&amp;vid=01CRU&amp;lang=en_US&amp;offset=0&amp;query=any,contains,991001557259702656","Catalog Record")</f>
        <v>Catalog Record</v>
      </c>
      <c r="AV1469" s="5" t="str">
        <f>HYPERLINK("http://www.worldcat.org/oclc/38528412","WorldCat Record")</f>
        <v>WorldCat Record</v>
      </c>
      <c r="AW1469" s="2" t="s">
        <v>17549</v>
      </c>
      <c r="AX1469" s="2" t="s">
        <v>17550</v>
      </c>
      <c r="AY1469" s="2" t="s">
        <v>17551</v>
      </c>
      <c r="AZ1469" s="2" t="s">
        <v>17551</v>
      </c>
      <c r="BA1469" s="2" t="s">
        <v>17552</v>
      </c>
      <c r="BB1469" s="2" t="s">
        <v>21</v>
      </c>
      <c r="BD1469" s="2" t="s">
        <v>17553</v>
      </c>
      <c r="BE1469" s="2" t="s">
        <v>17554</v>
      </c>
      <c r="BF1469" s="2" t="s">
        <v>17555</v>
      </c>
    </row>
    <row r="1470" spans="1:58" ht="41.25" customHeight="1" x14ac:dyDescent="0.25">
      <c r="A1470" s="8" t="s">
        <v>5</v>
      </c>
      <c r="B1470" s="1" t="s">
        <v>0</v>
      </c>
      <c r="C1470" s="1" t="s">
        <v>1</v>
      </c>
      <c r="D1470" s="1" t="s">
        <v>17556</v>
      </c>
      <c r="E1470" s="1" t="s">
        <v>17557</v>
      </c>
      <c r="F1470" s="1" t="s">
        <v>17558</v>
      </c>
      <c r="H1470" s="2" t="s">
        <v>5</v>
      </c>
      <c r="I1470" s="2" t="s">
        <v>6</v>
      </c>
      <c r="J1470" s="2" t="s">
        <v>5</v>
      </c>
      <c r="K1470" s="2" t="s">
        <v>5</v>
      </c>
      <c r="L1470" s="2" t="s">
        <v>7</v>
      </c>
      <c r="M1470" s="1" t="s">
        <v>17559</v>
      </c>
      <c r="N1470" s="1" t="s">
        <v>17560</v>
      </c>
      <c r="O1470" s="2" t="s">
        <v>1863</v>
      </c>
      <c r="Q1470" s="2" t="s">
        <v>11</v>
      </c>
      <c r="R1470" s="2" t="s">
        <v>31</v>
      </c>
      <c r="T1470" s="2" t="s">
        <v>520</v>
      </c>
      <c r="U1470" s="3">
        <v>0</v>
      </c>
      <c r="V1470" s="3">
        <v>0</v>
      </c>
      <c r="W1470" s="4" t="s">
        <v>9354</v>
      </c>
      <c r="X1470" s="4" t="s">
        <v>9354</v>
      </c>
      <c r="Y1470" s="4" t="s">
        <v>5117</v>
      </c>
      <c r="Z1470" s="4" t="s">
        <v>5117</v>
      </c>
      <c r="AA1470" s="3">
        <v>338</v>
      </c>
      <c r="AB1470" s="3">
        <v>248</v>
      </c>
      <c r="AC1470" s="3">
        <v>257</v>
      </c>
      <c r="AD1470" s="3">
        <v>1</v>
      </c>
      <c r="AE1470" s="3">
        <v>1</v>
      </c>
      <c r="AF1470" s="3">
        <v>10</v>
      </c>
      <c r="AG1470" s="3">
        <v>10</v>
      </c>
      <c r="AH1470" s="3">
        <v>2</v>
      </c>
      <c r="AI1470" s="3">
        <v>2</v>
      </c>
      <c r="AJ1470" s="3">
        <v>3</v>
      </c>
      <c r="AK1470" s="3">
        <v>3</v>
      </c>
      <c r="AL1470" s="3">
        <v>7</v>
      </c>
      <c r="AM1470" s="3">
        <v>7</v>
      </c>
      <c r="AN1470" s="3">
        <v>0</v>
      </c>
      <c r="AO1470" s="3">
        <v>0</v>
      </c>
      <c r="AP1470" s="3">
        <v>0</v>
      </c>
      <c r="AQ1470" s="3">
        <v>0</v>
      </c>
      <c r="AR1470" s="2" t="s">
        <v>5</v>
      </c>
      <c r="AS1470" s="2" t="s">
        <v>16</v>
      </c>
      <c r="AT1470" s="5" t="str">
        <f>HYPERLINK("http://catalog.hathitrust.org/Record/008744954","HathiTrust Record")</f>
        <v>HathiTrust Record</v>
      </c>
      <c r="AU1470" s="5" t="str">
        <f>HYPERLINK("https://creighton-primo.hosted.exlibrisgroup.com/primo-explore/search?tab=default_tab&amp;search_scope=EVERYTHING&amp;vid=01CRU&amp;lang=en_US&amp;offset=0&amp;query=any,contains,991000318839702656","Catalog Record")</f>
        <v>Catalog Record</v>
      </c>
      <c r="AV1470" s="5" t="str">
        <f>HYPERLINK("http://www.worldcat.org/oclc/45595802","WorldCat Record")</f>
        <v>WorldCat Record</v>
      </c>
      <c r="AW1470" s="2" t="s">
        <v>17561</v>
      </c>
      <c r="AX1470" s="2" t="s">
        <v>17562</v>
      </c>
      <c r="AY1470" s="2" t="s">
        <v>17563</v>
      </c>
      <c r="AZ1470" s="2" t="s">
        <v>17563</v>
      </c>
      <c r="BA1470" s="2" t="s">
        <v>17564</v>
      </c>
      <c r="BB1470" s="2" t="s">
        <v>21</v>
      </c>
      <c r="BD1470" s="2" t="s">
        <v>17565</v>
      </c>
      <c r="BE1470" s="2" t="s">
        <v>17566</v>
      </c>
      <c r="BF1470" s="2" t="s">
        <v>17567</v>
      </c>
    </row>
    <row r="1471" spans="1:58" ht="41.25" customHeight="1" x14ac:dyDescent="0.25">
      <c r="A1471" s="8" t="s">
        <v>5</v>
      </c>
      <c r="B1471" s="1" t="s">
        <v>0</v>
      </c>
      <c r="C1471" s="1" t="s">
        <v>1</v>
      </c>
      <c r="D1471" s="1" t="s">
        <v>17568</v>
      </c>
      <c r="E1471" s="1" t="s">
        <v>17569</v>
      </c>
      <c r="F1471" s="1" t="s">
        <v>17570</v>
      </c>
      <c r="H1471" s="2" t="s">
        <v>5</v>
      </c>
      <c r="I1471" s="2" t="s">
        <v>6</v>
      </c>
      <c r="J1471" s="2" t="s">
        <v>5</v>
      </c>
      <c r="K1471" s="2" t="s">
        <v>16</v>
      </c>
      <c r="L1471" s="2" t="s">
        <v>7</v>
      </c>
      <c r="N1471" s="1" t="s">
        <v>17571</v>
      </c>
      <c r="O1471" s="2" t="s">
        <v>1195</v>
      </c>
      <c r="P1471" s="1" t="s">
        <v>901</v>
      </c>
      <c r="Q1471" s="2" t="s">
        <v>11</v>
      </c>
      <c r="R1471" s="2" t="s">
        <v>12</v>
      </c>
      <c r="T1471" s="2" t="s">
        <v>520</v>
      </c>
      <c r="U1471" s="3">
        <v>4</v>
      </c>
      <c r="V1471" s="3">
        <v>4</v>
      </c>
      <c r="W1471" s="4" t="s">
        <v>17524</v>
      </c>
      <c r="X1471" s="4" t="s">
        <v>17524</v>
      </c>
      <c r="Y1471" s="4" t="s">
        <v>9800</v>
      </c>
      <c r="Z1471" s="4" t="s">
        <v>9800</v>
      </c>
      <c r="AA1471" s="3">
        <v>442</v>
      </c>
      <c r="AB1471" s="3">
        <v>388</v>
      </c>
      <c r="AC1471" s="3">
        <v>941</v>
      </c>
      <c r="AD1471" s="3">
        <v>1</v>
      </c>
      <c r="AE1471" s="3">
        <v>6</v>
      </c>
      <c r="AF1471" s="3">
        <v>19</v>
      </c>
      <c r="AG1471" s="3">
        <v>36</v>
      </c>
      <c r="AH1471" s="3">
        <v>9</v>
      </c>
      <c r="AI1471" s="3">
        <v>17</v>
      </c>
      <c r="AJ1471" s="3">
        <v>4</v>
      </c>
      <c r="AK1471" s="3">
        <v>7</v>
      </c>
      <c r="AL1471" s="3">
        <v>10</v>
      </c>
      <c r="AM1471" s="3">
        <v>13</v>
      </c>
      <c r="AN1471" s="3">
        <v>0</v>
      </c>
      <c r="AO1471" s="3">
        <v>5</v>
      </c>
      <c r="AP1471" s="3">
        <v>0</v>
      </c>
      <c r="AQ1471" s="3">
        <v>1</v>
      </c>
      <c r="AR1471" s="2" t="s">
        <v>5</v>
      </c>
      <c r="AS1471" s="2" t="s">
        <v>16</v>
      </c>
      <c r="AT1471" s="5" t="str">
        <f>HYPERLINK("http://catalog.hathitrust.org/Record/004078453","HathiTrust Record")</f>
        <v>HathiTrust Record</v>
      </c>
      <c r="AU1471" s="5" t="str">
        <f>HYPERLINK("https://creighton-primo.hosted.exlibrisgroup.com/primo-explore/search?tab=default_tab&amp;search_scope=EVERYTHING&amp;vid=01CRU&amp;lang=en_US&amp;offset=0&amp;query=any,contains,991001440009702656","Catalog Record")</f>
        <v>Catalog Record</v>
      </c>
      <c r="AV1471" s="5" t="str">
        <f>HYPERLINK("http://www.worldcat.org/oclc/41482506","WorldCat Record")</f>
        <v>WorldCat Record</v>
      </c>
      <c r="AW1471" s="2" t="s">
        <v>17572</v>
      </c>
      <c r="AX1471" s="2" t="s">
        <v>17573</v>
      </c>
      <c r="AY1471" s="2" t="s">
        <v>17574</v>
      </c>
      <c r="AZ1471" s="2" t="s">
        <v>17574</v>
      </c>
      <c r="BA1471" s="2" t="s">
        <v>17575</v>
      </c>
      <c r="BB1471" s="2" t="s">
        <v>21</v>
      </c>
      <c r="BD1471" s="2" t="s">
        <v>17576</v>
      </c>
      <c r="BE1471" s="2" t="s">
        <v>17577</v>
      </c>
      <c r="BF1471" s="2" t="s">
        <v>17578</v>
      </c>
    </row>
    <row r="1472" spans="1:58" ht="41.25" customHeight="1" x14ac:dyDescent="0.25">
      <c r="A1472" s="8" t="s">
        <v>5</v>
      </c>
      <c r="B1472" s="1" t="s">
        <v>0</v>
      </c>
      <c r="C1472" s="1" t="s">
        <v>1</v>
      </c>
      <c r="D1472" s="1" t="s">
        <v>17579</v>
      </c>
      <c r="E1472" s="1" t="s">
        <v>17580</v>
      </c>
      <c r="F1472" s="1" t="s">
        <v>17581</v>
      </c>
      <c r="H1472" s="2" t="s">
        <v>5</v>
      </c>
      <c r="I1472" s="2" t="s">
        <v>6</v>
      </c>
      <c r="J1472" s="2" t="s">
        <v>5</v>
      </c>
      <c r="K1472" s="2" t="s">
        <v>5</v>
      </c>
      <c r="L1472" s="2" t="s">
        <v>7</v>
      </c>
      <c r="N1472" s="1" t="s">
        <v>17582</v>
      </c>
      <c r="O1472" s="2" t="s">
        <v>1195</v>
      </c>
      <c r="Q1472" s="2" t="s">
        <v>11</v>
      </c>
      <c r="R1472" s="2" t="s">
        <v>3571</v>
      </c>
      <c r="T1472" s="2" t="s">
        <v>520</v>
      </c>
      <c r="U1472" s="3">
        <v>2</v>
      </c>
      <c r="V1472" s="3">
        <v>2</v>
      </c>
      <c r="W1472" s="4" t="s">
        <v>9354</v>
      </c>
      <c r="X1472" s="4" t="s">
        <v>9354</v>
      </c>
      <c r="Y1472" s="4" t="s">
        <v>17583</v>
      </c>
      <c r="Z1472" s="4" t="s">
        <v>17583</v>
      </c>
      <c r="AA1472" s="3">
        <v>152</v>
      </c>
      <c r="AB1472" s="3">
        <v>68</v>
      </c>
      <c r="AC1472" s="3">
        <v>126</v>
      </c>
      <c r="AD1472" s="3">
        <v>1</v>
      </c>
      <c r="AE1472" s="3">
        <v>1</v>
      </c>
      <c r="AF1472" s="3">
        <v>1</v>
      </c>
      <c r="AG1472" s="3">
        <v>3</v>
      </c>
      <c r="AH1472" s="3">
        <v>0</v>
      </c>
      <c r="AI1472" s="3">
        <v>0</v>
      </c>
      <c r="AJ1472" s="3">
        <v>0</v>
      </c>
      <c r="AK1472" s="3">
        <v>1</v>
      </c>
      <c r="AL1472" s="3">
        <v>1</v>
      </c>
      <c r="AM1472" s="3">
        <v>2</v>
      </c>
      <c r="AN1472" s="3">
        <v>0</v>
      </c>
      <c r="AO1472" s="3">
        <v>0</v>
      </c>
      <c r="AP1472" s="3">
        <v>0</v>
      </c>
      <c r="AQ1472" s="3">
        <v>0</v>
      </c>
      <c r="AR1472" s="2" t="s">
        <v>5</v>
      </c>
      <c r="AS1472" s="2" t="s">
        <v>5</v>
      </c>
      <c r="AU1472" s="5" t="str">
        <f>HYPERLINK("https://creighton-primo.hosted.exlibrisgroup.com/primo-explore/search?tab=default_tab&amp;search_scope=EVERYTHING&amp;vid=01CRU&amp;lang=en_US&amp;offset=0&amp;query=any,contains,991000318529702656","Catalog Record")</f>
        <v>Catalog Record</v>
      </c>
      <c r="AV1472" s="5" t="str">
        <f>HYPERLINK("http://www.worldcat.org/oclc/45244070","WorldCat Record")</f>
        <v>WorldCat Record</v>
      </c>
      <c r="AW1472" s="2" t="s">
        <v>17584</v>
      </c>
      <c r="AX1472" s="2" t="s">
        <v>17585</v>
      </c>
      <c r="AY1472" s="2" t="s">
        <v>17586</v>
      </c>
      <c r="AZ1472" s="2" t="s">
        <v>17586</v>
      </c>
      <c r="BA1472" s="2" t="s">
        <v>17587</v>
      </c>
      <c r="BB1472" s="2" t="s">
        <v>21</v>
      </c>
      <c r="BD1472" s="2" t="s">
        <v>17588</v>
      </c>
      <c r="BE1472" s="2" t="s">
        <v>17589</v>
      </c>
      <c r="BF1472" s="2" t="s">
        <v>17590</v>
      </c>
    </row>
    <row r="1473" spans="1:58" ht="41.25" customHeight="1" x14ac:dyDescent="0.25">
      <c r="A1473" s="8" t="s">
        <v>5</v>
      </c>
      <c r="B1473" s="1" t="s">
        <v>0</v>
      </c>
      <c r="C1473" s="1" t="s">
        <v>1</v>
      </c>
      <c r="D1473" s="1" t="s">
        <v>17591</v>
      </c>
      <c r="E1473" s="1" t="s">
        <v>17592</v>
      </c>
      <c r="F1473" s="1" t="s">
        <v>17593</v>
      </c>
      <c r="H1473" s="2" t="s">
        <v>5</v>
      </c>
      <c r="I1473" s="2" t="s">
        <v>6</v>
      </c>
      <c r="J1473" s="2" t="s">
        <v>5</v>
      </c>
      <c r="K1473" s="2" t="s">
        <v>5</v>
      </c>
      <c r="L1473" s="2" t="s">
        <v>7</v>
      </c>
      <c r="N1473" s="1" t="s">
        <v>3451</v>
      </c>
      <c r="O1473" s="2" t="s">
        <v>872</v>
      </c>
      <c r="Q1473" s="2" t="s">
        <v>11</v>
      </c>
      <c r="R1473" s="2" t="s">
        <v>426</v>
      </c>
      <c r="S1473" s="1" t="s">
        <v>17594</v>
      </c>
      <c r="T1473" s="2" t="s">
        <v>520</v>
      </c>
      <c r="U1473" s="3">
        <v>3</v>
      </c>
      <c r="V1473" s="3">
        <v>3</v>
      </c>
      <c r="W1473" s="4" t="s">
        <v>17595</v>
      </c>
      <c r="X1473" s="4" t="s">
        <v>17595</v>
      </c>
      <c r="Y1473" s="4" t="s">
        <v>8868</v>
      </c>
      <c r="Z1473" s="4" t="s">
        <v>8868</v>
      </c>
      <c r="AA1473" s="3">
        <v>133</v>
      </c>
      <c r="AB1473" s="3">
        <v>117</v>
      </c>
      <c r="AC1473" s="3">
        <v>119</v>
      </c>
      <c r="AD1473" s="3">
        <v>1</v>
      </c>
      <c r="AE1473" s="3">
        <v>1</v>
      </c>
      <c r="AF1473" s="3">
        <v>5</v>
      </c>
      <c r="AG1473" s="3">
        <v>5</v>
      </c>
      <c r="AH1473" s="3">
        <v>1</v>
      </c>
      <c r="AI1473" s="3">
        <v>1</v>
      </c>
      <c r="AJ1473" s="3">
        <v>1</v>
      </c>
      <c r="AK1473" s="3">
        <v>1</v>
      </c>
      <c r="AL1473" s="3">
        <v>3</v>
      </c>
      <c r="AM1473" s="3">
        <v>3</v>
      </c>
      <c r="AN1473" s="3">
        <v>0</v>
      </c>
      <c r="AO1473" s="3">
        <v>0</v>
      </c>
      <c r="AP1473" s="3">
        <v>0</v>
      </c>
      <c r="AQ1473" s="3">
        <v>0</v>
      </c>
      <c r="AR1473" s="2" t="s">
        <v>5</v>
      </c>
      <c r="AS1473" s="2" t="s">
        <v>16</v>
      </c>
      <c r="AT1473" s="5" t="str">
        <f>HYPERLINK("http://catalog.hathitrust.org/Record/001087086","HathiTrust Record")</f>
        <v>HathiTrust Record</v>
      </c>
      <c r="AU1473" s="5" t="str">
        <f>HYPERLINK("https://creighton-primo.hosted.exlibrisgroup.com/primo-explore/search?tab=default_tab&amp;search_scope=EVERYTHING&amp;vid=01CRU&amp;lang=en_US&amp;offset=0&amp;query=any,contains,991001252249702656","Catalog Record")</f>
        <v>Catalog Record</v>
      </c>
      <c r="AV1473" s="5" t="str">
        <f>HYPERLINK("http://www.worldcat.org/oclc/18442197","WorldCat Record")</f>
        <v>WorldCat Record</v>
      </c>
      <c r="AW1473" s="2" t="s">
        <v>17596</v>
      </c>
      <c r="AX1473" s="2" t="s">
        <v>17597</v>
      </c>
      <c r="AY1473" s="2" t="s">
        <v>17598</v>
      </c>
      <c r="AZ1473" s="2" t="s">
        <v>17598</v>
      </c>
      <c r="BA1473" s="2" t="s">
        <v>17599</v>
      </c>
      <c r="BB1473" s="2" t="s">
        <v>21</v>
      </c>
      <c r="BD1473" s="2" t="s">
        <v>17600</v>
      </c>
      <c r="BE1473" s="2" t="s">
        <v>17601</v>
      </c>
      <c r="BF1473" s="2" t="s">
        <v>17602</v>
      </c>
    </row>
    <row r="1474" spans="1:58" ht="41.25" customHeight="1" x14ac:dyDescent="0.25">
      <c r="A1474" s="8" t="s">
        <v>5</v>
      </c>
      <c r="B1474" s="1" t="s">
        <v>0</v>
      </c>
      <c r="C1474" s="1" t="s">
        <v>1</v>
      </c>
      <c r="D1474" s="1" t="s">
        <v>17603</v>
      </c>
      <c r="E1474" s="1" t="s">
        <v>17604</v>
      </c>
      <c r="F1474" s="1" t="s">
        <v>17605</v>
      </c>
      <c r="H1474" s="2" t="s">
        <v>5</v>
      </c>
      <c r="I1474" s="2" t="s">
        <v>6</v>
      </c>
      <c r="J1474" s="2" t="s">
        <v>5</v>
      </c>
      <c r="K1474" s="2" t="s">
        <v>5</v>
      </c>
      <c r="L1474" s="2" t="s">
        <v>7</v>
      </c>
      <c r="M1474" s="1" t="s">
        <v>17606</v>
      </c>
      <c r="N1474" s="1" t="s">
        <v>5017</v>
      </c>
      <c r="O1474" s="2" t="s">
        <v>1004</v>
      </c>
      <c r="Q1474" s="2" t="s">
        <v>11</v>
      </c>
      <c r="R1474" s="2" t="s">
        <v>78</v>
      </c>
      <c r="T1474" s="2" t="s">
        <v>520</v>
      </c>
      <c r="U1474" s="3">
        <v>2</v>
      </c>
      <c r="V1474" s="3">
        <v>2</v>
      </c>
      <c r="W1474" s="4" t="s">
        <v>17607</v>
      </c>
      <c r="X1474" s="4" t="s">
        <v>17607</v>
      </c>
      <c r="Y1474" s="4" t="s">
        <v>2140</v>
      </c>
      <c r="Z1474" s="4" t="s">
        <v>2140</v>
      </c>
      <c r="AA1474" s="3">
        <v>508</v>
      </c>
      <c r="AB1474" s="3">
        <v>381</v>
      </c>
      <c r="AC1474" s="3">
        <v>389</v>
      </c>
      <c r="AD1474" s="3">
        <v>5</v>
      </c>
      <c r="AE1474" s="3">
        <v>5</v>
      </c>
      <c r="AF1474" s="3">
        <v>17</v>
      </c>
      <c r="AG1474" s="3">
        <v>17</v>
      </c>
      <c r="AH1474" s="3">
        <v>7</v>
      </c>
      <c r="AI1474" s="3">
        <v>7</v>
      </c>
      <c r="AJ1474" s="3">
        <v>1</v>
      </c>
      <c r="AK1474" s="3">
        <v>1</v>
      </c>
      <c r="AL1474" s="3">
        <v>7</v>
      </c>
      <c r="AM1474" s="3">
        <v>7</v>
      </c>
      <c r="AN1474" s="3">
        <v>4</v>
      </c>
      <c r="AO1474" s="3">
        <v>4</v>
      </c>
      <c r="AP1474" s="3">
        <v>0</v>
      </c>
      <c r="AQ1474" s="3">
        <v>0</v>
      </c>
      <c r="AR1474" s="2" t="s">
        <v>5</v>
      </c>
      <c r="AS1474" s="2" t="s">
        <v>16</v>
      </c>
      <c r="AT1474" s="5" t="str">
        <f>HYPERLINK("http://catalog.hathitrust.org/Record/004011234","HathiTrust Record")</f>
        <v>HathiTrust Record</v>
      </c>
      <c r="AU1474" s="5" t="str">
        <f>HYPERLINK("https://creighton-primo.hosted.exlibrisgroup.com/primo-explore/search?tab=default_tab&amp;search_scope=EVERYTHING&amp;vid=01CRU&amp;lang=en_US&amp;offset=0&amp;query=any,contains,991000319879702656","Catalog Record")</f>
        <v>Catalog Record</v>
      </c>
      <c r="AV1474" s="5" t="str">
        <f>HYPERLINK("http://www.worldcat.org/oclc/38486275","WorldCat Record")</f>
        <v>WorldCat Record</v>
      </c>
      <c r="AW1474" s="2" t="s">
        <v>17608</v>
      </c>
      <c r="AX1474" s="2" t="s">
        <v>17609</v>
      </c>
      <c r="AY1474" s="2" t="s">
        <v>17610</v>
      </c>
      <c r="AZ1474" s="2" t="s">
        <v>17610</v>
      </c>
      <c r="BA1474" s="2" t="s">
        <v>17611</v>
      </c>
      <c r="BB1474" s="2" t="s">
        <v>21</v>
      </c>
      <c r="BD1474" s="2" t="s">
        <v>17612</v>
      </c>
      <c r="BE1474" s="2" t="s">
        <v>17613</v>
      </c>
      <c r="BF1474" s="2" t="s">
        <v>17614</v>
      </c>
    </row>
    <row r="1475" spans="1:58" ht="41.25" customHeight="1" x14ac:dyDescent="0.25">
      <c r="A1475" s="8" t="s">
        <v>5</v>
      </c>
      <c r="B1475" s="1" t="s">
        <v>0</v>
      </c>
      <c r="C1475" s="1" t="s">
        <v>1</v>
      </c>
      <c r="D1475" s="1" t="s">
        <v>17615</v>
      </c>
      <c r="E1475" s="1" t="s">
        <v>17616</v>
      </c>
      <c r="F1475" s="1" t="s">
        <v>17617</v>
      </c>
      <c r="H1475" s="2" t="s">
        <v>5</v>
      </c>
      <c r="I1475" s="2" t="s">
        <v>6</v>
      </c>
      <c r="J1475" s="2" t="s">
        <v>5</v>
      </c>
      <c r="K1475" s="2" t="s">
        <v>16</v>
      </c>
      <c r="L1475" s="2" t="s">
        <v>7</v>
      </c>
      <c r="M1475" s="1" t="s">
        <v>17618</v>
      </c>
      <c r="N1475" s="1" t="s">
        <v>2250</v>
      </c>
      <c r="O1475" s="2" t="s">
        <v>228</v>
      </c>
      <c r="P1475" s="1" t="s">
        <v>1208</v>
      </c>
      <c r="Q1475" s="2" t="s">
        <v>11</v>
      </c>
      <c r="R1475" s="2" t="s">
        <v>426</v>
      </c>
      <c r="T1475" s="2" t="s">
        <v>520</v>
      </c>
      <c r="U1475" s="3">
        <v>12</v>
      </c>
      <c r="V1475" s="3">
        <v>12</v>
      </c>
      <c r="W1475" s="4" t="s">
        <v>17619</v>
      </c>
      <c r="X1475" s="4" t="s">
        <v>17619</v>
      </c>
      <c r="Y1475" s="4" t="s">
        <v>14808</v>
      </c>
      <c r="Z1475" s="4" t="s">
        <v>14808</v>
      </c>
      <c r="AA1475" s="3">
        <v>38</v>
      </c>
      <c r="AB1475" s="3">
        <v>37</v>
      </c>
      <c r="AC1475" s="3">
        <v>288</v>
      </c>
      <c r="AD1475" s="3">
        <v>1</v>
      </c>
      <c r="AE1475" s="3">
        <v>2</v>
      </c>
      <c r="AF1475" s="3">
        <v>0</v>
      </c>
      <c r="AG1475" s="3">
        <v>8</v>
      </c>
      <c r="AH1475" s="3">
        <v>0</v>
      </c>
      <c r="AI1475" s="3">
        <v>3</v>
      </c>
      <c r="AJ1475" s="3">
        <v>0</v>
      </c>
      <c r="AK1475" s="3">
        <v>1</v>
      </c>
      <c r="AL1475" s="3">
        <v>0</v>
      </c>
      <c r="AM1475" s="3">
        <v>3</v>
      </c>
      <c r="AN1475" s="3">
        <v>0</v>
      </c>
      <c r="AO1475" s="3">
        <v>1</v>
      </c>
      <c r="AP1475" s="3">
        <v>0</v>
      </c>
      <c r="AQ1475" s="3">
        <v>0</v>
      </c>
      <c r="AR1475" s="2" t="s">
        <v>5</v>
      </c>
      <c r="AS1475" s="2" t="s">
        <v>5</v>
      </c>
      <c r="AU1475" s="5" t="str">
        <f>HYPERLINK("https://creighton-primo.hosted.exlibrisgroup.com/primo-explore/search?tab=default_tab&amp;search_scope=EVERYTHING&amp;vid=01CRU&amp;lang=en_US&amp;offset=0&amp;query=any,contains,991000734009702656","Catalog Record")</f>
        <v>Catalog Record</v>
      </c>
      <c r="AV1475" s="5" t="str">
        <f>HYPERLINK("http://www.worldcat.org/oclc/7740151","WorldCat Record")</f>
        <v>WorldCat Record</v>
      </c>
      <c r="AW1475" s="2" t="s">
        <v>17620</v>
      </c>
      <c r="AX1475" s="2" t="s">
        <v>17621</v>
      </c>
      <c r="AY1475" s="2" t="s">
        <v>17622</v>
      </c>
      <c r="AZ1475" s="2" t="s">
        <v>17622</v>
      </c>
      <c r="BA1475" s="2" t="s">
        <v>17623</v>
      </c>
      <c r="BB1475" s="2" t="s">
        <v>21</v>
      </c>
      <c r="BD1475" s="2" t="s">
        <v>17624</v>
      </c>
      <c r="BE1475" s="2" t="s">
        <v>17625</v>
      </c>
      <c r="BF1475" s="2" t="s">
        <v>17626</v>
      </c>
    </row>
    <row r="1476" spans="1:58" ht="41.25" customHeight="1" x14ac:dyDescent="0.25">
      <c r="A1476" s="8" t="s">
        <v>5</v>
      </c>
      <c r="B1476" s="1" t="s">
        <v>0</v>
      </c>
      <c r="C1476" s="1" t="s">
        <v>1</v>
      </c>
      <c r="D1476" s="1" t="s">
        <v>17627</v>
      </c>
      <c r="E1476" s="1" t="s">
        <v>17628</v>
      </c>
      <c r="F1476" s="1" t="s">
        <v>17629</v>
      </c>
      <c r="H1476" s="2" t="s">
        <v>5</v>
      </c>
      <c r="I1476" s="2" t="s">
        <v>6</v>
      </c>
      <c r="J1476" s="2" t="s">
        <v>5</v>
      </c>
      <c r="K1476" s="2" t="s">
        <v>5</v>
      </c>
      <c r="L1476" s="2" t="s">
        <v>7</v>
      </c>
      <c r="M1476" s="1" t="s">
        <v>17630</v>
      </c>
      <c r="N1476" s="1" t="s">
        <v>14694</v>
      </c>
      <c r="O1476" s="2" t="s">
        <v>1060</v>
      </c>
      <c r="P1476" s="1" t="s">
        <v>211</v>
      </c>
      <c r="Q1476" s="2" t="s">
        <v>11</v>
      </c>
      <c r="R1476" s="2" t="s">
        <v>12</v>
      </c>
      <c r="T1476" s="2" t="s">
        <v>520</v>
      </c>
      <c r="U1476" s="3">
        <v>1</v>
      </c>
      <c r="V1476" s="3">
        <v>1</v>
      </c>
      <c r="W1476" s="4" t="s">
        <v>17631</v>
      </c>
      <c r="X1476" s="4" t="s">
        <v>17631</v>
      </c>
      <c r="Y1476" s="4" t="s">
        <v>17632</v>
      </c>
      <c r="Z1476" s="4" t="s">
        <v>17632</v>
      </c>
      <c r="AA1476" s="3">
        <v>295</v>
      </c>
      <c r="AB1476" s="3">
        <v>232</v>
      </c>
      <c r="AC1476" s="3">
        <v>236</v>
      </c>
      <c r="AD1476" s="3">
        <v>2</v>
      </c>
      <c r="AE1476" s="3">
        <v>2</v>
      </c>
      <c r="AF1476" s="3">
        <v>12</v>
      </c>
      <c r="AG1476" s="3">
        <v>12</v>
      </c>
      <c r="AH1476" s="3">
        <v>5</v>
      </c>
      <c r="AI1476" s="3">
        <v>5</v>
      </c>
      <c r="AJ1476" s="3">
        <v>1</v>
      </c>
      <c r="AK1476" s="3">
        <v>1</v>
      </c>
      <c r="AL1476" s="3">
        <v>7</v>
      </c>
      <c r="AM1476" s="3">
        <v>7</v>
      </c>
      <c r="AN1476" s="3">
        <v>1</v>
      </c>
      <c r="AO1476" s="3">
        <v>1</v>
      </c>
      <c r="AP1476" s="3">
        <v>0</v>
      </c>
      <c r="AQ1476" s="3">
        <v>0</v>
      </c>
      <c r="AR1476" s="2" t="s">
        <v>5</v>
      </c>
      <c r="AS1476" s="2" t="s">
        <v>5</v>
      </c>
      <c r="AU1476" s="5" t="str">
        <f>HYPERLINK("https://creighton-primo.hosted.exlibrisgroup.com/primo-explore/search?tab=default_tab&amp;search_scope=EVERYTHING&amp;vid=01CRU&amp;lang=en_US&amp;offset=0&amp;query=any,contains,991000543839702656","Catalog Record")</f>
        <v>Catalog Record</v>
      </c>
      <c r="AV1476" s="5" t="str">
        <f>HYPERLINK("http://www.worldcat.org/oclc/52128240","WorldCat Record")</f>
        <v>WorldCat Record</v>
      </c>
      <c r="AW1476" s="2" t="s">
        <v>17633</v>
      </c>
      <c r="AX1476" s="2" t="s">
        <v>17634</v>
      </c>
      <c r="AY1476" s="2" t="s">
        <v>17635</v>
      </c>
      <c r="AZ1476" s="2" t="s">
        <v>17635</v>
      </c>
      <c r="BA1476" s="2" t="s">
        <v>17636</v>
      </c>
      <c r="BB1476" s="2" t="s">
        <v>21</v>
      </c>
      <c r="BD1476" s="2" t="s">
        <v>17637</v>
      </c>
      <c r="BE1476" s="2" t="s">
        <v>17638</v>
      </c>
      <c r="BF1476" s="2" t="s">
        <v>17639</v>
      </c>
    </row>
    <row r="1477" spans="1:58" ht="41.25" customHeight="1" x14ac:dyDescent="0.25">
      <c r="A1477" s="8" t="s">
        <v>5</v>
      </c>
      <c r="B1477" s="1" t="s">
        <v>0</v>
      </c>
      <c r="C1477" s="1" t="s">
        <v>1</v>
      </c>
      <c r="D1477" s="1" t="s">
        <v>17640</v>
      </c>
      <c r="E1477" s="1" t="s">
        <v>17641</v>
      </c>
      <c r="F1477" s="1" t="s">
        <v>17642</v>
      </c>
      <c r="H1477" s="2" t="s">
        <v>5</v>
      </c>
      <c r="I1477" s="2" t="s">
        <v>6</v>
      </c>
      <c r="J1477" s="2" t="s">
        <v>5</v>
      </c>
      <c r="K1477" s="2" t="s">
        <v>5</v>
      </c>
      <c r="L1477" s="2" t="s">
        <v>7</v>
      </c>
      <c r="N1477" s="1" t="s">
        <v>8637</v>
      </c>
      <c r="O1477" s="2" t="s">
        <v>393</v>
      </c>
      <c r="Q1477" s="2" t="s">
        <v>11</v>
      </c>
      <c r="R1477" s="2" t="s">
        <v>426</v>
      </c>
      <c r="T1477" s="2" t="s">
        <v>520</v>
      </c>
      <c r="U1477" s="3">
        <v>3</v>
      </c>
      <c r="V1477" s="3">
        <v>3</v>
      </c>
      <c r="W1477" s="4" t="s">
        <v>12194</v>
      </c>
      <c r="X1477" s="4" t="s">
        <v>12194</v>
      </c>
      <c r="Y1477" s="4" t="s">
        <v>15</v>
      </c>
      <c r="Z1477" s="4" t="s">
        <v>15</v>
      </c>
      <c r="AA1477" s="3">
        <v>151</v>
      </c>
      <c r="AB1477" s="3">
        <v>122</v>
      </c>
      <c r="AC1477" s="3">
        <v>122</v>
      </c>
      <c r="AD1477" s="3">
        <v>3</v>
      </c>
      <c r="AE1477" s="3">
        <v>3</v>
      </c>
      <c r="AF1477" s="3">
        <v>5</v>
      </c>
      <c r="AG1477" s="3">
        <v>5</v>
      </c>
      <c r="AH1477" s="3">
        <v>1</v>
      </c>
      <c r="AI1477" s="3">
        <v>1</v>
      </c>
      <c r="AJ1477" s="3">
        <v>1</v>
      </c>
      <c r="AK1477" s="3">
        <v>1</v>
      </c>
      <c r="AL1477" s="3">
        <v>2</v>
      </c>
      <c r="AM1477" s="3">
        <v>2</v>
      </c>
      <c r="AN1477" s="3">
        <v>1</v>
      </c>
      <c r="AO1477" s="3">
        <v>1</v>
      </c>
      <c r="AP1477" s="3">
        <v>0</v>
      </c>
      <c r="AQ1477" s="3">
        <v>0</v>
      </c>
      <c r="AR1477" s="2" t="s">
        <v>5</v>
      </c>
      <c r="AS1477" s="2" t="s">
        <v>5</v>
      </c>
      <c r="AU1477" s="5" t="str">
        <f>HYPERLINK("https://creighton-primo.hosted.exlibrisgroup.com/primo-explore/search?tab=default_tab&amp;search_scope=EVERYTHING&amp;vid=01CRU&amp;lang=en_US&amp;offset=0&amp;query=any,contains,991000866039702656","Catalog Record")</f>
        <v>Catalog Record</v>
      </c>
      <c r="AV1477" s="5" t="str">
        <f>HYPERLINK("http://www.worldcat.org/oclc/7197110","WorldCat Record")</f>
        <v>WorldCat Record</v>
      </c>
      <c r="AW1477" s="2" t="s">
        <v>17643</v>
      </c>
      <c r="AX1477" s="2" t="s">
        <v>17644</v>
      </c>
      <c r="AY1477" s="2" t="s">
        <v>17645</v>
      </c>
      <c r="AZ1477" s="2" t="s">
        <v>17645</v>
      </c>
      <c r="BA1477" s="2" t="s">
        <v>17646</v>
      </c>
      <c r="BB1477" s="2" t="s">
        <v>21</v>
      </c>
      <c r="BD1477" s="2" t="s">
        <v>17647</v>
      </c>
      <c r="BE1477" s="2" t="s">
        <v>17648</v>
      </c>
      <c r="BF1477" s="2" t="s">
        <v>17649</v>
      </c>
    </row>
    <row r="1478" spans="1:58" ht="41.25" customHeight="1" x14ac:dyDescent="0.25">
      <c r="A1478" s="8" t="s">
        <v>5</v>
      </c>
      <c r="B1478" s="1" t="s">
        <v>0</v>
      </c>
      <c r="C1478" s="1" t="s">
        <v>1</v>
      </c>
      <c r="D1478" s="1" t="s">
        <v>17650</v>
      </c>
      <c r="E1478" s="1" t="s">
        <v>17651</v>
      </c>
      <c r="F1478" s="1" t="s">
        <v>17652</v>
      </c>
      <c r="H1478" s="2" t="s">
        <v>5</v>
      </c>
      <c r="I1478" s="2" t="s">
        <v>6</v>
      </c>
      <c r="J1478" s="2" t="s">
        <v>5</v>
      </c>
      <c r="K1478" s="2" t="s">
        <v>5</v>
      </c>
      <c r="L1478" s="2" t="s">
        <v>7</v>
      </c>
      <c r="M1478" s="1" t="s">
        <v>17653</v>
      </c>
      <c r="N1478" s="1" t="s">
        <v>5017</v>
      </c>
      <c r="O1478" s="2" t="s">
        <v>1004</v>
      </c>
      <c r="P1478" s="1" t="s">
        <v>355</v>
      </c>
      <c r="Q1478" s="2" t="s">
        <v>11</v>
      </c>
      <c r="R1478" s="2" t="s">
        <v>78</v>
      </c>
      <c r="T1478" s="2" t="s">
        <v>520</v>
      </c>
      <c r="U1478" s="3">
        <v>2</v>
      </c>
      <c r="V1478" s="3">
        <v>2</v>
      </c>
      <c r="W1478" s="4" t="s">
        <v>7893</v>
      </c>
      <c r="X1478" s="4" t="s">
        <v>7893</v>
      </c>
      <c r="Y1478" s="4" t="s">
        <v>17583</v>
      </c>
      <c r="Z1478" s="4" t="s">
        <v>17583</v>
      </c>
      <c r="AA1478" s="3">
        <v>301</v>
      </c>
      <c r="AB1478" s="3">
        <v>227</v>
      </c>
      <c r="AC1478" s="3">
        <v>233</v>
      </c>
      <c r="AD1478" s="3">
        <v>1</v>
      </c>
      <c r="AE1478" s="3">
        <v>1</v>
      </c>
      <c r="AF1478" s="3">
        <v>9</v>
      </c>
      <c r="AG1478" s="3">
        <v>9</v>
      </c>
      <c r="AH1478" s="3">
        <v>4</v>
      </c>
      <c r="AI1478" s="3">
        <v>4</v>
      </c>
      <c r="AJ1478" s="3">
        <v>0</v>
      </c>
      <c r="AK1478" s="3">
        <v>0</v>
      </c>
      <c r="AL1478" s="3">
        <v>6</v>
      </c>
      <c r="AM1478" s="3">
        <v>6</v>
      </c>
      <c r="AN1478" s="3">
        <v>0</v>
      </c>
      <c r="AO1478" s="3">
        <v>0</v>
      </c>
      <c r="AP1478" s="3">
        <v>0</v>
      </c>
      <c r="AQ1478" s="3">
        <v>0</v>
      </c>
      <c r="AR1478" s="2" t="s">
        <v>5</v>
      </c>
      <c r="AS1478" s="2" t="s">
        <v>5</v>
      </c>
      <c r="AU1478" s="5" t="str">
        <f>HYPERLINK("https://creighton-primo.hosted.exlibrisgroup.com/primo-explore/search?tab=default_tab&amp;search_scope=EVERYTHING&amp;vid=01CRU&amp;lang=en_US&amp;offset=0&amp;query=any,contains,991000318249702656","Catalog Record")</f>
        <v>Catalog Record</v>
      </c>
      <c r="AV1478" s="5" t="str">
        <f>HYPERLINK("http://www.worldcat.org/oclc/38937445","WorldCat Record")</f>
        <v>WorldCat Record</v>
      </c>
      <c r="AW1478" s="2" t="s">
        <v>17654</v>
      </c>
      <c r="AX1478" s="2" t="s">
        <v>17655</v>
      </c>
      <c r="AY1478" s="2" t="s">
        <v>17656</v>
      </c>
      <c r="AZ1478" s="2" t="s">
        <v>17656</v>
      </c>
      <c r="BA1478" s="2" t="s">
        <v>17657</v>
      </c>
      <c r="BB1478" s="2" t="s">
        <v>21</v>
      </c>
      <c r="BD1478" s="2" t="s">
        <v>17658</v>
      </c>
      <c r="BE1478" s="2" t="s">
        <v>17659</v>
      </c>
      <c r="BF1478" s="2" t="s">
        <v>17660</v>
      </c>
    </row>
    <row r="1479" spans="1:58" ht="41.25" customHeight="1" x14ac:dyDescent="0.25">
      <c r="A1479" s="8" t="s">
        <v>5</v>
      </c>
      <c r="B1479" s="1" t="s">
        <v>0</v>
      </c>
      <c r="C1479" s="1" t="s">
        <v>1</v>
      </c>
      <c r="D1479" s="1" t="s">
        <v>17661</v>
      </c>
      <c r="E1479" s="1" t="s">
        <v>17662</v>
      </c>
      <c r="F1479" s="1" t="s">
        <v>17663</v>
      </c>
      <c r="H1479" s="2" t="s">
        <v>5</v>
      </c>
      <c r="I1479" s="2" t="s">
        <v>6</v>
      </c>
      <c r="J1479" s="2" t="s">
        <v>5</v>
      </c>
      <c r="K1479" s="2" t="s">
        <v>16</v>
      </c>
      <c r="L1479" s="2" t="s">
        <v>7</v>
      </c>
      <c r="N1479" s="1" t="s">
        <v>16306</v>
      </c>
      <c r="O1479" s="2" t="s">
        <v>989</v>
      </c>
      <c r="P1479" s="1" t="s">
        <v>1284</v>
      </c>
      <c r="Q1479" s="2" t="s">
        <v>11</v>
      </c>
      <c r="R1479" s="2" t="s">
        <v>426</v>
      </c>
      <c r="T1479" s="2" t="s">
        <v>520</v>
      </c>
      <c r="U1479" s="3">
        <v>31</v>
      </c>
      <c r="V1479" s="3">
        <v>31</v>
      </c>
      <c r="W1479" s="4" t="s">
        <v>17664</v>
      </c>
      <c r="X1479" s="4" t="s">
        <v>17664</v>
      </c>
      <c r="Y1479" s="4" t="s">
        <v>17665</v>
      </c>
      <c r="Z1479" s="4" t="s">
        <v>17665</v>
      </c>
      <c r="AA1479" s="3">
        <v>303</v>
      </c>
      <c r="AB1479" s="3">
        <v>241</v>
      </c>
      <c r="AC1479" s="3">
        <v>1170</v>
      </c>
      <c r="AD1479" s="3">
        <v>2</v>
      </c>
      <c r="AE1479" s="3">
        <v>8</v>
      </c>
      <c r="AF1479" s="3">
        <v>4</v>
      </c>
      <c r="AG1479" s="3">
        <v>34</v>
      </c>
      <c r="AH1479" s="3">
        <v>2</v>
      </c>
      <c r="AI1479" s="3">
        <v>13</v>
      </c>
      <c r="AJ1479" s="3">
        <v>0</v>
      </c>
      <c r="AK1479" s="3">
        <v>8</v>
      </c>
      <c r="AL1479" s="3">
        <v>4</v>
      </c>
      <c r="AM1479" s="3">
        <v>16</v>
      </c>
      <c r="AN1479" s="3">
        <v>0</v>
      </c>
      <c r="AO1479" s="3">
        <v>5</v>
      </c>
      <c r="AP1479" s="3">
        <v>0</v>
      </c>
      <c r="AQ1479" s="3">
        <v>0</v>
      </c>
      <c r="AR1479" s="2" t="s">
        <v>5</v>
      </c>
      <c r="AS1479" s="2" t="s">
        <v>16</v>
      </c>
      <c r="AT1479" s="5" t="str">
        <f>HYPERLINK("http://catalog.hathitrust.org/Record/001945286","HathiTrust Record")</f>
        <v>HathiTrust Record</v>
      </c>
      <c r="AU1479" s="5" t="str">
        <f>HYPERLINK("https://creighton-primo.hosted.exlibrisgroup.com/primo-explore/search?tab=default_tab&amp;search_scope=EVERYTHING&amp;vid=01CRU&amp;lang=en_US&amp;offset=0&amp;query=any,contains,991001371199702656","Catalog Record")</f>
        <v>Catalog Record</v>
      </c>
      <c r="AV1479" s="5" t="str">
        <f>HYPERLINK("http://www.worldcat.org/oclc/20015431","WorldCat Record")</f>
        <v>WorldCat Record</v>
      </c>
      <c r="AW1479" s="2" t="s">
        <v>17666</v>
      </c>
      <c r="AX1479" s="2" t="s">
        <v>17667</v>
      </c>
      <c r="AY1479" s="2" t="s">
        <v>17668</v>
      </c>
      <c r="AZ1479" s="2" t="s">
        <v>17668</v>
      </c>
      <c r="BA1479" s="2" t="s">
        <v>17669</v>
      </c>
      <c r="BB1479" s="2" t="s">
        <v>21</v>
      </c>
      <c r="BD1479" s="2" t="s">
        <v>17670</v>
      </c>
      <c r="BE1479" s="2" t="s">
        <v>17671</v>
      </c>
      <c r="BF1479" s="2" t="s">
        <v>17672</v>
      </c>
    </row>
    <row r="1480" spans="1:58" ht="41.25" customHeight="1" x14ac:dyDescent="0.25">
      <c r="A1480" s="8" t="s">
        <v>5</v>
      </c>
      <c r="B1480" s="1" t="s">
        <v>0</v>
      </c>
      <c r="C1480" s="1" t="s">
        <v>1</v>
      </c>
      <c r="D1480" s="1" t="s">
        <v>17673</v>
      </c>
      <c r="E1480" s="1" t="s">
        <v>17674</v>
      </c>
      <c r="F1480" s="1" t="s">
        <v>17675</v>
      </c>
      <c r="H1480" s="2" t="s">
        <v>5</v>
      </c>
      <c r="I1480" s="2" t="s">
        <v>6</v>
      </c>
      <c r="J1480" s="2" t="s">
        <v>5</v>
      </c>
      <c r="K1480" s="2" t="s">
        <v>16</v>
      </c>
      <c r="L1480" s="2" t="s">
        <v>7</v>
      </c>
      <c r="N1480" s="1" t="s">
        <v>1729</v>
      </c>
      <c r="O1480" s="2" t="s">
        <v>1378</v>
      </c>
      <c r="P1480" s="1" t="s">
        <v>108</v>
      </c>
      <c r="Q1480" s="2" t="s">
        <v>11</v>
      </c>
      <c r="R1480" s="2" t="s">
        <v>78</v>
      </c>
      <c r="T1480" s="2" t="s">
        <v>520</v>
      </c>
      <c r="U1480" s="3">
        <v>12</v>
      </c>
      <c r="V1480" s="3">
        <v>12</v>
      </c>
      <c r="W1480" s="4" t="s">
        <v>17676</v>
      </c>
      <c r="X1480" s="4" t="s">
        <v>17676</v>
      </c>
      <c r="Y1480" s="4" t="s">
        <v>1744</v>
      </c>
      <c r="Z1480" s="4" t="s">
        <v>1744</v>
      </c>
      <c r="AA1480" s="3">
        <v>285</v>
      </c>
      <c r="AB1480" s="3">
        <v>226</v>
      </c>
      <c r="AC1480" s="3">
        <v>1170</v>
      </c>
      <c r="AD1480" s="3">
        <v>1</v>
      </c>
      <c r="AE1480" s="3">
        <v>8</v>
      </c>
      <c r="AF1480" s="3">
        <v>2</v>
      </c>
      <c r="AG1480" s="3">
        <v>34</v>
      </c>
      <c r="AH1480" s="3">
        <v>0</v>
      </c>
      <c r="AI1480" s="3">
        <v>13</v>
      </c>
      <c r="AJ1480" s="3">
        <v>0</v>
      </c>
      <c r="AK1480" s="3">
        <v>8</v>
      </c>
      <c r="AL1480" s="3">
        <v>2</v>
      </c>
      <c r="AM1480" s="3">
        <v>16</v>
      </c>
      <c r="AN1480" s="3">
        <v>0</v>
      </c>
      <c r="AO1480" s="3">
        <v>5</v>
      </c>
      <c r="AP1480" s="3">
        <v>0</v>
      </c>
      <c r="AQ1480" s="3">
        <v>0</v>
      </c>
      <c r="AR1480" s="2" t="s">
        <v>5</v>
      </c>
      <c r="AS1480" s="2" t="s">
        <v>16</v>
      </c>
      <c r="AT1480" s="5" t="str">
        <f>HYPERLINK("http://catalog.hathitrust.org/Record/003239778","HathiTrust Record")</f>
        <v>HathiTrust Record</v>
      </c>
      <c r="AU1480" s="5" t="str">
        <f>HYPERLINK("https://creighton-primo.hosted.exlibrisgroup.com/primo-explore/search?tab=default_tab&amp;search_scope=EVERYTHING&amp;vid=01CRU&amp;lang=en_US&amp;offset=0&amp;query=any,contains,991001226659702656","Catalog Record")</f>
        <v>Catalog Record</v>
      </c>
      <c r="AV1480" s="5" t="str">
        <f>HYPERLINK("http://www.worldcat.org/oclc/36961388","WorldCat Record")</f>
        <v>WorldCat Record</v>
      </c>
      <c r="AW1480" s="2" t="s">
        <v>17666</v>
      </c>
      <c r="AX1480" s="2" t="s">
        <v>17677</v>
      </c>
      <c r="AY1480" s="2" t="s">
        <v>17678</v>
      </c>
      <c r="AZ1480" s="2" t="s">
        <v>17678</v>
      </c>
      <c r="BA1480" s="2" t="s">
        <v>17679</v>
      </c>
      <c r="BB1480" s="2" t="s">
        <v>21</v>
      </c>
      <c r="BD1480" s="2" t="s">
        <v>17680</v>
      </c>
      <c r="BE1480" s="2" t="s">
        <v>17681</v>
      </c>
      <c r="BF1480" s="2" t="s">
        <v>17682</v>
      </c>
    </row>
    <row r="1481" spans="1:58" ht="41.25" customHeight="1" x14ac:dyDescent="0.25">
      <c r="A1481" s="8" t="s">
        <v>5</v>
      </c>
      <c r="B1481" s="1" t="s">
        <v>0</v>
      </c>
      <c r="C1481" s="1" t="s">
        <v>1</v>
      </c>
      <c r="D1481" s="1" t="s">
        <v>17683</v>
      </c>
      <c r="E1481" s="1" t="s">
        <v>17684</v>
      </c>
      <c r="F1481" s="1" t="s">
        <v>17685</v>
      </c>
      <c r="H1481" s="2" t="s">
        <v>5</v>
      </c>
      <c r="I1481" s="2" t="s">
        <v>6</v>
      </c>
      <c r="J1481" s="2" t="s">
        <v>5</v>
      </c>
      <c r="K1481" s="2" t="s">
        <v>16</v>
      </c>
      <c r="L1481" s="2" t="s">
        <v>7</v>
      </c>
      <c r="N1481" s="1" t="s">
        <v>2321</v>
      </c>
      <c r="O1481" s="2" t="s">
        <v>1060</v>
      </c>
      <c r="P1481" s="1" t="s">
        <v>771</v>
      </c>
      <c r="Q1481" s="2" t="s">
        <v>11</v>
      </c>
      <c r="R1481" s="2" t="s">
        <v>78</v>
      </c>
      <c r="T1481" s="2" t="s">
        <v>520</v>
      </c>
      <c r="U1481" s="3">
        <v>0</v>
      </c>
      <c r="V1481" s="3">
        <v>0</v>
      </c>
      <c r="W1481" s="4" t="s">
        <v>17686</v>
      </c>
      <c r="X1481" s="4" t="s">
        <v>17686</v>
      </c>
      <c r="Y1481" s="4" t="s">
        <v>17687</v>
      </c>
      <c r="Z1481" s="4" t="s">
        <v>17687</v>
      </c>
      <c r="AA1481" s="3">
        <v>416</v>
      </c>
      <c r="AB1481" s="3">
        <v>298</v>
      </c>
      <c r="AC1481" s="3">
        <v>1170</v>
      </c>
      <c r="AD1481" s="3">
        <v>2</v>
      </c>
      <c r="AE1481" s="3">
        <v>8</v>
      </c>
      <c r="AF1481" s="3">
        <v>9</v>
      </c>
      <c r="AG1481" s="3">
        <v>34</v>
      </c>
      <c r="AH1481" s="3">
        <v>2</v>
      </c>
      <c r="AI1481" s="3">
        <v>13</v>
      </c>
      <c r="AJ1481" s="3">
        <v>3</v>
      </c>
      <c r="AK1481" s="3">
        <v>8</v>
      </c>
      <c r="AL1481" s="3">
        <v>5</v>
      </c>
      <c r="AM1481" s="3">
        <v>16</v>
      </c>
      <c r="AN1481" s="3">
        <v>1</v>
      </c>
      <c r="AO1481" s="3">
        <v>5</v>
      </c>
      <c r="AP1481" s="3">
        <v>0</v>
      </c>
      <c r="AQ1481" s="3">
        <v>0</v>
      </c>
      <c r="AR1481" s="2" t="s">
        <v>5</v>
      </c>
      <c r="AS1481" s="2" t="s">
        <v>5</v>
      </c>
      <c r="AU1481" s="5" t="str">
        <f>HYPERLINK("https://creighton-primo.hosted.exlibrisgroup.com/primo-explore/search?tab=default_tab&amp;search_scope=EVERYTHING&amp;vid=01CRU&amp;lang=en_US&amp;offset=0&amp;query=any,contains,991000433259702656","Catalog Record")</f>
        <v>Catalog Record</v>
      </c>
      <c r="AV1481" s="5" t="str">
        <f>HYPERLINK("http://www.worldcat.org/oclc/56192795","WorldCat Record")</f>
        <v>WorldCat Record</v>
      </c>
      <c r="AW1481" s="2" t="s">
        <v>17666</v>
      </c>
      <c r="AX1481" s="2" t="s">
        <v>17688</v>
      </c>
      <c r="AY1481" s="2" t="s">
        <v>17689</v>
      </c>
      <c r="AZ1481" s="2" t="s">
        <v>17689</v>
      </c>
      <c r="BA1481" s="2" t="s">
        <v>17690</v>
      </c>
      <c r="BB1481" s="2" t="s">
        <v>21</v>
      </c>
      <c r="BD1481" s="2" t="s">
        <v>17691</v>
      </c>
      <c r="BE1481" s="2" t="s">
        <v>17692</v>
      </c>
      <c r="BF1481" s="2" t="s">
        <v>17693</v>
      </c>
    </row>
    <row r="1482" spans="1:58" ht="41.25" customHeight="1" x14ac:dyDescent="0.25">
      <c r="A1482" s="8" t="s">
        <v>5</v>
      </c>
      <c r="B1482" s="1" t="s">
        <v>0</v>
      </c>
      <c r="C1482" s="1" t="s">
        <v>1</v>
      </c>
      <c r="D1482" s="1" t="s">
        <v>17694</v>
      </c>
      <c r="E1482" s="1" t="s">
        <v>17695</v>
      </c>
      <c r="F1482" s="1" t="s">
        <v>17696</v>
      </c>
      <c r="H1482" s="2" t="s">
        <v>5</v>
      </c>
      <c r="I1482" s="2" t="s">
        <v>6</v>
      </c>
      <c r="J1482" s="2" t="s">
        <v>5</v>
      </c>
      <c r="K1482" s="2" t="s">
        <v>5</v>
      </c>
      <c r="L1482" s="2" t="s">
        <v>7</v>
      </c>
      <c r="N1482" s="1" t="s">
        <v>1602</v>
      </c>
      <c r="O1482" s="2" t="s">
        <v>1378</v>
      </c>
      <c r="P1482" s="1" t="s">
        <v>901</v>
      </c>
      <c r="Q1482" s="2" t="s">
        <v>11</v>
      </c>
      <c r="R1482" s="2" t="s">
        <v>31</v>
      </c>
      <c r="T1482" s="2" t="s">
        <v>520</v>
      </c>
      <c r="U1482" s="3">
        <v>13</v>
      </c>
      <c r="V1482" s="3">
        <v>13</v>
      </c>
      <c r="W1482" s="4" t="s">
        <v>17697</v>
      </c>
      <c r="X1482" s="4" t="s">
        <v>17697</v>
      </c>
      <c r="Y1482" s="4" t="s">
        <v>17698</v>
      </c>
      <c r="Z1482" s="4" t="s">
        <v>17698</v>
      </c>
      <c r="AA1482" s="3">
        <v>314</v>
      </c>
      <c r="AB1482" s="3">
        <v>230</v>
      </c>
      <c r="AC1482" s="3">
        <v>696</v>
      </c>
      <c r="AD1482" s="3">
        <v>2</v>
      </c>
      <c r="AE1482" s="3">
        <v>5</v>
      </c>
      <c r="AF1482" s="3">
        <v>7</v>
      </c>
      <c r="AG1482" s="3">
        <v>22</v>
      </c>
      <c r="AH1482" s="3">
        <v>3</v>
      </c>
      <c r="AI1482" s="3">
        <v>6</v>
      </c>
      <c r="AJ1482" s="3">
        <v>0</v>
      </c>
      <c r="AK1482" s="3">
        <v>5</v>
      </c>
      <c r="AL1482" s="3">
        <v>3</v>
      </c>
      <c r="AM1482" s="3">
        <v>9</v>
      </c>
      <c r="AN1482" s="3">
        <v>1</v>
      </c>
      <c r="AO1482" s="3">
        <v>4</v>
      </c>
      <c r="AP1482" s="3">
        <v>0</v>
      </c>
      <c r="AQ1482" s="3">
        <v>0</v>
      </c>
      <c r="AR1482" s="2" t="s">
        <v>5</v>
      </c>
      <c r="AS1482" s="2" t="s">
        <v>5</v>
      </c>
      <c r="AU1482" s="5" t="str">
        <f>HYPERLINK("https://creighton-primo.hosted.exlibrisgroup.com/primo-explore/search?tab=default_tab&amp;search_scope=EVERYTHING&amp;vid=01CRU&amp;lang=en_US&amp;offset=0&amp;query=any,contains,991001295179702656","Catalog Record")</f>
        <v>Catalog Record</v>
      </c>
      <c r="AV1482" s="5" t="str">
        <f>HYPERLINK("http://www.worldcat.org/oclc/37442721","WorldCat Record")</f>
        <v>WorldCat Record</v>
      </c>
      <c r="AW1482" s="2" t="s">
        <v>17699</v>
      </c>
      <c r="AX1482" s="2" t="s">
        <v>17700</v>
      </c>
      <c r="AY1482" s="2" t="s">
        <v>17701</v>
      </c>
      <c r="AZ1482" s="2" t="s">
        <v>17701</v>
      </c>
      <c r="BA1482" s="2" t="s">
        <v>17702</v>
      </c>
      <c r="BB1482" s="2" t="s">
        <v>21</v>
      </c>
      <c r="BD1482" s="2" t="s">
        <v>17703</v>
      </c>
      <c r="BE1482" s="2" t="s">
        <v>17704</v>
      </c>
      <c r="BF1482" s="2" t="s">
        <v>17705</v>
      </c>
    </row>
    <row r="1483" spans="1:58" ht="41.25" customHeight="1" x14ac:dyDescent="0.25">
      <c r="A1483" s="8" t="s">
        <v>5</v>
      </c>
      <c r="B1483" s="1" t="s">
        <v>0</v>
      </c>
      <c r="C1483" s="1" t="s">
        <v>1</v>
      </c>
      <c r="D1483" s="1" t="s">
        <v>17706</v>
      </c>
      <c r="E1483" s="1" t="s">
        <v>17707</v>
      </c>
      <c r="F1483" s="1" t="s">
        <v>17708</v>
      </c>
      <c r="H1483" s="2" t="s">
        <v>5</v>
      </c>
      <c r="I1483" s="2" t="s">
        <v>6</v>
      </c>
      <c r="J1483" s="2" t="s">
        <v>5</v>
      </c>
      <c r="K1483" s="2" t="s">
        <v>16</v>
      </c>
      <c r="L1483" s="2" t="s">
        <v>7</v>
      </c>
      <c r="M1483" s="1" t="s">
        <v>17709</v>
      </c>
      <c r="N1483" s="1" t="s">
        <v>9242</v>
      </c>
      <c r="O1483" s="2" t="s">
        <v>1378</v>
      </c>
      <c r="P1483" s="1" t="s">
        <v>901</v>
      </c>
      <c r="Q1483" s="2" t="s">
        <v>11</v>
      </c>
      <c r="R1483" s="2" t="s">
        <v>31</v>
      </c>
      <c r="T1483" s="2" t="s">
        <v>520</v>
      </c>
      <c r="U1483" s="3">
        <v>5</v>
      </c>
      <c r="V1483" s="3">
        <v>5</v>
      </c>
      <c r="W1483" s="4" t="s">
        <v>17710</v>
      </c>
      <c r="X1483" s="4" t="s">
        <v>17710</v>
      </c>
      <c r="Y1483" s="4" t="s">
        <v>17698</v>
      </c>
      <c r="Z1483" s="4" t="s">
        <v>17698</v>
      </c>
      <c r="AA1483" s="3">
        <v>182</v>
      </c>
      <c r="AB1483" s="3">
        <v>120</v>
      </c>
      <c r="AC1483" s="3">
        <v>237</v>
      </c>
      <c r="AD1483" s="3">
        <v>1</v>
      </c>
      <c r="AE1483" s="3">
        <v>2</v>
      </c>
      <c r="AF1483" s="3">
        <v>3</v>
      </c>
      <c r="AG1483" s="3">
        <v>5</v>
      </c>
      <c r="AH1483" s="3">
        <v>1</v>
      </c>
      <c r="AI1483" s="3">
        <v>2</v>
      </c>
      <c r="AJ1483" s="3">
        <v>0</v>
      </c>
      <c r="AK1483" s="3">
        <v>0</v>
      </c>
      <c r="AL1483" s="3">
        <v>2</v>
      </c>
      <c r="AM1483" s="3">
        <v>2</v>
      </c>
      <c r="AN1483" s="3">
        <v>0</v>
      </c>
      <c r="AO1483" s="3">
        <v>1</v>
      </c>
      <c r="AP1483" s="3">
        <v>0</v>
      </c>
      <c r="AQ1483" s="3">
        <v>0</v>
      </c>
      <c r="AR1483" s="2" t="s">
        <v>5</v>
      </c>
      <c r="AS1483" s="2" t="s">
        <v>5</v>
      </c>
      <c r="AU1483" s="5" t="str">
        <f>HYPERLINK("https://creighton-primo.hosted.exlibrisgroup.com/primo-explore/search?tab=default_tab&amp;search_scope=EVERYTHING&amp;vid=01CRU&amp;lang=en_US&amp;offset=0&amp;query=any,contains,991001294999702656","Catalog Record")</f>
        <v>Catalog Record</v>
      </c>
      <c r="AV1483" s="5" t="str">
        <f>HYPERLINK("http://www.worldcat.org/oclc/38155710","WorldCat Record")</f>
        <v>WorldCat Record</v>
      </c>
      <c r="AW1483" s="2" t="s">
        <v>17711</v>
      </c>
      <c r="AX1483" s="2" t="s">
        <v>17712</v>
      </c>
      <c r="AY1483" s="2" t="s">
        <v>17713</v>
      </c>
      <c r="AZ1483" s="2" t="s">
        <v>17713</v>
      </c>
      <c r="BA1483" s="2" t="s">
        <v>17714</v>
      </c>
      <c r="BB1483" s="2" t="s">
        <v>21</v>
      </c>
      <c r="BD1483" s="2" t="s">
        <v>17715</v>
      </c>
      <c r="BE1483" s="2" t="s">
        <v>17716</v>
      </c>
      <c r="BF1483" s="2" t="s">
        <v>17717</v>
      </c>
    </row>
    <row r="1484" spans="1:58" ht="41.25" customHeight="1" x14ac:dyDescent="0.25">
      <c r="A1484" s="8" t="s">
        <v>5</v>
      </c>
      <c r="B1484" s="1" t="s">
        <v>0</v>
      </c>
      <c r="C1484" s="1" t="s">
        <v>1</v>
      </c>
      <c r="D1484" s="1" t="s">
        <v>17718</v>
      </c>
      <c r="E1484" s="1" t="s">
        <v>17719</v>
      </c>
      <c r="F1484" s="1" t="s">
        <v>17720</v>
      </c>
      <c r="H1484" s="2" t="s">
        <v>5</v>
      </c>
      <c r="I1484" s="2" t="s">
        <v>6</v>
      </c>
      <c r="J1484" s="2" t="s">
        <v>5</v>
      </c>
      <c r="K1484" s="2" t="s">
        <v>16</v>
      </c>
      <c r="L1484" s="2" t="s">
        <v>7</v>
      </c>
      <c r="N1484" s="1" t="s">
        <v>15888</v>
      </c>
      <c r="O1484" s="2" t="s">
        <v>1887</v>
      </c>
      <c r="Q1484" s="2" t="s">
        <v>11</v>
      </c>
      <c r="R1484" s="2" t="s">
        <v>78</v>
      </c>
      <c r="T1484" s="2" t="s">
        <v>520</v>
      </c>
      <c r="U1484" s="3">
        <v>101</v>
      </c>
      <c r="V1484" s="3">
        <v>101</v>
      </c>
      <c r="W1484" s="4" t="s">
        <v>17664</v>
      </c>
      <c r="X1484" s="4" t="s">
        <v>17664</v>
      </c>
      <c r="Y1484" s="4" t="s">
        <v>17721</v>
      </c>
      <c r="Z1484" s="4" t="s">
        <v>17721</v>
      </c>
      <c r="AA1484" s="3">
        <v>318</v>
      </c>
      <c r="AB1484" s="3">
        <v>255</v>
      </c>
      <c r="AC1484" s="3">
        <v>413</v>
      </c>
      <c r="AD1484" s="3">
        <v>1</v>
      </c>
      <c r="AE1484" s="3">
        <v>3</v>
      </c>
      <c r="AF1484" s="3">
        <v>6</v>
      </c>
      <c r="AG1484" s="3">
        <v>10</v>
      </c>
      <c r="AH1484" s="3">
        <v>2</v>
      </c>
      <c r="AI1484" s="3">
        <v>2</v>
      </c>
      <c r="AJ1484" s="3">
        <v>2</v>
      </c>
      <c r="AK1484" s="3">
        <v>4</v>
      </c>
      <c r="AL1484" s="3">
        <v>4</v>
      </c>
      <c r="AM1484" s="3">
        <v>6</v>
      </c>
      <c r="AN1484" s="3">
        <v>0</v>
      </c>
      <c r="AO1484" s="3">
        <v>0</v>
      </c>
      <c r="AP1484" s="3">
        <v>0</v>
      </c>
      <c r="AQ1484" s="3">
        <v>0</v>
      </c>
      <c r="AR1484" s="2" t="s">
        <v>5</v>
      </c>
      <c r="AS1484" s="2" t="s">
        <v>5</v>
      </c>
      <c r="AU1484" s="5" t="str">
        <f>HYPERLINK("https://creighton-primo.hosted.exlibrisgroup.com/primo-explore/search?tab=default_tab&amp;search_scope=EVERYTHING&amp;vid=01CRU&amp;lang=en_US&amp;offset=0&amp;query=any,contains,991001432569702656","Catalog Record")</f>
        <v>Catalog Record</v>
      </c>
      <c r="AV1484" s="5" t="str">
        <f>HYPERLINK("http://www.worldcat.org/oclc/25547384","WorldCat Record")</f>
        <v>WorldCat Record</v>
      </c>
      <c r="AW1484" s="2" t="s">
        <v>17722</v>
      </c>
      <c r="AX1484" s="2" t="s">
        <v>17723</v>
      </c>
      <c r="AY1484" s="2" t="s">
        <v>17724</v>
      </c>
      <c r="AZ1484" s="2" t="s">
        <v>17724</v>
      </c>
      <c r="BA1484" s="2" t="s">
        <v>17725</v>
      </c>
      <c r="BB1484" s="2" t="s">
        <v>21</v>
      </c>
      <c r="BD1484" s="2" t="s">
        <v>17726</v>
      </c>
      <c r="BE1484" s="2" t="s">
        <v>17727</v>
      </c>
      <c r="BF1484" s="2" t="s">
        <v>17728</v>
      </c>
    </row>
    <row r="1485" spans="1:58" ht="41.25" customHeight="1" x14ac:dyDescent="0.25">
      <c r="A1485" s="8" t="s">
        <v>5</v>
      </c>
      <c r="B1485" s="1" t="s">
        <v>0</v>
      </c>
      <c r="C1485" s="1" t="s">
        <v>1</v>
      </c>
      <c r="D1485" s="1" t="s">
        <v>17729</v>
      </c>
      <c r="E1485" s="1" t="s">
        <v>17730</v>
      </c>
      <c r="F1485" s="1" t="s">
        <v>17720</v>
      </c>
      <c r="H1485" s="2" t="s">
        <v>5</v>
      </c>
      <c r="I1485" s="2" t="s">
        <v>6</v>
      </c>
      <c r="J1485" s="2" t="s">
        <v>5</v>
      </c>
      <c r="K1485" s="2" t="s">
        <v>16</v>
      </c>
      <c r="L1485" s="2" t="s">
        <v>7</v>
      </c>
      <c r="N1485" s="1" t="s">
        <v>8675</v>
      </c>
      <c r="O1485" s="2" t="s">
        <v>794</v>
      </c>
      <c r="P1485" s="1" t="s">
        <v>211</v>
      </c>
      <c r="Q1485" s="2" t="s">
        <v>11</v>
      </c>
      <c r="R1485" s="2" t="s">
        <v>78</v>
      </c>
      <c r="T1485" s="2" t="s">
        <v>520</v>
      </c>
      <c r="U1485" s="3">
        <v>63</v>
      </c>
      <c r="V1485" s="3">
        <v>63</v>
      </c>
      <c r="W1485" s="4" t="s">
        <v>17731</v>
      </c>
      <c r="X1485" s="4" t="s">
        <v>17731</v>
      </c>
      <c r="Y1485" s="4" t="s">
        <v>10557</v>
      </c>
      <c r="Z1485" s="4" t="s">
        <v>10557</v>
      </c>
      <c r="AA1485" s="3">
        <v>335</v>
      </c>
      <c r="AB1485" s="3">
        <v>261</v>
      </c>
      <c r="AC1485" s="3">
        <v>413</v>
      </c>
      <c r="AD1485" s="3">
        <v>3</v>
      </c>
      <c r="AE1485" s="3">
        <v>3</v>
      </c>
      <c r="AF1485" s="3">
        <v>8</v>
      </c>
      <c r="AG1485" s="3">
        <v>10</v>
      </c>
      <c r="AH1485" s="3">
        <v>2</v>
      </c>
      <c r="AI1485" s="3">
        <v>2</v>
      </c>
      <c r="AJ1485" s="3">
        <v>2</v>
      </c>
      <c r="AK1485" s="3">
        <v>4</v>
      </c>
      <c r="AL1485" s="3">
        <v>5</v>
      </c>
      <c r="AM1485" s="3">
        <v>6</v>
      </c>
      <c r="AN1485" s="3">
        <v>0</v>
      </c>
      <c r="AO1485" s="3">
        <v>0</v>
      </c>
      <c r="AP1485" s="3">
        <v>0</v>
      </c>
      <c r="AQ1485" s="3">
        <v>0</v>
      </c>
      <c r="AR1485" s="2" t="s">
        <v>5</v>
      </c>
      <c r="AS1485" s="2" t="s">
        <v>16</v>
      </c>
      <c r="AT1485" s="5" t="str">
        <f>HYPERLINK("http://catalog.hathitrust.org/Record/004564460","HathiTrust Record")</f>
        <v>HathiTrust Record</v>
      </c>
      <c r="AU1485" s="5" t="str">
        <f>HYPERLINK("https://creighton-primo.hosted.exlibrisgroup.com/primo-explore/search?tab=default_tab&amp;search_scope=EVERYTHING&amp;vid=01CRU&amp;lang=en_US&amp;offset=0&amp;query=any,contains,991001806859702656","Catalog Record")</f>
        <v>Catalog Record</v>
      </c>
      <c r="AV1485" s="5" t="str">
        <f>HYPERLINK("http://www.worldcat.org/oclc/33246751","WorldCat Record")</f>
        <v>WorldCat Record</v>
      </c>
      <c r="AW1485" s="2" t="s">
        <v>17722</v>
      </c>
      <c r="AX1485" s="2" t="s">
        <v>17732</v>
      </c>
      <c r="AY1485" s="2" t="s">
        <v>17733</v>
      </c>
      <c r="AZ1485" s="2" t="s">
        <v>17733</v>
      </c>
      <c r="BA1485" s="2" t="s">
        <v>17734</v>
      </c>
      <c r="BB1485" s="2" t="s">
        <v>21</v>
      </c>
      <c r="BD1485" s="2" t="s">
        <v>17735</v>
      </c>
      <c r="BE1485" s="2" t="s">
        <v>17736</v>
      </c>
      <c r="BF1485" s="2" t="s">
        <v>17737</v>
      </c>
    </row>
    <row r="1486" spans="1:58" ht="41.25" customHeight="1" x14ac:dyDescent="0.25">
      <c r="A1486" s="8" t="s">
        <v>5</v>
      </c>
      <c r="B1486" s="1" t="s">
        <v>0</v>
      </c>
      <c r="C1486" s="1" t="s">
        <v>1</v>
      </c>
      <c r="D1486" s="1" t="s">
        <v>17738</v>
      </c>
      <c r="E1486" s="1" t="s">
        <v>17739</v>
      </c>
      <c r="F1486" s="1" t="s">
        <v>17740</v>
      </c>
      <c r="H1486" s="2" t="s">
        <v>5</v>
      </c>
      <c r="I1486" s="2" t="s">
        <v>6</v>
      </c>
      <c r="J1486" s="2" t="s">
        <v>5</v>
      </c>
      <c r="K1486" s="2" t="s">
        <v>5</v>
      </c>
      <c r="L1486" s="2" t="s">
        <v>7</v>
      </c>
      <c r="N1486" s="1" t="s">
        <v>15134</v>
      </c>
      <c r="O1486" s="2" t="s">
        <v>1339</v>
      </c>
      <c r="Q1486" s="2" t="s">
        <v>11</v>
      </c>
      <c r="R1486" s="2" t="s">
        <v>426</v>
      </c>
      <c r="T1486" s="2" t="s">
        <v>520</v>
      </c>
      <c r="U1486" s="3">
        <v>11</v>
      </c>
      <c r="V1486" s="3">
        <v>11</v>
      </c>
      <c r="W1486" s="4" t="s">
        <v>17710</v>
      </c>
      <c r="X1486" s="4" t="s">
        <v>17710</v>
      </c>
      <c r="Y1486" s="4" t="s">
        <v>17741</v>
      </c>
      <c r="Z1486" s="4" t="s">
        <v>17741</v>
      </c>
      <c r="AA1486" s="3">
        <v>202</v>
      </c>
      <c r="AB1486" s="3">
        <v>165</v>
      </c>
      <c r="AC1486" s="3">
        <v>171</v>
      </c>
      <c r="AD1486" s="3">
        <v>2</v>
      </c>
      <c r="AE1486" s="3">
        <v>2</v>
      </c>
      <c r="AF1486" s="3">
        <v>6</v>
      </c>
      <c r="AG1486" s="3">
        <v>6</v>
      </c>
      <c r="AH1486" s="3">
        <v>3</v>
      </c>
      <c r="AI1486" s="3">
        <v>3</v>
      </c>
      <c r="AJ1486" s="3">
        <v>1</v>
      </c>
      <c r="AK1486" s="3">
        <v>1</v>
      </c>
      <c r="AL1486" s="3">
        <v>3</v>
      </c>
      <c r="AM1486" s="3">
        <v>3</v>
      </c>
      <c r="AN1486" s="3">
        <v>0</v>
      </c>
      <c r="AO1486" s="3">
        <v>0</v>
      </c>
      <c r="AP1486" s="3">
        <v>0</v>
      </c>
      <c r="AQ1486" s="3">
        <v>0</v>
      </c>
      <c r="AR1486" s="2" t="s">
        <v>5</v>
      </c>
      <c r="AS1486" s="2" t="s">
        <v>16</v>
      </c>
      <c r="AT1486" s="5" t="str">
        <f>HYPERLINK("http://catalog.hathitrust.org/Record/000594469","HathiTrust Record")</f>
        <v>HathiTrust Record</v>
      </c>
      <c r="AU1486" s="5" t="str">
        <f>HYPERLINK("https://creighton-primo.hosted.exlibrisgroup.com/primo-explore/search?tab=default_tab&amp;search_scope=EVERYTHING&amp;vid=01CRU&amp;lang=en_US&amp;offset=0&amp;query=any,contains,991001313409702656","Catalog Record")</f>
        <v>Catalog Record</v>
      </c>
      <c r="AV1486" s="5" t="str">
        <f>HYPERLINK("http://www.worldcat.org/oclc/12969826","WorldCat Record")</f>
        <v>WorldCat Record</v>
      </c>
      <c r="AW1486" s="2" t="s">
        <v>17742</v>
      </c>
      <c r="AX1486" s="2" t="s">
        <v>17743</v>
      </c>
      <c r="AY1486" s="2" t="s">
        <v>17744</v>
      </c>
      <c r="AZ1486" s="2" t="s">
        <v>17744</v>
      </c>
      <c r="BA1486" s="2" t="s">
        <v>17745</v>
      </c>
      <c r="BB1486" s="2" t="s">
        <v>21</v>
      </c>
      <c r="BD1486" s="2" t="s">
        <v>17746</v>
      </c>
      <c r="BE1486" s="2" t="s">
        <v>17747</v>
      </c>
      <c r="BF1486" s="2" t="s">
        <v>17748</v>
      </c>
    </row>
    <row r="1487" spans="1:58" ht="41.25" customHeight="1" x14ac:dyDescent="0.25">
      <c r="A1487" s="8" t="s">
        <v>5</v>
      </c>
      <c r="B1487" s="1" t="s">
        <v>0</v>
      </c>
      <c r="C1487" s="1" t="s">
        <v>1</v>
      </c>
      <c r="D1487" s="1" t="s">
        <v>17749</v>
      </c>
      <c r="E1487" s="1" t="s">
        <v>17750</v>
      </c>
      <c r="F1487" s="1" t="s">
        <v>17751</v>
      </c>
      <c r="H1487" s="2" t="s">
        <v>5</v>
      </c>
      <c r="I1487" s="2" t="s">
        <v>6</v>
      </c>
      <c r="J1487" s="2" t="s">
        <v>5</v>
      </c>
      <c r="K1487" s="2" t="s">
        <v>5</v>
      </c>
      <c r="L1487" s="2" t="s">
        <v>6</v>
      </c>
      <c r="N1487" s="1" t="s">
        <v>17752</v>
      </c>
      <c r="O1487" s="2" t="s">
        <v>1863</v>
      </c>
      <c r="Q1487" s="2" t="s">
        <v>11</v>
      </c>
      <c r="R1487" s="2" t="s">
        <v>1427</v>
      </c>
      <c r="T1487" s="2" t="s">
        <v>520</v>
      </c>
      <c r="U1487" s="3">
        <v>2</v>
      </c>
      <c r="V1487" s="3">
        <v>2</v>
      </c>
      <c r="W1487" s="4" t="s">
        <v>9354</v>
      </c>
      <c r="X1487" s="4" t="s">
        <v>9354</v>
      </c>
      <c r="Y1487" s="4" t="s">
        <v>1157</v>
      </c>
      <c r="Z1487" s="4" t="s">
        <v>1157</v>
      </c>
      <c r="AA1487" s="3">
        <v>300</v>
      </c>
      <c r="AB1487" s="3">
        <v>237</v>
      </c>
      <c r="AC1487" s="3">
        <v>1125</v>
      </c>
      <c r="AD1487" s="3">
        <v>2</v>
      </c>
      <c r="AE1487" s="3">
        <v>15</v>
      </c>
      <c r="AF1487" s="3">
        <v>9</v>
      </c>
      <c r="AG1487" s="3">
        <v>48</v>
      </c>
      <c r="AH1487" s="3">
        <v>2</v>
      </c>
      <c r="AI1487" s="3">
        <v>14</v>
      </c>
      <c r="AJ1487" s="3">
        <v>3</v>
      </c>
      <c r="AK1487" s="3">
        <v>12</v>
      </c>
      <c r="AL1487" s="3">
        <v>5</v>
      </c>
      <c r="AM1487" s="3">
        <v>15</v>
      </c>
      <c r="AN1487" s="3">
        <v>0</v>
      </c>
      <c r="AO1487" s="3">
        <v>12</v>
      </c>
      <c r="AP1487" s="3">
        <v>0</v>
      </c>
      <c r="AQ1487" s="3">
        <v>2</v>
      </c>
      <c r="AR1487" s="2" t="s">
        <v>5</v>
      </c>
      <c r="AS1487" s="2" t="s">
        <v>16</v>
      </c>
      <c r="AT1487" s="5" t="str">
        <f>HYPERLINK("http://catalog.hathitrust.org/Record/003541253","HathiTrust Record")</f>
        <v>HathiTrust Record</v>
      </c>
      <c r="AU1487" s="5" t="str">
        <f>HYPERLINK("https://creighton-primo.hosted.exlibrisgroup.com/primo-explore/search?tab=default_tab&amp;search_scope=EVERYTHING&amp;vid=01CRU&amp;lang=en_US&amp;offset=0&amp;query=any,contains,991000320809702656","Catalog Record")</f>
        <v>Catalog Record</v>
      </c>
      <c r="AV1487" s="5" t="str">
        <f>HYPERLINK("http://www.worldcat.org/oclc/46395078","WorldCat Record")</f>
        <v>WorldCat Record</v>
      </c>
      <c r="AW1487" s="2" t="s">
        <v>17753</v>
      </c>
      <c r="AX1487" s="2" t="s">
        <v>17754</v>
      </c>
      <c r="AY1487" s="2" t="s">
        <v>17755</v>
      </c>
      <c r="AZ1487" s="2" t="s">
        <v>17755</v>
      </c>
      <c r="BA1487" s="2" t="s">
        <v>17756</v>
      </c>
      <c r="BB1487" s="2" t="s">
        <v>21</v>
      </c>
      <c r="BD1487" s="2" t="s">
        <v>17757</v>
      </c>
      <c r="BE1487" s="2" t="s">
        <v>17758</v>
      </c>
      <c r="BF1487" s="2" t="s">
        <v>17759</v>
      </c>
    </row>
    <row r="1488" spans="1:58" ht="41.25" customHeight="1" x14ac:dyDescent="0.25">
      <c r="A1488" s="8" t="s">
        <v>5</v>
      </c>
      <c r="B1488" s="1" t="s">
        <v>0</v>
      </c>
      <c r="C1488" s="1" t="s">
        <v>1</v>
      </c>
      <c r="D1488" s="1" t="s">
        <v>17760</v>
      </c>
      <c r="E1488" s="1" t="s">
        <v>17761</v>
      </c>
      <c r="F1488" s="1" t="s">
        <v>17762</v>
      </c>
      <c r="H1488" s="2" t="s">
        <v>5</v>
      </c>
      <c r="I1488" s="2" t="s">
        <v>6</v>
      </c>
      <c r="J1488" s="2" t="s">
        <v>5</v>
      </c>
      <c r="K1488" s="2" t="s">
        <v>5</v>
      </c>
      <c r="L1488" s="2" t="s">
        <v>7</v>
      </c>
      <c r="N1488" s="1" t="s">
        <v>17763</v>
      </c>
      <c r="O1488" s="2" t="s">
        <v>989</v>
      </c>
      <c r="Q1488" s="2" t="s">
        <v>11</v>
      </c>
      <c r="R1488" s="2" t="s">
        <v>17764</v>
      </c>
      <c r="S1488" s="1" t="s">
        <v>17765</v>
      </c>
      <c r="T1488" s="2" t="s">
        <v>520</v>
      </c>
      <c r="U1488" s="3">
        <v>7</v>
      </c>
      <c r="V1488" s="3">
        <v>7</v>
      </c>
      <c r="W1488" s="4" t="s">
        <v>17145</v>
      </c>
      <c r="X1488" s="4" t="s">
        <v>17145</v>
      </c>
      <c r="Y1488" s="4" t="s">
        <v>7656</v>
      </c>
      <c r="Z1488" s="4" t="s">
        <v>7656</v>
      </c>
      <c r="AA1488" s="3">
        <v>192</v>
      </c>
      <c r="AB1488" s="3">
        <v>152</v>
      </c>
      <c r="AC1488" s="3">
        <v>160</v>
      </c>
      <c r="AD1488" s="3">
        <v>1</v>
      </c>
      <c r="AE1488" s="3">
        <v>1</v>
      </c>
      <c r="AF1488" s="3">
        <v>4</v>
      </c>
      <c r="AG1488" s="3">
        <v>4</v>
      </c>
      <c r="AH1488" s="3">
        <v>3</v>
      </c>
      <c r="AI1488" s="3">
        <v>3</v>
      </c>
      <c r="AJ1488" s="3">
        <v>0</v>
      </c>
      <c r="AK1488" s="3">
        <v>0</v>
      </c>
      <c r="AL1488" s="3">
        <v>3</v>
      </c>
      <c r="AM1488" s="3">
        <v>3</v>
      </c>
      <c r="AN1488" s="3">
        <v>0</v>
      </c>
      <c r="AO1488" s="3">
        <v>0</v>
      </c>
      <c r="AP1488" s="3">
        <v>0</v>
      </c>
      <c r="AQ1488" s="3">
        <v>0</v>
      </c>
      <c r="AR1488" s="2" t="s">
        <v>5</v>
      </c>
      <c r="AS1488" s="2" t="s">
        <v>16</v>
      </c>
      <c r="AT1488" s="5" t="str">
        <f>HYPERLINK("http://catalog.hathitrust.org/Record/001951925","HathiTrust Record")</f>
        <v>HathiTrust Record</v>
      </c>
      <c r="AU1488" s="5" t="str">
        <f>HYPERLINK("https://creighton-primo.hosted.exlibrisgroup.com/primo-explore/search?tab=default_tab&amp;search_scope=EVERYTHING&amp;vid=01CRU&amp;lang=en_US&amp;offset=0&amp;query=any,contains,991001450929702656","Catalog Record")</f>
        <v>Catalog Record</v>
      </c>
      <c r="AV1488" s="5" t="str">
        <f>HYPERLINK("http://www.worldcat.org/oclc/22815321","WorldCat Record")</f>
        <v>WorldCat Record</v>
      </c>
      <c r="AW1488" s="2" t="s">
        <v>17766</v>
      </c>
      <c r="AX1488" s="2" t="s">
        <v>17767</v>
      </c>
      <c r="AY1488" s="2" t="s">
        <v>17768</v>
      </c>
      <c r="AZ1488" s="2" t="s">
        <v>17768</v>
      </c>
      <c r="BA1488" s="2" t="s">
        <v>17769</v>
      </c>
      <c r="BB1488" s="2" t="s">
        <v>21</v>
      </c>
      <c r="BD1488" s="2" t="s">
        <v>17770</v>
      </c>
      <c r="BE1488" s="2" t="s">
        <v>17771</v>
      </c>
      <c r="BF1488" s="2" t="s">
        <v>17772</v>
      </c>
    </row>
    <row r="1489" spans="1:58" ht="41.25" customHeight="1" x14ac:dyDescent="0.25">
      <c r="A1489" s="8" t="s">
        <v>5</v>
      </c>
      <c r="B1489" s="1" t="s">
        <v>0</v>
      </c>
      <c r="C1489" s="1" t="s">
        <v>1</v>
      </c>
      <c r="D1489" s="1" t="s">
        <v>17773</v>
      </c>
      <c r="E1489" s="1" t="s">
        <v>17774</v>
      </c>
      <c r="F1489" s="1" t="s">
        <v>17775</v>
      </c>
      <c r="H1489" s="2" t="s">
        <v>5</v>
      </c>
      <c r="I1489" s="2" t="s">
        <v>6</v>
      </c>
      <c r="J1489" s="2" t="s">
        <v>5</v>
      </c>
      <c r="K1489" s="2" t="s">
        <v>5</v>
      </c>
      <c r="L1489" s="2" t="s">
        <v>7</v>
      </c>
      <c r="N1489" s="1" t="s">
        <v>3451</v>
      </c>
      <c r="O1489" s="2" t="s">
        <v>872</v>
      </c>
      <c r="Q1489" s="2" t="s">
        <v>11</v>
      </c>
      <c r="R1489" s="2" t="s">
        <v>426</v>
      </c>
      <c r="S1489" s="1" t="s">
        <v>17594</v>
      </c>
      <c r="T1489" s="2" t="s">
        <v>520</v>
      </c>
      <c r="U1489" s="3">
        <v>6</v>
      </c>
      <c r="V1489" s="3">
        <v>6</v>
      </c>
      <c r="W1489" s="4" t="s">
        <v>17776</v>
      </c>
      <c r="X1489" s="4" t="s">
        <v>17776</v>
      </c>
      <c r="Y1489" s="4" t="s">
        <v>8868</v>
      </c>
      <c r="Z1489" s="4" t="s">
        <v>8868</v>
      </c>
      <c r="AA1489" s="3">
        <v>142</v>
      </c>
      <c r="AB1489" s="3">
        <v>118</v>
      </c>
      <c r="AC1489" s="3">
        <v>124</v>
      </c>
      <c r="AD1489" s="3">
        <v>1</v>
      </c>
      <c r="AE1489" s="3">
        <v>1</v>
      </c>
      <c r="AF1489" s="3">
        <v>5</v>
      </c>
      <c r="AG1489" s="3">
        <v>5</v>
      </c>
      <c r="AH1489" s="3">
        <v>2</v>
      </c>
      <c r="AI1489" s="3">
        <v>2</v>
      </c>
      <c r="AJ1489" s="3">
        <v>2</v>
      </c>
      <c r="AK1489" s="3">
        <v>2</v>
      </c>
      <c r="AL1489" s="3">
        <v>2</v>
      </c>
      <c r="AM1489" s="3">
        <v>2</v>
      </c>
      <c r="AN1489" s="3">
        <v>0</v>
      </c>
      <c r="AO1489" s="3">
        <v>0</v>
      </c>
      <c r="AP1489" s="3">
        <v>0</v>
      </c>
      <c r="AQ1489" s="3">
        <v>0</v>
      </c>
      <c r="AR1489" s="2" t="s">
        <v>5</v>
      </c>
      <c r="AS1489" s="2" t="s">
        <v>16</v>
      </c>
      <c r="AT1489" s="5" t="str">
        <f>HYPERLINK("http://catalog.hathitrust.org/Record/001086783","HathiTrust Record")</f>
        <v>HathiTrust Record</v>
      </c>
      <c r="AU1489" s="5" t="str">
        <f>HYPERLINK("https://creighton-primo.hosted.exlibrisgroup.com/primo-explore/search?tab=default_tab&amp;search_scope=EVERYTHING&amp;vid=01CRU&amp;lang=en_US&amp;offset=0&amp;query=any,contains,991001308139702656","Catalog Record")</f>
        <v>Catalog Record</v>
      </c>
      <c r="AV1489" s="5" t="str">
        <f>HYPERLINK("http://www.worldcat.org/oclc/18379094","WorldCat Record")</f>
        <v>WorldCat Record</v>
      </c>
      <c r="AW1489" s="2" t="s">
        <v>17777</v>
      </c>
      <c r="AX1489" s="2" t="s">
        <v>17778</v>
      </c>
      <c r="AY1489" s="2" t="s">
        <v>17779</v>
      </c>
      <c r="AZ1489" s="2" t="s">
        <v>17779</v>
      </c>
      <c r="BA1489" s="2" t="s">
        <v>17780</v>
      </c>
      <c r="BB1489" s="2" t="s">
        <v>21</v>
      </c>
      <c r="BD1489" s="2" t="s">
        <v>17781</v>
      </c>
      <c r="BE1489" s="2" t="s">
        <v>17782</v>
      </c>
      <c r="BF1489" s="2" t="s">
        <v>17783</v>
      </c>
    </row>
    <row r="1490" spans="1:58" ht="41.25" customHeight="1" x14ac:dyDescent="0.25">
      <c r="A1490" s="8" t="s">
        <v>5</v>
      </c>
      <c r="B1490" s="1" t="s">
        <v>0</v>
      </c>
      <c r="C1490" s="1" t="s">
        <v>1</v>
      </c>
      <c r="D1490" s="1" t="s">
        <v>17784</v>
      </c>
      <c r="E1490" s="1" t="s">
        <v>17785</v>
      </c>
      <c r="F1490" s="1" t="s">
        <v>17786</v>
      </c>
      <c r="H1490" s="2" t="s">
        <v>5</v>
      </c>
      <c r="I1490" s="2" t="s">
        <v>6</v>
      </c>
      <c r="J1490" s="2" t="s">
        <v>5</v>
      </c>
      <c r="K1490" s="2" t="s">
        <v>16</v>
      </c>
      <c r="L1490" s="2" t="s">
        <v>7</v>
      </c>
      <c r="M1490" s="1" t="s">
        <v>17787</v>
      </c>
      <c r="N1490" s="1" t="s">
        <v>17788</v>
      </c>
      <c r="O1490" s="2" t="s">
        <v>601</v>
      </c>
      <c r="P1490" s="1" t="s">
        <v>901</v>
      </c>
      <c r="Q1490" s="2" t="s">
        <v>11</v>
      </c>
      <c r="R1490" s="2" t="s">
        <v>31</v>
      </c>
      <c r="T1490" s="2" t="s">
        <v>520</v>
      </c>
      <c r="U1490" s="3">
        <v>3</v>
      </c>
      <c r="V1490" s="3">
        <v>3</v>
      </c>
      <c r="W1490" s="4" t="s">
        <v>17789</v>
      </c>
      <c r="X1490" s="4" t="s">
        <v>17789</v>
      </c>
      <c r="Y1490" s="4" t="s">
        <v>8135</v>
      </c>
      <c r="Z1490" s="4" t="s">
        <v>8135</v>
      </c>
      <c r="AA1490" s="3">
        <v>253</v>
      </c>
      <c r="AB1490" s="3">
        <v>219</v>
      </c>
      <c r="AC1490" s="3">
        <v>404</v>
      </c>
      <c r="AD1490" s="3">
        <v>1</v>
      </c>
      <c r="AE1490" s="3">
        <v>2</v>
      </c>
      <c r="AF1490" s="3">
        <v>9</v>
      </c>
      <c r="AG1490" s="3">
        <v>14</v>
      </c>
      <c r="AH1490" s="3">
        <v>3</v>
      </c>
      <c r="AI1490" s="3">
        <v>4</v>
      </c>
      <c r="AJ1490" s="3">
        <v>2</v>
      </c>
      <c r="AK1490" s="3">
        <v>5</v>
      </c>
      <c r="AL1490" s="3">
        <v>4</v>
      </c>
      <c r="AM1490" s="3">
        <v>7</v>
      </c>
      <c r="AN1490" s="3">
        <v>0</v>
      </c>
      <c r="AO1490" s="3">
        <v>0</v>
      </c>
      <c r="AP1490" s="3">
        <v>0</v>
      </c>
      <c r="AQ1490" s="3">
        <v>0</v>
      </c>
      <c r="AR1490" s="2" t="s">
        <v>5</v>
      </c>
      <c r="AS1490" s="2" t="s">
        <v>16</v>
      </c>
      <c r="AT1490" s="5" t="str">
        <f>HYPERLINK("http://catalog.hathitrust.org/Record/002873325","HathiTrust Record")</f>
        <v>HathiTrust Record</v>
      </c>
      <c r="AU1490" s="5" t="str">
        <f>HYPERLINK("https://creighton-primo.hosted.exlibrisgroup.com/primo-explore/search?tab=default_tab&amp;search_scope=EVERYTHING&amp;vid=01CRU&amp;lang=en_US&amp;offset=0&amp;query=any,contains,991001506199702656","Catalog Record")</f>
        <v>Catalog Record</v>
      </c>
      <c r="AV1490" s="5" t="str">
        <f>HYPERLINK("http://www.worldcat.org/oclc/30069824","WorldCat Record")</f>
        <v>WorldCat Record</v>
      </c>
      <c r="AW1490" s="2" t="s">
        <v>17790</v>
      </c>
      <c r="AX1490" s="2" t="s">
        <v>17791</v>
      </c>
      <c r="AY1490" s="2" t="s">
        <v>17792</v>
      </c>
      <c r="AZ1490" s="2" t="s">
        <v>17792</v>
      </c>
      <c r="BA1490" s="2" t="s">
        <v>17793</v>
      </c>
      <c r="BB1490" s="2" t="s">
        <v>21</v>
      </c>
      <c r="BD1490" s="2" t="s">
        <v>17794</v>
      </c>
      <c r="BE1490" s="2" t="s">
        <v>17795</v>
      </c>
      <c r="BF1490" s="2" t="s">
        <v>17796</v>
      </c>
    </row>
    <row r="1491" spans="1:58" ht="41.25" customHeight="1" x14ac:dyDescent="0.25">
      <c r="A1491" s="8" t="s">
        <v>5</v>
      </c>
      <c r="B1491" s="1" t="s">
        <v>0</v>
      </c>
      <c r="C1491" s="1" t="s">
        <v>1</v>
      </c>
      <c r="D1491" s="1" t="s">
        <v>17797</v>
      </c>
      <c r="E1491" s="1" t="s">
        <v>17798</v>
      </c>
      <c r="F1491" s="1" t="s">
        <v>17799</v>
      </c>
      <c r="H1491" s="2" t="s">
        <v>5</v>
      </c>
      <c r="I1491" s="2" t="s">
        <v>6</v>
      </c>
      <c r="J1491" s="2" t="s">
        <v>5</v>
      </c>
      <c r="K1491" s="2" t="s">
        <v>5</v>
      </c>
      <c r="L1491" s="2" t="s">
        <v>7</v>
      </c>
      <c r="N1491" s="1" t="s">
        <v>3819</v>
      </c>
      <c r="O1491" s="2" t="s">
        <v>989</v>
      </c>
      <c r="Q1491" s="2" t="s">
        <v>11</v>
      </c>
      <c r="R1491" s="2" t="s">
        <v>426</v>
      </c>
      <c r="T1491" s="2" t="s">
        <v>520</v>
      </c>
      <c r="U1491" s="3">
        <v>9</v>
      </c>
      <c r="V1491" s="3">
        <v>9</v>
      </c>
      <c r="W1491" s="4" t="s">
        <v>12122</v>
      </c>
      <c r="X1491" s="4" t="s">
        <v>12122</v>
      </c>
      <c r="Y1491" s="4" t="s">
        <v>17800</v>
      </c>
      <c r="Z1491" s="4" t="s">
        <v>17800</v>
      </c>
      <c r="AA1491" s="3">
        <v>264</v>
      </c>
      <c r="AB1491" s="3">
        <v>204</v>
      </c>
      <c r="AC1491" s="3">
        <v>328</v>
      </c>
      <c r="AD1491" s="3">
        <v>2</v>
      </c>
      <c r="AE1491" s="3">
        <v>3</v>
      </c>
      <c r="AF1491" s="3">
        <v>6</v>
      </c>
      <c r="AG1491" s="3">
        <v>12</v>
      </c>
      <c r="AH1491" s="3">
        <v>2</v>
      </c>
      <c r="AI1491" s="3">
        <v>4</v>
      </c>
      <c r="AJ1491" s="3">
        <v>2</v>
      </c>
      <c r="AK1491" s="3">
        <v>3</v>
      </c>
      <c r="AL1491" s="3">
        <v>3</v>
      </c>
      <c r="AM1491" s="3">
        <v>6</v>
      </c>
      <c r="AN1491" s="3">
        <v>0</v>
      </c>
      <c r="AO1491" s="3">
        <v>1</v>
      </c>
      <c r="AP1491" s="3">
        <v>0</v>
      </c>
      <c r="AQ1491" s="3">
        <v>0</v>
      </c>
      <c r="AR1491" s="2" t="s">
        <v>5</v>
      </c>
      <c r="AS1491" s="2" t="s">
        <v>16</v>
      </c>
      <c r="AT1491" s="5" t="str">
        <f>HYPERLINK("http://catalog.hathitrust.org/Record/001817595","HathiTrust Record")</f>
        <v>HathiTrust Record</v>
      </c>
      <c r="AU1491" s="5" t="str">
        <f>HYPERLINK("https://creighton-primo.hosted.exlibrisgroup.com/primo-explore/search?tab=default_tab&amp;search_scope=EVERYTHING&amp;vid=01CRU&amp;lang=en_US&amp;offset=0&amp;query=any,contains,991001385599702656","Catalog Record")</f>
        <v>Catalog Record</v>
      </c>
      <c r="AV1491" s="5" t="str">
        <f>HYPERLINK("http://www.worldcat.org/oclc/19740976","WorldCat Record")</f>
        <v>WorldCat Record</v>
      </c>
      <c r="AW1491" s="2" t="s">
        <v>17801</v>
      </c>
      <c r="AX1491" s="2" t="s">
        <v>17802</v>
      </c>
      <c r="AY1491" s="2" t="s">
        <v>17803</v>
      </c>
      <c r="AZ1491" s="2" t="s">
        <v>17803</v>
      </c>
      <c r="BA1491" s="2" t="s">
        <v>17804</v>
      </c>
      <c r="BB1491" s="2" t="s">
        <v>21</v>
      </c>
      <c r="BD1491" s="2" t="s">
        <v>17805</v>
      </c>
      <c r="BE1491" s="2" t="s">
        <v>17806</v>
      </c>
      <c r="BF1491" s="2" t="s">
        <v>17807</v>
      </c>
    </row>
    <row r="1492" spans="1:58" ht="41.25" customHeight="1" x14ac:dyDescent="0.25">
      <c r="A1492" s="8" t="s">
        <v>5</v>
      </c>
      <c r="B1492" s="1" t="s">
        <v>0</v>
      </c>
      <c r="C1492" s="1" t="s">
        <v>1</v>
      </c>
      <c r="D1492" s="1" t="s">
        <v>17808</v>
      </c>
      <c r="E1492" s="1" t="s">
        <v>17809</v>
      </c>
      <c r="F1492" s="1" t="s">
        <v>17810</v>
      </c>
      <c r="H1492" s="2" t="s">
        <v>5</v>
      </c>
      <c r="I1492" s="2" t="s">
        <v>6</v>
      </c>
      <c r="J1492" s="2" t="s">
        <v>5</v>
      </c>
      <c r="K1492" s="2" t="s">
        <v>16</v>
      </c>
      <c r="L1492" s="2" t="s">
        <v>7</v>
      </c>
      <c r="N1492" s="1" t="s">
        <v>925</v>
      </c>
      <c r="O1492" s="2" t="s">
        <v>382</v>
      </c>
      <c r="P1492" s="1" t="s">
        <v>211</v>
      </c>
      <c r="Q1492" s="2" t="s">
        <v>11</v>
      </c>
      <c r="R1492" s="2" t="s">
        <v>426</v>
      </c>
      <c r="T1492" s="2" t="s">
        <v>520</v>
      </c>
      <c r="U1492" s="3">
        <v>2</v>
      </c>
      <c r="V1492" s="3">
        <v>2</v>
      </c>
      <c r="W1492" s="4" t="s">
        <v>11819</v>
      </c>
      <c r="X1492" s="4" t="s">
        <v>11819</v>
      </c>
      <c r="Y1492" s="4" t="s">
        <v>15</v>
      </c>
      <c r="Z1492" s="4" t="s">
        <v>15</v>
      </c>
      <c r="AA1492" s="3">
        <v>239</v>
      </c>
      <c r="AB1492" s="3">
        <v>197</v>
      </c>
      <c r="AC1492" s="3">
        <v>407</v>
      </c>
      <c r="AD1492" s="3">
        <v>1</v>
      </c>
      <c r="AE1492" s="3">
        <v>1</v>
      </c>
      <c r="AF1492" s="3">
        <v>3</v>
      </c>
      <c r="AG1492" s="3">
        <v>7</v>
      </c>
      <c r="AH1492" s="3">
        <v>1</v>
      </c>
      <c r="AI1492" s="3">
        <v>3</v>
      </c>
      <c r="AJ1492" s="3">
        <v>0</v>
      </c>
      <c r="AK1492" s="3">
        <v>1</v>
      </c>
      <c r="AL1492" s="3">
        <v>2</v>
      </c>
      <c r="AM1492" s="3">
        <v>4</v>
      </c>
      <c r="AN1492" s="3">
        <v>0</v>
      </c>
      <c r="AO1492" s="3">
        <v>0</v>
      </c>
      <c r="AP1492" s="3">
        <v>0</v>
      </c>
      <c r="AQ1492" s="3">
        <v>0</v>
      </c>
      <c r="AR1492" s="2" t="s">
        <v>5</v>
      </c>
      <c r="AS1492" s="2" t="s">
        <v>16</v>
      </c>
      <c r="AT1492" s="5" t="str">
        <f>HYPERLINK("http://catalog.hathitrust.org/Record/000569983","HathiTrust Record")</f>
        <v>HathiTrust Record</v>
      </c>
      <c r="AU1492" s="5" t="str">
        <f>HYPERLINK("https://creighton-primo.hosted.exlibrisgroup.com/primo-explore/search?tab=default_tab&amp;search_scope=EVERYTHING&amp;vid=01CRU&amp;lang=en_US&amp;offset=0&amp;query=any,contains,991000866349702656","Catalog Record")</f>
        <v>Catalog Record</v>
      </c>
      <c r="AV1492" s="5" t="str">
        <f>HYPERLINK("http://www.worldcat.org/oclc/11134231","WorldCat Record")</f>
        <v>WorldCat Record</v>
      </c>
      <c r="AW1492" s="2" t="s">
        <v>17811</v>
      </c>
      <c r="AX1492" s="2" t="s">
        <v>17812</v>
      </c>
      <c r="AY1492" s="2" t="s">
        <v>17813</v>
      </c>
      <c r="AZ1492" s="2" t="s">
        <v>17813</v>
      </c>
      <c r="BA1492" s="2" t="s">
        <v>17814</v>
      </c>
      <c r="BB1492" s="2" t="s">
        <v>21</v>
      </c>
      <c r="BD1492" s="2" t="s">
        <v>17815</v>
      </c>
      <c r="BE1492" s="2" t="s">
        <v>17816</v>
      </c>
      <c r="BF1492" s="2" t="s">
        <v>17817</v>
      </c>
    </row>
    <row r="1493" spans="1:58" ht="41.25" customHeight="1" x14ac:dyDescent="0.25">
      <c r="A1493" s="8" t="s">
        <v>5</v>
      </c>
      <c r="B1493" s="1" t="s">
        <v>0</v>
      </c>
      <c r="C1493" s="1" t="s">
        <v>1</v>
      </c>
      <c r="D1493" s="1" t="s">
        <v>17818</v>
      </c>
      <c r="E1493" s="1" t="s">
        <v>17819</v>
      </c>
      <c r="F1493" s="1" t="s">
        <v>17820</v>
      </c>
      <c r="H1493" s="2" t="s">
        <v>5</v>
      </c>
      <c r="I1493" s="2" t="s">
        <v>6</v>
      </c>
      <c r="J1493" s="2" t="s">
        <v>5</v>
      </c>
      <c r="K1493" s="2" t="s">
        <v>16</v>
      </c>
      <c r="L1493" s="2" t="s">
        <v>7</v>
      </c>
      <c r="N1493" s="1" t="s">
        <v>11783</v>
      </c>
      <c r="O1493" s="2" t="s">
        <v>1195</v>
      </c>
      <c r="P1493" s="1" t="s">
        <v>901</v>
      </c>
      <c r="Q1493" s="2" t="s">
        <v>11</v>
      </c>
      <c r="R1493" s="2" t="s">
        <v>31</v>
      </c>
      <c r="T1493" s="2" t="s">
        <v>520</v>
      </c>
      <c r="U1493" s="3">
        <v>7</v>
      </c>
      <c r="V1493" s="3">
        <v>7</v>
      </c>
      <c r="W1493" s="4" t="s">
        <v>2690</v>
      </c>
      <c r="X1493" s="4" t="s">
        <v>2690</v>
      </c>
      <c r="Y1493" s="4" t="s">
        <v>9800</v>
      </c>
      <c r="Z1493" s="4" t="s">
        <v>9800</v>
      </c>
      <c r="AA1493" s="3">
        <v>292</v>
      </c>
      <c r="AB1493" s="3">
        <v>227</v>
      </c>
      <c r="AC1493" s="3">
        <v>776</v>
      </c>
      <c r="AD1493" s="3">
        <v>1</v>
      </c>
      <c r="AE1493" s="3">
        <v>4</v>
      </c>
      <c r="AF1493" s="3">
        <v>8</v>
      </c>
      <c r="AG1493" s="3">
        <v>23</v>
      </c>
      <c r="AH1493" s="3">
        <v>4</v>
      </c>
      <c r="AI1493" s="3">
        <v>9</v>
      </c>
      <c r="AJ1493" s="3">
        <v>1</v>
      </c>
      <c r="AK1493" s="3">
        <v>3</v>
      </c>
      <c r="AL1493" s="3">
        <v>4</v>
      </c>
      <c r="AM1493" s="3">
        <v>13</v>
      </c>
      <c r="AN1493" s="3">
        <v>0</v>
      </c>
      <c r="AO1493" s="3">
        <v>2</v>
      </c>
      <c r="AP1493" s="3">
        <v>0</v>
      </c>
      <c r="AQ1493" s="3">
        <v>0</v>
      </c>
      <c r="AR1493" s="2" t="s">
        <v>5</v>
      </c>
      <c r="AS1493" s="2" t="s">
        <v>16</v>
      </c>
      <c r="AT1493" s="5" t="str">
        <f>HYPERLINK("http://catalog.hathitrust.org/Record/004077241","HathiTrust Record")</f>
        <v>HathiTrust Record</v>
      </c>
      <c r="AU1493" s="5" t="str">
        <f>HYPERLINK("https://creighton-primo.hosted.exlibrisgroup.com/primo-explore/search?tab=default_tab&amp;search_scope=EVERYTHING&amp;vid=01CRU&amp;lang=en_US&amp;offset=0&amp;query=any,contains,991001799909702656","Catalog Record")</f>
        <v>Catalog Record</v>
      </c>
      <c r="AV1493" s="5" t="str">
        <f>HYPERLINK("http://www.worldcat.org/oclc/43118080","WorldCat Record")</f>
        <v>WorldCat Record</v>
      </c>
      <c r="AW1493" s="2" t="s">
        <v>17821</v>
      </c>
      <c r="AX1493" s="2" t="s">
        <v>17822</v>
      </c>
      <c r="AY1493" s="2" t="s">
        <v>17823</v>
      </c>
      <c r="AZ1493" s="2" t="s">
        <v>17823</v>
      </c>
      <c r="BA1493" s="2" t="s">
        <v>17824</v>
      </c>
      <c r="BB1493" s="2" t="s">
        <v>21</v>
      </c>
      <c r="BD1493" s="2" t="s">
        <v>17825</v>
      </c>
      <c r="BE1493" s="2" t="s">
        <v>17826</v>
      </c>
      <c r="BF1493" s="2" t="s">
        <v>17827</v>
      </c>
    </row>
    <row r="1494" spans="1:58" ht="41.25" customHeight="1" x14ac:dyDescent="0.25">
      <c r="A1494" s="8" t="s">
        <v>5</v>
      </c>
      <c r="B1494" s="1" t="s">
        <v>0</v>
      </c>
      <c r="C1494" s="1" t="s">
        <v>1</v>
      </c>
      <c r="D1494" s="1" t="s">
        <v>17828</v>
      </c>
      <c r="E1494" s="1" t="s">
        <v>17829</v>
      </c>
      <c r="F1494" s="1" t="s">
        <v>17830</v>
      </c>
      <c r="H1494" s="2" t="s">
        <v>5</v>
      </c>
      <c r="I1494" s="2" t="s">
        <v>6</v>
      </c>
      <c r="J1494" s="2" t="s">
        <v>5</v>
      </c>
      <c r="K1494" s="2" t="s">
        <v>5</v>
      </c>
      <c r="L1494" s="2" t="s">
        <v>7</v>
      </c>
      <c r="M1494" s="1" t="s">
        <v>17831</v>
      </c>
      <c r="N1494" s="1" t="s">
        <v>15998</v>
      </c>
      <c r="O1494" s="2" t="s">
        <v>734</v>
      </c>
      <c r="Q1494" s="2" t="s">
        <v>11</v>
      </c>
      <c r="R1494" s="2" t="s">
        <v>78</v>
      </c>
      <c r="S1494" s="1" t="s">
        <v>7728</v>
      </c>
      <c r="T1494" s="2" t="s">
        <v>520</v>
      </c>
      <c r="U1494" s="3">
        <v>2</v>
      </c>
      <c r="V1494" s="3">
        <v>2</v>
      </c>
      <c r="W1494" s="4" t="s">
        <v>3195</v>
      </c>
      <c r="X1494" s="4" t="s">
        <v>3195</v>
      </c>
      <c r="Y1494" s="4" t="s">
        <v>15</v>
      </c>
      <c r="Z1494" s="4" t="s">
        <v>15</v>
      </c>
      <c r="AA1494" s="3">
        <v>104</v>
      </c>
      <c r="AB1494" s="3">
        <v>82</v>
      </c>
      <c r="AC1494" s="3">
        <v>84</v>
      </c>
      <c r="AD1494" s="3">
        <v>1</v>
      </c>
      <c r="AE1494" s="3">
        <v>1</v>
      </c>
      <c r="AF1494" s="3">
        <v>1</v>
      </c>
      <c r="AG1494" s="3">
        <v>1</v>
      </c>
      <c r="AH1494" s="3">
        <v>1</v>
      </c>
      <c r="AI1494" s="3">
        <v>1</v>
      </c>
      <c r="AJ1494" s="3">
        <v>0</v>
      </c>
      <c r="AK1494" s="3">
        <v>0</v>
      </c>
      <c r="AL1494" s="3">
        <v>0</v>
      </c>
      <c r="AM1494" s="3">
        <v>0</v>
      </c>
      <c r="AN1494" s="3">
        <v>0</v>
      </c>
      <c r="AO1494" s="3">
        <v>0</v>
      </c>
      <c r="AP1494" s="3">
        <v>0</v>
      </c>
      <c r="AQ1494" s="3">
        <v>0</v>
      </c>
      <c r="AR1494" s="2" t="s">
        <v>5</v>
      </c>
      <c r="AS1494" s="2" t="s">
        <v>16</v>
      </c>
      <c r="AT1494" s="5" t="str">
        <f>HYPERLINK("http://catalog.hathitrust.org/Record/000203868","HathiTrust Record")</f>
        <v>HathiTrust Record</v>
      </c>
      <c r="AU1494" s="5" t="str">
        <f>HYPERLINK("https://creighton-primo.hosted.exlibrisgroup.com/primo-explore/search?tab=default_tab&amp;search_scope=EVERYTHING&amp;vid=01CRU&amp;lang=en_US&amp;offset=0&amp;query=any,contains,991000866389702656","Catalog Record")</f>
        <v>Catalog Record</v>
      </c>
      <c r="AV1494" s="5" t="str">
        <f>HYPERLINK("http://www.worldcat.org/oclc/8283014","WorldCat Record")</f>
        <v>WorldCat Record</v>
      </c>
      <c r="AW1494" s="2" t="s">
        <v>17832</v>
      </c>
      <c r="AX1494" s="2" t="s">
        <v>17833</v>
      </c>
      <c r="AY1494" s="2" t="s">
        <v>17834</v>
      </c>
      <c r="AZ1494" s="2" t="s">
        <v>17834</v>
      </c>
      <c r="BA1494" s="2" t="s">
        <v>17835</v>
      </c>
      <c r="BB1494" s="2" t="s">
        <v>21</v>
      </c>
      <c r="BD1494" s="2" t="s">
        <v>17836</v>
      </c>
      <c r="BE1494" s="2" t="s">
        <v>17837</v>
      </c>
      <c r="BF1494" s="2" t="s">
        <v>17838</v>
      </c>
    </row>
    <row r="1495" spans="1:58" ht="41.25" customHeight="1" x14ac:dyDescent="0.25">
      <c r="A1495" s="8" t="s">
        <v>5</v>
      </c>
      <c r="B1495" s="1" t="s">
        <v>0</v>
      </c>
      <c r="C1495" s="1" t="s">
        <v>1</v>
      </c>
      <c r="D1495" s="1" t="s">
        <v>17839</v>
      </c>
      <c r="E1495" s="1" t="s">
        <v>17840</v>
      </c>
      <c r="F1495" s="1" t="s">
        <v>17841</v>
      </c>
      <c r="H1495" s="2" t="s">
        <v>5</v>
      </c>
      <c r="I1495" s="2" t="s">
        <v>6</v>
      </c>
      <c r="J1495" s="2" t="s">
        <v>5</v>
      </c>
      <c r="K1495" s="2" t="s">
        <v>5</v>
      </c>
      <c r="L1495" s="2" t="s">
        <v>7</v>
      </c>
      <c r="N1495" s="1" t="s">
        <v>17842</v>
      </c>
      <c r="O1495" s="2" t="s">
        <v>107</v>
      </c>
      <c r="Q1495" s="2" t="s">
        <v>11</v>
      </c>
      <c r="R1495" s="2" t="s">
        <v>31</v>
      </c>
      <c r="T1495" s="2" t="s">
        <v>520</v>
      </c>
      <c r="U1495" s="3">
        <v>2</v>
      </c>
      <c r="V1495" s="3">
        <v>2</v>
      </c>
      <c r="W1495" s="4" t="s">
        <v>17843</v>
      </c>
      <c r="X1495" s="4" t="s">
        <v>17843</v>
      </c>
      <c r="Y1495" s="4" t="s">
        <v>17844</v>
      </c>
      <c r="Z1495" s="4" t="s">
        <v>17844</v>
      </c>
      <c r="AA1495" s="3">
        <v>271</v>
      </c>
      <c r="AB1495" s="3">
        <v>208</v>
      </c>
      <c r="AC1495" s="3">
        <v>210</v>
      </c>
      <c r="AD1495" s="3">
        <v>3</v>
      </c>
      <c r="AE1495" s="3">
        <v>3</v>
      </c>
      <c r="AF1495" s="3">
        <v>11</v>
      </c>
      <c r="AG1495" s="3">
        <v>11</v>
      </c>
      <c r="AH1495" s="3">
        <v>2</v>
      </c>
      <c r="AI1495" s="3">
        <v>2</v>
      </c>
      <c r="AJ1495" s="3">
        <v>3</v>
      </c>
      <c r="AK1495" s="3">
        <v>3</v>
      </c>
      <c r="AL1495" s="3">
        <v>5</v>
      </c>
      <c r="AM1495" s="3">
        <v>5</v>
      </c>
      <c r="AN1495" s="3">
        <v>2</v>
      </c>
      <c r="AO1495" s="3">
        <v>2</v>
      </c>
      <c r="AP1495" s="3">
        <v>0</v>
      </c>
      <c r="AQ1495" s="3">
        <v>0</v>
      </c>
      <c r="AR1495" s="2" t="s">
        <v>5</v>
      </c>
      <c r="AS1495" s="2" t="s">
        <v>16</v>
      </c>
      <c r="AT1495" s="5" t="str">
        <f>HYPERLINK("http://catalog.hathitrust.org/Record/005069751","HathiTrust Record")</f>
        <v>HathiTrust Record</v>
      </c>
      <c r="AU1495" s="5" t="str">
        <f>HYPERLINK("https://creighton-primo.hosted.exlibrisgroup.com/primo-explore/search?tab=default_tab&amp;search_scope=EVERYTHING&amp;vid=01CRU&amp;lang=en_US&amp;offset=0&amp;query=any,contains,991001735859702656","Catalog Record")</f>
        <v>Catalog Record</v>
      </c>
      <c r="AV1495" s="5" t="str">
        <f>HYPERLINK("http://www.worldcat.org/oclc/61162595","WorldCat Record")</f>
        <v>WorldCat Record</v>
      </c>
      <c r="AW1495" s="2" t="s">
        <v>17845</v>
      </c>
      <c r="AX1495" s="2" t="s">
        <v>17846</v>
      </c>
      <c r="AY1495" s="2" t="s">
        <v>17847</v>
      </c>
      <c r="AZ1495" s="2" t="s">
        <v>17847</v>
      </c>
      <c r="BA1495" s="2" t="s">
        <v>17848</v>
      </c>
      <c r="BB1495" s="2" t="s">
        <v>21</v>
      </c>
      <c r="BD1495" s="2" t="s">
        <v>17849</v>
      </c>
      <c r="BE1495" s="2" t="s">
        <v>17850</v>
      </c>
      <c r="BF1495" s="2" t="s">
        <v>17851</v>
      </c>
    </row>
    <row r="1496" spans="1:58" ht="41.25" customHeight="1" x14ac:dyDescent="0.25">
      <c r="A1496" s="8" t="s">
        <v>5</v>
      </c>
      <c r="B1496" s="1" t="s">
        <v>0</v>
      </c>
      <c r="C1496" s="1" t="s">
        <v>1</v>
      </c>
      <c r="D1496" s="1" t="s">
        <v>17852</v>
      </c>
      <c r="E1496" s="1" t="s">
        <v>17853</v>
      </c>
      <c r="F1496" s="1" t="s">
        <v>17854</v>
      </c>
      <c r="H1496" s="2" t="s">
        <v>5</v>
      </c>
      <c r="I1496" s="2" t="s">
        <v>6</v>
      </c>
      <c r="J1496" s="2" t="s">
        <v>5</v>
      </c>
      <c r="K1496" s="2" t="s">
        <v>5</v>
      </c>
      <c r="L1496" s="2" t="s">
        <v>7</v>
      </c>
      <c r="N1496" s="1" t="s">
        <v>8418</v>
      </c>
      <c r="O1496" s="2" t="s">
        <v>1102</v>
      </c>
      <c r="Q1496" s="2" t="s">
        <v>11</v>
      </c>
      <c r="R1496" s="2" t="s">
        <v>426</v>
      </c>
      <c r="T1496" s="2" t="s">
        <v>520</v>
      </c>
      <c r="U1496" s="3">
        <v>5</v>
      </c>
      <c r="V1496" s="3">
        <v>5</v>
      </c>
      <c r="W1496" s="4" t="s">
        <v>17855</v>
      </c>
      <c r="X1496" s="4" t="s">
        <v>17855</v>
      </c>
      <c r="Y1496" s="4" t="s">
        <v>15</v>
      </c>
      <c r="Z1496" s="4" t="s">
        <v>15</v>
      </c>
      <c r="AA1496" s="3">
        <v>133</v>
      </c>
      <c r="AB1496" s="3">
        <v>114</v>
      </c>
      <c r="AC1496" s="3">
        <v>116</v>
      </c>
      <c r="AD1496" s="3">
        <v>2</v>
      </c>
      <c r="AE1496" s="3">
        <v>2</v>
      </c>
      <c r="AF1496" s="3">
        <v>2</v>
      </c>
      <c r="AG1496" s="3">
        <v>2</v>
      </c>
      <c r="AH1496" s="3">
        <v>0</v>
      </c>
      <c r="AI1496" s="3">
        <v>0</v>
      </c>
      <c r="AJ1496" s="3">
        <v>1</v>
      </c>
      <c r="AK1496" s="3">
        <v>1</v>
      </c>
      <c r="AL1496" s="3">
        <v>1</v>
      </c>
      <c r="AM1496" s="3">
        <v>1</v>
      </c>
      <c r="AN1496" s="3">
        <v>0</v>
      </c>
      <c r="AO1496" s="3">
        <v>0</v>
      </c>
      <c r="AP1496" s="3">
        <v>0</v>
      </c>
      <c r="AQ1496" s="3">
        <v>0</v>
      </c>
      <c r="AR1496" s="2" t="s">
        <v>5</v>
      </c>
      <c r="AS1496" s="2" t="s">
        <v>16</v>
      </c>
      <c r="AT1496" s="5" t="str">
        <f>HYPERLINK("http://catalog.hathitrust.org/Record/000538714","HathiTrust Record")</f>
        <v>HathiTrust Record</v>
      </c>
      <c r="AU1496" s="5" t="str">
        <f>HYPERLINK("https://creighton-primo.hosted.exlibrisgroup.com/primo-explore/search?tab=default_tab&amp;search_scope=EVERYTHING&amp;vid=01CRU&amp;lang=en_US&amp;offset=0&amp;query=any,contains,991000866539702656","Catalog Record")</f>
        <v>Catalog Record</v>
      </c>
      <c r="AV1496" s="5" t="str">
        <f>HYPERLINK("http://www.worldcat.org/oclc/13665973","WorldCat Record")</f>
        <v>WorldCat Record</v>
      </c>
      <c r="AW1496" s="2" t="s">
        <v>17856</v>
      </c>
      <c r="AX1496" s="2" t="s">
        <v>17857</v>
      </c>
      <c r="AY1496" s="2" t="s">
        <v>17858</v>
      </c>
      <c r="AZ1496" s="2" t="s">
        <v>17858</v>
      </c>
      <c r="BA1496" s="2" t="s">
        <v>17859</v>
      </c>
      <c r="BB1496" s="2" t="s">
        <v>21</v>
      </c>
      <c r="BD1496" s="2" t="s">
        <v>17860</v>
      </c>
      <c r="BE1496" s="2" t="s">
        <v>17861</v>
      </c>
      <c r="BF1496" s="2" t="s">
        <v>17862</v>
      </c>
    </row>
    <row r="1497" spans="1:58" ht="41.25" customHeight="1" x14ac:dyDescent="0.25">
      <c r="A1497" s="8" t="s">
        <v>5</v>
      </c>
      <c r="B1497" s="1" t="s">
        <v>0</v>
      </c>
      <c r="C1497" s="1" t="s">
        <v>1</v>
      </c>
      <c r="D1497" s="1" t="s">
        <v>17863</v>
      </c>
      <c r="E1497" s="1" t="s">
        <v>17864</v>
      </c>
      <c r="F1497" s="1" t="s">
        <v>17865</v>
      </c>
      <c r="H1497" s="2" t="s">
        <v>5</v>
      </c>
      <c r="I1497" s="2" t="s">
        <v>6</v>
      </c>
      <c r="J1497" s="2" t="s">
        <v>5</v>
      </c>
      <c r="K1497" s="2" t="s">
        <v>16</v>
      </c>
      <c r="L1497" s="2" t="s">
        <v>7</v>
      </c>
      <c r="N1497" s="1" t="s">
        <v>17866</v>
      </c>
      <c r="O1497" s="2" t="s">
        <v>1060</v>
      </c>
      <c r="P1497" s="1" t="s">
        <v>1208</v>
      </c>
      <c r="Q1497" s="2" t="s">
        <v>11</v>
      </c>
      <c r="R1497" s="2" t="s">
        <v>31</v>
      </c>
      <c r="T1497" s="2" t="s">
        <v>520</v>
      </c>
      <c r="U1497" s="3">
        <v>2</v>
      </c>
      <c r="V1497" s="3">
        <v>2</v>
      </c>
      <c r="W1497" s="4" t="s">
        <v>13645</v>
      </c>
      <c r="X1497" s="4" t="s">
        <v>13645</v>
      </c>
      <c r="Y1497" s="4" t="s">
        <v>17867</v>
      </c>
      <c r="Z1497" s="4" t="s">
        <v>17867</v>
      </c>
      <c r="AA1497" s="3">
        <v>253</v>
      </c>
      <c r="AB1497" s="3">
        <v>191</v>
      </c>
      <c r="AC1497" s="3">
        <v>595</v>
      </c>
      <c r="AD1497" s="3">
        <v>1</v>
      </c>
      <c r="AE1497" s="3">
        <v>2</v>
      </c>
      <c r="AF1497" s="3">
        <v>6</v>
      </c>
      <c r="AG1497" s="3">
        <v>16</v>
      </c>
      <c r="AH1497" s="3">
        <v>1</v>
      </c>
      <c r="AI1497" s="3">
        <v>6</v>
      </c>
      <c r="AJ1497" s="3">
        <v>2</v>
      </c>
      <c r="AK1497" s="3">
        <v>4</v>
      </c>
      <c r="AL1497" s="3">
        <v>5</v>
      </c>
      <c r="AM1497" s="3">
        <v>8</v>
      </c>
      <c r="AN1497" s="3">
        <v>0</v>
      </c>
      <c r="AO1497" s="3">
        <v>1</v>
      </c>
      <c r="AP1497" s="3">
        <v>0</v>
      </c>
      <c r="AQ1497" s="3">
        <v>0</v>
      </c>
      <c r="AR1497" s="2" t="s">
        <v>5</v>
      </c>
      <c r="AS1497" s="2" t="s">
        <v>16</v>
      </c>
      <c r="AT1497" s="5" t="str">
        <f>HYPERLINK("http://catalog.hathitrust.org/Record/004923856","HathiTrust Record")</f>
        <v>HathiTrust Record</v>
      </c>
      <c r="AU1497" s="5" t="str">
        <f>HYPERLINK("https://creighton-primo.hosted.exlibrisgroup.com/primo-explore/search?tab=default_tab&amp;search_scope=EVERYTHING&amp;vid=01CRU&amp;lang=en_US&amp;offset=0&amp;query=any,contains,991001732069702656","Catalog Record")</f>
        <v>Catalog Record</v>
      </c>
      <c r="AV1497" s="5" t="str">
        <f>HYPERLINK("http://www.worldcat.org/oclc/56960322","WorldCat Record")</f>
        <v>WorldCat Record</v>
      </c>
      <c r="AW1497" s="2" t="s">
        <v>17868</v>
      </c>
      <c r="AX1497" s="2" t="s">
        <v>17869</v>
      </c>
      <c r="AY1497" s="2" t="s">
        <v>17870</v>
      </c>
      <c r="AZ1497" s="2" t="s">
        <v>17870</v>
      </c>
      <c r="BA1497" s="2" t="s">
        <v>17871</v>
      </c>
      <c r="BB1497" s="2" t="s">
        <v>21</v>
      </c>
      <c r="BD1497" s="2" t="s">
        <v>17872</v>
      </c>
      <c r="BE1497" s="2" t="s">
        <v>17873</v>
      </c>
      <c r="BF1497" s="2" t="s">
        <v>17874</v>
      </c>
    </row>
    <row r="1498" spans="1:58" ht="41.25" customHeight="1" x14ac:dyDescent="0.25">
      <c r="A1498" s="8" t="s">
        <v>5</v>
      </c>
      <c r="B1498" s="1" t="s">
        <v>0</v>
      </c>
      <c r="C1498" s="1" t="s">
        <v>1</v>
      </c>
      <c r="D1498" s="1" t="s">
        <v>17875</v>
      </c>
      <c r="E1498" s="1" t="s">
        <v>17876</v>
      </c>
      <c r="F1498" s="1" t="s">
        <v>17877</v>
      </c>
      <c r="H1498" s="2" t="s">
        <v>5</v>
      </c>
      <c r="I1498" s="2" t="s">
        <v>6</v>
      </c>
      <c r="J1498" s="2" t="s">
        <v>5</v>
      </c>
      <c r="K1498" s="2" t="s">
        <v>5</v>
      </c>
      <c r="L1498" s="2" t="s">
        <v>7</v>
      </c>
      <c r="M1498" s="1" t="s">
        <v>17878</v>
      </c>
      <c r="N1498" s="1" t="s">
        <v>9011</v>
      </c>
      <c r="O1498" s="2" t="s">
        <v>382</v>
      </c>
      <c r="P1498" s="1" t="s">
        <v>211</v>
      </c>
      <c r="Q1498" s="2" t="s">
        <v>11</v>
      </c>
      <c r="R1498" s="2" t="s">
        <v>271</v>
      </c>
      <c r="T1498" s="2" t="s">
        <v>520</v>
      </c>
      <c r="U1498" s="3">
        <v>10</v>
      </c>
      <c r="V1498" s="3">
        <v>10</v>
      </c>
      <c r="W1498" s="4" t="s">
        <v>17879</v>
      </c>
      <c r="X1498" s="4" t="s">
        <v>17879</v>
      </c>
      <c r="Y1498" s="4" t="s">
        <v>4106</v>
      </c>
      <c r="Z1498" s="4" t="s">
        <v>4106</v>
      </c>
      <c r="AA1498" s="3">
        <v>224</v>
      </c>
      <c r="AB1498" s="3">
        <v>187</v>
      </c>
      <c r="AC1498" s="3">
        <v>368</v>
      </c>
      <c r="AD1498" s="3">
        <v>0</v>
      </c>
      <c r="AE1498" s="3">
        <v>1</v>
      </c>
      <c r="AF1498" s="3">
        <v>6</v>
      </c>
      <c r="AG1498" s="3">
        <v>14</v>
      </c>
      <c r="AH1498" s="3">
        <v>3</v>
      </c>
      <c r="AI1498" s="3">
        <v>5</v>
      </c>
      <c r="AJ1498" s="3">
        <v>0</v>
      </c>
      <c r="AK1498" s="3">
        <v>2</v>
      </c>
      <c r="AL1498" s="3">
        <v>3</v>
      </c>
      <c r="AM1498" s="3">
        <v>8</v>
      </c>
      <c r="AN1498" s="3">
        <v>0</v>
      </c>
      <c r="AO1498" s="3">
        <v>1</v>
      </c>
      <c r="AP1498" s="3">
        <v>0</v>
      </c>
      <c r="AQ1498" s="3">
        <v>0</v>
      </c>
      <c r="AR1498" s="2" t="s">
        <v>5</v>
      </c>
      <c r="AS1498" s="2" t="s">
        <v>5</v>
      </c>
      <c r="AU1498" s="5" t="str">
        <f>HYPERLINK("https://creighton-primo.hosted.exlibrisgroup.com/primo-explore/search?tab=default_tab&amp;search_scope=EVERYTHING&amp;vid=01CRU&amp;lang=en_US&amp;offset=0&amp;query=any,contains,991000817029702656","Catalog Record")</f>
        <v>Catalog Record</v>
      </c>
      <c r="AV1498" s="5" t="str">
        <f>HYPERLINK("http://www.worldcat.org/oclc/11622857","WorldCat Record")</f>
        <v>WorldCat Record</v>
      </c>
      <c r="AW1498" s="2" t="s">
        <v>17880</v>
      </c>
      <c r="AX1498" s="2" t="s">
        <v>17881</v>
      </c>
      <c r="AY1498" s="2" t="s">
        <v>17882</v>
      </c>
      <c r="AZ1498" s="2" t="s">
        <v>17882</v>
      </c>
      <c r="BA1498" s="2" t="s">
        <v>17883</v>
      </c>
      <c r="BB1498" s="2" t="s">
        <v>21</v>
      </c>
      <c r="BD1498" s="2" t="s">
        <v>17884</v>
      </c>
      <c r="BE1498" s="2" t="s">
        <v>17885</v>
      </c>
      <c r="BF1498" s="2" t="s">
        <v>17886</v>
      </c>
    </row>
    <row r="1499" spans="1:58" ht="41.25" customHeight="1" x14ac:dyDescent="0.25">
      <c r="A1499" s="8" t="s">
        <v>5</v>
      </c>
      <c r="B1499" s="1" t="s">
        <v>0</v>
      </c>
      <c r="C1499" s="1" t="s">
        <v>1</v>
      </c>
      <c r="D1499" s="1" t="s">
        <v>17887</v>
      </c>
      <c r="E1499" s="1" t="s">
        <v>17888</v>
      </c>
      <c r="F1499" s="1" t="s">
        <v>17889</v>
      </c>
      <c r="H1499" s="2" t="s">
        <v>5</v>
      </c>
      <c r="I1499" s="2" t="s">
        <v>6</v>
      </c>
      <c r="J1499" s="2" t="s">
        <v>5</v>
      </c>
      <c r="K1499" s="2" t="s">
        <v>16</v>
      </c>
      <c r="L1499" s="2" t="s">
        <v>7</v>
      </c>
      <c r="M1499" s="1" t="s">
        <v>17890</v>
      </c>
      <c r="N1499" s="1" t="s">
        <v>7347</v>
      </c>
      <c r="O1499" s="2" t="s">
        <v>1283</v>
      </c>
      <c r="P1499" s="1" t="s">
        <v>211</v>
      </c>
      <c r="Q1499" s="2" t="s">
        <v>11</v>
      </c>
      <c r="R1499" s="2" t="s">
        <v>3356</v>
      </c>
      <c r="T1499" s="2" t="s">
        <v>520</v>
      </c>
      <c r="U1499" s="3">
        <v>6</v>
      </c>
      <c r="V1499" s="3">
        <v>6</v>
      </c>
      <c r="W1499" s="4" t="s">
        <v>17891</v>
      </c>
      <c r="X1499" s="4" t="s">
        <v>17891</v>
      </c>
      <c r="Y1499" s="4" t="s">
        <v>4830</v>
      </c>
      <c r="Z1499" s="4" t="s">
        <v>4830</v>
      </c>
      <c r="AA1499" s="3">
        <v>149</v>
      </c>
      <c r="AB1499" s="3">
        <v>110</v>
      </c>
      <c r="AC1499" s="3">
        <v>516</v>
      </c>
      <c r="AD1499" s="3">
        <v>1</v>
      </c>
      <c r="AE1499" s="3">
        <v>4</v>
      </c>
      <c r="AF1499" s="3">
        <v>4</v>
      </c>
      <c r="AG1499" s="3">
        <v>20</v>
      </c>
      <c r="AH1499" s="3">
        <v>2</v>
      </c>
      <c r="AI1499" s="3">
        <v>8</v>
      </c>
      <c r="AJ1499" s="3">
        <v>1</v>
      </c>
      <c r="AK1499" s="3">
        <v>3</v>
      </c>
      <c r="AL1499" s="3">
        <v>1</v>
      </c>
      <c r="AM1499" s="3">
        <v>10</v>
      </c>
      <c r="AN1499" s="3">
        <v>0</v>
      </c>
      <c r="AO1499" s="3">
        <v>3</v>
      </c>
      <c r="AP1499" s="3">
        <v>0</v>
      </c>
      <c r="AQ1499" s="3">
        <v>0</v>
      </c>
      <c r="AR1499" s="2" t="s">
        <v>5</v>
      </c>
      <c r="AS1499" s="2" t="s">
        <v>16</v>
      </c>
      <c r="AT1499" s="5" t="str">
        <f>HYPERLINK("http://catalog.hathitrust.org/Record/003112194","HathiTrust Record")</f>
        <v>HathiTrust Record</v>
      </c>
      <c r="AU1499" s="5" t="str">
        <f>HYPERLINK("https://creighton-primo.hosted.exlibrisgroup.com/primo-explore/search?tab=default_tab&amp;search_scope=EVERYTHING&amp;vid=01CRU&amp;lang=en_US&amp;offset=0&amp;query=any,contains,991001230669702656","Catalog Record")</f>
        <v>Catalog Record</v>
      </c>
      <c r="AV1499" s="5" t="str">
        <f>HYPERLINK("http://www.worldcat.org/oclc/34514132","WorldCat Record")</f>
        <v>WorldCat Record</v>
      </c>
      <c r="AW1499" s="2" t="s">
        <v>17892</v>
      </c>
      <c r="AX1499" s="2" t="s">
        <v>17893</v>
      </c>
      <c r="AY1499" s="2" t="s">
        <v>17894</v>
      </c>
      <c r="AZ1499" s="2" t="s">
        <v>17894</v>
      </c>
      <c r="BA1499" s="2" t="s">
        <v>17895</v>
      </c>
      <c r="BB1499" s="2" t="s">
        <v>21</v>
      </c>
      <c r="BD1499" s="2" t="s">
        <v>17896</v>
      </c>
      <c r="BE1499" s="2" t="s">
        <v>17897</v>
      </c>
      <c r="BF1499" s="2" t="s">
        <v>17898</v>
      </c>
    </row>
    <row r="1500" spans="1:58" ht="41.25" customHeight="1" x14ac:dyDescent="0.25">
      <c r="A1500" s="8" t="s">
        <v>5</v>
      </c>
      <c r="B1500" s="1" t="s">
        <v>0</v>
      </c>
      <c r="C1500" s="1" t="s">
        <v>1</v>
      </c>
      <c r="D1500" s="1" t="s">
        <v>17899</v>
      </c>
      <c r="E1500" s="1" t="s">
        <v>17900</v>
      </c>
      <c r="F1500" s="1" t="s">
        <v>17901</v>
      </c>
      <c r="H1500" s="2" t="s">
        <v>5</v>
      </c>
      <c r="I1500" s="2" t="s">
        <v>6</v>
      </c>
      <c r="J1500" s="2" t="s">
        <v>5</v>
      </c>
      <c r="K1500" s="2" t="s">
        <v>16</v>
      </c>
      <c r="L1500" s="2" t="s">
        <v>7</v>
      </c>
      <c r="M1500" s="1" t="s">
        <v>17902</v>
      </c>
      <c r="N1500" s="1" t="s">
        <v>17903</v>
      </c>
      <c r="O1500" s="2" t="s">
        <v>107</v>
      </c>
      <c r="P1500" s="1" t="s">
        <v>1208</v>
      </c>
      <c r="Q1500" s="2" t="s">
        <v>11</v>
      </c>
      <c r="R1500" s="2" t="s">
        <v>229</v>
      </c>
      <c r="T1500" s="2" t="s">
        <v>520</v>
      </c>
      <c r="U1500" s="3">
        <v>10</v>
      </c>
      <c r="V1500" s="3">
        <v>10</v>
      </c>
      <c r="W1500" s="4" t="s">
        <v>17631</v>
      </c>
      <c r="X1500" s="4" t="s">
        <v>17631</v>
      </c>
      <c r="Y1500" s="4" t="s">
        <v>17904</v>
      </c>
      <c r="Z1500" s="4" t="s">
        <v>17904</v>
      </c>
      <c r="AA1500" s="3">
        <v>202</v>
      </c>
      <c r="AB1500" s="3">
        <v>139</v>
      </c>
      <c r="AC1500" s="3">
        <v>516</v>
      </c>
      <c r="AD1500" s="3">
        <v>2</v>
      </c>
      <c r="AE1500" s="3">
        <v>4</v>
      </c>
      <c r="AF1500" s="3">
        <v>8</v>
      </c>
      <c r="AG1500" s="3">
        <v>20</v>
      </c>
      <c r="AH1500" s="3">
        <v>3</v>
      </c>
      <c r="AI1500" s="3">
        <v>8</v>
      </c>
      <c r="AJ1500" s="3">
        <v>1</v>
      </c>
      <c r="AK1500" s="3">
        <v>3</v>
      </c>
      <c r="AL1500" s="3">
        <v>4</v>
      </c>
      <c r="AM1500" s="3">
        <v>10</v>
      </c>
      <c r="AN1500" s="3">
        <v>1</v>
      </c>
      <c r="AO1500" s="3">
        <v>3</v>
      </c>
      <c r="AP1500" s="3">
        <v>0</v>
      </c>
      <c r="AQ1500" s="3">
        <v>0</v>
      </c>
      <c r="AR1500" s="2" t="s">
        <v>5</v>
      </c>
      <c r="AS1500" s="2" t="s">
        <v>16</v>
      </c>
      <c r="AT1500" s="5" t="str">
        <f>HYPERLINK("http://catalog.hathitrust.org/Record/005072396","HathiTrust Record")</f>
        <v>HathiTrust Record</v>
      </c>
      <c r="AU1500" s="5" t="str">
        <f>HYPERLINK("https://creighton-primo.hosted.exlibrisgroup.com/primo-explore/search?tab=default_tab&amp;search_scope=EVERYTHING&amp;vid=01CRU&amp;lang=en_US&amp;offset=0&amp;query=any,contains,991001735169702656","Catalog Record")</f>
        <v>Catalog Record</v>
      </c>
      <c r="AV1500" s="5" t="str">
        <f>HYPERLINK("http://www.worldcat.org/oclc/57422191","WorldCat Record")</f>
        <v>WorldCat Record</v>
      </c>
      <c r="AW1500" s="2" t="s">
        <v>17892</v>
      </c>
      <c r="AX1500" s="2" t="s">
        <v>17905</v>
      </c>
      <c r="AY1500" s="2" t="s">
        <v>17906</v>
      </c>
      <c r="AZ1500" s="2" t="s">
        <v>17906</v>
      </c>
      <c r="BA1500" s="2" t="s">
        <v>17907</v>
      </c>
      <c r="BB1500" s="2" t="s">
        <v>21</v>
      </c>
      <c r="BD1500" s="2" t="s">
        <v>17908</v>
      </c>
      <c r="BE1500" s="2" t="s">
        <v>17909</v>
      </c>
      <c r="BF1500" s="2" t="s">
        <v>17910</v>
      </c>
    </row>
    <row r="1501" spans="1:58" ht="41.25" customHeight="1" x14ac:dyDescent="0.25">
      <c r="A1501" s="8" t="s">
        <v>5</v>
      </c>
      <c r="B1501" s="1" t="s">
        <v>0</v>
      </c>
      <c r="C1501" s="1" t="s">
        <v>1</v>
      </c>
      <c r="D1501" s="1" t="s">
        <v>17911</v>
      </c>
      <c r="E1501" s="1" t="s">
        <v>17912</v>
      </c>
      <c r="F1501" s="1" t="s">
        <v>17913</v>
      </c>
      <c r="H1501" s="2" t="s">
        <v>5</v>
      </c>
      <c r="I1501" s="2" t="s">
        <v>6</v>
      </c>
      <c r="J1501" s="2" t="s">
        <v>5</v>
      </c>
      <c r="K1501" s="2" t="s">
        <v>5</v>
      </c>
      <c r="L1501" s="2" t="s">
        <v>7</v>
      </c>
      <c r="M1501" s="1" t="s">
        <v>17914</v>
      </c>
      <c r="N1501" s="1" t="s">
        <v>3667</v>
      </c>
      <c r="O1501" s="2" t="s">
        <v>888</v>
      </c>
      <c r="Q1501" s="2" t="s">
        <v>11</v>
      </c>
      <c r="R1501" s="2" t="s">
        <v>426</v>
      </c>
      <c r="T1501" s="2" t="s">
        <v>520</v>
      </c>
      <c r="U1501" s="3">
        <v>7</v>
      </c>
      <c r="V1501" s="3">
        <v>7</v>
      </c>
      <c r="W1501" s="4" t="s">
        <v>17915</v>
      </c>
      <c r="X1501" s="4" t="s">
        <v>17915</v>
      </c>
      <c r="Y1501" s="4" t="s">
        <v>15</v>
      </c>
      <c r="Z1501" s="4" t="s">
        <v>15</v>
      </c>
      <c r="AA1501" s="3">
        <v>199</v>
      </c>
      <c r="AB1501" s="3">
        <v>183</v>
      </c>
      <c r="AC1501" s="3">
        <v>185</v>
      </c>
      <c r="AD1501" s="3">
        <v>1</v>
      </c>
      <c r="AE1501" s="3">
        <v>1</v>
      </c>
      <c r="AF1501" s="3">
        <v>3</v>
      </c>
      <c r="AG1501" s="3">
        <v>3</v>
      </c>
      <c r="AH1501" s="3">
        <v>0</v>
      </c>
      <c r="AI1501" s="3">
        <v>0</v>
      </c>
      <c r="AJ1501" s="3">
        <v>2</v>
      </c>
      <c r="AK1501" s="3">
        <v>2</v>
      </c>
      <c r="AL1501" s="3">
        <v>2</v>
      </c>
      <c r="AM1501" s="3">
        <v>2</v>
      </c>
      <c r="AN1501" s="3">
        <v>0</v>
      </c>
      <c r="AO1501" s="3">
        <v>0</v>
      </c>
      <c r="AP1501" s="3">
        <v>0</v>
      </c>
      <c r="AQ1501" s="3">
        <v>0</v>
      </c>
      <c r="AR1501" s="2" t="s">
        <v>5</v>
      </c>
      <c r="AS1501" s="2" t="s">
        <v>16</v>
      </c>
      <c r="AT1501" s="5" t="str">
        <f>HYPERLINK("http://catalog.hathitrust.org/Record/000287802","HathiTrust Record")</f>
        <v>HathiTrust Record</v>
      </c>
      <c r="AU1501" s="5" t="str">
        <f>HYPERLINK("https://creighton-primo.hosted.exlibrisgroup.com/primo-explore/search?tab=default_tab&amp;search_scope=EVERYTHING&amp;vid=01CRU&amp;lang=en_US&amp;offset=0&amp;query=any,contains,991000866639702656","Catalog Record")</f>
        <v>Catalog Record</v>
      </c>
      <c r="AV1501" s="5" t="str">
        <f>HYPERLINK("http://www.worldcat.org/oclc/10484070","WorldCat Record")</f>
        <v>WorldCat Record</v>
      </c>
      <c r="AW1501" s="2" t="s">
        <v>17916</v>
      </c>
      <c r="AX1501" s="2" t="s">
        <v>17917</v>
      </c>
      <c r="AY1501" s="2" t="s">
        <v>17918</v>
      </c>
      <c r="AZ1501" s="2" t="s">
        <v>17918</v>
      </c>
      <c r="BA1501" s="2" t="s">
        <v>17919</v>
      </c>
      <c r="BB1501" s="2" t="s">
        <v>21</v>
      </c>
      <c r="BD1501" s="2" t="s">
        <v>17920</v>
      </c>
      <c r="BE1501" s="2" t="s">
        <v>17921</v>
      </c>
      <c r="BF1501" s="2" t="s">
        <v>17922</v>
      </c>
    </row>
    <row r="1502" spans="1:58" ht="41.25" customHeight="1" x14ac:dyDescent="0.25">
      <c r="A1502" s="8" t="s">
        <v>5</v>
      </c>
      <c r="B1502" s="1" t="s">
        <v>0</v>
      </c>
      <c r="C1502" s="1" t="s">
        <v>1</v>
      </c>
      <c r="D1502" s="1" t="s">
        <v>17923</v>
      </c>
      <c r="E1502" s="1" t="s">
        <v>17924</v>
      </c>
      <c r="F1502" s="1" t="s">
        <v>17925</v>
      </c>
      <c r="H1502" s="2" t="s">
        <v>5</v>
      </c>
      <c r="I1502" s="2" t="s">
        <v>6</v>
      </c>
      <c r="J1502" s="2" t="s">
        <v>5</v>
      </c>
      <c r="K1502" s="2" t="s">
        <v>5</v>
      </c>
      <c r="L1502" s="2" t="s">
        <v>7</v>
      </c>
      <c r="N1502" s="1" t="s">
        <v>14517</v>
      </c>
      <c r="O1502" s="2" t="s">
        <v>136</v>
      </c>
      <c r="P1502" s="1" t="s">
        <v>211</v>
      </c>
      <c r="Q1502" s="2" t="s">
        <v>11</v>
      </c>
      <c r="R1502" s="2" t="s">
        <v>426</v>
      </c>
      <c r="T1502" s="2" t="s">
        <v>520</v>
      </c>
      <c r="U1502" s="3">
        <v>16</v>
      </c>
      <c r="V1502" s="3">
        <v>16</v>
      </c>
      <c r="W1502" s="4" t="s">
        <v>17926</v>
      </c>
      <c r="X1502" s="4" t="s">
        <v>17926</v>
      </c>
      <c r="Y1502" s="4" t="s">
        <v>13381</v>
      </c>
      <c r="Z1502" s="4" t="s">
        <v>13381</v>
      </c>
      <c r="AA1502" s="3">
        <v>246</v>
      </c>
      <c r="AB1502" s="3">
        <v>208</v>
      </c>
      <c r="AC1502" s="3">
        <v>268</v>
      </c>
      <c r="AD1502" s="3">
        <v>1</v>
      </c>
      <c r="AE1502" s="3">
        <v>2</v>
      </c>
      <c r="AF1502" s="3">
        <v>5</v>
      </c>
      <c r="AG1502" s="3">
        <v>8</v>
      </c>
      <c r="AH1502" s="3">
        <v>3</v>
      </c>
      <c r="AI1502" s="3">
        <v>3</v>
      </c>
      <c r="AJ1502" s="3">
        <v>1</v>
      </c>
      <c r="AK1502" s="3">
        <v>2</v>
      </c>
      <c r="AL1502" s="3">
        <v>3</v>
      </c>
      <c r="AM1502" s="3">
        <v>4</v>
      </c>
      <c r="AN1502" s="3">
        <v>0</v>
      </c>
      <c r="AO1502" s="3">
        <v>1</v>
      </c>
      <c r="AP1502" s="3">
        <v>0</v>
      </c>
      <c r="AQ1502" s="3">
        <v>0</v>
      </c>
      <c r="AR1502" s="2" t="s">
        <v>5</v>
      </c>
      <c r="AS1502" s="2" t="s">
        <v>16</v>
      </c>
      <c r="AT1502" s="5" t="str">
        <f>HYPERLINK("http://catalog.hathitrust.org/Record/002455336","HathiTrust Record")</f>
        <v>HathiTrust Record</v>
      </c>
      <c r="AU1502" s="5" t="str">
        <f>HYPERLINK("https://creighton-primo.hosted.exlibrisgroup.com/primo-explore/search?tab=default_tab&amp;search_scope=EVERYTHING&amp;vid=01CRU&amp;lang=en_US&amp;offset=0&amp;query=any,contains,991001305599702656","Catalog Record")</f>
        <v>Catalog Record</v>
      </c>
      <c r="AV1502" s="5" t="str">
        <f>HYPERLINK("http://www.worldcat.org/oclc/23016651","WorldCat Record")</f>
        <v>WorldCat Record</v>
      </c>
      <c r="AW1502" s="2" t="s">
        <v>17927</v>
      </c>
      <c r="AX1502" s="2" t="s">
        <v>17928</v>
      </c>
      <c r="AY1502" s="2" t="s">
        <v>17929</v>
      </c>
      <c r="AZ1502" s="2" t="s">
        <v>17929</v>
      </c>
      <c r="BA1502" s="2" t="s">
        <v>17930</v>
      </c>
      <c r="BB1502" s="2" t="s">
        <v>21</v>
      </c>
      <c r="BD1502" s="2" t="s">
        <v>17931</v>
      </c>
      <c r="BE1502" s="2" t="s">
        <v>17932</v>
      </c>
      <c r="BF1502" s="2" t="s">
        <v>17933</v>
      </c>
    </row>
    <row r="1503" spans="1:58" ht="41.25" customHeight="1" x14ac:dyDescent="0.25">
      <c r="A1503" s="8" t="s">
        <v>5</v>
      </c>
      <c r="B1503" s="1" t="s">
        <v>0</v>
      </c>
      <c r="C1503" s="1" t="s">
        <v>1</v>
      </c>
      <c r="D1503" s="1" t="s">
        <v>17934</v>
      </c>
      <c r="E1503" s="1" t="s">
        <v>17935</v>
      </c>
      <c r="F1503" s="1" t="s">
        <v>17936</v>
      </c>
      <c r="H1503" s="2" t="s">
        <v>5</v>
      </c>
      <c r="I1503" s="2" t="s">
        <v>6</v>
      </c>
      <c r="J1503" s="2" t="s">
        <v>5</v>
      </c>
      <c r="K1503" s="2" t="s">
        <v>16</v>
      </c>
      <c r="L1503" s="2" t="s">
        <v>7</v>
      </c>
      <c r="N1503" s="1" t="s">
        <v>8689</v>
      </c>
      <c r="O1503" s="2" t="s">
        <v>601</v>
      </c>
      <c r="P1503" s="1" t="s">
        <v>901</v>
      </c>
      <c r="Q1503" s="2" t="s">
        <v>11</v>
      </c>
      <c r="R1503" s="2" t="s">
        <v>31</v>
      </c>
      <c r="T1503" s="2" t="s">
        <v>520</v>
      </c>
      <c r="U1503" s="3">
        <v>16</v>
      </c>
      <c r="V1503" s="3">
        <v>16</v>
      </c>
      <c r="W1503" s="4" t="s">
        <v>17926</v>
      </c>
      <c r="X1503" s="4" t="s">
        <v>17926</v>
      </c>
      <c r="Y1503" s="4" t="s">
        <v>11773</v>
      </c>
      <c r="Z1503" s="4" t="s">
        <v>11773</v>
      </c>
      <c r="AA1503" s="3">
        <v>226</v>
      </c>
      <c r="AB1503" s="3">
        <v>177</v>
      </c>
      <c r="AC1503" s="3">
        <v>699</v>
      </c>
      <c r="AD1503" s="3">
        <v>1</v>
      </c>
      <c r="AE1503" s="3">
        <v>4</v>
      </c>
      <c r="AF1503" s="3">
        <v>7</v>
      </c>
      <c r="AG1503" s="3">
        <v>28</v>
      </c>
      <c r="AH1503" s="3">
        <v>3</v>
      </c>
      <c r="AI1503" s="3">
        <v>10</v>
      </c>
      <c r="AJ1503" s="3">
        <v>2</v>
      </c>
      <c r="AK1503" s="3">
        <v>7</v>
      </c>
      <c r="AL1503" s="3">
        <v>3</v>
      </c>
      <c r="AM1503" s="3">
        <v>12</v>
      </c>
      <c r="AN1503" s="3">
        <v>0</v>
      </c>
      <c r="AO1503" s="3">
        <v>3</v>
      </c>
      <c r="AP1503" s="3">
        <v>0</v>
      </c>
      <c r="AQ1503" s="3">
        <v>1</v>
      </c>
      <c r="AR1503" s="2" t="s">
        <v>5</v>
      </c>
      <c r="AS1503" s="2" t="s">
        <v>5</v>
      </c>
      <c r="AU1503" s="5" t="str">
        <f>HYPERLINK("https://creighton-primo.hosted.exlibrisgroup.com/primo-explore/search?tab=default_tab&amp;search_scope=EVERYTHING&amp;vid=01CRU&amp;lang=en_US&amp;offset=0&amp;query=any,contains,991001552059702656","Catalog Record")</f>
        <v>Catalog Record</v>
      </c>
      <c r="AV1503" s="5" t="str">
        <f>HYPERLINK("http://www.worldcat.org/oclc/32694644","WorldCat Record")</f>
        <v>WorldCat Record</v>
      </c>
      <c r="AW1503" s="2" t="s">
        <v>17937</v>
      </c>
      <c r="AX1503" s="2" t="s">
        <v>17938</v>
      </c>
      <c r="AY1503" s="2" t="s">
        <v>17939</v>
      </c>
      <c r="AZ1503" s="2" t="s">
        <v>17939</v>
      </c>
      <c r="BA1503" s="2" t="s">
        <v>17940</v>
      </c>
      <c r="BB1503" s="2" t="s">
        <v>21</v>
      </c>
      <c r="BD1503" s="2" t="s">
        <v>17941</v>
      </c>
      <c r="BE1503" s="2" t="s">
        <v>17942</v>
      </c>
      <c r="BF1503" s="2" t="s">
        <v>17943</v>
      </c>
    </row>
    <row r="1504" spans="1:58" ht="41.25" customHeight="1" x14ac:dyDescent="0.25">
      <c r="A1504" s="8" t="s">
        <v>5</v>
      </c>
      <c r="B1504" s="1" t="s">
        <v>0</v>
      </c>
      <c r="C1504" s="1" t="s">
        <v>1</v>
      </c>
      <c r="D1504" s="1" t="s">
        <v>17944</v>
      </c>
      <c r="E1504" s="1" t="s">
        <v>17945</v>
      </c>
      <c r="F1504" s="1" t="s">
        <v>17946</v>
      </c>
      <c r="H1504" s="2" t="s">
        <v>5</v>
      </c>
      <c r="I1504" s="2" t="s">
        <v>6</v>
      </c>
      <c r="J1504" s="2" t="s">
        <v>5</v>
      </c>
      <c r="K1504" s="2" t="s">
        <v>5</v>
      </c>
      <c r="L1504" s="2" t="s">
        <v>7</v>
      </c>
      <c r="M1504" s="1" t="s">
        <v>7691</v>
      </c>
      <c r="N1504" s="1" t="s">
        <v>17947</v>
      </c>
      <c r="O1504" s="2" t="s">
        <v>1339</v>
      </c>
      <c r="Q1504" s="2" t="s">
        <v>11</v>
      </c>
      <c r="R1504" s="2" t="s">
        <v>426</v>
      </c>
      <c r="T1504" s="2" t="s">
        <v>520</v>
      </c>
      <c r="U1504" s="3">
        <v>68</v>
      </c>
      <c r="V1504" s="3">
        <v>68</v>
      </c>
      <c r="W1504" s="4" t="s">
        <v>8346</v>
      </c>
      <c r="X1504" s="4" t="s">
        <v>8346</v>
      </c>
      <c r="Y1504" s="4" t="s">
        <v>17948</v>
      </c>
      <c r="Z1504" s="4" t="s">
        <v>17948</v>
      </c>
      <c r="AA1504" s="3">
        <v>189</v>
      </c>
      <c r="AB1504" s="3">
        <v>159</v>
      </c>
      <c r="AC1504" s="3">
        <v>161</v>
      </c>
      <c r="AD1504" s="3">
        <v>3</v>
      </c>
      <c r="AE1504" s="3">
        <v>3</v>
      </c>
      <c r="AF1504" s="3">
        <v>5</v>
      </c>
      <c r="AG1504" s="3">
        <v>5</v>
      </c>
      <c r="AH1504" s="3">
        <v>2</v>
      </c>
      <c r="AI1504" s="3">
        <v>2</v>
      </c>
      <c r="AJ1504" s="3">
        <v>0</v>
      </c>
      <c r="AK1504" s="3">
        <v>0</v>
      </c>
      <c r="AL1504" s="3">
        <v>3</v>
      </c>
      <c r="AM1504" s="3">
        <v>3</v>
      </c>
      <c r="AN1504" s="3">
        <v>1</v>
      </c>
      <c r="AO1504" s="3">
        <v>1</v>
      </c>
      <c r="AP1504" s="3">
        <v>0</v>
      </c>
      <c r="AQ1504" s="3">
        <v>0</v>
      </c>
      <c r="AR1504" s="2" t="s">
        <v>5</v>
      </c>
      <c r="AS1504" s="2" t="s">
        <v>16</v>
      </c>
      <c r="AT1504" s="5" t="str">
        <f>HYPERLINK("http://catalog.hathitrust.org/Record/000838324","HathiTrust Record")</f>
        <v>HathiTrust Record</v>
      </c>
      <c r="AU1504" s="5" t="str">
        <f>HYPERLINK("https://creighton-primo.hosted.exlibrisgroup.com/primo-explore/search?tab=default_tab&amp;search_scope=EVERYTHING&amp;vid=01CRU&amp;lang=en_US&amp;offset=0&amp;query=any,contains,991001270069702656","Catalog Record")</f>
        <v>Catalog Record</v>
      </c>
      <c r="AV1504" s="5" t="str">
        <f>HYPERLINK("http://www.worldcat.org/oclc/15366066","WorldCat Record")</f>
        <v>WorldCat Record</v>
      </c>
      <c r="AW1504" s="2" t="s">
        <v>17949</v>
      </c>
      <c r="AX1504" s="2" t="s">
        <v>17950</v>
      </c>
      <c r="AY1504" s="2" t="s">
        <v>17951</v>
      </c>
      <c r="AZ1504" s="2" t="s">
        <v>17951</v>
      </c>
      <c r="BA1504" s="2" t="s">
        <v>17952</v>
      </c>
      <c r="BB1504" s="2" t="s">
        <v>21</v>
      </c>
      <c r="BD1504" s="2" t="s">
        <v>17953</v>
      </c>
      <c r="BE1504" s="2" t="s">
        <v>17954</v>
      </c>
      <c r="BF1504" s="2" t="s">
        <v>17955</v>
      </c>
    </row>
    <row r="1505" spans="1:58" ht="41.25" customHeight="1" x14ac:dyDescent="0.25">
      <c r="A1505" s="8" t="s">
        <v>5</v>
      </c>
      <c r="B1505" s="1" t="s">
        <v>0</v>
      </c>
      <c r="C1505" s="1" t="s">
        <v>1</v>
      </c>
      <c r="D1505" s="1" t="s">
        <v>17956</v>
      </c>
      <c r="E1505" s="1" t="s">
        <v>17957</v>
      </c>
      <c r="F1505" s="1" t="s">
        <v>17958</v>
      </c>
      <c r="H1505" s="2" t="s">
        <v>5</v>
      </c>
      <c r="I1505" s="2" t="s">
        <v>6</v>
      </c>
      <c r="J1505" s="2" t="s">
        <v>5</v>
      </c>
      <c r="K1505" s="2" t="s">
        <v>5</v>
      </c>
      <c r="L1505" s="2" t="s">
        <v>7</v>
      </c>
      <c r="M1505" s="1" t="s">
        <v>17959</v>
      </c>
      <c r="N1505" s="1" t="s">
        <v>15415</v>
      </c>
      <c r="O1505" s="2" t="s">
        <v>574</v>
      </c>
      <c r="Q1505" s="2" t="s">
        <v>11</v>
      </c>
      <c r="R1505" s="2" t="s">
        <v>12</v>
      </c>
      <c r="S1505" s="1" t="s">
        <v>17960</v>
      </c>
      <c r="T1505" s="2" t="s">
        <v>520</v>
      </c>
      <c r="U1505" s="3">
        <v>4</v>
      </c>
      <c r="V1505" s="3">
        <v>4</v>
      </c>
      <c r="W1505" s="4" t="s">
        <v>2788</v>
      </c>
      <c r="X1505" s="4" t="s">
        <v>2788</v>
      </c>
      <c r="Y1505" s="4" t="s">
        <v>2579</v>
      </c>
      <c r="Z1505" s="4" t="s">
        <v>2579</v>
      </c>
      <c r="AA1505" s="3">
        <v>65</v>
      </c>
      <c r="AB1505" s="3">
        <v>61</v>
      </c>
      <c r="AC1505" s="3">
        <v>68</v>
      </c>
      <c r="AD1505" s="3">
        <v>1</v>
      </c>
      <c r="AE1505" s="3">
        <v>1</v>
      </c>
      <c r="AF1505" s="3">
        <v>3</v>
      </c>
      <c r="AG1505" s="3">
        <v>3</v>
      </c>
      <c r="AH1505" s="3">
        <v>0</v>
      </c>
      <c r="AI1505" s="3">
        <v>0</v>
      </c>
      <c r="AJ1505" s="3">
        <v>0</v>
      </c>
      <c r="AK1505" s="3">
        <v>0</v>
      </c>
      <c r="AL1505" s="3">
        <v>3</v>
      </c>
      <c r="AM1505" s="3">
        <v>3</v>
      </c>
      <c r="AN1505" s="3">
        <v>0</v>
      </c>
      <c r="AO1505" s="3">
        <v>0</v>
      </c>
      <c r="AP1505" s="3">
        <v>0</v>
      </c>
      <c r="AQ1505" s="3">
        <v>0</v>
      </c>
      <c r="AR1505" s="2" t="s">
        <v>16</v>
      </c>
      <c r="AS1505" s="2" t="s">
        <v>5</v>
      </c>
      <c r="AT1505" s="5" t="str">
        <f>HYPERLINK("http://catalog.hathitrust.org/Record/001579457","HathiTrust Record")</f>
        <v>HathiTrust Record</v>
      </c>
      <c r="AU1505" s="5" t="str">
        <f>HYPERLINK("https://creighton-primo.hosted.exlibrisgroup.com/primo-explore/search?tab=default_tab&amp;search_scope=EVERYTHING&amp;vid=01CRU&amp;lang=en_US&amp;offset=0&amp;query=any,contains,991001362109702656","Catalog Record")</f>
        <v>Catalog Record</v>
      </c>
      <c r="AV1505" s="5" t="str">
        <f>HYPERLINK("http://www.worldcat.org/oclc/1289801","WorldCat Record")</f>
        <v>WorldCat Record</v>
      </c>
      <c r="AW1505" s="2" t="s">
        <v>17961</v>
      </c>
      <c r="AX1505" s="2" t="s">
        <v>17962</v>
      </c>
      <c r="AY1505" s="2" t="s">
        <v>17963</v>
      </c>
      <c r="AZ1505" s="2" t="s">
        <v>17963</v>
      </c>
      <c r="BA1505" s="2" t="s">
        <v>17964</v>
      </c>
      <c r="BB1505" s="2" t="s">
        <v>21</v>
      </c>
      <c r="BE1505" s="2" t="s">
        <v>17965</v>
      </c>
      <c r="BF1505" s="2" t="s">
        <v>17966</v>
      </c>
    </row>
    <row r="1506" spans="1:58" ht="41.25" customHeight="1" x14ac:dyDescent="0.25">
      <c r="A1506" s="8" t="s">
        <v>5</v>
      </c>
      <c r="B1506" s="1" t="s">
        <v>0</v>
      </c>
      <c r="C1506" s="1" t="s">
        <v>1</v>
      </c>
      <c r="D1506" s="1" t="s">
        <v>17967</v>
      </c>
      <c r="E1506" s="1" t="s">
        <v>17968</v>
      </c>
      <c r="F1506" s="1" t="s">
        <v>17969</v>
      </c>
      <c r="H1506" s="2" t="s">
        <v>5</v>
      </c>
      <c r="I1506" s="2" t="s">
        <v>6</v>
      </c>
      <c r="J1506" s="2" t="s">
        <v>5</v>
      </c>
      <c r="K1506" s="2" t="s">
        <v>5</v>
      </c>
      <c r="L1506" s="2" t="s">
        <v>7</v>
      </c>
      <c r="M1506" s="1" t="s">
        <v>17970</v>
      </c>
      <c r="N1506" s="1" t="s">
        <v>17971</v>
      </c>
      <c r="O1506" s="2" t="s">
        <v>888</v>
      </c>
      <c r="Q1506" s="2" t="s">
        <v>11</v>
      </c>
      <c r="R1506" s="2" t="s">
        <v>426</v>
      </c>
      <c r="T1506" s="2" t="s">
        <v>520</v>
      </c>
      <c r="U1506" s="3">
        <v>2</v>
      </c>
      <c r="V1506" s="3">
        <v>2</v>
      </c>
      <c r="W1506" s="4" t="s">
        <v>11364</v>
      </c>
      <c r="X1506" s="4" t="s">
        <v>11364</v>
      </c>
      <c r="Y1506" s="4" t="s">
        <v>15</v>
      </c>
      <c r="Z1506" s="4" t="s">
        <v>15</v>
      </c>
      <c r="AA1506" s="3">
        <v>87</v>
      </c>
      <c r="AB1506" s="3">
        <v>73</v>
      </c>
      <c r="AC1506" s="3">
        <v>75</v>
      </c>
      <c r="AD1506" s="3">
        <v>1</v>
      </c>
      <c r="AE1506" s="3">
        <v>1</v>
      </c>
      <c r="AF1506" s="3">
        <v>1</v>
      </c>
      <c r="AG1506" s="3">
        <v>1</v>
      </c>
      <c r="AH1506" s="3">
        <v>0</v>
      </c>
      <c r="AI1506" s="3">
        <v>0</v>
      </c>
      <c r="AJ1506" s="3">
        <v>0</v>
      </c>
      <c r="AK1506" s="3">
        <v>0</v>
      </c>
      <c r="AL1506" s="3">
        <v>1</v>
      </c>
      <c r="AM1506" s="3">
        <v>1</v>
      </c>
      <c r="AN1506" s="3">
        <v>0</v>
      </c>
      <c r="AO1506" s="3">
        <v>0</v>
      </c>
      <c r="AP1506" s="3">
        <v>0</v>
      </c>
      <c r="AQ1506" s="3">
        <v>0</v>
      </c>
      <c r="AR1506" s="2" t="s">
        <v>5</v>
      </c>
      <c r="AS1506" s="2" t="s">
        <v>16</v>
      </c>
      <c r="AT1506" s="5" t="str">
        <f>HYPERLINK("http://catalog.hathitrust.org/Record/000321181","HathiTrust Record")</f>
        <v>HathiTrust Record</v>
      </c>
      <c r="AU1506" s="5" t="str">
        <f>HYPERLINK("https://creighton-primo.hosted.exlibrisgroup.com/primo-explore/search?tab=default_tab&amp;search_scope=EVERYTHING&amp;vid=01CRU&amp;lang=en_US&amp;offset=0&amp;query=any,contains,991000866719702656","Catalog Record")</f>
        <v>Catalog Record</v>
      </c>
      <c r="AV1506" s="5" t="str">
        <f>HYPERLINK("http://www.worldcat.org/oclc/9944007","WorldCat Record")</f>
        <v>WorldCat Record</v>
      </c>
      <c r="AW1506" s="2" t="s">
        <v>17972</v>
      </c>
      <c r="AX1506" s="2" t="s">
        <v>17973</v>
      </c>
      <c r="AY1506" s="2" t="s">
        <v>17974</v>
      </c>
      <c r="AZ1506" s="2" t="s">
        <v>17974</v>
      </c>
      <c r="BA1506" s="2" t="s">
        <v>17975</v>
      </c>
      <c r="BB1506" s="2" t="s">
        <v>21</v>
      </c>
      <c r="BD1506" s="2" t="s">
        <v>17976</v>
      </c>
      <c r="BE1506" s="2" t="s">
        <v>17977</v>
      </c>
      <c r="BF1506" s="2" t="s">
        <v>17978</v>
      </c>
    </row>
    <row r="1507" spans="1:58" ht="41.25" customHeight="1" x14ac:dyDescent="0.25">
      <c r="A1507" s="8" t="s">
        <v>5</v>
      </c>
      <c r="B1507" s="1" t="s">
        <v>0</v>
      </c>
      <c r="C1507" s="1" t="s">
        <v>1</v>
      </c>
      <c r="D1507" s="1" t="s">
        <v>17979</v>
      </c>
      <c r="E1507" s="1" t="s">
        <v>17980</v>
      </c>
      <c r="F1507" s="1" t="s">
        <v>17981</v>
      </c>
      <c r="H1507" s="2" t="s">
        <v>5</v>
      </c>
      <c r="I1507" s="2" t="s">
        <v>6</v>
      </c>
      <c r="J1507" s="2" t="s">
        <v>5</v>
      </c>
      <c r="K1507" s="2" t="s">
        <v>5</v>
      </c>
      <c r="L1507" s="2" t="s">
        <v>7</v>
      </c>
      <c r="N1507" s="1" t="s">
        <v>988</v>
      </c>
      <c r="O1507" s="2" t="s">
        <v>989</v>
      </c>
      <c r="P1507" s="1" t="s">
        <v>211</v>
      </c>
      <c r="Q1507" s="2" t="s">
        <v>11</v>
      </c>
      <c r="R1507" s="2" t="s">
        <v>426</v>
      </c>
      <c r="T1507" s="2" t="s">
        <v>520</v>
      </c>
      <c r="U1507" s="3">
        <v>11</v>
      </c>
      <c r="V1507" s="3">
        <v>11</v>
      </c>
      <c r="W1507" s="4" t="s">
        <v>15182</v>
      </c>
      <c r="X1507" s="4" t="s">
        <v>15182</v>
      </c>
      <c r="Y1507" s="4" t="s">
        <v>17982</v>
      </c>
      <c r="Z1507" s="4" t="s">
        <v>17982</v>
      </c>
      <c r="AA1507" s="3">
        <v>246</v>
      </c>
      <c r="AB1507" s="3">
        <v>207</v>
      </c>
      <c r="AC1507" s="3">
        <v>214</v>
      </c>
      <c r="AD1507" s="3">
        <v>2</v>
      </c>
      <c r="AE1507" s="3">
        <v>2</v>
      </c>
      <c r="AF1507" s="3">
        <v>7</v>
      </c>
      <c r="AG1507" s="3">
        <v>7</v>
      </c>
      <c r="AH1507" s="3">
        <v>2</v>
      </c>
      <c r="AI1507" s="3">
        <v>2</v>
      </c>
      <c r="AJ1507" s="3">
        <v>3</v>
      </c>
      <c r="AK1507" s="3">
        <v>3</v>
      </c>
      <c r="AL1507" s="3">
        <v>4</v>
      </c>
      <c r="AM1507" s="3">
        <v>4</v>
      </c>
      <c r="AN1507" s="3">
        <v>0</v>
      </c>
      <c r="AO1507" s="3">
        <v>0</v>
      </c>
      <c r="AP1507" s="3">
        <v>0</v>
      </c>
      <c r="AQ1507" s="3">
        <v>0</v>
      </c>
      <c r="AR1507" s="2" t="s">
        <v>5</v>
      </c>
      <c r="AS1507" s="2" t="s">
        <v>16</v>
      </c>
      <c r="AT1507" s="5" t="str">
        <f>HYPERLINK("http://catalog.hathitrust.org/Record/002060542","HathiTrust Record")</f>
        <v>HathiTrust Record</v>
      </c>
      <c r="AU1507" s="5" t="str">
        <f>HYPERLINK("https://creighton-primo.hosted.exlibrisgroup.com/primo-explore/search?tab=default_tab&amp;search_scope=EVERYTHING&amp;vid=01CRU&amp;lang=en_US&amp;offset=0&amp;query=any,contains,991000776219702656","Catalog Record")</f>
        <v>Catalog Record</v>
      </c>
      <c r="AV1507" s="5" t="str">
        <f>HYPERLINK("http://www.worldcat.org/oclc/21162939","WorldCat Record")</f>
        <v>WorldCat Record</v>
      </c>
      <c r="AW1507" s="2" t="s">
        <v>17983</v>
      </c>
      <c r="AX1507" s="2" t="s">
        <v>17984</v>
      </c>
      <c r="AY1507" s="2" t="s">
        <v>17985</v>
      </c>
      <c r="AZ1507" s="2" t="s">
        <v>17985</v>
      </c>
      <c r="BA1507" s="2" t="s">
        <v>17986</v>
      </c>
      <c r="BB1507" s="2" t="s">
        <v>21</v>
      </c>
      <c r="BD1507" s="2" t="s">
        <v>17987</v>
      </c>
      <c r="BE1507" s="2" t="s">
        <v>17988</v>
      </c>
      <c r="BF1507" s="2" t="s">
        <v>17989</v>
      </c>
    </row>
    <row r="1508" spans="1:58" ht="41.25" customHeight="1" x14ac:dyDescent="0.25">
      <c r="A1508" s="8" t="s">
        <v>5</v>
      </c>
      <c r="B1508" s="1" t="s">
        <v>0</v>
      </c>
      <c r="C1508" s="1" t="s">
        <v>1</v>
      </c>
      <c r="D1508" s="1" t="s">
        <v>17990</v>
      </c>
      <c r="E1508" s="1" t="s">
        <v>17991</v>
      </c>
      <c r="F1508" s="1" t="s">
        <v>17992</v>
      </c>
      <c r="H1508" s="2" t="s">
        <v>5</v>
      </c>
      <c r="I1508" s="2" t="s">
        <v>6</v>
      </c>
      <c r="J1508" s="2" t="s">
        <v>5</v>
      </c>
      <c r="K1508" s="2" t="s">
        <v>5</v>
      </c>
      <c r="L1508" s="2" t="s">
        <v>7</v>
      </c>
      <c r="N1508" s="1" t="s">
        <v>17993</v>
      </c>
      <c r="O1508" s="2" t="s">
        <v>1378</v>
      </c>
      <c r="Q1508" s="2" t="s">
        <v>11</v>
      </c>
      <c r="R1508" s="2" t="s">
        <v>12</v>
      </c>
      <c r="S1508" s="1" t="s">
        <v>17994</v>
      </c>
      <c r="T1508" s="2" t="s">
        <v>520</v>
      </c>
      <c r="U1508" s="3">
        <v>4</v>
      </c>
      <c r="V1508" s="3">
        <v>4</v>
      </c>
      <c r="W1508" s="4" t="s">
        <v>17995</v>
      </c>
      <c r="X1508" s="4" t="s">
        <v>17995</v>
      </c>
      <c r="Y1508" s="4" t="s">
        <v>4259</v>
      </c>
      <c r="Z1508" s="4" t="s">
        <v>4259</v>
      </c>
      <c r="AA1508" s="3">
        <v>175</v>
      </c>
      <c r="AB1508" s="3">
        <v>151</v>
      </c>
      <c r="AC1508" s="3">
        <v>158</v>
      </c>
      <c r="AD1508" s="3">
        <v>1</v>
      </c>
      <c r="AE1508" s="3">
        <v>1</v>
      </c>
      <c r="AF1508" s="3">
        <v>3</v>
      </c>
      <c r="AG1508" s="3">
        <v>3</v>
      </c>
      <c r="AH1508" s="3">
        <v>1</v>
      </c>
      <c r="AI1508" s="3">
        <v>1</v>
      </c>
      <c r="AJ1508" s="3">
        <v>0</v>
      </c>
      <c r="AK1508" s="3">
        <v>0</v>
      </c>
      <c r="AL1508" s="3">
        <v>2</v>
      </c>
      <c r="AM1508" s="3">
        <v>2</v>
      </c>
      <c r="AN1508" s="3">
        <v>0</v>
      </c>
      <c r="AO1508" s="3">
        <v>0</v>
      </c>
      <c r="AP1508" s="3">
        <v>0</v>
      </c>
      <c r="AQ1508" s="3">
        <v>0</v>
      </c>
      <c r="AR1508" s="2" t="s">
        <v>5</v>
      </c>
      <c r="AS1508" s="2" t="s">
        <v>16</v>
      </c>
      <c r="AT1508" s="5" t="str">
        <f>HYPERLINK("http://catalog.hathitrust.org/Record/004010387","HathiTrust Record")</f>
        <v>HathiTrust Record</v>
      </c>
      <c r="AU1508" s="5" t="str">
        <f>HYPERLINK("https://creighton-primo.hosted.exlibrisgroup.com/primo-explore/search?tab=default_tab&amp;search_scope=EVERYTHING&amp;vid=01CRU&amp;lang=en_US&amp;offset=0&amp;query=any,contains,991000797969702656","Catalog Record")</f>
        <v>Catalog Record</v>
      </c>
      <c r="AV1508" s="5" t="str">
        <f>HYPERLINK("http://www.worldcat.org/oclc/39361326","WorldCat Record")</f>
        <v>WorldCat Record</v>
      </c>
      <c r="AW1508" s="2" t="s">
        <v>17996</v>
      </c>
      <c r="AX1508" s="2" t="s">
        <v>17997</v>
      </c>
      <c r="AY1508" s="2" t="s">
        <v>17998</v>
      </c>
      <c r="AZ1508" s="2" t="s">
        <v>17998</v>
      </c>
      <c r="BA1508" s="2" t="s">
        <v>17999</v>
      </c>
      <c r="BB1508" s="2" t="s">
        <v>21</v>
      </c>
      <c r="BD1508" s="2" t="s">
        <v>18000</v>
      </c>
      <c r="BE1508" s="2" t="s">
        <v>18001</v>
      </c>
      <c r="BF1508" s="2" t="s">
        <v>18002</v>
      </c>
    </row>
    <row r="1509" spans="1:58" ht="41.25" customHeight="1" x14ac:dyDescent="0.25">
      <c r="A1509" s="8" t="s">
        <v>5</v>
      </c>
      <c r="B1509" s="1" t="s">
        <v>0</v>
      </c>
      <c r="C1509" s="1" t="s">
        <v>1</v>
      </c>
      <c r="D1509" s="1" t="s">
        <v>18003</v>
      </c>
      <c r="E1509" s="1" t="s">
        <v>18004</v>
      </c>
      <c r="F1509" s="1" t="s">
        <v>18005</v>
      </c>
      <c r="H1509" s="2" t="s">
        <v>5</v>
      </c>
      <c r="I1509" s="2" t="s">
        <v>6</v>
      </c>
      <c r="J1509" s="2" t="s">
        <v>5</v>
      </c>
      <c r="K1509" s="2" t="s">
        <v>16</v>
      </c>
      <c r="L1509" s="2" t="s">
        <v>7</v>
      </c>
      <c r="N1509" s="1" t="s">
        <v>18006</v>
      </c>
      <c r="O1509" s="2" t="s">
        <v>1046</v>
      </c>
      <c r="P1509" s="1" t="s">
        <v>1208</v>
      </c>
      <c r="Q1509" s="2" t="s">
        <v>11</v>
      </c>
      <c r="R1509" s="2" t="s">
        <v>31</v>
      </c>
      <c r="T1509" s="2" t="s">
        <v>520</v>
      </c>
      <c r="U1509" s="3">
        <v>0</v>
      </c>
      <c r="V1509" s="3">
        <v>0</v>
      </c>
      <c r="W1509" s="4" t="s">
        <v>18007</v>
      </c>
      <c r="X1509" s="4" t="s">
        <v>18007</v>
      </c>
      <c r="Y1509" s="4" t="s">
        <v>18008</v>
      </c>
      <c r="Z1509" s="4" t="s">
        <v>18008</v>
      </c>
      <c r="AA1509" s="3">
        <v>284</v>
      </c>
      <c r="AB1509" s="3">
        <v>214</v>
      </c>
      <c r="AC1509" s="3">
        <v>776</v>
      </c>
      <c r="AD1509" s="3">
        <v>1</v>
      </c>
      <c r="AE1509" s="3">
        <v>4</v>
      </c>
      <c r="AF1509" s="3">
        <v>7</v>
      </c>
      <c r="AG1509" s="3">
        <v>23</v>
      </c>
      <c r="AH1509" s="3">
        <v>2</v>
      </c>
      <c r="AI1509" s="3">
        <v>9</v>
      </c>
      <c r="AJ1509" s="3">
        <v>1</v>
      </c>
      <c r="AK1509" s="3">
        <v>3</v>
      </c>
      <c r="AL1509" s="3">
        <v>6</v>
      </c>
      <c r="AM1509" s="3">
        <v>13</v>
      </c>
      <c r="AN1509" s="3">
        <v>0</v>
      </c>
      <c r="AO1509" s="3">
        <v>2</v>
      </c>
      <c r="AP1509" s="3">
        <v>0</v>
      </c>
      <c r="AQ1509" s="3">
        <v>0</v>
      </c>
      <c r="AR1509" s="2" t="s">
        <v>5</v>
      </c>
      <c r="AS1509" s="2" t="s">
        <v>16</v>
      </c>
      <c r="AT1509" s="5" t="str">
        <f>HYPERLINK("http://catalog.hathitrust.org/Record/004352448","HathiTrust Record")</f>
        <v>HathiTrust Record</v>
      </c>
      <c r="AU1509" s="5" t="str">
        <f>HYPERLINK("https://creighton-primo.hosted.exlibrisgroup.com/primo-explore/search?tab=default_tab&amp;search_scope=EVERYTHING&amp;vid=01CRU&amp;lang=en_US&amp;offset=0&amp;query=any,contains,991001725319702656","Catalog Record")</f>
        <v>Catalog Record</v>
      </c>
      <c r="AV1509" s="5" t="str">
        <f>HYPERLINK("http://www.worldcat.org/oclc/52895257","WorldCat Record")</f>
        <v>WorldCat Record</v>
      </c>
      <c r="AW1509" s="2" t="s">
        <v>17821</v>
      </c>
      <c r="AX1509" s="2" t="s">
        <v>18009</v>
      </c>
      <c r="AY1509" s="2" t="s">
        <v>18010</v>
      </c>
      <c r="AZ1509" s="2" t="s">
        <v>18010</v>
      </c>
      <c r="BA1509" s="2" t="s">
        <v>18011</v>
      </c>
      <c r="BB1509" s="2" t="s">
        <v>21</v>
      </c>
      <c r="BD1509" s="2" t="s">
        <v>18012</v>
      </c>
      <c r="BE1509" s="2" t="s">
        <v>18013</v>
      </c>
      <c r="BF1509" s="2" t="s">
        <v>18014</v>
      </c>
    </row>
    <row r="1510" spans="1:58" ht="41.25" customHeight="1" x14ac:dyDescent="0.25">
      <c r="A1510" s="8" t="s">
        <v>5</v>
      </c>
      <c r="B1510" s="1" t="s">
        <v>0</v>
      </c>
      <c r="C1510" s="1" t="s">
        <v>1</v>
      </c>
      <c r="D1510" s="1" t="s">
        <v>18015</v>
      </c>
      <c r="E1510" s="1" t="s">
        <v>18016</v>
      </c>
      <c r="F1510" s="1" t="s">
        <v>18017</v>
      </c>
      <c r="H1510" s="2" t="s">
        <v>5</v>
      </c>
      <c r="I1510" s="2" t="s">
        <v>6</v>
      </c>
      <c r="J1510" s="2" t="s">
        <v>5</v>
      </c>
      <c r="K1510" s="2" t="s">
        <v>5</v>
      </c>
      <c r="L1510" s="2" t="s">
        <v>7</v>
      </c>
      <c r="N1510" s="1" t="s">
        <v>18018</v>
      </c>
      <c r="O1510" s="2" t="s">
        <v>228</v>
      </c>
      <c r="Q1510" s="2" t="s">
        <v>11</v>
      </c>
      <c r="R1510" s="2" t="s">
        <v>426</v>
      </c>
      <c r="T1510" s="2" t="s">
        <v>520</v>
      </c>
      <c r="U1510" s="3">
        <v>6</v>
      </c>
      <c r="V1510" s="3">
        <v>6</v>
      </c>
      <c r="W1510" s="4" t="s">
        <v>18019</v>
      </c>
      <c r="X1510" s="4" t="s">
        <v>18019</v>
      </c>
      <c r="Y1510" s="4" t="s">
        <v>15</v>
      </c>
      <c r="Z1510" s="4" t="s">
        <v>15</v>
      </c>
      <c r="AA1510" s="3">
        <v>101</v>
      </c>
      <c r="AB1510" s="3">
        <v>89</v>
      </c>
      <c r="AC1510" s="3">
        <v>143</v>
      </c>
      <c r="AD1510" s="3">
        <v>1</v>
      </c>
      <c r="AE1510" s="3">
        <v>1</v>
      </c>
      <c r="AF1510" s="3">
        <v>0</v>
      </c>
      <c r="AG1510" s="3">
        <v>2</v>
      </c>
      <c r="AH1510" s="3">
        <v>0</v>
      </c>
      <c r="AI1510" s="3">
        <v>0</v>
      </c>
      <c r="AJ1510" s="3">
        <v>0</v>
      </c>
      <c r="AK1510" s="3">
        <v>1</v>
      </c>
      <c r="AL1510" s="3">
        <v>0</v>
      </c>
      <c r="AM1510" s="3">
        <v>2</v>
      </c>
      <c r="AN1510" s="3">
        <v>0</v>
      </c>
      <c r="AO1510" s="3">
        <v>0</v>
      </c>
      <c r="AP1510" s="3">
        <v>0</v>
      </c>
      <c r="AQ1510" s="3">
        <v>0</v>
      </c>
      <c r="AR1510" s="2" t="s">
        <v>5</v>
      </c>
      <c r="AS1510" s="2" t="s">
        <v>16</v>
      </c>
      <c r="AT1510" s="5" t="str">
        <f>HYPERLINK("http://catalog.hathitrust.org/Record/000230290","HathiTrust Record")</f>
        <v>HathiTrust Record</v>
      </c>
      <c r="AU1510" s="5" t="str">
        <f>HYPERLINK("https://creighton-primo.hosted.exlibrisgroup.com/primo-explore/search?tab=default_tab&amp;search_scope=EVERYTHING&amp;vid=01CRU&amp;lang=en_US&amp;offset=0&amp;query=any,contains,991000866759702656","Catalog Record")</f>
        <v>Catalog Record</v>
      </c>
      <c r="AV1510" s="5" t="str">
        <f>HYPERLINK("http://www.worldcat.org/oclc/7653483","WorldCat Record")</f>
        <v>WorldCat Record</v>
      </c>
      <c r="AW1510" s="2" t="s">
        <v>18020</v>
      </c>
      <c r="AX1510" s="2" t="s">
        <v>18021</v>
      </c>
      <c r="AY1510" s="2" t="s">
        <v>18022</v>
      </c>
      <c r="AZ1510" s="2" t="s">
        <v>18022</v>
      </c>
      <c r="BA1510" s="2" t="s">
        <v>18023</v>
      </c>
      <c r="BB1510" s="2" t="s">
        <v>21</v>
      </c>
      <c r="BD1510" s="2" t="s">
        <v>18024</v>
      </c>
      <c r="BE1510" s="2" t="s">
        <v>18025</v>
      </c>
      <c r="BF1510" s="2" t="s">
        <v>18026</v>
      </c>
    </row>
    <row r="1511" spans="1:58" ht="41.25" customHeight="1" x14ac:dyDescent="0.25">
      <c r="A1511" s="8" t="s">
        <v>5</v>
      </c>
      <c r="B1511" s="1" t="s">
        <v>0</v>
      </c>
      <c r="C1511" s="1" t="s">
        <v>1</v>
      </c>
      <c r="D1511" s="1" t="s">
        <v>18027</v>
      </c>
      <c r="E1511" s="1" t="s">
        <v>18028</v>
      </c>
      <c r="F1511" s="1" t="s">
        <v>18029</v>
      </c>
      <c r="H1511" s="2" t="s">
        <v>5</v>
      </c>
      <c r="I1511" s="2" t="s">
        <v>6</v>
      </c>
      <c r="J1511" s="2" t="s">
        <v>5</v>
      </c>
      <c r="K1511" s="2" t="s">
        <v>16</v>
      </c>
      <c r="L1511" s="2" t="s">
        <v>7</v>
      </c>
      <c r="N1511" s="1" t="s">
        <v>1602</v>
      </c>
      <c r="O1511" s="2" t="s">
        <v>1378</v>
      </c>
      <c r="P1511" s="1" t="s">
        <v>18030</v>
      </c>
      <c r="Q1511" s="2" t="s">
        <v>11</v>
      </c>
      <c r="R1511" s="2" t="s">
        <v>31</v>
      </c>
      <c r="T1511" s="2" t="s">
        <v>520</v>
      </c>
      <c r="U1511" s="3">
        <v>3</v>
      </c>
      <c r="V1511" s="3">
        <v>3</v>
      </c>
      <c r="W1511" s="4" t="s">
        <v>18031</v>
      </c>
      <c r="X1511" s="4" t="s">
        <v>18031</v>
      </c>
      <c r="Y1511" s="4" t="s">
        <v>18032</v>
      </c>
      <c r="Z1511" s="4" t="s">
        <v>18032</v>
      </c>
      <c r="AA1511" s="3">
        <v>342</v>
      </c>
      <c r="AB1511" s="3">
        <v>275</v>
      </c>
      <c r="AC1511" s="3">
        <v>808</v>
      </c>
      <c r="AD1511" s="3">
        <v>2</v>
      </c>
      <c r="AE1511" s="3">
        <v>6</v>
      </c>
      <c r="AF1511" s="3">
        <v>7</v>
      </c>
      <c r="AG1511" s="3">
        <v>27</v>
      </c>
      <c r="AH1511" s="3">
        <v>4</v>
      </c>
      <c r="AI1511" s="3">
        <v>12</v>
      </c>
      <c r="AJ1511" s="3">
        <v>1</v>
      </c>
      <c r="AK1511" s="3">
        <v>5</v>
      </c>
      <c r="AL1511" s="3">
        <v>4</v>
      </c>
      <c r="AM1511" s="3">
        <v>11</v>
      </c>
      <c r="AN1511" s="3">
        <v>0</v>
      </c>
      <c r="AO1511" s="3">
        <v>4</v>
      </c>
      <c r="AP1511" s="3">
        <v>0</v>
      </c>
      <c r="AQ1511" s="3">
        <v>0</v>
      </c>
      <c r="AR1511" s="2" t="s">
        <v>5</v>
      </c>
      <c r="AS1511" s="2" t="s">
        <v>5</v>
      </c>
      <c r="AU1511" s="5" t="str">
        <f>HYPERLINK("https://creighton-primo.hosted.exlibrisgroup.com/primo-explore/search?tab=default_tab&amp;search_scope=EVERYTHING&amp;vid=01CRU&amp;lang=en_US&amp;offset=0&amp;query=any,contains,991001563549702656","Catalog Record")</f>
        <v>Catalog Record</v>
      </c>
      <c r="AV1511" s="5" t="str">
        <f>HYPERLINK("http://www.worldcat.org/oclc/36995362","WorldCat Record")</f>
        <v>WorldCat Record</v>
      </c>
      <c r="AW1511" s="2" t="s">
        <v>18033</v>
      </c>
      <c r="AX1511" s="2" t="s">
        <v>18034</v>
      </c>
      <c r="AY1511" s="2" t="s">
        <v>18035</v>
      </c>
      <c r="AZ1511" s="2" t="s">
        <v>18035</v>
      </c>
      <c r="BA1511" s="2" t="s">
        <v>18036</v>
      </c>
      <c r="BB1511" s="2" t="s">
        <v>21</v>
      </c>
      <c r="BD1511" s="2" t="s">
        <v>18037</v>
      </c>
      <c r="BE1511" s="2" t="s">
        <v>18038</v>
      </c>
      <c r="BF1511" s="2" t="s">
        <v>18039</v>
      </c>
    </row>
    <row r="1512" spans="1:58" ht="41.25" customHeight="1" x14ac:dyDescent="0.25">
      <c r="A1512" s="8" t="s">
        <v>5</v>
      </c>
      <c r="B1512" s="1" t="s">
        <v>0</v>
      </c>
      <c r="C1512" s="1" t="s">
        <v>1</v>
      </c>
      <c r="D1512" s="1" t="s">
        <v>18040</v>
      </c>
      <c r="E1512" s="1" t="s">
        <v>18041</v>
      </c>
      <c r="F1512" s="1" t="s">
        <v>18029</v>
      </c>
      <c r="H1512" s="2" t="s">
        <v>5</v>
      </c>
      <c r="I1512" s="2" t="s">
        <v>6</v>
      </c>
      <c r="J1512" s="2" t="s">
        <v>5</v>
      </c>
      <c r="K1512" s="2" t="s">
        <v>16</v>
      </c>
      <c r="L1512" s="2" t="s">
        <v>7</v>
      </c>
      <c r="N1512" s="1" t="s">
        <v>8145</v>
      </c>
      <c r="O1512" s="2" t="s">
        <v>1046</v>
      </c>
      <c r="P1512" s="1" t="s">
        <v>18042</v>
      </c>
      <c r="Q1512" s="2" t="s">
        <v>11</v>
      </c>
      <c r="R1512" s="2" t="s">
        <v>31</v>
      </c>
      <c r="T1512" s="2" t="s">
        <v>520</v>
      </c>
      <c r="U1512" s="3">
        <v>0</v>
      </c>
      <c r="V1512" s="3">
        <v>0</v>
      </c>
      <c r="W1512" s="4" t="s">
        <v>10653</v>
      </c>
      <c r="X1512" s="4" t="s">
        <v>10653</v>
      </c>
      <c r="Y1512" s="4" t="s">
        <v>10654</v>
      </c>
      <c r="Z1512" s="4" t="s">
        <v>10654</v>
      </c>
      <c r="AA1512" s="3">
        <v>484</v>
      </c>
      <c r="AB1512" s="3">
        <v>382</v>
      </c>
      <c r="AC1512" s="3">
        <v>808</v>
      </c>
      <c r="AD1512" s="3">
        <v>2</v>
      </c>
      <c r="AE1512" s="3">
        <v>6</v>
      </c>
      <c r="AF1512" s="3">
        <v>9</v>
      </c>
      <c r="AG1512" s="3">
        <v>27</v>
      </c>
      <c r="AH1512" s="3">
        <v>6</v>
      </c>
      <c r="AI1512" s="3">
        <v>12</v>
      </c>
      <c r="AJ1512" s="3">
        <v>1</v>
      </c>
      <c r="AK1512" s="3">
        <v>5</v>
      </c>
      <c r="AL1512" s="3">
        <v>2</v>
      </c>
      <c r="AM1512" s="3">
        <v>11</v>
      </c>
      <c r="AN1512" s="3">
        <v>1</v>
      </c>
      <c r="AO1512" s="3">
        <v>4</v>
      </c>
      <c r="AP1512" s="3">
        <v>0</v>
      </c>
      <c r="AQ1512" s="3">
        <v>0</v>
      </c>
      <c r="AR1512" s="2" t="s">
        <v>5</v>
      </c>
      <c r="AS1512" s="2" t="s">
        <v>16</v>
      </c>
      <c r="AT1512" s="5" t="str">
        <f>HYPERLINK("http://catalog.hathitrust.org/Record/004281644","HathiTrust Record")</f>
        <v>HathiTrust Record</v>
      </c>
      <c r="AU1512" s="5" t="str">
        <f>HYPERLINK("https://creighton-primo.hosted.exlibrisgroup.com/primo-explore/search?tab=default_tab&amp;search_scope=EVERYTHING&amp;vid=01CRU&amp;lang=en_US&amp;offset=0&amp;query=any,contains,991000338679702656","Catalog Record")</f>
        <v>Catalog Record</v>
      </c>
      <c r="AV1512" s="5" t="str">
        <f>HYPERLINK("http://www.worldcat.org/oclc/50639153","WorldCat Record")</f>
        <v>WorldCat Record</v>
      </c>
      <c r="AW1512" s="2" t="s">
        <v>18033</v>
      </c>
      <c r="AX1512" s="2" t="s">
        <v>18043</v>
      </c>
      <c r="AY1512" s="2" t="s">
        <v>18044</v>
      </c>
      <c r="AZ1512" s="2" t="s">
        <v>18044</v>
      </c>
      <c r="BA1512" s="2" t="s">
        <v>18045</v>
      </c>
      <c r="BB1512" s="2" t="s">
        <v>21</v>
      </c>
      <c r="BD1512" s="2" t="s">
        <v>18046</v>
      </c>
      <c r="BE1512" s="2" t="s">
        <v>18047</v>
      </c>
      <c r="BF1512" s="2" t="s">
        <v>18048</v>
      </c>
    </row>
    <row r="1513" spans="1:58" ht="41.25" customHeight="1" x14ac:dyDescent="0.25">
      <c r="A1513" s="8" t="s">
        <v>5</v>
      </c>
      <c r="B1513" s="1" t="s">
        <v>0</v>
      </c>
      <c r="C1513" s="1" t="s">
        <v>1</v>
      </c>
      <c r="D1513" s="1" t="s">
        <v>18049</v>
      </c>
      <c r="E1513" s="1" t="s">
        <v>18050</v>
      </c>
      <c r="F1513" s="1" t="s">
        <v>18051</v>
      </c>
      <c r="H1513" s="2" t="s">
        <v>5</v>
      </c>
      <c r="I1513" s="2" t="s">
        <v>6</v>
      </c>
      <c r="J1513" s="2" t="s">
        <v>5</v>
      </c>
      <c r="K1513" s="2" t="s">
        <v>5</v>
      </c>
      <c r="L1513" s="2" t="s">
        <v>7</v>
      </c>
      <c r="N1513" s="1" t="s">
        <v>6646</v>
      </c>
      <c r="O1513" s="2" t="s">
        <v>939</v>
      </c>
      <c r="P1513" s="1" t="s">
        <v>901</v>
      </c>
      <c r="Q1513" s="2" t="s">
        <v>11</v>
      </c>
      <c r="R1513" s="2" t="s">
        <v>31</v>
      </c>
      <c r="T1513" s="2" t="s">
        <v>520</v>
      </c>
      <c r="U1513" s="3">
        <v>13</v>
      </c>
      <c r="V1513" s="3">
        <v>13</v>
      </c>
      <c r="W1513" s="4" t="s">
        <v>15801</v>
      </c>
      <c r="X1513" s="4" t="s">
        <v>15801</v>
      </c>
      <c r="Y1513" s="4" t="s">
        <v>15113</v>
      </c>
      <c r="Z1513" s="4" t="s">
        <v>15113</v>
      </c>
      <c r="AA1513" s="3">
        <v>263</v>
      </c>
      <c r="AB1513" s="3">
        <v>226</v>
      </c>
      <c r="AC1513" s="3">
        <v>385</v>
      </c>
      <c r="AD1513" s="3">
        <v>2</v>
      </c>
      <c r="AE1513" s="3">
        <v>2</v>
      </c>
      <c r="AF1513" s="3">
        <v>8</v>
      </c>
      <c r="AG1513" s="3">
        <v>12</v>
      </c>
      <c r="AH1513" s="3">
        <v>1</v>
      </c>
      <c r="AI1513" s="3">
        <v>2</v>
      </c>
      <c r="AJ1513" s="3">
        <v>2</v>
      </c>
      <c r="AK1513" s="3">
        <v>3</v>
      </c>
      <c r="AL1513" s="3">
        <v>5</v>
      </c>
      <c r="AM1513" s="3">
        <v>7</v>
      </c>
      <c r="AN1513" s="3">
        <v>0</v>
      </c>
      <c r="AO1513" s="3">
        <v>0</v>
      </c>
      <c r="AP1513" s="3">
        <v>1</v>
      </c>
      <c r="AQ1513" s="3">
        <v>1</v>
      </c>
      <c r="AR1513" s="2" t="s">
        <v>5</v>
      </c>
      <c r="AS1513" s="2" t="s">
        <v>16</v>
      </c>
      <c r="AT1513" s="5" t="str">
        <f>HYPERLINK("http://catalog.hathitrust.org/Record/000912493","HathiTrust Record")</f>
        <v>HathiTrust Record</v>
      </c>
      <c r="AU1513" s="5" t="str">
        <f>HYPERLINK("https://creighton-primo.hosted.exlibrisgroup.com/primo-explore/search?tab=default_tab&amp;search_scope=EVERYTHING&amp;vid=01CRU&amp;lang=en_US&amp;offset=0&amp;query=any,contains,991001116259702656","Catalog Record")</f>
        <v>Catalog Record</v>
      </c>
      <c r="AV1513" s="5" t="str">
        <f>HYPERLINK("http://www.worldcat.org/oclc/17621822","WorldCat Record")</f>
        <v>WorldCat Record</v>
      </c>
      <c r="AW1513" s="2" t="s">
        <v>18052</v>
      </c>
      <c r="AX1513" s="2" t="s">
        <v>18053</v>
      </c>
      <c r="AY1513" s="2" t="s">
        <v>18054</v>
      </c>
      <c r="AZ1513" s="2" t="s">
        <v>18054</v>
      </c>
      <c r="BA1513" s="2" t="s">
        <v>18055</v>
      </c>
      <c r="BB1513" s="2" t="s">
        <v>21</v>
      </c>
      <c r="BD1513" s="2" t="s">
        <v>18056</v>
      </c>
      <c r="BE1513" s="2" t="s">
        <v>18057</v>
      </c>
      <c r="BF1513" s="2" t="s">
        <v>18058</v>
      </c>
    </row>
    <row r="1514" spans="1:58" ht="41.25" customHeight="1" x14ac:dyDescent="0.25">
      <c r="A1514" s="8" t="s">
        <v>5</v>
      </c>
      <c r="B1514" s="1" t="s">
        <v>0</v>
      </c>
      <c r="C1514" s="1" t="s">
        <v>1</v>
      </c>
      <c r="D1514" s="1" t="s">
        <v>18059</v>
      </c>
      <c r="E1514" s="1" t="s">
        <v>18060</v>
      </c>
      <c r="F1514" s="1" t="s">
        <v>18061</v>
      </c>
      <c r="H1514" s="2" t="s">
        <v>5</v>
      </c>
      <c r="I1514" s="2" t="s">
        <v>6</v>
      </c>
      <c r="J1514" s="2" t="s">
        <v>5</v>
      </c>
      <c r="K1514" s="2" t="s">
        <v>5</v>
      </c>
      <c r="L1514" s="2" t="s">
        <v>7</v>
      </c>
      <c r="M1514" s="1" t="s">
        <v>18062</v>
      </c>
      <c r="N1514" s="1" t="s">
        <v>1220</v>
      </c>
      <c r="O1514" s="2" t="s">
        <v>62</v>
      </c>
      <c r="Q1514" s="2" t="s">
        <v>11</v>
      </c>
      <c r="R1514" s="2" t="s">
        <v>12</v>
      </c>
      <c r="S1514" s="1" t="s">
        <v>18063</v>
      </c>
      <c r="T1514" s="2" t="s">
        <v>520</v>
      </c>
      <c r="U1514" s="3">
        <v>1</v>
      </c>
      <c r="V1514" s="3">
        <v>1</v>
      </c>
      <c r="W1514" s="4" t="s">
        <v>7129</v>
      </c>
      <c r="X1514" s="4" t="s">
        <v>7129</v>
      </c>
      <c r="Y1514" s="4" t="s">
        <v>1249</v>
      </c>
      <c r="Z1514" s="4" t="s">
        <v>1249</v>
      </c>
      <c r="AA1514" s="3">
        <v>89</v>
      </c>
      <c r="AB1514" s="3">
        <v>82</v>
      </c>
      <c r="AC1514" s="3">
        <v>82</v>
      </c>
      <c r="AD1514" s="3">
        <v>2</v>
      </c>
      <c r="AE1514" s="3">
        <v>2</v>
      </c>
      <c r="AF1514" s="3">
        <v>6</v>
      </c>
      <c r="AG1514" s="3">
        <v>6</v>
      </c>
      <c r="AH1514" s="3">
        <v>2</v>
      </c>
      <c r="AI1514" s="3">
        <v>2</v>
      </c>
      <c r="AJ1514" s="3">
        <v>2</v>
      </c>
      <c r="AK1514" s="3">
        <v>2</v>
      </c>
      <c r="AL1514" s="3">
        <v>3</v>
      </c>
      <c r="AM1514" s="3">
        <v>3</v>
      </c>
      <c r="AN1514" s="3">
        <v>0</v>
      </c>
      <c r="AO1514" s="3">
        <v>0</v>
      </c>
      <c r="AP1514" s="3">
        <v>0</v>
      </c>
      <c r="AQ1514" s="3">
        <v>0</v>
      </c>
      <c r="AR1514" s="2" t="s">
        <v>5</v>
      </c>
      <c r="AS1514" s="2" t="s">
        <v>5</v>
      </c>
      <c r="AU1514" s="5" t="str">
        <f>HYPERLINK("https://creighton-primo.hosted.exlibrisgroup.com/primo-explore/search?tab=default_tab&amp;search_scope=EVERYTHING&amp;vid=01CRU&amp;lang=en_US&amp;offset=0&amp;query=any,contains,991001384879702656","Catalog Record")</f>
        <v>Catalog Record</v>
      </c>
      <c r="AV1514" s="5" t="str">
        <f>HYPERLINK("http://www.worldcat.org/oclc/3725200","WorldCat Record")</f>
        <v>WorldCat Record</v>
      </c>
      <c r="AW1514" s="2" t="s">
        <v>18064</v>
      </c>
      <c r="AX1514" s="2" t="s">
        <v>18065</v>
      </c>
      <c r="AY1514" s="2" t="s">
        <v>18066</v>
      </c>
      <c r="AZ1514" s="2" t="s">
        <v>18066</v>
      </c>
      <c r="BA1514" s="2" t="s">
        <v>18067</v>
      </c>
      <c r="BB1514" s="2" t="s">
        <v>21</v>
      </c>
      <c r="BE1514" s="2" t="s">
        <v>18068</v>
      </c>
      <c r="BF1514" s="2" t="s">
        <v>18069</v>
      </c>
    </row>
    <row r="1515" spans="1:58" ht="41.25" customHeight="1" x14ac:dyDescent="0.25">
      <c r="A1515" s="8" t="s">
        <v>5</v>
      </c>
      <c r="B1515" s="1" t="s">
        <v>0</v>
      </c>
      <c r="C1515" s="1" t="s">
        <v>1</v>
      </c>
      <c r="D1515" s="1" t="s">
        <v>18070</v>
      </c>
      <c r="E1515" s="1" t="s">
        <v>18071</v>
      </c>
      <c r="F1515" s="1" t="s">
        <v>18072</v>
      </c>
      <c r="H1515" s="2" t="s">
        <v>5</v>
      </c>
      <c r="I1515" s="2" t="s">
        <v>6</v>
      </c>
      <c r="J1515" s="2" t="s">
        <v>5</v>
      </c>
      <c r="K1515" s="2" t="s">
        <v>16</v>
      </c>
      <c r="L1515" s="2" t="s">
        <v>7</v>
      </c>
      <c r="M1515" s="1" t="s">
        <v>18073</v>
      </c>
      <c r="N1515" s="1" t="s">
        <v>8171</v>
      </c>
      <c r="O1515" s="2" t="s">
        <v>4990</v>
      </c>
      <c r="P1515" s="1" t="s">
        <v>1208</v>
      </c>
      <c r="Q1515" s="2" t="s">
        <v>11</v>
      </c>
      <c r="R1515" s="2" t="s">
        <v>31</v>
      </c>
      <c r="T1515" s="2" t="s">
        <v>520</v>
      </c>
      <c r="U1515" s="3">
        <v>6</v>
      </c>
      <c r="V1515" s="3">
        <v>6</v>
      </c>
      <c r="W1515" s="4" t="s">
        <v>18074</v>
      </c>
      <c r="X1515" s="4" t="s">
        <v>18074</v>
      </c>
      <c r="Y1515" s="4" t="s">
        <v>5105</v>
      </c>
      <c r="Z1515" s="4" t="s">
        <v>5105</v>
      </c>
      <c r="AA1515" s="3">
        <v>290</v>
      </c>
      <c r="AB1515" s="3">
        <v>201</v>
      </c>
      <c r="AC1515" s="3">
        <v>486</v>
      </c>
      <c r="AD1515" s="3">
        <v>1</v>
      </c>
      <c r="AE1515" s="3">
        <v>2</v>
      </c>
      <c r="AF1515" s="3">
        <v>9</v>
      </c>
      <c r="AG1515" s="3">
        <v>15</v>
      </c>
      <c r="AH1515" s="3">
        <v>5</v>
      </c>
      <c r="AI1515" s="3">
        <v>6</v>
      </c>
      <c r="AJ1515" s="3">
        <v>0</v>
      </c>
      <c r="AK1515" s="3">
        <v>3</v>
      </c>
      <c r="AL1515" s="3">
        <v>4</v>
      </c>
      <c r="AM1515" s="3">
        <v>6</v>
      </c>
      <c r="AN1515" s="3">
        <v>0</v>
      </c>
      <c r="AO1515" s="3">
        <v>1</v>
      </c>
      <c r="AP1515" s="3">
        <v>0</v>
      </c>
      <c r="AQ1515" s="3">
        <v>0</v>
      </c>
      <c r="AR1515" s="2" t="s">
        <v>5</v>
      </c>
      <c r="AS1515" s="2" t="s">
        <v>5</v>
      </c>
      <c r="AU1515" s="5" t="str">
        <f>HYPERLINK("https://creighton-primo.hosted.exlibrisgroup.com/primo-explore/search?tab=default_tab&amp;search_scope=EVERYTHING&amp;vid=01CRU&amp;lang=en_US&amp;offset=0&amp;query=any,contains,991000302189702656","Catalog Record")</f>
        <v>Catalog Record</v>
      </c>
      <c r="AV1515" s="5" t="str">
        <f>HYPERLINK("http://www.worldcat.org/oclc/48190186","WorldCat Record")</f>
        <v>WorldCat Record</v>
      </c>
      <c r="AW1515" s="2" t="s">
        <v>18075</v>
      </c>
      <c r="AX1515" s="2" t="s">
        <v>18076</v>
      </c>
      <c r="AY1515" s="2" t="s">
        <v>18077</v>
      </c>
      <c r="AZ1515" s="2" t="s">
        <v>18077</v>
      </c>
      <c r="BA1515" s="2" t="s">
        <v>18078</v>
      </c>
      <c r="BB1515" s="2" t="s">
        <v>21</v>
      </c>
      <c r="BD1515" s="2" t="s">
        <v>18079</v>
      </c>
      <c r="BE1515" s="2" t="s">
        <v>18080</v>
      </c>
      <c r="BF1515" s="2" t="s">
        <v>18081</v>
      </c>
    </row>
    <row r="1516" spans="1:58" ht="41.25" customHeight="1" x14ac:dyDescent="0.25">
      <c r="A1516" s="8" t="s">
        <v>5</v>
      </c>
      <c r="B1516" s="1" t="s">
        <v>0</v>
      </c>
      <c r="C1516" s="1" t="s">
        <v>1</v>
      </c>
      <c r="D1516" s="1" t="s">
        <v>18082</v>
      </c>
      <c r="E1516" s="1" t="s">
        <v>18083</v>
      </c>
      <c r="F1516" s="1" t="s">
        <v>18084</v>
      </c>
      <c r="H1516" s="2" t="s">
        <v>5</v>
      </c>
      <c r="I1516" s="2" t="s">
        <v>6</v>
      </c>
      <c r="J1516" s="2" t="s">
        <v>5</v>
      </c>
      <c r="K1516" s="2" t="s">
        <v>5</v>
      </c>
      <c r="L1516" s="2" t="s">
        <v>7</v>
      </c>
      <c r="M1516" s="1" t="s">
        <v>18085</v>
      </c>
      <c r="N1516" s="1" t="s">
        <v>988</v>
      </c>
      <c r="O1516" s="2" t="s">
        <v>989</v>
      </c>
      <c r="Q1516" s="2" t="s">
        <v>11</v>
      </c>
      <c r="R1516" s="2" t="s">
        <v>426</v>
      </c>
      <c r="T1516" s="2" t="s">
        <v>520</v>
      </c>
      <c r="U1516" s="3">
        <v>63</v>
      </c>
      <c r="V1516" s="3">
        <v>63</v>
      </c>
      <c r="W1516" s="4" t="s">
        <v>1286</v>
      </c>
      <c r="X1516" s="4" t="s">
        <v>1286</v>
      </c>
      <c r="Y1516" s="4" t="s">
        <v>18086</v>
      </c>
      <c r="Z1516" s="4" t="s">
        <v>18086</v>
      </c>
      <c r="AA1516" s="3">
        <v>272</v>
      </c>
      <c r="AB1516" s="3">
        <v>225</v>
      </c>
      <c r="AC1516" s="3">
        <v>228</v>
      </c>
      <c r="AD1516" s="3">
        <v>2</v>
      </c>
      <c r="AE1516" s="3">
        <v>2</v>
      </c>
      <c r="AF1516" s="3">
        <v>6</v>
      </c>
      <c r="AG1516" s="3">
        <v>6</v>
      </c>
      <c r="AH1516" s="3">
        <v>3</v>
      </c>
      <c r="AI1516" s="3">
        <v>3</v>
      </c>
      <c r="AJ1516" s="3">
        <v>3</v>
      </c>
      <c r="AK1516" s="3">
        <v>3</v>
      </c>
      <c r="AL1516" s="3">
        <v>2</v>
      </c>
      <c r="AM1516" s="3">
        <v>2</v>
      </c>
      <c r="AN1516" s="3">
        <v>0</v>
      </c>
      <c r="AO1516" s="3">
        <v>0</v>
      </c>
      <c r="AP1516" s="3">
        <v>0</v>
      </c>
      <c r="AQ1516" s="3">
        <v>0</v>
      </c>
      <c r="AR1516" s="2" t="s">
        <v>5</v>
      </c>
      <c r="AS1516" s="2" t="s">
        <v>16</v>
      </c>
      <c r="AT1516" s="5" t="str">
        <f>HYPERLINK("http://catalog.hathitrust.org/Record/001841651","HathiTrust Record")</f>
        <v>HathiTrust Record</v>
      </c>
      <c r="AU1516" s="5" t="str">
        <f>HYPERLINK("https://creighton-primo.hosted.exlibrisgroup.com/primo-explore/search?tab=default_tab&amp;search_scope=EVERYTHING&amp;vid=01CRU&amp;lang=en_US&amp;offset=0&amp;query=any,contains,991001451069702656","Catalog Record")</f>
        <v>Catalog Record</v>
      </c>
      <c r="AV1516" s="5" t="str">
        <f>HYPERLINK("http://www.worldcat.org/oclc/20525543","WorldCat Record")</f>
        <v>WorldCat Record</v>
      </c>
      <c r="AW1516" s="2" t="s">
        <v>18087</v>
      </c>
      <c r="AX1516" s="2" t="s">
        <v>18088</v>
      </c>
      <c r="AY1516" s="2" t="s">
        <v>18089</v>
      </c>
      <c r="AZ1516" s="2" t="s">
        <v>18089</v>
      </c>
      <c r="BA1516" s="2" t="s">
        <v>18090</v>
      </c>
      <c r="BB1516" s="2" t="s">
        <v>21</v>
      </c>
      <c r="BD1516" s="2" t="s">
        <v>18091</v>
      </c>
      <c r="BE1516" s="2" t="s">
        <v>18092</v>
      </c>
      <c r="BF1516" s="2" t="s">
        <v>18093</v>
      </c>
    </row>
    <row r="1517" spans="1:58" ht="41.25" customHeight="1" x14ac:dyDescent="0.25">
      <c r="A1517" s="8" t="s">
        <v>5</v>
      </c>
      <c r="B1517" s="1" t="s">
        <v>0</v>
      </c>
      <c r="C1517" s="1" t="s">
        <v>1</v>
      </c>
      <c r="D1517" s="1" t="s">
        <v>18094</v>
      </c>
      <c r="E1517" s="1" t="s">
        <v>18095</v>
      </c>
      <c r="F1517" s="1" t="s">
        <v>18096</v>
      </c>
      <c r="H1517" s="2" t="s">
        <v>5</v>
      </c>
      <c r="I1517" s="2" t="s">
        <v>6</v>
      </c>
      <c r="J1517" s="2" t="s">
        <v>5</v>
      </c>
      <c r="K1517" s="2" t="s">
        <v>5</v>
      </c>
      <c r="L1517" s="2" t="s">
        <v>7</v>
      </c>
      <c r="N1517" s="1" t="s">
        <v>18097</v>
      </c>
      <c r="O1517" s="2" t="s">
        <v>989</v>
      </c>
      <c r="Q1517" s="2" t="s">
        <v>11</v>
      </c>
      <c r="R1517" s="2" t="s">
        <v>31</v>
      </c>
      <c r="T1517" s="2" t="s">
        <v>520</v>
      </c>
      <c r="U1517" s="3">
        <v>10</v>
      </c>
      <c r="V1517" s="3">
        <v>10</v>
      </c>
      <c r="W1517" s="4" t="s">
        <v>18098</v>
      </c>
      <c r="X1517" s="4" t="s">
        <v>18098</v>
      </c>
      <c r="Y1517" s="4" t="s">
        <v>18099</v>
      </c>
      <c r="Z1517" s="4" t="s">
        <v>18099</v>
      </c>
      <c r="AA1517" s="3">
        <v>282</v>
      </c>
      <c r="AB1517" s="3">
        <v>237</v>
      </c>
      <c r="AC1517" s="3">
        <v>244</v>
      </c>
      <c r="AD1517" s="3">
        <v>2</v>
      </c>
      <c r="AE1517" s="3">
        <v>2</v>
      </c>
      <c r="AF1517" s="3">
        <v>14</v>
      </c>
      <c r="AG1517" s="3">
        <v>14</v>
      </c>
      <c r="AH1517" s="3">
        <v>4</v>
      </c>
      <c r="AI1517" s="3">
        <v>4</v>
      </c>
      <c r="AJ1517" s="3">
        <v>4</v>
      </c>
      <c r="AK1517" s="3">
        <v>4</v>
      </c>
      <c r="AL1517" s="3">
        <v>8</v>
      </c>
      <c r="AM1517" s="3">
        <v>8</v>
      </c>
      <c r="AN1517" s="3">
        <v>1</v>
      </c>
      <c r="AO1517" s="3">
        <v>1</v>
      </c>
      <c r="AP1517" s="3">
        <v>0</v>
      </c>
      <c r="AQ1517" s="3">
        <v>0</v>
      </c>
      <c r="AR1517" s="2" t="s">
        <v>5</v>
      </c>
      <c r="AS1517" s="2" t="s">
        <v>16</v>
      </c>
      <c r="AT1517" s="5" t="str">
        <f>HYPERLINK("http://catalog.hathitrust.org/Record/002205800","HathiTrust Record")</f>
        <v>HathiTrust Record</v>
      </c>
      <c r="AU1517" s="5" t="str">
        <f>HYPERLINK("https://creighton-primo.hosted.exlibrisgroup.com/primo-explore/search?tab=default_tab&amp;search_scope=EVERYTHING&amp;vid=01CRU&amp;lang=en_US&amp;offset=0&amp;query=any,contains,991000780699702656","Catalog Record")</f>
        <v>Catalog Record</v>
      </c>
      <c r="AV1517" s="5" t="str">
        <f>HYPERLINK("http://www.worldcat.org/oclc/21410561","WorldCat Record")</f>
        <v>WorldCat Record</v>
      </c>
      <c r="AW1517" s="2" t="s">
        <v>18100</v>
      </c>
      <c r="AX1517" s="2" t="s">
        <v>18101</v>
      </c>
      <c r="AY1517" s="2" t="s">
        <v>18102</v>
      </c>
      <c r="AZ1517" s="2" t="s">
        <v>18102</v>
      </c>
      <c r="BA1517" s="2" t="s">
        <v>18103</v>
      </c>
      <c r="BB1517" s="2" t="s">
        <v>21</v>
      </c>
      <c r="BD1517" s="2" t="s">
        <v>18104</v>
      </c>
      <c r="BE1517" s="2" t="s">
        <v>18105</v>
      </c>
      <c r="BF1517" s="2" t="s">
        <v>18106</v>
      </c>
    </row>
    <row r="1518" spans="1:58" ht="41.25" customHeight="1" x14ac:dyDescent="0.25">
      <c r="A1518" s="8" t="s">
        <v>5</v>
      </c>
      <c r="B1518" s="1" t="s">
        <v>0</v>
      </c>
      <c r="C1518" s="1" t="s">
        <v>1</v>
      </c>
      <c r="D1518" s="1" t="s">
        <v>18107</v>
      </c>
      <c r="E1518" s="1" t="s">
        <v>18108</v>
      </c>
      <c r="F1518" s="1" t="s">
        <v>18109</v>
      </c>
      <c r="H1518" s="2" t="s">
        <v>5</v>
      </c>
      <c r="I1518" s="2" t="s">
        <v>6</v>
      </c>
      <c r="J1518" s="2" t="s">
        <v>5</v>
      </c>
      <c r="K1518" s="2" t="s">
        <v>5</v>
      </c>
      <c r="L1518" s="2" t="s">
        <v>7</v>
      </c>
      <c r="M1518" s="1" t="s">
        <v>18110</v>
      </c>
      <c r="N1518" s="1" t="s">
        <v>18111</v>
      </c>
      <c r="O1518" s="2" t="s">
        <v>734</v>
      </c>
      <c r="P1518" s="1" t="s">
        <v>18112</v>
      </c>
      <c r="Q1518" s="2" t="s">
        <v>11</v>
      </c>
      <c r="R1518" s="2" t="s">
        <v>12</v>
      </c>
      <c r="T1518" s="2" t="s">
        <v>520</v>
      </c>
      <c r="U1518" s="3">
        <v>1</v>
      </c>
      <c r="V1518" s="3">
        <v>1</v>
      </c>
      <c r="W1518" s="4" t="s">
        <v>18113</v>
      </c>
      <c r="X1518" s="4" t="s">
        <v>18113</v>
      </c>
      <c r="Y1518" s="4" t="s">
        <v>15</v>
      </c>
      <c r="Z1518" s="4" t="s">
        <v>15</v>
      </c>
      <c r="AA1518" s="3">
        <v>155</v>
      </c>
      <c r="AB1518" s="3">
        <v>126</v>
      </c>
      <c r="AC1518" s="3">
        <v>128</v>
      </c>
      <c r="AD1518" s="3">
        <v>1</v>
      </c>
      <c r="AE1518" s="3">
        <v>1</v>
      </c>
      <c r="AF1518" s="3">
        <v>2</v>
      </c>
      <c r="AG1518" s="3">
        <v>2</v>
      </c>
      <c r="AH1518" s="3">
        <v>1</v>
      </c>
      <c r="AI1518" s="3">
        <v>1</v>
      </c>
      <c r="AJ1518" s="3">
        <v>0</v>
      </c>
      <c r="AK1518" s="3">
        <v>0</v>
      </c>
      <c r="AL1518" s="3">
        <v>1</v>
      </c>
      <c r="AM1518" s="3">
        <v>1</v>
      </c>
      <c r="AN1518" s="3">
        <v>0</v>
      </c>
      <c r="AO1518" s="3">
        <v>0</v>
      </c>
      <c r="AP1518" s="3">
        <v>0</v>
      </c>
      <c r="AQ1518" s="3">
        <v>0</v>
      </c>
      <c r="AR1518" s="2" t="s">
        <v>5</v>
      </c>
      <c r="AS1518" s="2" t="s">
        <v>16</v>
      </c>
      <c r="AT1518" s="5" t="str">
        <f>HYPERLINK("http://catalog.hathitrust.org/Record/000374932","HathiTrust Record")</f>
        <v>HathiTrust Record</v>
      </c>
      <c r="AU1518" s="5" t="str">
        <f>HYPERLINK("https://creighton-primo.hosted.exlibrisgroup.com/primo-explore/search?tab=default_tab&amp;search_scope=EVERYTHING&amp;vid=01CRU&amp;lang=en_US&amp;offset=0&amp;query=any,contains,991000866799702656","Catalog Record")</f>
        <v>Catalog Record</v>
      </c>
      <c r="AV1518" s="5" t="str">
        <f>HYPERLINK("http://www.worldcat.org/oclc/10283987","WorldCat Record")</f>
        <v>WorldCat Record</v>
      </c>
      <c r="AW1518" s="2" t="s">
        <v>18114</v>
      </c>
      <c r="AX1518" s="2" t="s">
        <v>18115</v>
      </c>
      <c r="AY1518" s="2" t="s">
        <v>18116</v>
      </c>
      <c r="AZ1518" s="2" t="s">
        <v>18116</v>
      </c>
      <c r="BA1518" s="2" t="s">
        <v>18117</v>
      </c>
      <c r="BB1518" s="2" t="s">
        <v>21</v>
      </c>
      <c r="BD1518" s="2" t="s">
        <v>18118</v>
      </c>
      <c r="BE1518" s="2" t="s">
        <v>18119</v>
      </c>
      <c r="BF1518" s="2" t="s">
        <v>18120</v>
      </c>
    </row>
    <row r="1519" spans="1:58" ht="41.25" customHeight="1" x14ac:dyDescent="0.25">
      <c r="A1519" s="8" t="s">
        <v>5</v>
      </c>
      <c r="B1519" s="1" t="s">
        <v>0</v>
      </c>
      <c r="C1519" s="1" t="s">
        <v>1</v>
      </c>
      <c r="D1519" s="1" t="s">
        <v>18121</v>
      </c>
      <c r="E1519" s="1" t="s">
        <v>18122</v>
      </c>
      <c r="F1519" s="1" t="s">
        <v>18123</v>
      </c>
      <c r="H1519" s="2" t="s">
        <v>5</v>
      </c>
      <c r="I1519" s="2" t="s">
        <v>6</v>
      </c>
      <c r="J1519" s="2" t="s">
        <v>5</v>
      </c>
      <c r="K1519" s="2" t="s">
        <v>5</v>
      </c>
      <c r="L1519" s="2" t="s">
        <v>7</v>
      </c>
      <c r="N1519" s="1" t="s">
        <v>11734</v>
      </c>
      <c r="O1519" s="2" t="s">
        <v>939</v>
      </c>
      <c r="Q1519" s="2" t="s">
        <v>11</v>
      </c>
      <c r="R1519" s="2" t="s">
        <v>426</v>
      </c>
      <c r="S1519" s="1" t="s">
        <v>15985</v>
      </c>
      <c r="T1519" s="2" t="s">
        <v>520</v>
      </c>
      <c r="U1519" s="3">
        <v>5</v>
      </c>
      <c r="V1519" s="3">
        <v>5</v>
      </c>
      <c r="W1519" s="4" t="s">
        <v>12385</v>
      </c>
      <c r="X1519" s="4" t="s">
        <v>12385</v>
      </c>
      <c r="Y1519" s="4" t="s">
        <v>15986</v>
      </c>
      <c r="Z1519" s="4" t="s">
        <v>15986</v>
      </c>
      <c r="AA1519" s="3">
        <v>69</v>
      </c>
      <c r="AB1519" s="3">
        <v>61</v>
      </c>
      <c r="AC1519" s="3">
        <v>70</v>
      </c>
      <c r="AD1519" s="3">
        <v>1</v>
      </c>
      <c r="AE1519" s="3">
        <v>1</v>
      </c>
      <c r="AF1519" s="3">
        <v>1</v>
      </c>
      <c r="AG1519" s="3">
        <v>1</v>
      </c>
      <c r="AH1519" s="3">
        <v>1</v>
      </c>
      <c r="AI1519" s="3">
        <v>1</v>
      </c>
      <c r="AJ1519" s="3">
        <v>0</v>
      </c>
      <c r="AK1519" s="3">
        <v>0</v>
      </c>
      <c r="AL1519" s="3">
        <v>1</v>
      </c>
      <c r="AM1519" s="3">
        <v>1</v>
      </c>
      <c r="AN1519" s="3">
        <v>0</v>
      </c>
      <c r="AO1519" s="3">
        <v>0</v>
      </c>
      <c r="AP1519" s="3">
        <v>0</v>
      </c>
      <c r="AQ1519" s="3">
        <v>0</v>
      </c>
      <c r="AR1519" s="2" t="s">
        <v>5</v>
      </c>
      <c r="AS1519" s="2" t="s">
        <v>5</v>
      </c>
      <c r="AU1519" s="5" t="str">
        <f>HYPERLINK("https://creighton-primo.hosted.exlibrisgroup.com/primo-explore/search?tab=default_tab&amp;search_scope=EVERYTHING&amp;vid=01CRU&amp;lang=en_US&amp;offset=0&amp;query=any,contains,991001308309702656","Catalog Record")</f>
        <v>Catalog Record</v>
      </c>
      <c r="AV1519" s="5" t="str">
        <f>HYPERLINK("http://www.worldcat.org/oclc/14358117","WorldCat Record")</f>
        <v>WorldCat Record</v>
      </c>
      <c r="AW1519" s="2" t="s">
        <v>18124</v>
      </c>
      <c r="AX1519" s="2" t="s">
        <v>18125</v>
      </c>
      <c r="AY1519" s="2" t="s">
        <v>18126</v>
      </c>
      <c r="AZ1519" s="2" t="s">
        <v>18126</v>
      </c>
      <c r="BA1519" s="2" t="s">
        <v>18127</v>
      </c>
      <c r="BB1519" s="2" t="s">
        <v>21</v>
      </c>
      <c r="BD1519" s="2" t="s">
        <v>18128</v>
      </c>
      <c r="BE1519" s="2" t="s">
        <v>18129</v>
      </c>
      <c r="BF1519" s="2" t="s">
        <v>18130</v>
      </c>
    </row>
    <row r="1520" spans="1:58" ht="41.25" customHeight="1" x14ac:dyDescent="0.25">
      <c r="A1520" s="8" t="s">
        <v>5</v>
      </c>
      <c r="B1520" s="1" t="s">
        <v>0</v>
      </c>
      <c r="C1520" s="1" t="s">
        <v>1</v>
      </c>
      <c r="D1520" s="1" t="s">
        <v>18131</v>
      </c>
      <c r="E1520" s="1" t="s">
        <v>18132</v>
      </c>
      <c r="F1520" s="1" t="s">
        <v>18133</v>
      </c>
      <c r="H1520" s="2" t="s">
        <v>5</v>
      </c>
      <c r="I1520" s="2" t="s">
        <v>6</v>
      </c>
      <c r="J1520" s="2" t="s">
        <v>5</v>
      </c>
      <c r="K1520" s="2" t="s">
        <v>5</v>
      </c>
      <c r="L1520" s="2" t="s">
        <v>7</v>
      </c>
      <c r="N1520" s="1" t="s">
        <v>2250</v>
      </c>
      <c r="O1520" s="2" t="s">
        <v>228</v>
      </c>
      <c r="P1520" s="1" t="s">
        <v>211</v>
      </c>
      <c r="Q1520" s="2" t="s">
        <v>11</v>
      </c>
      <c r="R1520" s="2" t="s">
        <v>426</v>
      </c>
      <c r="T1520" s="2" t="s">
        <v>520</v>
      </c>
      <c r="U1520" s="3">
        <v>8</v>
      </c>
      <c r="V1520" s="3">
        <v>8</v>
      </c>
      <c r="W1520" s="4" t="s">
        <v>18134</v>
      </c>
      <c r="X1520" s="4" t="s">
        <v>18134</v>
      </c>
      <c r="Y1520" s="4" t="s">
        <v>14808</v>
      </c>
      <c r="Z1520" s="4" t="s">
        <v>14808</v>
      </c>
      <c r="AA1520" s="3">
        <v>220</v>
      </c>
      <c r="AB1520" s="3">
        <v>179</v>
      </c>
      <c r="AC1520" s="3">
        <v>1018</v>
      </c>
      <c r="AD1520" s="3">
        <v>2</v>
      </c>
      <c r="AE1520" s="3">
        <v>9</v>
      </c>
      <c r="AF1520" s="3">
        <v>6</v>
      </c>
      <c r="AG1520" s="3">
        <v>42</v>
      </c>
      <c r="AH1520" s="3">
        <v>2</v>
      </c>
      <c r="AI1520" s="3">
        <v>18</v>
      </c>
      <c r="AJ1520" s="3">
        <v>1</v>
      </c>
      <c r="AK1520" s="3">
        <v>9</v>
      </c>
      <c r="AL1520" s="3">
        <v>4</v>
      </c>
      <c r="AM1520" s="3">
        <v>16</v>
      </c>
      <c r="AN1520" s="3">
        <v>1</v>
      </c>
      <c r="AO1520" s="3">
        <v>7</v>
      </c>
      <c r="AP1520" s="3">
        <v>0</v>
      </c>
      <c r="AQ1520" s="3">
        <v>1</v>
      </c>
      <c r="AR1520" s="2" t="s">
        <v>5</v>
      </c>
      <c r="AS1520" s="2" t="s">
        <v>16</v>
      </c>
      <c r="AT1520" s="5" t="str">
        <f>HYPERLINK("http://catalog.hathitrust.org/Record/000148184","HathiTrust Record")</f>
        <v>HathiTrust Record</v>
      </c>
      <c r="AU1520" s="5" t="str">
        <f>HYPERLINK("https://creighton-primo.hosted.exlibrisgroup.com/primo-explore/search?tab=default_tab&amp;search_scope=EVERYTHING&amp;vid=01CRU&amp;lang=en_US&amp;offset=0&amp;query=any,contains,991000733909702656","Catalog Record")</f>
        <v>Catalog Record</v>
      </c>
      <c r="AV1520" s="5" t="str">
        <f>HYPERLINK("http://www.worldcat.org/oclc/7773975","WorldCat Record")</f>
        <v>WorldCat Record</v>
      </c>
      <c r="AW1520" s="2" t="s">
        <v>18135</v>
      </c>
      <c r="AX1520" s="2" t="s">
        <v>18136</v>
      </c>
      <c r="AY1520" s="2" t="s">
        <v>18137</v>
      </c>
      <c r="AZ1520" s="2" t="s">
        <v>18137</v>
      </c>
      <c r="BA1520" s="2" t="s">
        <v>18138</v>
      </c>
      <c r="BB1520" s="2" t="s">
        <v>21</v>
      </c>
      <c r="BD1520" s="2" t="s">
        <v>18139</v>
      </c>
      <c r="BE1520" s="2" t="s">
        <v>18140</v>
      </c>
      <c r="BF1520" s="2" t="s">
        <v>18141</v>
      </c>
    </row>
    <row r="1521" spans="1:58" ht="41.25" customHeight="1" x14ac:dyDescent="0.25">
      <c r="A1521" s="8" t="s">
        <v>5</v>
      </c>
      <c r="B1521" s="1" t="s">
        <v>0</v>
      </c>
      <c r="C1521" s="1" t="s">
        <v>1</v>
      </c>
      <c r="D1521" s="1" t="s">
        <v>18142</v>
      </c>
      <c r="E1521" s="1" t="s">
        <v>18143</v>
      </c>
      <c r="F1521" s="1" t="s">
        <v>18144</v>
      </c>
      <c r="H1521" s="2" t="s">
        <v>5</v>
      </c>
      <c r="I1521" s="2" t="s">
        <v>6</v>
      </c>
      <c r="J1521" s="2" t="s">
        <v>5</v>
      </c>
      <c r="K1521" s="2" t="s">
        <v>5</v>
      </c>
      <c r="L1521" s="2" t="s">
        <v>7</v>
      </c>
      <c r="N1521" s="1" t="s">
        <v>18145</v>
      </c>
      <c r="O1521" s="2" t="s">
        <v>2726</v>
      </c>
      <c r="Q1521" s="2" t="s">
        <v>11</v>
      </c>
      <c r="R1521" s="2" t="s">
        <v>271</v>
      </c>
      <c r="T1521" s="2" t="s">
        <v>520</v>
      </c>
      <c r="U1521" s="3">
        <v>2</v>
      </c>
      <c r="V1521" s="3">
        <v>2</v>
      </c>
      <c r="W1521" s="4" t="s">
        <v>18146</v>
      </c>
      <c r="X1521" s="4" t="s">
        <v>18146</v>
      </c>
      <c r="Y1521" s="4" t="s">
        <v>15</v>
      </c>
      <c r="Z1521" s="4" t="s">
        <v>15</v>
      </c>
      <c r="AA1521" s="3">
        <v>163</v>
      </c>
      <c r="AB1521" s="3">
        <v>135</v>
      </c>
      <c r="AC1521" s="3">
        <v>137</v>
      </c>
      <c r="AD1521" s="3">
        <v>1</v>
      </c>
      <c r="AE1521" s="3">
        <v>1</v>
      </c>
      <c r="AF1521" s="3">
        <v>4</v>
      </c>
      <c r="AG1521" s="3">
        <v>4</v>
      </c>
      <c r="AH1521" s="3">
        <v>0</v>
      </c>
      <c r="AI1521" s="3">
        <v>0</v>
      </c>
      <c r="AJ1521" s="3">
        <v>1</v>
      </c>
      <c r="AK1521" s="3">
        <v>1</v>
      </c>
      <c r="AL1521" s="3">
        <v>3</v>
      </c>
      <c r="AM1521" s="3">
        <v>3</v>
      </c>
      <c r="AN1521" s="3">
        <v>0</v>
      </c>
      <c r="AO1521" s="3">
        <v>0</v>
      </c>
      <c r="AP1521" s="3">
        <v>0</v>
      </c>
      <c r="AQ1521" s="3">
        <v>0</v>
      </c>
      <c r="AR1521" s="2" t="s">
        <v>5</v>
      </c>
      <c r="AS1521" s="2" t="s">
        <v>16</v>
      </c>
      <c r="AT1521" s="5" t="str">
        <f>HYPERLINK("http://catalog.hathitrust.org/Record/001566198","HathiTrust Record")</f>
        <v>HathiTrust Record</v>
      </c>
      <c r="AU1521" s="5" t="str">
        <f>HYPERLINK("https://creighton-primo.hosted.exlibrisgroup.com/primo-explore/search?tab=default_tab&amp;search_scope=EVERYTHING&amp;vid=01CRU&amp;lang=en_US&amp;offset=0&amp;query=any,contains,991000866959702656","Catalog Record")</f>
        <v>Catalog Record</v>
      </c>
      <c r="AV1521" s="5" t="str">
        <f>HYPERLINK("http://www.worldcat.org/oclc/286949","WorldCat Record")</f>
        <v>WorldCat Record</v>
      </c>
      <c r="AW1521" s="2" t="s">
        <v>18147</v>
      </c>
      <c r="AX1521" s="2" t="s">
        <v>18148</v>
      </c>
      <c r="AY1521" s="2" t="s">
        <v>18149</v>
      </c>
      <c r="AZ1521" s="2" t="s">
        <v>18149</v>
      </c>
      <c r="BA1521" s="2" t="s">
        <v>18150</v>
      </c>
      <c r="BB1521" s="2" t="s">
        <v>21</v>
      </c>
      <c r="BE1521" s="2" t="s">
        <v>18151</v>
      </c>
      <c r="BF1521" s="2" t="s">
        <v>18152</v>
      </c>
    </row>
    <row r="1522" spans="1:58" ht="41.25" customHeight="1" x14ac:dyDescent="0.25">
      <c r="A1522" s="8" t="s">
        <v>5</v>
      </c>
      <c r="B1522" s="1" t="s">
        <v>0</v>
      </c>
      <c r="C1522" s="1" t="s">
        <v>1</v>
      </c>
      <c r="D1522" s="1" t="s">
        <v>18153</v>
      </c>
      <c r="E1522" s="1" t="s">
        <v>18154</v>
      </c>
      <c r="F1522" s="1" t="s">
        <v>18155</v>
      </c>
      <c r="H1522" s="2" t="s">
        <v>5</v>
      </c>
      <c r="I1522" s="2" t="s">
        <v>6</v>
      </c>
      <c r="J1522" s="2" t="s">
        <v>5</v>
      </c>
      <c r="K1522" s="2" t="s">
        <v>5</v>
      </c>
      <c r="L1522" s="2" t="s">
        <v>7</v>
      </c>
      <c r="M1522" s="1" t="s">
        <v>18156</v>
      </c>
      <c r="N1522" s="1" t="s">
        <v>13312</v>
      </c>
      <c r="O1522" s="2" t="s">
        <v>228</v>
      </c>
      <c r="P1522" s="1" t="s">
        <v>355</v>
      </c>
      <c r="Q1522" s="2" t="s">
        <v>11</v>
      </c>
      <c r="R1522" s="2" t="s">
        <v>271</v>
      </c>
      <c r="T1522" s="2" t="s">
        <v>520</v>
      </c>
      <c r="U1522" s="3">
        <v>2</v>
      </c>
      <c r="V1522" s="3">
        <v>2</v>
      </c>
      <c r="W1522" s="4" t="s">
        <v>18157</v>
      </c>
      <c r="X1522" s="4" t="s">
        <v>18157</v>
      </c>
      <c r="Y1522" s="4" t="s">
        <v>14808</v>
      </c>
      <c r="Z1522" s="4" t="s">
        <v>14808</v>
      </c>
      <c r="AA1522" s="3">
        <v>196</v>
      </c>
      <c r="AB1522" s="3">
        <v>163</v>
      </c>
      <c r="AC1522" s="3">
        <v>345</v>
      </c>
      <c r="AD1522" s="3">
        <v>2</v>
      </c>
      <c r="AE1522" s="3">
        <v>4</v>
      </c>
      <c r="AF1522" s="3">
        <v>7</v>
      </c>
      <c r="AG1522" s="3">
        <v>18</v>
      </c>
      <c r="AH1522" s="3">
        <v>1</v>
      </c>
      <c r="AI1522" s="3">
        <v>7</v>
      </c>
      <c r="AJ1522" s="3">
        <v>2</v>
      </c>
      <c r="AK1522" s="3">
        <v>4</v>
      </c>
      <c r="AL1522" s="3">
        <v>5</v>
      </c>
      <c r="AM1522" s="3">
        <v>10</v>
      </c>
      <c r="AN1522" s="3">
        <v>1</v>
      </c>
      <c r="AO1522" s="3">
        <v>2</v>
      </c>
      <c r="AP1522" s="3">
        <v>0</v>
      </c>
      <c r="AQ1522" s="3">
        <v>0</v>
      </c>
      <c r="AR1522" s="2" t="s">
        <v>5</v>
      </c>
      <c r="AS1522" s="2" t="s">
        <v>16</v>
      </c>
      <c r="AT1522" s="5" t="str">
        <f>HYPERLINK("http://catalog.hathitrust.org/Record/000778312","HathiTrust Record")</f>
        <v>HathiTrust Record</v>
      </c>
      <c r="AU1522" s="5" t="str">
        <f>HYPERLINK("https://creighton-primo.hosted.exlibrisgroup.com/primo-explore/search?tab=default_tab&amp;search_scope=EVERYTHING&amp;vid=01CRU&amp;lang=en_US&amp;offset=0&amp;query=any,contains,991000733839702656","Catalog Record")</f>
        <v>Catalog Record</v>
      </c>
      <c r="AV1522" s="5" t="str">
        <f>HYPERLINK("http://www.worldcat.org/oclc/10548423","WorldCat Record")</f>
        <v>WorldCat Record</v>
      </c>
      <c r="AW1522" s="2" t="s">
        <v>18158</v>
      </c>
      <c r="AX1522" s="2" t="s">
        <v>18159</v>
      </c>
      <c r="AY1522" s="2" t="s">
        <v>18160</v>
      </c>
      <c r="AZ1522" s="2" t="s">
        <v>18160</v>
      </c>
      <c r="BA1522" s="2" t="s">
        <v>18161</v>
      </c>
      <c r="BB1522" s="2" t="s">
        <v>21</v>
      </c>
      <c r="BD1522" s="2" t="s">
        <v>18162</v>
      </c>
      <c r="BE1522" s="2" t="s">
        <v>18163</v>
      </c>
      <c r="BF1522" s="2" t="s">
        <v>18164</v>
      </c>
    </row>
    <row r="1523" spans="1:58" ht="41.25" customHeight="1" x14ac:dyDescent="0.25">
      <c r="A1523" s="8" t="s">
        <v>5</v>
      </c>
      <c r="B1523" s="1" t="s">
        <v>0</v>
      </c>
      <c r="C1523" s="1" t="s">
        <v>1</v>
      </c>
      <c r="D1523" s="1" t="s">
        <v>18165</v>
      </c>
      <c r="E1523" s="1" t="s">
        <v>18166</v>
      </c>
      <c r="F1523" s="1" t="s">
        <v>18167</v>
      </c>
      <c r="H1523" s="2" t="s">
        <v>5</v>
      </c>
      <c r="I1523" s="2" t="s">
        <v>6</v>
      </c>
      <c r="J1523" s="2" t="s">
        <v>5</v>
      </c>
      <c r="K1523" s="2" t="s">
        <v>5</v>
      </c>
      <c r="L1523" s="2" t="s">
        <v>7</v>
      </c>
      <c r="M1523" s="1" t="s">
        <v>18168</v>
      </c>
      <c r="N1523" s="1" t="s">
        <v>16343</v>
      </c>
      <c r="O1523" s="2" t="s">
        <v>136</v>
      </c>
      <c r="Q1523" s="2" t="s">
        <v>11</v>
      </c>
      <c r="R1523" s="2" t="s">
        <v>78</v>
      </c>
      <c r="T1523" s="2" t="s">
        <v>520</v>
      </c>
      <c r="U1523" s="3">
        <v>26</v>
      </c>
      <c r="V1523" s="3">
        <v>26</v>
      </c>
      <c r="W1523" s="4" t="s">
        <v>1731</v>
      </c>
      <c r="X1523" s="4" t="s">
        <v>1731</v>
      </c>
      <c r="Y1523" s="4" t="s">
        <v>12273</v>
      </c>
      <c r="Z1523" s="4" t="s">
        <v>12273</v>
      </c>
      <c r="AA1523" s="3">
        <v>277</v>
      </c>
      <c r="AB1523" s="3">
        <v>218</v>
      </c>
      <c r="AC1523" s="3">
        <v>325</v>
      </c>
      <c r="AD1523" s="3">
        <v>1</v>
      </c>
      <c r="AE1523" s="3">
        <v>2</v>
      </c>
      <c r="AF1523" s="3">
        <v>7</v>
      </c>
      <c r="AG1523" s="3">
        <v>11</v>
      </c>
      <c r="AH1523" s="3">
        <v>3</v>
      </c>
      <c r="AI1523" s="3">
        <v>4</v>
      </c>
      <c r="AJ1523" s="3">
        <v>2</v>
      </c>
      <c r="AK1523" s="3">
        <v>2</v>
      </c>
      <c r="AL1523" s="3">
        <v>6</v>
      </c>
      <c r="AM1523" s="3">
        <v>9</v>
      </c>
      <c r="AN1523" s="3">
        <v>0</v>
      </c>
      <c r="AO1523" s="3">
        <v>0</v>
      </c>
      <c r="AP1523" s="3">
        <v>0</v>
      </c>
      <c r="AQ1523" s="3">
        <v>0</v>
      </c>
      <c r="AR1523" s="2" t="s">
        <v>5</v>
      </c>
      <c r="AS1523" s="2" t="s">
        <v>5</v>
      </c>
      <c r="AU1523" s="5" t="str">
        <f>HYPERLINK("https://creighton-primo.hosted.exlibrisgroup.com/primo-explore/search?tab=default_tab&amp;search_scope=EVERYTHING&amp;vid=01CRU&amp;lang=en_US&amp;offset=0&amp;query=any,contains,991001016419702656","Catalog Record")</f>
        <v>Catalog Record</v>
      </c>
      <c r="AV1523" s="5" t="str">
        <f>HYPERLINK("http://www.worldcat.org/oclc/22705253","WorldCat Record")</f>
        <v>WorldCat Record</v>
      </c>
      <c r="AW1523" s="2" t="s">
        <v>18169</v>
      </c>
      <c r="AX1523" s="2" t="s">
        <v>18170</v>
      </c>
      <c r="AY1523" s="2" t="s">
        <v>18171</v>
      </c>
      <c r="AZ1523" s="2" t="s">
        <v>18171</v>
      </c>
      <c r="BA1523" s="2" t="s">
        <v>18172</v>
      </c>
      <c r="BB1523" s="2" t="s">
        <v>21</v>
      </c>
      <c r="BD1523" s="2" t="s">
        <v>18173</v>
      </c>
      <c r="BE1523" s="2" t="s">
        <v>18174</v>
      </c>
      <c r="BF1523" s="2" t="s">
        <v>18175</v>
      </c>
    </row>
    <row r="1524" spans="1:58" ht="41.25" customHeight="1" x14ac:dyDescent="0.25">
      <c r="A1524" s="8" t="s">
        <v>5</v>
      </c>
      <c r="B1524" s="1" t="s">
        <v>0</v>
      </c>
      <c r="C1524" s="1" t="s">
        <v>1</v>
      </c>
      <c r="D1524" s="1" t="s">
        <v>18176</v>
      </c>
      <c r="E1524" s="1" t="s">
        <v>18177</v>
      </c>
      <c r="F1524" s="1" t="s">
        <v>18178</v>
      </c>
      <c r="H1524" s="2" t="s">
        <v>5</v>
      </c>
      <c r="I1524" s="2" t="s">
        <v>6</v>
      </c>
      <c r="J1524" s="2" t="s">
        <v>5</v>
      </c>
      <c r="K1524" s="2" t="s">
        <v>5</v>
      </c>
      <c r="L1524" s="2" t="s">
        <v>7</v>
      </c>
      <c r="M1524" s="1" t="s">
        <v>18179</v>
      </c>
      <c r="N1524" s="1" t="s">
        <v>15643</v>
      </c>
      <c r="O1524" s="2" t="s">
        <v>92</v>
      </c>
      <c r="Q1524" s="2" t="s">
        <v>11</v>
      </c>
      <c r="R1524" s="2" t="s">
        <v>31</v>
      </c>
      <c r="T1524" s="2" t="s">
        <v>520</v>
      </c>
      <c r="U1524" s="3">
        <v>2</v>
      </c>
      <c r="V1524" s="3">
        <v>2</v>
      </c>
      <c r="W1524" s="4" t="s">
        <v>992</v>
      </c>
      <c r="X1524" s="4" t="s">
        <v>992</v>
      </c>
      <c r="Y1524" s="4" t="s">
        <v>3755</v>
      </c>
      <c r="Z1524" s="4" t="s">
        <v>3755</v>
      </c>
      <c r="AA1524" s="3">
        <v>194</v>
      </c>
      <c r="AB1524" s="3">
        <v>141</v>
      </c>
      <c r="AC1524" s="3">
        <v>143</v>
      </c>
      <c r="AD1524" s="3">
        <v>2</v>
      </c>
      <c r="AE1524" s="3">
        <v>2</v>
      </c>
      <c r="AF1524" s="3">
        <v>4</v>
      </c>
      <c r="AG1524" s="3">
        <v>4</v>
      </c>
      <c r="AH1524" s="3">
        <v>0</v>
      </c>
      <c r="AI1524" s="3">
        <v>0</v>
      </c>
      <c r="AJ1524" s="3">
        <v>0</v>
      </c>
      <c r="AK1524" s="3">
        <v>0</v>
      </c>
      <c r="AL1524" s="3">
        <v>3</v>
      </c>
      <c r="AM1524" s="3">
        <v>3</v>
      </c>
      <c r="AN1524" s="3">
        <v>1</v>
      </c>
      <c r="AO1524" s="3">
        <v>1</v>
      </c>
      <c r="AP1524" s="3">
        <v>0</v>
      </c>
      <c r="AQ1524" s="3">
        <v>0</v>
      </c>
      <c r="AR1524" s="2" t="s">
        <v>5</v>
      </c>
      <c r="AS1524" s="2" t="s">
        <v>16</v>
      </c>
      <c r="AT1524" s="5" t="str">
        <f>HYPERLINK("http://catalog.hathitrust.org/Record/000700917","HathiTrust Record")</f>
        <v>HathiTrust Record</v>
      </c>
      <c r="AU1524" s="5" t="str">
        <f>HYPERLINK("https://creighton-primo.hosted.exlibrisgroup.com/primo-explore/search?tab=default_tab&amp;search_scope=EVERYTHING&amp;vid=01CRU&amp;lang=en_US&amp;offset=0&amp;query=any,contains,991000867079702656","Catalog Record")</f>
        <v>Catalog Record</v>
      </c>
      <c r="AV1524" s="5" t="str">
        <f>HYPERLINK("http://www.worldcat.org/oclc/2072806","WorldCat Record")</f>
        <v>WorldCat Record</v>
      </c>
      <c r="AW1524" s="2" t="s">
        <v>18180</v>
      </c>
      <c r="AX1524" s="2" t="s">
        <v>18181</v>
      </c>
      <c r="AY1524" s="2" t="s">
        <v>18182</v>
      </c>
      <c r="AZ1524" s="2" t="s">
        <v>18182</v>
      </c>
      <c r="BA1524" s="2" t="s">
        <v>18183</v>
      </c>
      <c r="BB1524" s="2" t="s">
        <v>21</v>
      </c>
      <c r="BD1524" s="2" t="s">
        <v>18184</v>
      </c>
      <c r="BE1524" s="2" t="s">
        <v>18185</v>
      </c>
      <c r="BF1524" s="2" t="s">
        <v>18186</v>
      </c>
    </row>
    <row r="1525" spans="1:58" ht="41.25" customHeight="1" x14ac:dyDescent="0.25">
      <c r="A1525" s="8" t="s">
        <v>5</v>
      </c>
      <c r="B1525" s="1" t="s">
        <v>0</v>
      </c>
      <c r="C1525" s="1" t="s">
        <v>1</v>
      </c>
      <c r="D1525" s="1" t="s">
        <v>18187</v>
      </c>
      <c r="E1525" s="1" t="s">
        <v>18188</v>
      </c>
      <c r="F1525" s="1" t="s">
        <v>18189</v>
      </c>
      <c r="H1525" s="2" t="s">
        <v>5</v>
      </c>
      <c r="I1525" s="2" t="s">
        <v>6</v>
      </c>
      <c r="J1525" s="2" t="s">
        <v>5</v>
      </c>
      <c r="K1525" s="2" t="s">
        <v>5</v>
      </c>
      <c r="L1525" s="2" t="s">
        <v>7</v>
      </c>
      <c r="N1525" s="1" t="s">
        <v>18190</v>
      </c>
      <c r="O1525" s="2" t="s">
        <v>136</v>
      </c>
      <c r="Q1525" s="2" t="s">
        <v>11</v>
      </c>
      <c r="R1525" s="2" t="s">
        <v>271</v>
      </c>
      <c r="S1525" s="1" t="s">
        <v>5991</v>
      </c>
      <c r="T1525" s="2" t="s">
        <v>520</v>
      </c>
      <c r="U1525" s="3">
        <v>5</v>
      </c>
      <c r="V1525" s="3">
        <v>5</v>
      </c>
      <c r="W1525" s="4" t="s">
        <v>18191</v>
      </c>
      <c r="X1525" s="4" t="s">
        <v>18191</v>
      </c>
      <c r="Y1525" s="4" t="s">
        <v>10384</v>
      </c>
      <c r="Z1525" s="4" t="s">
        <v>10384</v>
      </c>
      <c r="AA1525" s="3">
        <v>257</v>
      </c>
      <c r="AB1525" s="3">
        <v>207</v>
      </c>
      <c r="AC1525" s="3">
        <v>450</v>
      </c>
      <c r="AD1525" s="3">
        <v>1</v>
      </c>
      <c r="AE1525" s="3">
        <v>1</v>
      </c>
      <c r="AF1525" s="3">
        <v>11</v>
      </c>
      <c r="AG1525" s="3">
        <v>17</v>
      </c>
      <c r="AH1525" s="3">
        <v>5</v>
      </c>
      <c r="AI1525" s="3">
        <v>8</v>
      </c>
      <c r="AJ1525" s="3">
        <v>2</v>
      </c>
      <c r="AK1525" s="3">
        <v>3</v>
      </c>
      <c r="AL1525" s="3">
        <v>8</v>
      </c>
      <c r="AM1525" s="3">
        <v>10</v>
      </c>
      <c r="AN1525" s="3">
        <v>0</v>
      </c>
      <c r="AO1525" s="3">
        <v>0</v>
      </c>
      <c r="AP1525" s="3">
        <v>0</v>
      </c>
      <c r="AQ1525" s="3">
        <v>0</v>
      </c>
      <c r="AR1525" s="2" t="s">
        <v>5</v>
      </c>
      <c r="AS1525" s="2" t="s">
        <v>16</v>
      </c>
      <c r="AT1525" s="5" t="str">
        <f>HYPERLINK("http://catalog.hathitrust.org/Record/002461635","HathiTrust Record")</f>
        <v>HathiTrust Record</v>
      </c>
      <c r="AU1525" s="5" t="str">
        <f>HYPERLINK("https://creighton-primo.hosted.exlibrisgroup.com/primo-explore/search?tab=default_tab&amp;search_scope=EVERYTHING&amp;vid=01CRU&amp;lang=en_US&amp;offset=0&amp;query=any,contains,991001470739702656","Catalog Record")</f>
        <v>Catalog Record</v>
      </c>
      <c r="AV1525" s="5" t="str">
        <f>HYPERLINK("http://www.worldcat.org/oclc/23219104","WorldCat Record")</f>
        <v>WorldCat Record</v>
      </c>
      <c r="AW1525" s="2" t="s">
        <v>18192</v>
      </c>
      <c r="AX1525" s="2" t="s">
        <v>18193</v>
      </c>
      <c r="AY1525" s="2" t="s">
        <v>18194</v>
      </c>
      <c r="AZ1525" s="2" t="s">
        <v>18194</v>
      </c>
      <c r="BA1525" s="2" t="s">
        <v>18195</v>
      </c>
      <c r="BB1525" s="2" t="s">
        <v>21</v>
      </c>
      <c r="BD1525" s="2" t="s">
        <v>18196</v>
      </c>
      <c r="BE1525" s="2" t="s">
        <v>18197</v>
      </c>
      <c r="BF1525" s="2" t="s">
        <v>18198</v>
      </c>
    </row>
    <row r="1526" spans="1:58" ht="41.25" customHeight="1" x14ac:dyDescent="0.25">
      <c r="A1526" s="8" t="s">
        <v>5</v>
      </c>
      <c r="B1526" s="1" t="s">
        <v>0</v>
      </c>
      <c r="C1526" s="1" t="s">
        <v>1</v>
      </c>
      <c r="D1526" s="1" t="s">
        <v>18199</v>
      </c>
      <c r="E1526" s="1" t="s">
        <v>18200</v>
      </c>
      <c r="F1526" s="1" t="s">
        <v>18201</v>
      </c>
      <c r="H1526" s="2" t="s">
        <v>5</v>
      </c>
      <c r="I1526" s="2" t="s">
        <v>6</v>
      </c>
      <c r="J1526" s="2" t="s">
        <v>5</v>
      </c>
      <c r="K1526" s="2" t="s">
        <v>5</v>
      </c>
      <c r="L1526" s="2" t="s">
        <v>7</v>
      </c>
      <c r="N1526" s="1" t="s">
        <v>2396</v>
      </c>
      <c r="O1526" s="2" t="s">
        <v>393</v>
      </c>
      <c r="Q1526" s="2" t="s">
        <v>11</v>
      </c>
      <c r="R1526" s="2" t="s">
        <v>426</v>
      </c>
      <c r="T1526" s="2" t="s">
        <v>520</v>
      </c>
      <c r="U1526" s="3">
        <v>5</v>
      </c>
      <c r="V1526" s="3">
        <v>5</v>
      </c>
      <c r="W1526" s="4" t="s">
        <v>11674</v>
      </c>
      <c r="X1526" s="4" t="s">
        <v>11674</v>
      </c>
      <c r="Y1526" s="4" t="s">
        <v>15</v>
      </c>
      <c r="Z1526" s="4" t="s">
        <v>15</v>
      </c>
      <c r="AA1526" s="3">
        <v>219</v>
      </c>
      <c r="AB1526" s="3">
        <v>183</v>
      </c>
      <c r="AC1526" s="3">
        <v>190</v>
      </c>
      <c r="AD1526" s="3">
        <v>3</v>
      </c>
      <c r="AE1526" s="3">
        <v>3</v>
      </c>
      <c r="AF1526" s="3">
        <v>9</v>
      </c>
      <c r="AG1526" s="3">
        <v>9</v>
      </c>
      <c r="AH1526" s="3">
        <v>3</v>
      </c>
      <c r="AI1526" s="3">
        <v>3</v>
      </c>
      <c r="AJ1526" s="3">
        <v>1</v>
      </c>
      <c r="AK1526" s="3">
        <v>1</v>
      </c>
      <c r="AL1526" s="3">
        <v>6</v>
      </c>
      <c r="AM1526" s="3">
        <v>6</v>
      </c>
      <c r="AN1526" s="3">
        <v>2</v>
      </c>
      <c r="AO1526" s="3">
        <v>2</v>
      </c>
      <c r="AP1526" s="3">
        <v>0</v>
      </c>
      <c r="AQ1526" s="3">
        <v>0</v>
      </c>
      <c r="AR1526" s="2" t="s">
        <v>5</v>
      </c>
      <c r="AS1526" s="2" t="s">
        <v>16</v>
      </c>
      <c r="AT1526" s="5" t="str">
        <f>HYPERLINK("http://catalog.hathitrust.org/Record/000225264","HathiTrust Record")</f>
        <v>HathiTrust Record</v>
      </c>
      <c r="AU1526" s="5" t="str">
        <f>HYPERLINK("https://creighton-primo.hosted.exlibrisgroup.com/primo-explore/search?tab=default_tab&amp;search_scope=EVERYTHING&amp;vid=01CRU&amp;lang=en_US&amp;offset=0&amp;query=any,contains,991000918339702656","Catalog Record")</f>
        <v>Catalog Record</v>
      </c>
      <c r="AV1526" s="5" t="str">
        <f>HYPERLINK("http://www.worldcat.org/oclc/6862903","WorldCat Record")</f>
        <v>WorldCat Record</v>
      </c>
      <c r="AW1526" s="2" t="s">
        <v>18202</v>
      </c>
      <c r="AX1526" s="2" t="s">
        <v>18203</v>
      </c>
      <c r="AY1526" s="2" t="s">
        <v>18204</v>
      </c>
      <c r="AZ1526" s="2" t="s">
        <v>18204</v>
      </c>
      <c r="BA1526" s="2" t="s">
        <v>18205</v>
      </c>
      <c r="BB1526" s="2" t="s">
        <v>21</v>
      </c>
      <c r="BD1526" s="2" t="s">
        <v>18206</v>
      </c>
      <c r="BE1526" s="2" t="s">
        <v>18207</v>
      </c>
      <c r="BF1526" s="2" t="s">
        <v>18208</v>
      </c>
    </row>
    <row r="1527" spans="1:58" ht="41.25" customHeight="1" x14ac:dyDescent="0.25">
      <c r="A1527" s="8" t="s">
        <v>5</v>
      </c>
      <c r="B1527" s="1" t="s">
        <v>0</v>
      </c>
      <c r="C1527" s="1" t="s">
        <v>1</v>
      </c>
      <c r="D1527" s="1" t="s">
        <v>18209</v>
      </c>
      <c r="E1527" s="1" t="s">
        <v>18210</v>
      </c>
      <c r="F1527" s="1" t="s">
        <v>18211</v>
      </c>
      <c r="H1527" s="2" t="s">
        <v>5</v>
      </c>
      <c r="I1527" s="2" t="s">
        <v>6</v>
      </c>
      <c r="J1527" s="2" t="s">
        <v>5</v>
      </c>
      <c r="K1527" s="2" t="s">
        <v>5</v>
      </c>
      <c r="L1527" s="2" t="s">
        <v>7</v>
      </c>
      <c r="N1527" s="1" t="s">
        <v>13612</v>
      </c>
      <c r="O1527" s="2" t="s">
        <v>888</v>
      </c>
      <c r="Q1527" s="2" t="s">
        <v>11</v>
      </c>
      <c r="R1527" s="2" t="s">
        <v>426</v>
      </c>
      <c r="S1527" s="1" t="s">
        <v>3264</v>
      </c>
      <c r="T1527" s="2" t="s">
        <v>520</v>
      </c>
      <c r="U1527" s="3">
        <v>7</v>
      </c>
      <c r="V1527" s="3">
        <v>7</v>
      </c>
      <c r="W1527" s="4" t="s">
        <v>9013</v>
      </c>
      <c r="X1527" s="4" t="s">
        <v>9013</v>
      </c>
      <c r="Y1527" s="4" t="s">
        <v>15</v>
      </c>
      <c r="Z1527" s="4" t="s">
        <v>15</v>
      </c>
      <c r="AA1527" s="3">
        <v>217</v>
      </c>
      <c r="AB1527" s="3">
        <v>185</v>
      </c>
      <c r="AC1527" s="3">
        <v>187</v>
      </c>
      <c r="AD1527" s="3">
        <v>2</v>
      </c>
      <c r="AE1527" s="3">
        <v>2</v>
      </c>
      <c r="AF1527" s="3">
        <v>3</v>
      </c>
      <c r="AG1527" s="3">
        <v>3</v>
      </c>
      <c r="AH1527" s="3">
        <v>1</v>
      </c>
      <c r="AI1527" s="3">
        <v>1</v>
      </c>
      <c r="AJ1527" s="3">
        <v>1</v>
      </c>
      <c r="AK1527" s="3">
        <v>1</v>
      </c>
      <c r="AL1527" s="3">
        <v>2</v>
      </c>
      <c r="AM1527" s="3">
        <v>2</v>
      </c>
      <c r="AN1527" s="3">
        <v>0</v>
      </c>
      <c r="AO1527" s="3">
        <v>0</v>
      </c>
      <c r="AP1527" s="3">
        <v>0</v>
      </c>
      <c r="AQ1527" s="3">
        <v>0</v>
      </c>
      <c r="AR1527" s="2" t="s">
        <v>5</v>
      </c>
      <c r="AS1527" s="2" t="s">
        <v>16</v>
      </c>
      <c r="AT1527" s="5" t="str">
        <f>HYPERLINK("http://catalog.hathitrust.org/Record/000784748","HathiTrust Record")</f>
        <v>HathiTrust Record</v>
      </c>
      <c r="AU1527" s="5" t="str">
        <f>HYPERLINK("https://creighton-primo.hosted.exlibrisgroup.com/primo-explore/search?tab=default_tab&amp;search_scope=EVERYTHING&amp;vid=01CRU&amp;lang=en_US&amp;offset=0&amp;query=any,contains,991000918389702656","Catalog Record")</f>
        <v>Catalog Record</v>
      </c>
      <c r="AV1527" s="5" t="str">
        <f>HYPERLINK("http://www.worldcat.org/oclc/10348724","WorldCat Record")</f>
        <v>WorldCat Record</v>
      </c>
      <c r="AW1527" s="2" t="s">
        <v>18212</v>
      </c>
      <c r="AX1527" s="2" t="s">
        <v>18213</v>
      </c>
      <c r="AY1527" s="2" t="s">
        <v>18214</v>
      </c>
      <c r="AZ1527" s="2" t="s">
        <v>18214</v>
      </c>
      <c r="BA1527" s="2" t="s">
        <v>18215</v>
      </c>
      <c r="BB1527" s="2" t="s">
        <v>21</v>
      </c>
      <c r="BD1527" s="2" t="s">
        <v>18216</v>
      </c>
      <c r="BE1527" s="2" t="s">
        <v>18217</v>
      </c>
      <c r="BF1527" s="2" t="s">
        <v>18218</v>
      </c>
    </row>
    <row r="1528" spans="1:58" ht="41.25" customHeight="1" x14ac:dyDescent="0.25">
      <c r="A1528" s="8" t="s">
        <v>5</v>
      </c>
      <c r="B1528" s="1" t="s">
        <v>0</v>
      </c>
      <c r="C1528" s="1" t="s">
        <v>1</v>
      </c>
      <c r="D1528" s="1" t="s">
        <v>18219</v>
      </c>
      <c r="E1528" s="1" t="s">
        <v>18220</v>
      </c>
      <c r="F1528" s="1" t="s">
        <v>18221</v>
      </c>
      <c r="H1528" s="2" t="s">
        <v>5</v>
      </c>
      <c r="I1528" s="2" t="s">
        <v>6</v>
      </c>
      <c r="J1528" s="2" t="s">
        <v>5</v>
      </c>
      <c r="K1528" s="2" t="s">
        <v>5</v>
      </c>
      <c r="L1528" s="2" t="s">
        <v>7</v>
      </c>
      <c r="N1528" s="1" t="s">
        <v>18222</v>
      </c>
      <c r="O1528" s="2" t="s">
        <v>1339</v>
      </c>
      <c r="Q1528" s="2" t="s">
        <v>11</v>
      </c>
      <c r="R1528" s="2" t="s">
        <v>426</v>
      </c>
      <c r="T1528" s="2" t="s">
        <v>520</v>
      </c>
      <c r="U1528" s="3">
        <v>11</v>
      </c>
      <c r="V1528" s="3">
        <v>11</v>
      </c>
      <c r="W1528" s="4" t="s">
        <v>8602</v>
      </c>
      <c r="X1528" s="4" t="s">
        <v>8602</v>
      </c>
      <c r="Y1528" s="4" t="s">
        <v>7309</v>
      </c>
      <c r="Z1528" s="4" t="s">
        <v>7309</v>
      </c>
      <c r="AA1528" s="3">
        <v>221</v>
      </c>
      <c r="AB1528" s="3">
        <v>191</v>
      </c>
      <c r="AC1528" s="3">
        <v>193</v>
      </c>
      <c r="AD1528" s="3">
        <v>2</v>
      </c>
      <c r="AE1528" s="3">
        <v>2</v>
      </c>
      <c r="AF1528" s="3">
        <v>6</v>
      </c>
      <c r="AG1528" s="3">
        <v>6</v>
      </c>
      <c r="AH1528" s="3">
        <v>1</v>
      </c>
      <c r="AI1528" s="3">
        <v>1</v>
      </c>
      <c r="AJ1528" s="3">
        <v>1</v>
      </c>
      <c r="AK1528" s="3">
        <v>1</v>
      </c>
      <c r="AL1528" s="3">
        <v>5</v>
      </c>
      <c r="AM1528" s="3">
        <v>5</v>
      </c>
      <c r="AN1528" s="3">
        <v>1</v>
      </c>
      <c r="AO1528" s="3">
        <v>1</v>
      </c>
      <c r="AP1528" s="3">
        <v>0</v>
      </c>
      <c r="AQ1528" s="3">
        <v>0</v>
      </c>
      <c r="AR1528" s="2" t="s">
        <v>5</v>
      </c>
      <c r="AS1528" s="2" t="s">
        <v>16</v>
      </c>
      <c r="AT1528" s="5" t="str">
        <f>HYPERLINK("http://catalog.hathitrust.org/Record/000832465","HathiTrust Record")</f>
        <v>HathiTrust Record</v>
      </c>
      <c r="AU1528" s="5" t="str">
        <f>HYPERLINK("https://creighton-primo.hosted.exlibrisgroup.com/primo-explore/search?tab=default_tab&amp;search_scope=EVERYTHING&amp;vid=01CRU&amp;lang=en_US&amp;offset=0&amp;query=any,contains,991001420119702656","Catalog Record")</f>
        <v>Catalog Record</v>
      </c>
      <c r="AV1528" s="5" t="str">
        <f>HYPERLINK("http://www.worldcat.org/oclc/15550354","WorldCat Record")</f>
        <v>WorldCat Record</v>
      </c>
      <c r="AW1528" s="2" t="s">
        <v>18223</v>
      </c>
      <c r="AX1528" s="2" t="s">
        <v>18224</v>
      </c>
      <c r="AY1528" s="2" t="s">
        <v>18225</v>
      </c>
      <c r="AZ1528" s="2" t="s">
        <v>18225</v>
      </c>
      <c r="BA1528" s="2" t="s">
        <v>18226</v>
      </c>
      <c r="BB1528" s="2" t="s">
        <v>21</v>
      </c>
      <c r="BD1528" s="2" t="s">
        <v>18227</v>
      </c>
      <c r="BE1528" s="2" t="s">
        <v>18228</v>
      </c>
      <c r="BF1528" s="2" t="s">
        <v>18229</v>
      </c>
    </row>
    <row r="1529" spans="1:58" ht="41.25" customHeight="1" x14ac:dyDescent="0.25">
      <c r="A1529" s="8" t="s">
        <v>5</v>
      </c>
      <c r="B1529" s="1" t="s">
        <v>0</v>
      </c>
      <c r="C1529" s="1" t="s">
        <v>1</v>
      </c>
      <c r="D1529" s="1" t="s">
        <v>18230</v>
      </c>
      <c r="E1529" s="1" t="s">
        <v>18231</v>
      </c>
      <c r="F1529" s="1" t="s">
        <v>18232</v>
      </c>
      <c r="H1529" s="2" t="s">
        <v>5</v>
      </c>
      <c r="I1529" s="2" t="s">
        <v>6</v>
      </c>
      <c r="J1529" s="2" t="s">
        <v>5</v>
      </c>
      <c r="K1529" s="2" t="s">
        <v>16</v>
      </c>
      <c r="L1529" s="2" t="s">
        <v>7</v>
      </c>
      <c r="N1529" s="1" t="s">
        <v>18233</v>
      </c>
      <c r="O1529" s="2" t="s">
        <v>1283</v>
      </c>
      <c r="P1529" s="1" t="s">
        <v>1208</v>
      </c>
      <c r="Q1529" s="2" t="s">
        <v>11</v>
      </c>
      <c r="R1529" s="2" t="s">
        <v>271</v>
      </c>
      <c r="S1529" s="1" t="s">
        <v>5991</v>
      </c>
      <c r="T1529" s="2" t="s">
        <v>520</v>
      </c>
      <c r="U1529" s="3">
        <v>6</v>
      </c>
      <c r="V1529" s="3">
        <v>6</v>
      </c>
      <c r="W1529" s="4" t="s">
        <v>18234</v>
      </c>
      <c r="X1529" s="4" t="s">
        <v>18234</v>
      </c>
      <c r="Y1529" s="4" t="s">
        <v>18235</v>
      </c>
      <c r="Z1529" s="4" t="s">
        <v>18235</v>
      </c>
      <c r="AA1529" s="3">
        <v>297</v>
      </c>
      <c r="AB1529" s="3">
        <v>235</v>
      </c>
      <c r="AC1529" s="3">
        <v>1611</v>
      </c>
      <c r="AD1529" s="3">
        <v>3</v>
      </c>
      <c r="AE1529" s="3">
        <v>33</v>
      </c>
      <c r="AF1529" s="3">
        <v>6</v>
      </c>
      <c r="AG1529" s="3">
        <v>49</v>
      </c>
      <c r="AH1529" s="3">
        <v>2</v>
      </c>
      <c r="AI1529" s="3">
        <v>16</v>
      </c>
      <c r="AJ1529" s="3">
        <v>1</v>
      </c>
      <c r="AK1529" s="3">
        <v>8</v>
      </c>
      <c r="AL1529" s="3">
        <v>4</v>
      </c>
      <c r="AM1529" s="3">
        <v>15</v>
      </c>
      <c r="AN1529" s="3">
        <v>1</v>
      </c>
      <c r="AO1529" s="3">
        <v>16</v>
      </c>
      <c r="AP1529" s="3">
        <v>0</v>
      </c>
      <c r="AQ1529" s="3">
        <v>1</v>
      </c>
      <c r="AR1529" s="2" t="s">
        <v>5</v>
      </c>
      <c r="AS1529" s="2" t="s">
        <v>16</v>
      </c>
      <c r="AT1529" s="5" t="str">
        <f>HYPERLINK("http://catalog.hathitrust.org/Record/004568632","HathiTrust Record")</f>
        <v>HathiTrust Record</v>
      </c>
      <c r="AU1529" s="5" t="str">
        <f>HYPERLINK("https://creighton-primo.hosted.exlibrisgroup.com/primo-explore/search?tab=default_tab&amp;search_scope=EVERYTHING&amp;vid=01CRU&amp;lang=en_US&amp;offset=0&amp;query=any,contains,991001254339702656","Catalog Record")</f>
        <v>Catalog Record</v>
      </c>
      <c r="AV1529" s="5" t="str">
        <f>HYPERLINK("http://www.worldcat.org/oclc/35926858","WorldCat Record")</f>
        <v>WorldCat Record</v>
      </c>
      <c r="AW1529" s="2" t="s">
        <v>18236</v>
      </c>
      <c r="AX1529" s="2" t="s">
        <v>18237</v>
      </c>
      <c r="AY1529" s="2" t="s">
        <v>18238</v>
      </c>
      <c r="AZ1529" s="2" t="s">
        <v>18238</v>
      </c>
      <c r="BA1529" s="2" t="s">
        <v>18239</v>
      </c>
      <c r="BB1529" s="2" t="s">
        <v>21</v>
      </c>
      <c r="BD1529" s="2" t="s">
        <v>18240</v>
      </c>
      <c r="BE1529" s="2" t="s">
        <v>18241</v>
      </c>
      <c r="BF1529" s="2" t="s">
        <v>18242</v>
      </c>
    </row>
    <row r="1530" spans="1:58" ht="41.25" customHeight="1" x14ac:dyDescent="0.25">
      <c r="A1530" s="8" t="s">
        <v>5</v>
      </c>
      <c r="B1530" s="1" t="s">
        <v>0</v>
      </c>
      <c r="C1530" s="1" t="s">
        <v>1</v>
      </c>
      <c r="D1530" s="1" t="s">
        <v>18243</v>
      </c>
      <c r="E1530" s="1" t="s">
        <v>18244</v>
      </c>
      <c r="F1530" s="1" t="s">
        <v>18245</v>
      </c>
      <c r="H1530" s="2" t="s">
        <v>5</v>
      </c>
      <c r="I1530" s="2" t="s">
        <v>6</v>
      </c>
      <c r="J1530" s="2" t="s">
        <v>5</v>
      </c>
      <c r="K1530" s="2" t="s">
        <v>16</v>
      </c>
      <c r="L1530" s="2" t="s">
        <v>7</v>
      </c>
      <c r="N1530" s="1" t="s">
        <v>3892</v>
      </c>
      <c r="O1530" s="2" t="s">
        <v>1195</v>
      </c>
      <c r="P1530" s="1" t="s">
        <v>1284</v>
      </c>
      <c r="Q1530" s="2" t="s">
        <v>11</v>
      </c>
      <c r="R1530" s="2" t="s">
        <v>271</v>
      </c>
      <c r="T1530" s="2" t="s">
        <v>520</v>
      </c>
      <c r="U1530" s="3">
        <v>2</v>
      </c>
      <c r="V1530" s="3">
        <v>2</v>
      </c>
      <c r="W1530" s="4" t="s">
        <v>1285</v>
      </c>
      <c r="X1530" s="4" t="s">
        <v>1285</v>
      </c>
      <c r="Y1530" s="4" t="s">
        <v>5057</v>
      </c>
      <c r="Z1530" s="4" t="s">
        <v>5057</v>
      </c>
      <c r="AA1530" s="3">
        <v>655</v>
      </c>
      <c r="AB1530" s="3">
        <v>493</v>
      </c>
      <c r="AC1530" s="3">
        <v>1611</v>
      </c>
      <c r="AD1530" s="3">
        <v>4</v>
      </c>
      <c r="AE1530" s="3">
        <v>33</v>
      </c>
      <c r="AF1530" s="3">
        <v>14</v>
      </c>
      <c r="AG1530" s="3">
        <v>49</v>
      </c>
      <c r="AH1530" s="3">
        <v>4</v>
      </c>
      <c r="AI1530" s="3">
        <v>16</v>
      </c>
      <c r="AJ1530" s="3">
        <v>5</v>
      </c>
      <c r="AK1530" s="3">
        <v>8</v>
      </c>
      <c r="AL1530" s="3">
        <v>5</v>
      </c>
      <c r="AM1530" s="3">
        <v>15</v>
      </c>
      <c r="AN1530" s="3">
        <v>2</v>
      </c>
      <c r="AO1530" s="3">
        <v>16</v>
      </c>
      <c r="AP1530" s="3">
        <v>0</v>
      </c>
      <c r="AQ1530" s="3">
        <v>1</v>
      </c>
      <c r="AR1530" s="2" t="s">
        <v>5</v>
      </c>
      <c r="AS1530" s="2" t="s">
        <v>5</v>
      </c>
      <c r="AU1530" s="5" t="str">
        <f>HYPERLINK("https://creighton-primo.hosted.exlibrisgroup.com/primo-explore/search?tab=default_tab&amp;search_scope=EVERYTHING&amp;vid=01CRU&amp;lang=en_US&amp;offset=0&amp;query=any,contains,991001699899702656","Catalog Record")</f>
        <v>Catalog Record</v>
      </c>
      <c r="AV1530" s="5" t="str">
        <f>HYPERLINK("http://www.worldcat.org/oclc/421361446","WorldCat Record")</f>
        <v>WorldCat Record</v>
      </c>
      <c r="AW1530" s="2" t="s">
        <v>18236</v>
      </c>
      <c r="AX1530" s="2" t="s">
        <v>18246</v>
      </c>
      <c r="AY1530" s="2" t="s">
        <v>18247</v>
      </c>
      <c r="AZ1530" s="2" t="s">
        <v>18247</v>
      </c>
      <c r="BA1530" s="2" t="s">
        <v>18248</v>
      </c>
      <c r="BB1530" s="2" t="s">
        <v>21</v>
      </c>
      <c r="BD1530" s="2" t="s">
        <v>18249</v>
      </c>
      <c r="BE1530" s="2" t="s">
        <v>18250</v>
      </c>
      <c r="BF1530" s="2" t="s">
        <v>18251</v>
      </c>
    </row>
    <row r="1531" spans="1:58" ht="41.25" customHeight="1" x14ac:dyDescent="0.25">
      <c r="A1531" s="8" t="s">
        <v>5</v>
      </c>
      <c r="B1531" s="1" t="s">
        <v>0</v>
      </c>
      <c r="C1531" s="1" t="s">
        <v>1</v>
      </c>
      <c r="D1531" s="1" t="s">
        <v>18252</v>
      </c>
      <c r="E1531" s="1" t="s">
        <v>18253</v>
      </c>
      <c r="F1531" s="1" t="s">
        <v>18254</v>
      </c>
      <c r="H1531" s="2" t="s">
        <v>5</v>
      </c>
      <c r="I1531" s="2" t="s">
        <v>6</v>
      </c>
      <c r="J1531" s="2" t="s">
        <v>5</v>
      </c>
      <c r="K1531" s="2" t="s">
        <v>5</v>
      </c>
      <c r="L1531" s="2" t="s">
        <v>7</v>
      </c>
      <c r="N1531" s="1" t="s">
        <v>8296</v>
      </c>
      <c r="O1531" s="2" t="s">
        <v>989</v>
      </c>
      <c r="Q1531" s="2" t="s">
        <v>11</v>
      </c>
      <c r="R1531" s="2" t="s">
        <v>426</v>
      </c>
      <c r="T1531" s="2" t="s">
        <v>520</v>
      </c>
      <c r="U1531" s="3">
        <v>8</v>
      </c>
      <c r="V1531" s="3">
        <v>8</v>
      </c>
      <c r="W1531" s="4" t="s">
        <v>1285</v>
      </c>
      <c r="X1531" s="4" t="s">
        <v>1285</v>
      </c>
      <c r="Y1531" s="4" t="s">
        <v>1975</v>
      </c>
      <c r="Z1531" s="4" t="s">
        <v>1975</v>
      </c>
      <c r="AA1531" s="3">
        <v>181</v>
      </c>
      <c r="AB1531" s="3">
        <v>136</v>
      </c>
      <c r="AC1531" s="3">
        <v>138</v>
      </c>
      <c r="AD1531" s="3">
        <v>1</v>
      </c>
      <c r="AE1531" s="3">
        <v>1</v>
      </c>
      <c r="AF1531" s="3">
        <v>7</v>
      </c>
      <c r="AG1531" s="3">
        <v>7</v>
      </c>
      <c r="AH1531" s="3">
        <v>2</v>
      </c>
      <c r="AI1531" s="3">
        <v>2</v>
      </c>
      <c r="AJ1531" s="3">
        <v>2</v>
      </c>
      <c r="AK1531" s="3">
        <v>2</v>
      </c>
      <c r="AL1531" s="3">
        <v>5</v>
      </c>
      <c r="AM1531" s="3">
        <v>5</v>
      </c>
      <c r="AN1531" s="3">
        <v>0</v>
      </c>
      <c r="AO1531" s="3">
        <v>0</v>
      </c>
      <c r="AP1531" s="3">
        <v>0</v>
      </c>
      <c r="AQ1531" s="3">
        <v>0</v>
      </c>
      <c r="AR1531" s="2" t="s">
        <v>5</v>
      </c>
      <c r="AS1531" s="2" t="s">
        <v>16</v>
      </c>
      <c r="AT1531" s="5" t="str">
        <f>HYPERLINK("http://catalog.hathitrust.org/Record/001830885","HathiTrust Record")</f>
        <v>HathiTrust Record</v>
      </c>
      <c r="AU1531" s="5" t="str">
        <f>HYPERLINK("https://creighton-primo.hosted.exlibrisgroup.com/primo-explore/search?tab=default_tab&amp;search_scope=EVERYTHING&amp;vid=01CRU&amp;lang=en_US&amp;offset=0&amp;query=any,contains,991001451009702656","Catalog Record")</f>
        <v>Catalog Record</v>
      </c>
      <c r="AV1531" s="5" t="str">
        <f>HYPERLINK("http://www.worldcat.org/oclc/19980986","WorldCat Record")</f>
        <v>WorldCat Record</v>
      </c>
      <c r="AW1531" s="2" t="s">
        <v>18255</v>
      </c>
      <c r="AX1531" s="2" t="s">
        <v>18256</v>
      </c>
      <c r="AY1531" s="2" t="s">
        <v>18257</v>
      </c>
      <c r="AZ1531" s="2" t="s">
        <v>18257</v>
      </c>
      <c r="BA1531" s="2" t="s">
        <v>18258</v>
      </c>
      <c r="BB1531" s="2" t="s">
        <v>21</v>
      </c>
      <c r="BD1531" s="2" t="s">
        <v>18259</v>
      </c>
      <c r="BE1531" s="2" t="s">
        <v>18260</v>
      </c>
      <c r="BF1531" s="2" t="s">
        <v>18261</v>
      </c>
    </row>
    <row r="1532" spans="1:58" ht="41.25" customHeight="1" x14ac:dyDescent="0.25">
      <c r="A1532" s="8" t="s">
        <v>5</v>
      </c>
      <c r="B1532" s="1" t="s">
        <v>0</v>
      </c>
      <c r="C1532" s="1" t="s">
        <v>1</v>
      </c>
      <c r="D1532" s="1" t="s">
        <v>18262</v>
      </c>
      <c r="E1532" s="1" t="s">
        <v>18263</v>
      </c>
      <c r="F1532" s="1" t="s">
        <v>18264</v>
      </c>
      <c r="H1532" s="2" t="s">
        <v>5</v>
      </c>
      <c r="I1532" s="2" t="s">
        <v>6</v>
      </c>
      <c r="J1532" s="2" t="s">
        <v>5</v>
      </c>
      <c r="K1532" s="2" t="s">
        <v>16</v>
      </c>
      <c r="L1532" s="2" t="s">
        <v>7</v>
      </c>
      <c r="N1532" s="1" t="s">
        <v>913</v>
      </c>
      <c r="O1532" s="2" t="s">
        <v>734</v>
      </c>
      <c r="P1532" s="1" t="s">
        <v>211</v>
      </c>
      <c r="Q1532" s="2" t="s">
        <v>11</v>
      </c>
      <c r="R1532" s="2" t="s">
        <v>426</v>
      </c>
      <c r="T1532" s="2" t="s">
        <v>520</v>
      </c>
      <c r="U1532" s="3">
        <v>16</v>
      </c>
      <c r="V1532" s="3">
        <v>16</v>
      </c>
      <c r="W1532" s="4" t="s">
        <v>11487</v>
      </c>
      <c r="X1532" s="4" t="s">
        <v>11487</v>
      </c>
      <c r="Y1532" s="4" t="s">
        <v>15</v>
      </c>
      <c r="Z1532" s="4" t="s">
        <v>15</v>
      </c>
      <c r="AA1532" s="3">
        <v>191</v>
      </c>
      <c r="AB1532" s="3">
        <v>158</v>
      </c>
      <c r="AC1532" s="3">
        <v>270</v>
      </c>
      <c r="AD1532" s="3">
        <v>2</v>
      </c>
      <c r="AE1532" s="3">
        <v>2</v>
      </c>
      <c r="AF1532" s="3">
        <v>4</v>
      </c>
      <c r="AG1532" s="3">
        <v>11</v>
      </c>
      <c r="AH1532" s="3">
        <v>0</v>
      </c>
      <c r="AI1532" s="3">
        <v>2</v>
      </c>
      <c r="AJ1532" s="3">
        <v>0</v>
      </c>
      <c r="AK1532" s="3">
        <v>4</v>
      </c>
      <c r="AL1532" s="3">
        <v>3</v>
      </c>
      <c r="AM1532" s="3">
        <v>6</v>
      </c>
      <c r="AN1532" s="3">
        <v>1</v>
      </c>
      <c r="AO1532" s="3">
        <v>1</v>
      </c>
      <c r="AP1532" s="3">
        <v>0</v>
      </c>
      <c r="AQ1532" s="3">
        <v>0</v>
      </c>
      <c r="AR1532" s="2" t="s">
        <v>5</v>
      </c>
      <c r="AS1532" s="2" t="s">
        <v>5</v>
      </c>
      <c r="AU1532" s="5" t="str">
        <f>HYPERLINK("https://creighton-primo.hosted.exlibrisgroup.com/primo-explore/search?tab=default_tab&amp;search_scope=EVERYTHING&amp;vid=01CRU&amp;lang=en_US&amp;offset=0&amp;query=any,contains,991000918439702656","Catalog Record")</f>
        <v>Catalog Record</v>
      </c>
      <c r="AV1532" s="5" t="str">
        <f>HYPERLINK("http://www.worldcat.org/oclc/8284285","WorldCat Record")</f>
        <v>WorldCat Record</v>
      </c>
      <c r="AW1532" s="2" t="s">
        <v>18265</v>
      </c>
      <c r="AX1532" s="2" t="s">
        <v>18266</v>
      </c>
      <c r="AY1532" s="2" t="s">
        <v>18267</v>
      </c>
      <c r="AZ1532" s="2" t="s">
        <v>18267</v>
      </c>
      <c r="BA1532" s="2" t="s">
        <v>18268</v>
      </c>
      <c r="BB1532" s="2" t="s">
        <v>21</v>
      </c>
      <c r="BD1532" s="2" t="s">
        <v>18269</v>
      </c>
      <c r="BE1532" s="2" t="s">
        <v>18270</v>
      </c>
      <c r="BF1532" s="2" t="s">
        <v>18271</v>
      </c>
    </row>
    <row r="1533" spans="1:58" ht="41.25" customHeight="1" x14ac:dyDescent="0.25">
      <c r="A1533" s="8" t="s">
        <v>5</v>
      </c>
      <c r="B1533" s="1" t="s">
        <v>0</v>
      </c>
      <c r="C1533" s="1" t="s">
        <v>1</v>
      </c>
      <c r="D1533" s="1" t="s">
        <v>18272</v>
      </c>
      <c r="E1533" s="1" t="s">
        <v>18273</v>
      </c>
      <c r="F1533" s="1" t="s">
        <v>18274</v>
      </c>
      <c r="H1533" s="2" t="s">
        <v>5</v>
      </c>
      <c r="I1533" s="2" t="s">
        <v>6</v>
      </c>
      <c r="J1533" s="2" t="s">
        <v>5</v>
      </c>
      <c r="K1533" s="2" t="s">
        <v>5</v>
      </c>
      <c r="L1533" s="2" t="s">
        <v>7</v>
      </c>
      <c r="M1533" s="1" t="s">
        <v>18275</v>
      </c>
      <c r="N1533" s="1" t="s">
        <v>18276</v>
      </c>
      <c r="O1533" s="2" t="s">
        <v>989</v>
      </c>
      <c r="Q1533" s="2" t="s">
        <v>11</v>
      </c>
      <c r="R1533" s="2" t="s">
        <v>426</v>
      </c>
      <c r="T1533" s="2" t="s">
        <v>520</v>
      </c>
      <c r="U1533" s="3">
        <v>10</v>
      </c>
      <c r="V1533" s="3">
        <v>10</v>
      </c>
      <c r="W1533" s="4" t="s">
        <v>16918</v>
      </c>
      <c r="X1533" s="4" t="s">
        <v>16918</v>
      </c>
      <c r="Y1533" s="4" t="s">
        <v>18277</v>
      </c>
      <c r="Z1533" s="4" t="s">
        <v>18277</v>
      </c>
      <c r="AA1533" s="3">
        <v>243</v>
      </c>
      <c r="AB1533" s="3">
        <v>177</v>
      </c>
      <c r="AC1533" s="3">
        <v>194</v>
      </c>
      <c r="AD1533" s="3">
        <v>1</v>
      </c>
      <c r="AE1533" s="3">
        <v>1</v>
      </c>
      <c r="AF1533" s="3">
        <v>9</v>
      </c>
      <c r="AG1533" s="3">
        <v>11</v>
      </c>
      <c r="AH1533" s="3">
        <v>5</v>
      </c>
      <c r="AI1533" s="3">
        <v>6</v>
      </c>
      <c r="AJ1533" s="3">
        <v>2</v>
      </c>
      <c r="AK1533" s="3">
        <v>3</v>
      </c>
      <c r="AL1533" s="3">
        <v>5</v>
      </c>
      <c r="AM1533" s="3">
        <v>5</v>
      </c>
      <c r="AN1533" s="3">
        <v>0</v>
      </c>
      <c r="AO1533" s="3">
        <v>0</v>
      </c>
      <c r="AP1533" s="3">
        <v>0</v>
      </c>
      <c r="AQ1533" s="3">
        <v>0</v>
      </c>
      <c r="AR1533" s="2" t="s">
        <v>5</v>
      </c>
      <c r="AS1533" s="2" t="s">
        <v>16</v>
      </c>
      <c r="AT1533" s="5" t="str">
        <f>HYPERLINK("http://catalog.hathitrust.org/Record/002064703","HathiTrust Record")</f>
        <v>HathiTrust Record</v>
      </c>
      <c r="AU1533" s="5" t="str">
        <f>HYPERLINK("https://creighton-primo.hosted.exlibrisgroup.com/primo-explore/search?tab=default_tab&amp;search_scope=EVERYTHING&amp;vid=01CRU&amp;lang=en_US&amp;offset=0&amp;query=any,contains,991001549899702656","Catalog Record")</f>
        <v>Catalog Record</v>
      </c>
      <c r="AV1533" s="5" t="str">
        <f>HYPERLINK("http://www.worldcat.org/oclc/20823881","WorldCat Record")</f>
        <v>WorldCat Record</v>
      </c>
      <c r="AW1533" s="2" t="s">
        <v>18278</v>
      </c>
      <c r="AX1533" s="2" t="s">
        <v>18279</v>
      </c>
      <c r="AY1533" s="2" t="s">
        <v>18280</v>
      </c>
      <c r="AZ1533" s="2" t="s">
        <v>18280</v>
      </c>
      <c r="BA1533" s="2" t="s">
        <v>18281</v>
      </c>
      <c r="BB1533" s="2" t="s">
        <v>21</v>
      </c>
      <c r="BD1533" s="2" t="s">
        <v>18282</v>
      </c>
      <c r="BE1533" s="2" t="s">
        <v>18283</v>
      </c>
      <c r="BF1533" s="2" t="s">
        <v>18284</v>
      </c>
    </row>
    <row r="1534" spans="1:58" ht="41.25" customHeight="1" x14ac:dyDescent="0.25">
      <c r="A1534" s="8" t="s">
        <v>5</v>
      </c>
      <c r="B1534" s="1" t="s">
        <v>0</v>
      </c>
      <c r="C1534" s="1" t="s">
        <v>1</v>
      </c>
      <c r="D1534" s="1" t="s">
        <v>18285</v>
      </c>
      <c r="E1534" s="1" t="s">
        <v>18286</v>
      </c>
      <c r="F1534" s="1" t="s">
        <v>18287</v>
      </c>
      <c r="H1534" s="2" t="s">
        <v>5</v>
      </c>
      <c r="I1534" s="2" t="s">
        <v>6</v>
      </c>
      <c r="J1534" s="2" t="s">
        <v>5</v>
      </c>
      <c r="K1534" s="2" t="s">
        <v>5</v>
      </c>
      <c r="L1534" s="2" t="s">
        <v>7</v>
      </c>
      <c r="M1534" s="1" t="s">
        <v>18288</v>
      </c>
      <c r="N1534" s="1" t="s">
        <v>17378</v>
      </c>
      <c r="O1534" s="2" t="s">
        <v>888</v>
      </c>
      <c r="Q1534" s="2" t="s">
        <v>11</v>
      </c>
      <c r="R1534" s="2" t="s">
        <v>93</v>
      </c>
      <c r="T1534" s="2" t="s">
        <v>520</v>
      </c>
      <c r="U1534" s="3">
        <v>3</v>
      </c>
      <c r="V1534" s="3">
        <v>3</v>
      </c>
      <c r="W1534" s="4" t="s">
        <v>9013</v>
      </c>
      <c r="X1534" s="4" t="s">
        <v>9013</v>
      </c>
      <c r="Y1534" s="4" t="s">
        <v>15</v>
      </c>
      <c r="Z1534" s="4" t="s">
        <v>15</v>
      </c>
      <c r="AA1534" s="3">
        <v>205</v>
      </c>
      <c r="AB1534" s="3">
        <v>169</v>
      </c>
      <c r="AC1534" s="3">
        <v>171</v>
      </c>
      <c r="AD1534" s="3">
        <v>2</v>
      </c>
      <c r="AE1534" s="3">
        <v>2</v>
      </c>
      <c r="AF1534" s="3">
        <v>7</v>
      </c>
      <c r="AG1534" s="3">
        <v>7</v>
      </c>
      <c r="AH1534" s="3">
        <v>3</v>
      </c>
      <c r="AI1534" s="3">
        <v>3</v>
      </c>
      <c r="AJ1534" s="3">
        <v>1</v>
      </c>
      <c r="AK1534" s="3">
        <v>1</v>
      </c>
      <c r="AL1534" s="3">
        <v>5</v>
      </c>
      <c r="AM1534" s="3">
        <v>5</v>
      </c>
      <c r="AN1534" s="3">
        <v>1</v>
      </c>
      <c r="AO1534" s="3">
        <v>1</v>
      </c>
      <c r="AP1534" s="3">
        <v>0</v>
      </c>
      <c r="AQ1534" s="3">
        <v>0</v>
      </c>
      <c r="AR1534" s="2" t="s">
        <v>5</v>
      </c>
      <c r="AS1534" s="2" t="s">
        <v>16</v>
      </c>
      <c r="AT1534" s="5" t="str">
        <f>HYPERLINK("http://catalog.hathitrust.org/Record/000207081","HathiTrust Record")</f>
        <v>HathiTrust Record</v>
      </c>
      <c r="AU1534" s="5" t="str">
        <f>HYPERLINK("https://creighton-primo.hosted.exlibrisgroup.com/primo-explore/search?tab=default_tab&amp;search_scope=EVERYTHING&amp;vid=01CRU&amp;lang=en_US&amp;offset=0&amp;query=any,contains,991000918469702656","Catalog Record")</f>
        <v>Catalog Record</v>
      </c>
      <c r="AV1534" s="5" t="str">
        <f>HYPERLINK("http://www.worldcat.org/oclc/10777339","WorldCat Record")</f>
        <v>WorldCat Record</v>
      </c>
      <c r="AW1534" s="2" t="s">
        <v>18289</v>
      </c>
      <c r="AX1534" s="2" t="s">
        <v>18290</v>
      </c>
      <c r="AY1534" s="2" t="s">
        <v>18291</v>
      </c>
      <c r="AZ1534" s="2" t="s">
        <v>18291</v>
      </c>
      <c r="BA1534" s="2" t="s">
        <v>18292</v>
      </c>
      <c r="BB1534" s="2" t="s">
        <v>21</v>
      </c>
      <c r="BD1534" s="2" t="s">
        <v>18293</v>
      </c>
      <c r="BE1534" s="2" t="s">
        <v>18294</v>
      </c>
      <c r="BF1534" s="2" t="s">
        <v>18295</v>
      </c>
    </row>
    <row r="1535" spans="1:58" ht="41.25" customHeight="1" x14ac:dyDescent="0.25">
      <c r="A1535" s="8" t="s">
        <v>5</v>
      </c>
      <c r="B1535" s="1" t="s">
        <v>0</v>
      </c>
      <c r="C1535" s="1" t="s">
        <v>1</v>
      </c>
      <c r="D1535" s="1" t="s">
        <v>18296</v>
      </c>
      <c r="E1535" s="1" t="s">
        <v>18297</v>
      </c>
      <c r="F1535" s="1" t="s">
        <v>18298</v>
      </c>
      <c r="H1535" s="2" t="s">
        <v>5</v>
      </c>
      <c r="I1535" s="2" t="s">
        <v>6</v>
      </c>
      <c r="J1535" s="2" t="s">
        <v>5</v>
      </c>
      <c r="K1535" s="2" t="s">
        <v>5</v>
      </c>
      <c r="L1535" s="2" t="s">
        <v>7</v>
      </c>
      <c r="M1535" s="1" t="s">
        <v>18299</v>
      </c>
      <c r="N1535" s="1" t="s">
        <v>18300</v>
      </c>
      <c r="O1535" s="2" t="s">
        <v>1441</v>
      </c>
      <c r="Q1535" s="2" t="s">
        <v>11</v>
      </c>
      <c r="R1535" s="2" t="s">
        <v>12</v>
      </c>
      <c r="T1535" s="2" t="s">
        <v>520</v>
      </c>
      <c r="U1535" s="3">
        <v>1</v>
      </c>
      <c r="V1535" s="3">
        <v>1</v>
      </c>
      <c r="W1535" s="4" t="s">
        <v>13711</v>
      </c>
      <c r="X1535" s="4" t="s">
        <v>13711</v>
      </c>
      <c r="Y1535" s="4" t="s">
        <v>15</v>
      </c>
      <c r="Z1535" s="4" t="s">
        <v>15</v>
      </c>
      <c r="AA1535" s="3">
        <v>254</v>
      </c>
      <c r="AB1535" s="3">
        <v>203</v>
      </c>
      <c r="AC1535" s="3">
        <v>205</v>
      </c>
      <c r="AD1535" s="3">
        <v>2</v>
      </c>
      <c r="AE1535" s="3">
        <v>2</v>
      </c>
      <c r="AF1535" s="3">
        <v>6</v>
      </c>
      <c r="AG1535" s="3">
        <v>6</v>
      </c>
      <c r="AH1535" s="3">
        <v>2</v>
      </c>
      <c r="AI1535" s="3">
        <v>2</v>
      </c>
      <c r="AJ1535" s="3">
        <v>0</v>
      </c>
      <c r="AK1535" s="3">
        <v>0</v>
      </c>
      <c r="AL1535" s="3">
        <v>3</v>
      </c>
      <c r="AM1535" s="3">
        <v>3</v>
      </c>
      <c r="AN1535" s="3">
        <v>1</v>
      </c>
      <c r="AO1535" s="3">
        <v>1</v>
      </c>
      <c r="AP1535" s="3">
        <v>0</v>
      </c>
      <c r="AQ1535" s="3">
        <v>0</v>
      </c>
      <c r="AR1535" s="2" t="s">
        <v>5</v>
      </c>
      <c r="AS1535" s="2" t="s">
        <v>16</v>
      </c>
      <c r="AT1535" s="5" t="str">
        <f>HYPERLINK("http://catalog.hathitrust.org/Record/001574913","HathiTrust Record")</f>
        <v>HathiTrust Record</v>
      </c>
      <c r="AU1535" s="5" t="str">
        <f>HYPERLINK("https://creighton-primo.hosted.exlibrisgroup.com/primo-explore/search?tab=default_tab&amp;search_scope=EVERYTHING&amp;vid=01CRU&amp;lang=en_US&amp;offset=0&amp;query=any,contains,991000918499702656","Catalog Record")</f>
        <v>Catalog Record</v>
      </c>
      <c r="AV1535" s="5" t="str">
        <f>HYPERLINK("http://www.worldcat.org/oclc/650624","WorldCat Record")</f>
        <v>WorldCat Record</v>
      </c>
      <c r="AW1535" s="2" t="s">
        <v>18301</v>
      </c>
      <c r="AX1535" s="2" t="s">
        <v>18302</v>
      </c>
      <c r="AY1535" s="2" t="s">
        <v>18303</v>
      </c>
      <c r="AZ1535" s="2" t="s">
        <v>18303</v>
      </c>
      <c r="BA1535" s="2" t="s">
        <v>18304</v>
      </c>
      <c r="BB1535" s="2" t="s">
        <v>21</v>
      </c>
      <c r="BD1535" s="2" t="s">
        <v>18305</v>
      </c>
      <c r="BE1535" s="2" t="s">
        <v>18306</v>
      </c>
      <c r="BF1535" s="2" t="s">
        <v>18307</v>
      </c>
    </row>
    <row r="1536" spans="1:58" ht="41.25" customHeight="1" x14ac:dyDescent="0.25">
      <c r="A1536" s="8" t="s">
        <v>5</v>
      </c>
      <c r="B1536" s="1" t="s">
        <v>0</v>
      </c>
      <c r="C1536" s="1" t="s">
        <v>1</v>
      </c>
      <c r="D1536" s="1" t="s">
        <v>18308</v>
      </c>
      <c r="E1536" s="1" t="s">
        <v>18309</v>
      </c>
      <c r="F1536" s="1" t="s">
        <v>18310</v>
      </c>
      <c r="H1536" s="2" t="s">
        <v>5</v>
      </c>
      <c r="I1536" s="2" t="s">
        <v>6</v>
      </c>
      <c r="J1536" s="2" t="s">
        <v>5</v>
      </c>
      <c r="K1536" s="2" t="s">
        <v>5</v>
      </c>
      <c r="L1536" s="2" t="s">
        <v>7</v>
      </c>
      <c r="N1536" s="1" t="s">
        <v>18311</v>
      </c>
      <c r="O1536" s="2" t="s">
        <v>888</v>
      </c>
      <c r="Q1536" s="2" t="s">
        <v>11</v>
      </c>
      <c r="R1536" s="2" t="s">
        <v>426</v>
      </c>
      <c r="T1536" s="2" t="s">
        <v>520</v>
      </c>
      <c r="U1536" s="3">
        <v>3</v>
      </c>
      <c r="V1536" s="3">
        <v>3</v>
      </c>
      <c r="W1536" s="4" t="s">
        <v>9013</v>
      </c>
      <c r="X1536" s="4" t="s">
        <v>9013</v>
      </c>
      <c r="Y1536" s="4" t="s">
        <v>15</v>
      </c>
      <c r="Z1536" s="4" t="s">
        <v>15</v>
      </c>
      <c r="AA1536" s="3">
        <v>179</v>
      </c>
      <c r="AB1536" s="3">
        <v>167</v>
      </c>
      <c r="AC1536" s="3">
        <v>174</v>
      </c>
      <c r="AD1536" s="3">
        <v>1</v>
      </c>
      <c r="AE1536" s="3">
        <v>1</v>
      </c>
      <c r="AF1536" s="3">
        <v>5</v>
      </c>
      <c r="AG1536" s="3">
        <v>5</v>
      </c>
      <c r="AH1536" s="3">
        <v>1</v>
      </c>
      <c r="AI1536" s="3">
        <v>1</v>
      </c>
      <c r="AJ1536" s="3">
        <v>1</v>
      </c>
      <c r="AK1536" s="3">
        <v>1</v>
      </c>
      <c r="AL1536" s="3">
        <v>4</v>
      </c>
      <c r="AM1536" s="3">
        <v>4</v>
      </c>
      <c r="AN1536" s="3">
        <v>0</v>
      </c>
      <c r="AO1536" s="3">
        <v>0</v>
      </c>
      <c r="AP1536" s="3">
        <v>0</v>
      </c>
      <c r="AQ1536" s="3">
        <v>0</v>
      </c>
      <c r="AR1536" s="2" t="s">
        <v>5</v>
      </c>
      <c r="AS1536" s="2" t="s">
        <v>16</v>
      </c>
      <c r="AT1536" s="5" t="str">
        <f>HYPERLINK("http://catalog.hathitrust.org/Record/000247230","HathiTrust Record")</f>
        <v>HathiTrust Record</v>
      </c>
      <c r="AU1536" s="5" t="str">
        <f>HYPERLINK("https://creighton-primo.hosted.exlibrisgroup.com/primo-explore/search?tab=default_tab&amp;search_scope=EVERYTHING&amp;vid=01CRU&amp;lang=en_US&amp;offset=0&amp;query=any,contains,991000918549702656","Catalog Record")</f>
        <v>Catalog Record</v>
      </c>
      <c r="AV1536" s="5" t="str">
        <f>HYPERLINK("http://www.worldcat.org/oclc/9322876","WorldCat Record")</f>
        <v>WorldCat Record</v>
      </c>
      <c r="AW1536" s="2" t="s">
        <v>18312</v>
      </c>
      <c r="AX1536" s="2" t="s">
        <v>18313</v>
      </c>
      <c r="AY1536" s="2" t="s">
        <v>18314</v>
      </c>
      <c r="AZ1536" s="2" t="s">
        <v>18314</v>
      </c>
      <c r="BA1536" s="2" t="s">
        <v>18315</v>
      </c>
      <c r="BB1536" s="2" t="s">
        <v>21</v>
      </c>
      <c r="BD1536" s="2" t="s">
        <v>18316</v>
      </c>
      <c r="BE1536" s="2" t="s">
        <v>18317</v>
      </c>
      <c r="BF1536" s="2" t="s">
        <v>18318</v>
      </c>
    </row>
    <row r="1537" spans="1:58" ht="41.25" customHeight="1" x14ac:dyDescent="0.25">
      <c r="A1537" s="8" t="s">
        <v>5</v>
      </c>
      <c r="B1537" s="1" t="s">
        <v>0</v>
      </c>
      <c r="C1537" s="1" t="s">
        <v>1</v>
      </c>
      <c r="D1537" s="1" t="s">
        <v>18319</v>
      </c>
      <c r="E1537" s="1" t="s">
        <v>18320</v>
      </c>
      <c r="F1537" s="1" t="s">
        <v>18321</v>
      </c>
      <c r="H1537" s="2" t="s">
        <v>5</v>
      </c>
      <c r="I1537" s="2" t="s">
        <v>6</v>
      </c>
      <c r="J1537" s="2" t="s">
        <v>5</v>
      </c>
      <c r="K1537" s="2" t="s">
        <v>5</v>
      </c>
      <c r="L1537" s="2" t="s">
        <v>7</v>
      </c>
      <c r="N1537" s="1" t="s">
        <v>9378</v>
      </c>
      <c r="O1537" s="2" t="s">
        <v>393</v>
      </c>
      <c r="Q1537" s="2" t="s">
        <v>11</v>
      </c>
      <c r="R1537" s="2" t="s">
        <v>426</v>
      </c>
      <c r="T1537" s="2" t="s">
        <v>520</v>
      </c>
      <c r="U1537" s="3">
        <v>4</v>
      </c>
      <c r="V1537" s="3">
        <v>4</v>
      </c>
      <c r="W1537" s="4" t="s">
        <v>8602</v>
      </c>
      <c r="X1537" s="4" t="s">
        <v>8602</v>
      </c>
      <c r="Y1537" s="4" t="s">
        <v>15</v>
      </c>
      <c r="Z1537" s="4" t="s">
        <v>15</v>
      </c>
      <c r="AA1537" s="3">
        <v>230</v>
      </c>
      <c r="AB1537" s="3">
        <v>184</v>
      </c>
      <c r="AC1537" s="3">
        <v>201</v>
      </c>
      <c r="AD1537" s="3">
        <v>3</v>
      </c>
      <c r="AE1537" s="3">
        <v>3</v>
      </c>
      <c r="AF1537" s="3">
        <v>7</v>
      </c>
      <c r="AG1537" s="3">
        <v>9</v>
      </c>
      <c r="AH1537" s="3">
        <v>2</v>
      </c>
      <c r="AI1537" s="3">
        <v>3</v>
      </c>
      <c r="AJ1537" s="3">
        <v>2</v>
      </c>
      <c r="AK1537" s="3">
        <v>3</v>
      </c>
      <c r="AL1537" s="3">
        <v>4</v>
      </c>
      <c r="AM1537" s="3">
        <v>4</v>
      </c>
      <c r="AN1537" s="3">
        <v>2</v>
      </c>
      <c r="AO1537" s="3">
        <v>2</v>
      </c>
      <c r="AP1537" s="3">
        <v>0</v>
      </c>
      <c r="AQ1537" s="3">
        <v>0</v>
      </c>
      <c r="AR1537" s="2" t="s">
        <v>5</v>
      </c>
      <c r="AS1537" s="2" t="s">
        <v>16</v>
      </c>
      <c r="AT1537" s="5" t="str">
        <f>HYPERLINK("http://catalog.hathitrust.org/Record/000103086","HathiTrust Record")</f>
        <v>HathiTrust Record</v>
      </c>
      <c r="AU1537" s="5" t="str">
        <f>HYPERLINK("https://creighton-primo.hosted.exlibrisgroup.com/primo-explore/search?tab=default_tab&amp;search_scope=EVERYTHING&amp;vid=01CRU&amp;lang=en_US&amp;offset=0&amp;query=any,contains,991000918589702656","Catalog Record")</f>
        <v>Catalog Record</v>
      </c>
      <c r="AV1537" s="5" t="str">
        <f>HYPERLINK("http://www.worldcat.org/oclc/7171077","WorldCat Record")</f>
        <v>WorldCat Record</v>
      </c>
      <c r="AW1537" s="2" t="s">
        <v>18322</v>
      </c>
      <c r="AX1537" s="2" t="s">
        <v>18323</v>
      </c>
      <c r="AY1537" s="2" t="s">
        <v>18324</v>
      </c>
      <c r="AZ1537" s="2" t="s">
        <v>18324</v>
      </c>
      <c r="BA1537" s="2" t="s">
        <v>18325</v>
      </c>
      <c r="BB1537" s="2" t="s">
        <v>21</v>
      </c>
      <c r="BD1537" s="2" t="s">
        <v>18326</v>
      </c>
      <c r="BE1537" s="2" t="s">
        <v>18327</v>
      </c>
      <c r="BF1537" s="2" t="s">
        <v>18328</v>
      </c>
    </row>
    <row r="1538" spans="1:58" ht="41.25" customHeight="1" x14ac:dyDescent="0.25">
      <c r="A1538" s="8" t="s">
        <v>5</v>
      </c>
      <c r="B1538" s="1" t="s">
        <v>0</v>
      </c>
      <c r="C1538" s="1" t="s">
        <v>1</v>
      </c>
      <c r="D1538" s="1" t="s">
        <v>18329</v>
      </c>
      <c r="E1538" s="1" t="s">
        <v>18330</v>
      </c>
      <c r="F1538" s="1" t="s">
        <v>18331</v>
      </c>
      <c r="H1538" s="2" t="s">
        <v>5</v>
      </c>
      <c r="I1538" s="2" t="s">
        <v>6</v>
      </c>
      <c r="J1538" s="2" t="s">
        <v>5</v>
      </c>
      <c r="K1538" s="2" t="s">
        <v>5</v>
      </c>
      <c r="L1538" s="2" t="s">
        <v>7</v>
      </c>
      <c r="N1538" s="1" t="s">
        <v>18332</v>
      </c>
      <c r="O1538" s="2" t="s">
        <v>1046</v>
      </c>
      <c r="Q1538" s="2" t="s">
        <v>11</v>
      </c>
      <c r="R1538" s="2" t="s">
        <v>271</v>
      </c>
      <c r="S1538" s="1" t="s">
        <v>6166</v>
      </c>
      <c r="T1538" s="2" t="s">
        <v>520</v>
      </c>
      <c r="U1538" s="3">
        <v>1</v>
      </c>
      <c r="V1538" s="3">
        <v>1</v>
      </c>
      <c r="W1538" s="4" t="s">
        <v>18333</v>
      </c>
      <c r="X1538" s="4" t="s">
        <v>18333</v>
      </c>
      <c r="Y1538" s="4" t="s">
        <v>18334</v>
      </c>
      <c r="Z1538" s="4" t="s">
        <v>18334</v>
      </c>
      <c r="AA1538" s="3">
        <v>148</v>
      </c>
      <c r="AB1538" s="3">
        <v>111</v>
      </c>
      <c r="AC1538" s="3">
        <v>197</v>
      </c>
      <c r="AD1538" s="3">
        <v>1</v>
      </c>
      <c r="AE1538" s="3">
        <v>1</v>
      </c>
      <c r="AF1538" s="3">
        <v>5</v>
      </c>
      <c r="AG1538" s="3">
        <v>7</v>
      </c>
      <c r="AH1538" s="3">
        <v>2</v>
      </c>
      <c r="AI1538" s="3">
        <v>3</v>
      </c>
      <c r="AJ1538" s="3">
        <v>1</v>
      </c>
      <c r="AK1538" s="3">
        <v>1</v>
      </c>
      <c r="AL1538" s="3">
        <v>3</v>
      </c>
      <c r="AM1538" s="3">
        <v>4</v>
      </c>
      <c r="AN1538" s="3">
        <v>0</v>
      </c>
      <c r="AO1538" s="3">
        <v>0</v>
      </c>
      <c r="AP1538" s="3">
        <v>0</v>
      </c>
      <c r="AQ1538" s="3">
        <v>0</v>
      </c>
      <c r="AR1538" s="2" t="s">
        <v>5</v>
      </c>
      <c r="AS1538" s="2" t="s">
        <v>16</v>
      </c>
      <c r="AT1538" s="5" t="str">
        <f>HYPERLINK("http://catalog.hathitrust.org/Record/004254126","HathiTrust Record")</f>
        <v>HathiTrust Record</v>
      </c>
      <c r="AU1538" s="5" t="str">
        <f>HYPERLINK("https://creighton-primo.hosted.exlibrisgroup.com/primo-explore/search?tab=default_tab&amp;search_scope=EVERYTHING&amp;vid=01CRU&amp;lang=en_US&amp;offset=0&amp;query=any,contains,991000369799702656","Catalog Record")</f>
        <v>Catalog Record</v>
      </c>
      <c r="AV1538" s="5" t="str">
        <f>HYPERLINK("http://www.worldcat.org/oclc/50511375","WorldCat Record")</f>
        <v>WorldCat Record</v>
      </c>
      <c r="AW1538" s="2" t="s">
        <v>18335</v>
      </c>
      <c r="AX1538" s="2" t="s">
        <v>18336</v>
      </c>
      <c r="AY1538" s="2" t="s">
        <v>18337</v>
      </c>
      <c r="AZ1538" s="2" t="s">
        <v>18337</v>
      </c>
      <c r="BA1538" s="2" t="s">
        <v>18338</v>
      </c>
      <c r="BB1538" s="2" t="s">
        <v>21</v>
      </c>
      <c r="BD1538" s="2" t="s">
        <v>18339</v>
      </c>
      <c r="BE1538" s="2" t="s">
        <v>18340</v>
      </c>
      <c r="BF1538" s="2" t="s">
        <v>18341</v>
      </c>
    </row>
    <row r="1539" spans="1:58" ht="41.25" customHeight="1" x14ac:dyDescent="0.25">
      <c r="A1539" s="8" t="s">
        <v>5</v>
      </c>
      <c r="B1539" s="1" t="s">
        <v>0</v>
      </c>
      <c r="C1539" s="1" t="s">
        <v>1</v>
      </c>
      <c r="D1539" s="1" t="s">
        <v>18342</v>
      </c>
      <c r="E1539" s="1" t="s">
        <v>18343</v>
      </c>
      <c r="F1539" s="1" t="s">
        <v>18344</v>
      </c>
      <c r="H1539" s="2" t="s">
        <v>5</v>
      </c>
      <c r="I1539" s="2" t="s">
        <v>6</v>
      </c>
      <c r="J1539" s="2" t="s">
        <v>5</v>
      </c>
      <c r="K1539" s="2" t="s">
        <v>5</v>
      </c>
      <c r="L1539" s="2" t="s">
        <v>7</v>
      </c>
      <c r="M1539" s="1" t="s">
        <v>18345</v>
      </c>
      <c r="N1539" s="1" t="s">
        <v>18346</v>
      </c>
      <c r="O1539" s="2" t="s">
        <v>3501</v>
      </c>
      <c r="Q1539" s="2" t="s">
        <v>11</v>
      </c>
      <c r="R1539" s="2" t="s">
        <v>93</v>
      </c>
      <c r="T1539" s="2" t="s">
        <v>520</v>
      </c>
      <c r="U1539" s="3">
        <v>2</v>
      </c>
      <c r="V1539" s="3">
        <v>2</v>
      </c>
      <c r="W1539" s="4" t="s">
        <v>13241</v>
      </c>
      <c r="X1539" s="4" t="s">
        <v>13241</v>
      </c>
      <c r="Y1539" s="4" t="s">
        <v>18347</v>
      </c>
      <c r="Z1539" s="4" t="s">
        <v>18347</v>
      </c>
      <c r="AA1539" s="3">
        <v>78</v>
      </c>
      <c r="AB1539" s="3">
        <v>76</v>
      </c>
      <c r="AC1539" s="3">
        <v>84</v>
      </c>
      <c r="AD1539" s="3">
        <v>1</v>
      </c>
      <c r="AE1539" s="3">
        <v>1</v>
      </c>
      <c r="AF1539" s="3">
        <v>5</v>
      </c>
      <c r="AG1539" s="3">
        <v>5</v>
      </c>
      <c r="AH1539" s="3">
        <v>1</v>
      </c>
      <c r="AI1539" s="3">
        <v>1</v>
      </c>
      <c r="AJ1539" s="3">
        <v>1</v>
      </c>
      <c r="AK1539" s="3">
        <v>1</v>
      </c>
      <c r="AL1539" s="3">
        <v>5</v>
      </c>
      <c r="AM1539" s="3">
        <v>5</v>
      </c>
      <c r="AN1539" s="3">
        <v>0</v>
      </c>
      <c r="AO1539" s="3">
        <v>0</v>
      </c>
      <c r="AP1539" s="3">
        <v>0</v>
      </c>
      <c r="AQ1539" s="3">
        <v>0</v>
      </c>
      <c r="AR1539" s="2" t="s">
        <v>16</v>
      </c>
      <c r="AS1539" s="2" t="s">
        <v>5</v>
      </c>
      <c r="AT1539" s="5" t="str">
        <f>HYPERLINK("http://catalog.hathitrust.org/Record/001561582","HathiTrust Record")</f>
        <v>HathiTrust Record</v>
      </c>
      <c r="AU1539" s="5" t="str">
        <f>HYPERLINK("https://creighton-primo.hosted.exlibrisgroup.com/primo-explore/search?tab=default_tab&amp;search_scope=EVERYTHING&amp;vid=01CRU&amp;lang=en_US&amp;offset=0&amp;query=any,contains,991000918829702656","Catalog Record")</f>
        <v>Catalog Record</v>
      </c>
      <c r="AV1539" s="5" t="str">
        <f>HYPERLINK("http://www.worldcat.org/oclc/14612038","WorldCat Record")</f>
        <v>WorldCat Record</v>
      </c>
      <c r="AW1539" s="2" t="s">
        <v>18348</v>
      </c>
      <c r="AX1539" s="2" t="s">
        <v>18349</v>
      </c>
      <c r="AY1539" s="2" t="s">
        <v>18350</v>
      </c>
      <c r="AZ1539" s="2" t="s">
        <v>18350</v>
      </c>
      <c r="BA1539" s="2" t="s">
        <v>18351</v>
      </c>
      <c r="BB1539" s="2" t="s">
        <v>21</v>
      </c>
      <c r="BE1539" s="2" t="s">
        <v>18352</v>
      </c>
      <c r="BF1539" s="2" t="s">
        <v>18353</v>
      </c>
    </row>
    <row r="1540" spans="1:58" ht="41.25" customHeight="1" x14ac:dyDescent="0.25">
      <c r="A1540" s="8" t="s">
        <v>5</v>
      </c>
      <c r="B1540" s="1" t="s">
        <v>0</v>
      </c>
      <c r="C1540" s="1" t="s">
        <v>1</v>
      </c>
      <c r="D1540" s="1" t="s">
        <v>18354</v>
      </c>
      <c r="E1540" s="1" t="s">
        <v>18355</v>
      </c>
      <c r="F1540" s="1" t="s">
        <v>18356</v>
      </c>
      <c r="H1540" s="2" t="s">
        <v>5</v>
      </c>
      <c r="I1540" s="2" t="s">
        <v>6</v>
      </c>
      <c r="J1540" s="2" t="s">
        <v>5</v>
      </c>
      <c r="K1540" s="2" t="s">
        <v>5</v>
      </c>
      <c r="L1540" s="2" t="s">
        <v>7</v>
      </c>
      <c r="N1540" s="1" t="s">
        <v>18357</v>
      </c>
      <c r="O1540" s="2" t="s">
        <v>92</v>
      </c>
      <c r="Q1540" s="2" t="s">
        <v>11</v>
      </c>
      <c r="R1540" s="2" t="s">
        <v>78</v>
      </c>
      <c r="T1540" s="2" t="s">
        <v>520</v>
      </c>
      <c r="U1540" s="3">
        <v>1</v>
      </c>
      <c r="V1540" s="3">
        <v>1</v>
      </c>
      <c r="W1540" s="4" t="s">
        <v>18358</v>
      </c>
      <c r="X1540" s="4" t="s">
        <v>18358</v>
      </c>
      <c r="Y1540" s="4" t="s">
        <v>15</v>
      </c>
      <c r="Z1540" s="4" t="s">
        <v>15</v>
      </c>
      <c r="AA1540" s="3">
        <v>186</v>
      </c>
      <c r="AB1540" s="3">
        <v>143</v>
      </c>
      <c r="AC1540" s="3">
        <v>145</v>
      </c>
      <c r="AD1540" s="3">
        <v>2</v>
      </c>
      <c r="AE1540" s="3">
        <v>2</v>
      </c>
      <c r="AF1540" s="3">
        <v>6</v>
      </c>
      <c r="AG1540" s="3">
        <v>6</v>
      </c>
      <c r="AH1540" s="3">
        <v>1</v>
      </c>
      <c r="AI1540" s="3">
        <v>1</v>
      </c>
      <c r="AJ1540" s="3">
        <v>0</v>
      </c>
      <c r="AK1540" s="3">
        <v>0</v>
      </c>
      <c r="AL1540" s="3">
        <v>4</v>
      </c>
      <c r="AM1540" s="3">
        <v>4</v>
      </c>
      <c r="AN1540" s="3">
        <v>1</v>
      </c>
      <c r="AO1540" s="3">
        <v>1</v>
      </c>
      <c r="AP1540" s="3">
        <v>0</v>
      </c>
      <c r="AQ1540" s="3">
        <v>0</v>
      </c>
      <c r="AR1540" s="2" t="s">
        <v>5</v>
      </c>
      <c r="AS1540" s="2" t="s">
        <v>16</v>
      </c>
      <c r="AT1540" s="5" t="str">
        <f>HYPERLINK("http://catalog.hathitrust.org/Record/000682905","HathiTrust Record")</f>
        <v>HathiTrust Record</v>
      </c>
      <c r="AU1540" s="5" t="str">
        <f>HYPERLINK("https://creighton-primo.hosted.exlibrisgroup.com/primo-explore/search?tab=default_tab&amp;search_scope=EVERYTHING&amp;vid=01CRU&amp;lang=en_US&amp;offset=0&amp;query=any,contains,991000918789702656","Catalog Record")</f>
        <v>Catalog Record</v>
      </c>
      <c r="AV1540" s="5" t="str">
        <f>HYPERLINK("http://www.worldcat.org/oclc/2151124","WorldCat Record")</f>
        <v>WorldCat Record</v>
      </c>
      <c r="AW1540" s="2" t="s">
        <v>18359</v>
      </c>
      <c r="AX1540" s="2" t="s">
        <v>18360</v>
      </c>
      <c r="AY1540" s="2" t="s">
        <v>18361</v>
      </c>
      <c r="AZ1540" s="2" t="s">
        <v>18361</v>
      </c>
      <c r="BA1540" s="2" t="s">
        <v>18362</v>
      </c>
      <c r="BB1540" s="2" t="s">
        <v>21</v>
      </c>
      <c r="BD1540" s="2" t="s">
        <v>18363</v>
      </c>
      <c r="BE1540" s="2" t="s">
        <v>18364</v>
      </c>
      <c r="BF1540" s="2" t="s">
        <v>18365</v>
      </c>
    </row>
    <row r="1541" spans="1:58" ht="41.25" customHeight="1" x14ac:dyDescent="0.25">
      <c r="A1541" s="8" t="s">
        <v>5</v>
      </c>
      <c r="B1541" s="1" t="s">
        <v>0</v>
      </c>
      <c r="C1541" s="1" t="s">
        <v>1</v>
      </c>
      <c r="D1541" s="1" t="s">
        <v>18366</v>
      </c>
      <c r="E1541" s="1" t="s">
        <v>18367</v>
      </c>
      <c r="F1541" s="1" t="s">
        <v>18368</v>
      </c>
      <c r="H1541" s="2" t="s">
        <v>5</v>
      </c>
      <c r="I1541" s="2" t="s">
        <v>6</v>
      </c>
      <c r="J1541" s="2" t="s">
        <v>5</v>
      </c>
      <c r="K1541" s="2" t="s">
        <v>5</v>
      </c>
      <c r="L1541" s="2" t="s">
        <v>7</v>
      </c>
      <c r="N1541" s="1" t="s">
        <v>18369</v>
      </c>
      <c r="O1541" s="2" t="s">
        <v>989</v>
      </c>
      <c r="Q1541" s="2" t="s">
        <v>11</v>
      </c>
      <c r="R1541" s="2" t="s">
        <v>426</v>
      </c>
      <c r="T1541" s="2" t="s">
        <v>520</v>
      </c>
      <c r="U1541" s="3">
        <v>4</v>
      </c>
      <c r="V1541" s="3">
        <v>4</v>
      </c>
      <c r="W1541" s="4" t="s">
        <v>8602</v>
      </c>
      <c r="X1541" s="4" t="s">
        <v>8602</v>
      </c>
      <c r="Y1541" s="4" t="s">
        <v>6241</v>
      </c>
      <c r="Z1541" s="4" t="s">
        <v>6241</v>
      </c>
      <c r="AA1541" s="3">
        <v>154</v>
      </c>
      <c r="AB1541" s="3">
        <v>112</v>
      </c>
      <c r="AC1541" s="3">
        <v>115</v>
      </c>
      <c r="AD1541" s="3">
        <v>1</v>
      </c>
      <c r="AE1541" s="3">
        <v>1</v>
      </c>
      <c r="AF1541" s="3">
        <v>9</v>
      </c>
      <c r="AG1541" s="3">
        <v>9</v>
      </c>
      <c r="AH1541" s="3">
        <v>3</v>
      </c>
      <c r="AI1541" s="3">
        <v>3</v>
      </c>
      <c r="AJ1541" s="3">
        <v>2</v>
      </c>
      <c r="AK1541" s="3">
        <v>2</v>
      </c>
      <c r="AL1541" s="3">
        <v>6</v>
      </c>
      <c r="AM1541" s="3">
        <v>6</v>
      </c>
      <c r="AN1541" s="3">
        <v>0</v>
      </c>
      <c r="AO1541" s="3">
        <v>0</v>
      </c>
      <c r="AP1541" s="3">
        <v>0</v>
      </c>
      <c r="AQ1541" s="3">
        <v>0</v>
      </c>
      <c r="AR1541" s="2" t="s">
        <v>5</v>
      </c>
      <c r="AS1541" s="2" t="s">
        <v>16</v>
      </c>
      <c r="AT1541" s="5" t="str">
        <f>HYPERLINK("http://catalog.hathitrust.org/Record/001827272","HathiTrust Record")</f>
        <v>HathiTrust Record</v>
      </c>
      <c r="AU1541" s="5" t="str">
        <f>HYPERLINK("https://creighton-primo.hosted.exlibrisgroup.com/primo-explore/search?tab=default_tab&amp;search_scope=EVERYTHING&amp;vid=01CRU&amp;lang=en_US&amp;offset=0&amp;query=any,contains,991001453079702656","Catalog Record")</f>
        <v>Catalog Record</v>
      </c>
      <c r="AV1541" s="5" t="str">
        <f>HYPERLINK("http://www.worldcat.org/oclc/20356902","WorldCat Record")</f>
        <v>WorldCat Record</v>
      </c>
      <c r="AW1541" s="2" t="s">
        <v>18370</v>
      </c>
      <c r="AX1541" s="2" t="s">
        <v>18371</v>
      </c>
      <c r="AY1541" s="2" t="s">
        <v>18372</v>
      </c>
      <c r="AZ1541" s="2" t="s">
        <v>18372</v>
      </c>
      <c r="BA1541" s="2" t="s">
        <v>18373</v>
      </c>
      <c r="BB1541" s="2" t="s">
        <v>21</v>
      </c>
      <c r="BD1541" s="2" t="s">
        <v>18374</v>
      </c>
      <c r="BE1541" s="2" t="s">
        <v>18375</v>
      </c>
      <c r="BF1541" s="2" t="s">
        <v>18376</v>
      </c>
    </row>
    <row r="1542" spans="1:58" ht="41.25" customHeight="1" x14ac:dyDescent="0.25">
      <c r="A1542" s="8" t="s">
        <v>5</v>
      </c>
      <c r="B1542" s="1" t="s">
        <v>0</v>
      </c>
      <c r="C1542" s="1" t="s">
        <v>1</v>
      </c>
      <c r="D1542" s="1" t="s">
        <v>18377</v>
      </c>
      <c r="E1542" s="1" t="s">
        <v>18378</v>
      </c>
      <c r="F1542" s="1" t="s">
        <v>18379</v>
      </c>
      <c r="H1542" s="2" t="s">
        <v>5</v>
      </c>
      <c r="I1542" s="2" t="s">
        <v>6</v>
      </c>
      <c r="J1542" s="2" t="s">
        <v>5</v>
      </c>
      <c r="K1542" s="2" t="s">
        <v>5</v>
      </c>
      <c r="L1542" s="2" t="s">
        <v>7</v>
      </c>
      <c r="N1542" s="1" t="s">
        <v>18380</v>
      </c>
      <c r="O1542" s="2" t="s">
        <v>107</v>
      </c>
      <c r="Q1542" s="2" t="s">
        <v>11</v>
      </c>
      <c r="R1542" s="2" t="s">
        <v>78</v>
      </c>
      <c r="T1542" s="2" t="s">
        <v>520</v>
      </c>
      <c r="U1542" s="3">
        <v>5</v>
      </c>
      <c r="V1542" s="3">
        <v>5</v>
      </c>
      <c r="W1542" s="4" t="s">
        <v>18381</v>
      </c>
      <c r="X1542" s="4" t="s">
        <v>18381</v>
      </c>
      <c r="Y1542" s="4" t="s">
        <v>18382</v>
      </c>
      <c r="Z1542" s="4" t="s">
        <v>18382</v>
      </c>
      <c r="AA1542" s="3">
        <v>217</v>
      </c>
      <c r="AB1542" s="3">
        <v>180</v>
      </c>
      <c r="AC1542" s="3">
        <v>215</v>
      </c>
      <c r="AD1542" s="3">
        <v>2</v>
      </c>
      <c r="AE1542" s="3">
        <v>2</v>
      </c>
      <c r="AF1542" s="3">
        <v>12</v>
      </c>
      <c r="AG1542" s="3">
        <v>14</v>
      </c>
      <c r="AH1542" s="3">
        <v>6</v>
      </c>
      <c r="AI1542" s="3">
        <v>7</v>
      </c>
      <c r="AJ1542" s="3">
        <v>3</v>
      </c>
      <c r="AK1542" s="3">
        <v>3</v>
      </c>
      <c r="AL1542" s="3">
        <v>3</v>
      </c>
      <c r="AM1542" s="3">
        <v>5</v>
      </c>
      <c r="AN1542" s="3">
        <v>1</v>
      </c>
      <c r="AO1542" s="3">
        <v>1</v>
      </c>
      <c r="AP1542" s="3">
        <v>0</v>
      </c>
      <c r="AQ1542" s="3">
        <v>0</v>
      </c>
      <c r="AR1542" s="2" t="s">
        <v>5</v>
      </c>
      <c r="AS1542" s="2" t="s">
        <v>5</v>
      </c>
      <c r="AU1542" s="5" t="str">
        <f>HYPERLINK("https://creighton-primo.hosted.exlibrisgroup.com/primo-explore/search?tab=default_tab&amp;search_scope=EVERYTHING&amp;vid=01CRU&amp;lang=en_US&amp;offset=0&amp;query=any,contains,991000674499702656","Catalog Record")</f>
        <v>Catalog Record</v>
      </c>
      <c r="AV1542" s="5" t="str">
        <f>HYPERLINK("http://www.worldcat.org/oclc/64384319","WorldCat Record")</f>
        <v>WorldCat Record</v>
      </c>
      <c r="AW1542" s="2" t="s">
        <v>18383</v>
      </c>
      <c r="AX1542" s="2" t="s">
        <v>18384</v>
      </c>
      <c r="AY1542" s="2" t="s">
        <v>18385</v>
      </c>
      <c r="AZ1542" s="2" t="s">
        <v>18385</v>
      </c>
      <c r="BA1542" s="2" t="s">
        <v>18386</v>
      </c>
      <c r="BB1542" s="2" t="s">
        <v>21</v>
      </c>
      <c r="BD1542" s="2" t="s">
        <v>18387</v>
      </c>
      <c r="BE1542" s="2" t="s">
        <v>18388</v>
      </c>
      <c r="BF1542" s="2" t="s">
        <v>18389</v>
      </c>
    </row>
    <row r="1543" spans="1:58" ht="41.25" customHeight="1" x14ac:dyDescent="0.25">
      <c r="A1543" s="8" t="s">
        <v>5</v>
      </c>
      <c r="B1543" s="1" t="s">
        <v>0</v>
      </c>
      <c r="C1543" s="1" t="s">
        <v>1</v>
      </c>
      <c r="D1543" s="1" t="s">
        <v>18390</v>
      </c>
      <c r="E1543" s="1" t="s">
        <v>18391</v>
      </c>
      <c r="F1543" s="1" t="s">
        <v>18392</v>
      </c>
      <c r="H1543" s="2" t="s">
        <v>5</v>
      </c>
      <c r="I1543" s="2" t="s">
        <v>6</v>
      </c>
      <c r="J1543" s="2" t="s">
        <v>5</v>
      </c>
      <c r="K1543" s="2" t="s">
        <v>5</v>
      </c>
      <c r="L1543" s="2" t="s">
        <v>7</v>
      </c>
      <c r="N1543" s="1" t="s">
        <v>18393</v>
      </c>
      <c r="O1543" s="2" t="s">
        <v>382</v>
      </c>
      <c r="Q1543" s="2" t="s">
        <v>11</v>
      </c>
      <c r="R1543" s="2" t="s">
        <v>426</v>
      </c>
      <c r="T1543" s="2" t="s">
        <v>520</v>
      </c>
      <c r="U1543" s="3">
        <v>3</v>
      </c>
      <c r="V1543" s="3">
        <v>3</v>
      </c>
      <c r="W1543" s="4" t="s">
        <v>13885</v>
      </c>
      <c r="X1543" s="4" t="s">
        <v>13885</v>
      </c>
      <c r="Y1543" s="4" t="s">
        <v>15</v>
      </c>
      <c r="Z1543" s="4" t="s">
        <v>15</v>
      </c>
      <c r="AA1543" s="3">
        <v>183</v>
      </c>
      <c r="AB1543" s="3">
        <v>151</v>
      </c>
      <c r="AC1543" s="3">
        <v>154</v>
      </c>
      <c r="AD1543" s="3">
        <v>2</v>
      </c>
      <c r="AE1543" s="3">
        <v>2</v>
      </c>
      <c r="AF1543" s="3">
        <v>6</v>
      </c>
      <c r="AG1543" s="3">
        <v>6</v>
      </c>
      <c r="AH1543" s="3">
        <v>1</v>
      </c>
      <c r="AI1543" s="3">
        <v>1</v>
      </c>
      <c r="AJ1543" s="3">
        <v>2</v>
      </c>
      <c r="AK1543" s="3">
        <v>2</v>
      </c>
      <c r="AL1543" s="3">
        <v>4</v>
      </c>
      <c r="AM1543" s="3">
        <v>4</v>
      </c>
      <c r="AN1543" s="3">
        <v>1</v>
      </c>
      <c r="AO1543" s="3">
        <v>1</v>
      </c>
      <c r="AP1543" s="3">
        <v>0</v>
      </c>
      <c r="AQ1543" s="3">
        <v>0</v>
      </c>
      <c r="AR1543" s="2" t="s">
        <v>5</v>
      </c>
      <c r="AS1543" s="2" t="s">
        <v>16</v>
      </c>
      <c r="AT1543" s="5" t="str">
        <f>HYPERLINK("http://catalog.hathitrust.org/Record/000573657","HathiTrust Record")</f>
        <v>HathiTrust Record</v>
      </c>
      <c r="AU1543" s="5" t="str">
        <f>HYPERLINK("https://creighton-primo.hosted.exlibrisgroup.com/primo-explore/search?tab=default_tab&amp;search_scope=EVERYTHING&amp;vid=01CRU&amp;lang=en_US&amp;offset=0&amp;query=any,contains,991000918939702656","Catalog Record")</f>
        <v>Catalog Record</v>
      </c>
      <c r="AV1543" s="5" t="str">
        <f>HYPERLINK("http://www.worldcat.org/oclc/11371866","WorldCat Record")</f>
        <v>WorldCat Record</v>
      </c>
      <c r="AW1543" s="2" t="s">
        <v>18394</v>
      </c>
      <c r="AX1543" s="2" t="s">
        <v>18395</v>
      </c>
      <c r="AY1543" s="2" t="s">
        <v>18396</v>
      </c>
      <c r="AZ1543" s="2" t="s">
        <v>18396</v>
      </c>
      <c r="BA1543" s="2" t="s">
        <v>18397</v>
      </c>
      <c r="BB1543" s="2" t="s">
        <v>21</v>
      </c>
      <c r="BD1543" s="2" t="s">
        <v>18398</v>
      </c>
      <c r="BE1543" s="2" t="s">
        <v>18399</v>
      </c>
      <c r="BF1543" s="2" t="s">
        <v>18400</v>
      </c>
    </row>
    <row r="1544" spans="1:58" ht="41.25" customHeight="1" x14ac:dyDescent="0.25">
      <c r="A1544" s="8" t="s">
        <v>5</v>
      </c>
      <c r="B1544" s="1" t="s">
        <v>0</v>
      </c>
      <c r="C1544" s="1" t="s">
        <v>1</v>
      </c>
      <c r="D1544" s="1" t="s">
        <v>18401</v>
      </c>
      <c r="E1544" s="1" t="s">
        <v>18402</v>
      </c>
      <c r="F1544" s="1" t="s">
        <v>18403</v>
      </c>
      <c r="G1544" s="2" t="s">
        <v>18404</v>
      </c>
      <c r="H1544" s="2" t="s">
        <v>5</v>
      </c>
      <c r="I1544" s="2" t="s">
        <v>6</v>
      </c>
      <c r="J1544" s="2" t="s">
        <v>5</v>
      </c>
      <c r="K1544" s="2" t="s">
        <v>5</v>
      </c>
      <c r="L1544" s="2" t="s">
        <v>7</v>
      </c>
      <c r="M1544" s="1" t="s">
        <v>18405</v>
      </c>
      <c r="N1544" s="1" t="s">
        <v>18406</v>
      </c>
      <c r="O1544" s="2" t="s">
        <v>1246</v>
      </c>
      <c r="Q1544" s="2" t="s">
        <v>11</v>
      </c>
      <c r="R1544" s="2" t="s">
        <v>78</v>
      </c>
      <c r="S1544" s="1" t="s">
        <v>18407</v>
      </c>
      <c r="T1544" s="2" t="s">
        <v>520</v>
      </c>
      <c r="U1544" s="3">
        <v>1</v>
      </c>
      <c r="V1544" s="3">
        <v>1</v>
      </c>
      <c r="W1544" s="4" t="s">
        <v>13217</v>
      </c>
      <c r="X1544" s="4" t="s">
        <v>13217</v>
      </c>
      <c r="Y1544" s="4" t="s">
        <v>722</v>
      </c>
      <c r="Z1544" s="4" t="s">
        <v>722</v>
      </c>
      <c r="AA1544" s="3">
        <v>232</v>
      </c>
      <c r="AB1544" s="3">
        <v>191</v>
      </c>
      <c r="AC1544" s="3">
        <v>198</v>
      </c>
      <c r="AD1544" s="3">
        <v>2</v>
      </c>
      <c r="AE1544" s="3">
        <v>2</v>
      </c>
      <c r="AF1544" s="3">
        <v>11</v>
      </c>
      <c r="AG1544" s="3">
        <v>11</v>
      </c>
      <c r="AH1544" s="3">
        <v>4</v>
      </c>
      <c r="AI1544" s="3">
        <v>4</v>
      </c>
      <c r="AJ1544" s="3">
        <v>2</v>
      </c>
      <c r="AK1544" s="3">
        <v>2</v>
      </c>
      <c r="AL1544" s="3">
        <v>6</v>
      </c>
      <c r="AM1544" s="3">
        <v>6</v>
      </c>
      <c r="AN1544" s="3">
        <v>1</v>
      </c>
      <c r="AO1544" s="3">
        <v>1</v>
      </c>
      <c r="AP1544" s="3">
        <v>0</v>
      </c>
      <c r="AQ1544" s="3">
        <v>0</v>
      </c>
      <c r="AR1544" s="2" t="s">
        <v>5</v>
      </c>
      <c r="AS1544" s="2" t="s">
        <v>16</v>
      </c>
      <c r="AT1544" s="5" t="str">
        <f>HYPERLINK("http://catalog.hathitrust.org/Record/000746807","HathiTrust Record")</f>
        <v>HathiTrust Record</v>
      </c>
      <c r="AU1544" s="5" t="str">
        <f>HYPERLINK("https://creighton-primo.hosted.exlibrisgroup.com/primo-explore/search?tab=default_tab&amp;search_scope=EVERYTHING&amp;vid=01CRU&amp;lang=en_US&amp;offset=0&amp;query=any,contains,991000919049702656","Catalog Record")</f>
        <v>Catalog Record</v>
      </c>
      <c r="AV1544" s="5" t="str">
        <f>HYPERLINK("http://www.worldcat.org/oclc/754595","WorldCat Record")</f>
        <v>WorldCat Record</v>
      </c>
      <c r="AW1544" s="2" t="s">
        <v>18408</v>
      </c>
      <c r="AX1544" s="2" t="s">
        <v>18409</v>
      </c>
      <c r="AY1544" s="2" t="s">
        <v>18410</v>
      </c>
      <c r="AZ1544" s="2" t="s">
        <v>18410</v>
      </c>
      <c r="BA1544" s="2" t="s">
        <v>18411</v>
      </c>
      <c r="BB1544" s="2" t="s">
        <v>21</v>
      </c>
      <c r="BD1544" s="2" t="s">
        <v>18412</v>
      </c>
      <c r="BE1544" s="2" t="s">
        <v>18413</v>
      </c>
      <c r="BF1544" s="2" t="s">
        <v>18414</v>
      </c>
    </row>
    <row r="1545" spans="1:58" ht="41.25" customHeight="1" x14ac:dyDescent="0.25">
      <c r="A1545" s="8" t="s">
        <v>5</v>
      </c>
      <c r="B1545" s="1" t="s">
        <v>0</v>
      </c>
      <c r="C1545" s="1" t="s">
        <v>1</v>
      </c>
      <c r="D1545" s="1" t="s">
        <v>18415</v>
      </c>
      <c r="E1545" s="1" t="s">
        <v>18416</v>
      </c>
      <c r="F1545" s="1" t="s">
        <v>18417</v>
      </c>
      <c r="H1545" s="2" t="s">
        <v>5</v>
      </c>
      <c r="I1545" s="2" t="s">
        <v>6</v>
      </c>
      <c r="J1545" s="2" t="s">
        <v>5</v>
      </c>
      <c r="K1545" s="2" t="s">
        <v>5</v>
      </c>
      <c r="L1545" s="2" t="s">
        <v>7</v>
      </c>
      <c r="M1545" s="1" t="s">
        <v>18418</v>
      </c>
      <c r="N1545" s="1" t="s">
        <v>18419</v>
      </c>
      <c r="O1545" s="2" t="s">
        <v>2713</v>
      </c>
      <c r="Q1545" s="2" t="s">
        <v>11</v>
      </c>
      <c r="R1545" s="2" t="s">
        <v>12</v>
      </c>
      <c r="T1545" s="2" t="s">
        <v>520</v>
      </c>
      <c r="U1545" s="3">
        <v>3</v>
      </c>
      <c r="V1545" s="3">
        <v>3</v>
      </c>
      <c r="W1545" s="4" t="s">
        <v>17855</v>
      </c>
      <c r="X1545" s="4" t="s">
        <v>17855</v>
      </c>
      <c r="Y1545" s="4" t="s">
        <v>722</v>
      </c>
      <c r="Z1545" s="4" t="s">
        <v>722</v>
      </c>
      <c r="AA1545" s="3">
        <v>144</v>
      </c>
      <c r="AB1545" s="3">
        <v>127</v>
      </c>
      <c r="AC1545" s="3">
        <v>129</v>
      </c>
      <c r="AD1545" s="3">
        <v>1</v>
      </c>
      <c r="AE1545" s="3">
        <v>1</v>
      </c>
      <c r="AF1545" s="3">
        <v>5</v>
      </c>
      <c r="AG1545" s="3">
        <v>5</v>
      </c>
      <c r="AH1545" s="3">
        <v>2</v>
      </c>
      <c r="AI1545" s="3">
        <v>2</v>
      </c>
      <c r="AJ1545" s="3">
        <v>1</v>
      </c>
      <c r="AK1545" s="3">
        <v>1</v>
      </c>
      <c r="AL1545" s="3">
        <v>3</v>
      </c>
      <c r="AM1545" s="3">
        <v>3</v>
      </c>
      <c r="AN1545" s="3">
        <v>0</v>
      </c>
      <c r="AO1545" s="3">
        <v>0</v>
      </c>
      <c r="AP1545" s="3">
        <v>0</v>
      </c>
      <c r="AQ1545" s="3">
        <v>0</v>
      </c>
      <c r="AR1545" s="2" t="s">
        <v>5</v>
      </c>
      <c r="AS1545" s="2" t="s">
        <v>16</v>
      </c>
      <c r="AT1545" s="5" t="str">
        <f>HYPERLINK("http://catalog.hathitrust.org/Record/001565946","HathiTrust Record")</f>
        <v>HathiTrust Record</v>
      </c>
      <c r="AU1545" s="5" t="str">
        <f>HYPERLINK("https://creighton-primo.hosted.exlibrisgroup.com/primo-explore/search?tab=default_tab&amp;search_scope=EVERYTHING&amp;vid=01CRU&amp;lang=en_US&amp;offset=0&amp;query=any,contains,991000919099702656","Catalog Record")</f>
        <v>Catalog Record</v>
      </c>
      <c r="AV1545" s="5" t="str">
        <f>HYPERLINK("http://www.worldcat.org/oclc/135958","WorldCat Record")</f>
        <v>WorldCat Record</v>
      </c>
      <c r="AW1545" s="2" t="s">
        <v>18420</v>
      </c>
      <c r="AX1545" s="2" t="s">
        <v>18421</v>
      </c>
      <c r="AY1545" s="2" t="s">
        <v>18422</v>
      </c>
      <c r="AZ1545" s="2" t="s">
        <v>18422</v>
      </c>
      <c r="BA1545" s="2" t="s">
        <v>18423</v>
      </c>
      <c r="BB1545" s="2" t="s">
        <v>21</v>
      </c>
      <c r="BE1545" s="2" t="s">
        <v>18424</v>
      </c>
      <c r="BF1545" s="2" t="s">
        <v>18425</v>
      </c>
    </row>
    <row r="1546" spans="1:58" ht="41.25" customHeight="1" x14ac:dyDescent="0.25">
      <c r="A1546" s="8" t="s">
        <v>5</v>
      </c>
      <c r="B1546" s="1" t="s">
        <v>0</v>
      </c>
      <c r="C1546" s="1" t="s">
        <v>1</v>
      </c>
      <c r="D1546" s="1" t="s">
        <v>18426</v>
      </c>
      <c r="E1546" s="1" t="s">
        <v>18427</v>
      </c>
      <c r="F1546" s="1" t="s">
        <v>18428</v>
      </c>
      <c r="H1546" s="2" t="s">
        <v>5</v>
      </c>
      <c r="I1546" s="2" t="s">
        <v>6</v>
      </c>
      <c r="J1546" s="2" t="s">
        <v>5</v>
      </c>
      <c r="K1546" s="2" t="s">
        <v>5</v>
      </c>
      <c r="L1546" s="2" t="s">
        <v>7</v>
      </c>
      <c r="N1546" s="1" t="s">
        <v>7655</v>
      </c>
      <c r="O1546" s="2" t="s">
        <v>989</v>
      </c>
      <c r="Q1546" s="2" t="s">
        <v>11</v>
      </c>
      <c r="R1546" s="2" t="s">
        <v>426</v>
      </c>
      <c r="T1546" s="2" t="s">
        <v>520</v>
      </c>
      <c r="U1546" s="3">
        <v>8</v>
      </c>
      <c r="V1546" s="3">
        <v>8</v>
      </c>
      <c r="W1546" s="4" t="s">
        <v>18429</v>
      </c>
      <c r="X1546" s="4" t="s">
        <v>18429</v>
      </c>
      <c r="Y1546" s="4" t="s">
        <v>1975</v>
      </c>
      <c r="Z1546" s="4" t="s">
        <v>1975</v>
      </c>
      <c r="AA1546" s="3">
        <v>86</v>
      </c>
      <c r="AB1546" s="3">
        <v>75</v>
      </c>
      <c r="AC1546" s="3">
        <v>75</v>
      </c>
      <c r="AD1546" s="3">
        <v>1</v>
      </c>
      <c r="AE1546" s="3">
        <v>1</v>
      </c>
      <c r="AF1546" s="3">
        <v>2</v>
      </c>
      <c r="AG1546" s="3">
        <v>2</v>
      </c>
      <c r="AH1546" s="3">
        <v>0</v>
      </c>
      <c r="AI1546" s="3">
        <v>0</v>
      </c>
      <c r="AJ1546" s="3">
        <v>1</v>
      </c>
      <c r="AK1546" s="3">
        <v>1</v>
      </c>
      <c r="AL1546" s="3">
        <v>2</v>
      </c>
      <c r="AM1546" s="3">
        <v>2</v>
      </c>
      <c r="AN1546" s="3">
        <v>0</v>
      </c>
      <c r="AO1546" s="3">
        <v>0</v>
      </c>
      <c r="AP1546" s="3">
        <v>0</v>
      </c>
      <c r="AQ1546" s="3">
        <v>0</v>
      </c>
      <c r="AR1546" s="2" t="s">
        <v>5</v>
      </c>
      <c r="AS1546" s="2" t="s">
        <v>5</v>
      </c>
      <c r="AU1546" s="5" t="str">
        <f>HYPERLINK("https://creighton-primo.hosted.exlibrisgroup.com/primo-explore/search?tab=default_tab&amp;search_scope=EVERYTHING&amp;vid=01CRU&amp;lang=en_US&amp;offset=0&amp;query=any,contains,991001450959702656","Catalog Record")</f>
        <v>Catalog Record</v>
      </c>
      <c r="AV1546" s="5" t="str">
        <f>HYPERLINK("http://www.worldcat.org/oclc/20320466","WorldCat Record")</f>
        <v>WorldCat Record</v>
      </c>
      <c r="AW1546" s="2" t="s">
        <v>18430</v>
      </c>
      <c r="AX1546" s="2" t="s">
        <v>18431</v>
      </c>
      <c r="AY1546" s="2" t="s">
        <v>18432</v>
      </c>
      <c r="AZ1546" s="2" t="s">
        <v>18432</v>
      </c>
      <c r="BA1546" s="2" t="s">
        <v>18433</v>
      </c>
      <c r="BB1546" s="2" t="s">
        <v>21</v>
      </c>
      <c r="BD1546" s="2" t="s">
        <v>18434</v>
      </c>
      <c r="BE1546" s="2" t="s">
        <v>18435</v>
      </c>
      <c r="BF1546" s="2" t="s">
        <v>18436</v>
      </c>
    </row>
    <row r="1547" spans="1:58" ht="41.25" customHeight="1" x14ac:dyDescent="0.25">
      <c r="A1547" s="8" t="s">
        <v>5</v>
      </c>
      <c r="B1547" s="1" t="s">
        <v>0</v>
      </c>
      <c r="C1547" s="1" t="s">
        <v>1</v>
      </c>
      <c r="D1547" s="1" t="s">
        <v>18437</v>
      </c>
      <c r="E1547" s="1" t="s">
        <v>18438</v>
      </c>
      <c r="F1547" s="1" t="s">
        <v>18439</v>
      </c>
      <c r="H1547" s="2" t="s">
        <v>5</v>
      </c>
      <c r="I1547" s="2" t="s">
        <v>6</v>
      </c>
      <c r="J1547" s="2" t="s">
        <v>5</v>
      </c>
      <c r="K1547" s="2" t="s">
        <v>5</v>
      </c>
      <c r="L1547" s="2" t="s">
        <v>7</v>
      </c>
      <c r="M1547" s="1" t="s">
        <v>18440</v>
      </c>
      <c r="N1547" s="1" t="s">
        <v>18441</v>
      </c>
      <c r="O1547" s="2" t="s">
        <v>1339</v>
      </c>
      <c r="Q1547" s="2" t="s">
        <v>11</v>
      </c>
      <c r="R1547" s="2" t="s">
        <v>426</v>
      </c>
      <c r="T1547" s="2" t="s">
        <v>520</v>
      </c>
      <c r="U1547" s="3">
        <v>2</v>
      </c>
      <c r="V1547" s="3">
        <v>2</v>
      </c>
      <c r="W1547" s="4" t="s">
        <v>18157</v>
      </c>
      <c r="X1547" s="4" t="s">
        <v>18157</v>
      </c>
      <c r="Y1547" s="4" t="s">
        <v>15</v>
      </c>
      <c r="Z1547" s="4" t="s">
        <v>15</v>
      </c>
      <c r="AA1547" s="3">
        <v>202</v>
      </c>
      <c r="AB1547" s="3">
        <v>177</v>
      </c>
      <c r="AC1547" s="3">
        <v>179</v>
      </c>
      <c r="AD1547" s="3">
        <v>1</v>
      </c>
      <c r="AE1547" s="3">
        <v>1</v>
      </c>
      <c r="AF1547" s="3">
        <v>8</v>
      </c>
      <c r="AG1547" s="3">
        <v>8</v>
      </c>
      <c r="AH1547" s="3">
        <v>3</v>
      </c>
      <c r="AI1547" s="3">
        <v>3</v>
      </c>
      <c r="AJ1547" s="3">
        <v>1</v>
      </c>
      <c r="AK1547" s="3">
        <v>1</v>
      </c>
      <c r="AL1547" s="3">
        <v>6</v>
      </c>
      <c r="AM1547" s="3">
        <v>6</v>
      </c>
      <c r="AN1547" s="3">
        <v>0</v>
      </c>
      <c r="AO1547" s="3">
        <v>0</v>
      </c>
      <c r="AP1547" s="3">
        <v>0</v>
      </c>
      <c r="AQ1547" s="3">
        <v>0</v>
      </c>
      <c r="AR1547" s="2" t="s">
        <v>5</v>
      </c>
      <c r="AS1547" s="2" t="s">
        <v>16</v>
      </c>
      <c r="AT1547" s="5" t="str">
        <f>HYPERLINK("http://catalog.hathitrust.org/Record/000828502","HathiTrust Record")</f>
        <v>HathiTrust Record</v>
      </c>
      <c r="AU1547" s="5" t="str">
        <f>HYPERLINK("https://creighton-primo.hosted.exlibrisgroup.com/primo-explore/search?tab=default_tab&amp;search_scope=EVERYTHING&amp;vid=01CRU&amp;lang=en_US&amp;offset=0&amp;query=any,contains,991001264839702656","Catalog Record")</f>
        <v>Catalog Record</v>
      </c>
      <c r="AV1547" s="5" t="str">
        <f>HYPERLINK("http://www.worldcat.org/oclc/14586527","WorldCat Record")</f>
        <v>WorldCat Record</v>
      </c>
      <c r="AW1547" s="2" t="s">
        <v>18442</v>
      </c>
      <c r="AX1547" s="2" t="s">
        <v>18443</v>
      </c>
      <c r="AY1547" s="2" t="s">
        <v>18444</v>
      </c>
      <c r="AZ1547" s="2" t="s">
        <v>18444</v>
      </c>
      <c r="BA1547" s="2" t="s">
        <v>18445</v>
      </c>
      <c r="BB1547" s="2" t="s">
        <v>21</v>
      </c>
      <c r="BD1547" s="2" t="s">
        <v>18446</v>
      </c>
      <c r="BE1547" s="2" t="s">
        <v>18447</v>
      </c>
      <c r="BF1547" s="2" t="s">
        <v>18448</v>
      </c>
    </row>
    <row r="1548" spans="1:58" ht="41.25" customHeight="1" x14ac:dyDescent="0.25">
      <c r="A1548" s="8" t="s">
        <v>5</v>
      </c>
      <c r="B1548" s="1" t="s">
        <v>0</v>
      </c>
      <c r="C1548" s="1" t="s">
        <v>1</v>
      </c>
      <c r="D1548" s="1" t="s">
        <v>18449</v>
      </c>
      <c r="E1548" s="1" t="s">
        <v>18450</v>
      </c>
      <c r="F1548" s="1" t="s">
        <v>18451</v>
      </c>
      <c r="H1548" s="2" t="s">
        <v>5</v>
      </c>
      <c r="I1548" s="2" t="s">
        <v>6</v>
      </c>
      <c r="J1548" s="2" t="s">
        <v>5</v>
      </c>
      <c r="K1548" s="2" t="s">
        <v>5</v>
      </c>
      <c r="L1548" s="2" t="s">
        <v>7</v>
      </c>
      <c r="N1548" s="1" t="s">
        <v>18452</v>
      </c>
      <c r="O1548" s="2" t="s">
        <v>4990</v>
      </c>
      <c r="P1548" s="1" t="s">
        <v>901</v>
      </c>
      <c r="Q1548" s="2" t="s">
        <v>11</v>
      </c>
      <c r="R1548" s="2" t="s">
        <v>78</v>
      </c>
      <c r="T1548" s="2" t="s">
        <v>520</v>
      </c>
      <c r="U1548" s="3">
        <v>11</v>
      </c>
      <c r="V1548" s="3">
        <v>11</v>
      </c>
      <c r="W1548" s="4" t="s">
        <v>18453</v>
      </c>
      <c r="X1548" s="4" t="s">
        <v>18453</v>
      </c>
      <c r="Y1548" s="4" t="s">
        <v>18454</v>
      </c>
      <c r="Z1548" s="4" t="s">
        <v>18454</v>
      </c>
      <c r="AA1548" s="3">
        <v>245</v>
      </c>
      <c r="AB1548" s="3">
        <v>182</v>
      </c>
      <c r="AC1548" s="3">
        <v>195</v>
      </c>
      <c r="AD1548" s="3">
        <v>1</v>
      </c>
      <c r="AE1548" s="3">
        <v>1</v>
      </c>
      <c r="AF1548" s="3">
        <v>7</v>
      </c>
      <c r="AG1548" s="3">
        <v>8</v>
      </c>
      <c r="AH1548" s="3">
        <v>1</v>
      </c>
      <c r="AI1548" s="3">
        <v>2</v>
      </c>
      <c r="AJ1548" s="3">
        <v>2</v>
      </c>
      <c r="AK1548" s="3">
        <v>2</v>
      </c>
      <c r="AL1548" s="3">
        <v>5</v>
      </c>
      <c r="AM1548" s="3">
        <v>5</v>
      </c>
      <c r="AN1548" s="3">
        <v>0</v>
      </c>
      <c r="AO1548" s="3">
        <v>0</v>
      </c>
      <c r="AP1548" s="3">
        <v>0</v>
      </c>
      <c r="AQ1548" s="3">
        <v>0</v>
      </c>
      <c r="AR1548" s="2" t="s">
        <v>5</v>
      </c>
      <c r="AS1548" s="2" t="s">
        <v>16</v>
      </c>
      <c r="AT1548" s="5" t="str">
        <f>HYPERLINK("http://catalog.hathitrust.org/Record/004212882","HathiTrust Record")</f>
        <v>HathiTrust Record</v>
      </c>
      <c r="AU1548" s="5" t="str">
        <f>HYPERLINK("https://creighton-primo.hosted.exlibrisgroup.com/primo-explore/search?tab=default_tab&amp;search_scope=EVERYTHING&amp;vid=01CRU&amp;lang=en_US&amp;offset=0&amp;query=any,contains,991000315549702656","Catalog Record")</f>
        <v>Catalog Record</v>
      </c>
      <c r="AV1548" s="5" t="str">
        <f>HYPERLINK("http://www.worldcat.org/oclc/47522469","WorldCat Record")</f>
        <v>WorldCat Record</v>
      </c>
      <c r="AW1548" s="2" t="s">
        <v>18455</v>
      </c>
      <c r="AX1548" s="2" t="s">
        <v>18456</v>
      </c>
      <c r="AY1548" s="2" t="s">
        <v>18457</v>
      </c>
      <c r="AZ1548" s="2" t="s">
        <v>18457</v>
      </c>
      <c r="BA1548" s="2" t="s">
        <v>18458</v>
      </c>
      <c r="BB1548" s="2" t="s">
        <v>21</v>
      </c>
      <c r="BD1548" s="2" t="s">
        <v>18459</v>
      </c>
      <c r="BE1548" s="2" t="s">
        <v>18460</v>
      </c>
      <c r="BF1548" s="2" t="s">
        <v>18461</v>
      </c>
    </row>
    <row r="1549" spans="1:58" ht="41.25" customHeight="1" x14ac:dyDescent="0.25">
      <c r="A1549" s="8" t="s">
        <v>5</v>
      </c>
      <c r="B1549" s="1" t="s">
        <v>0</v>
      </c>
      <c r="C1549" s="1" t="s">
        <v>1</v>
      </c>
      <c r="D1549" s="1" t="s">
        <v>18462</v>
      </c>
      <c r="E1549" s="1" t="s">
        <v>18463</v>
      </c>
      <c r="F1549" s="1" t="s">
        <v>18464</v>
      </c>
      <c r="H1549" s="2" t="s">
        <v>5</v>
      </c>
      <c r="I1549" s="2" t="s">
        <v>6</v>
      </c>
      <c r="J1549" s="2" t="s">
        <v>5</v>
      </c>
      <c r="K1549" s="2" t="s">
        <v>5</v>
      </c>
      <c r="L1549" s="2" t="s">
        <v>7</v>
      </c>
      <c r="N1549" s="1" t="s">
        <v>18465</v>
      </c>
      <c r="O1549" s="2" t="s">
        <v>2738</v>
      </c>
      <c r="Q1549" s="2" t="s">
        <v>11</v>
      </c>
      <c r="R1549" s="2" t="s">
        <v>12</v>
      </c>
      <c r="T1549" s="2" t="s">
        <v>520</v>
      </c>
      <c r="U1549" s="3">
        <v>0</v>
      </c>
      <c r="V1549" s="3">
        <v>0</v>
      </c>
      <c r="W1549" s="4" t="s">
        <v>4670</v>
      </c>
      <c r="X1549" s="4" t="s">
        <v>4670</v>
      </c>
      <c r="Y1549" s="4" t="s">
        <v>80</v>
      </c>
      <c r="Z1549" s="4" t="s">
        <v>80</v>
      </c>
      <c r="AA1549" s="3">
        <v>121</v>
      </c>
      <c r="AB1549" s="3">
        <v>103</v>
      </c>
      <c r="AC1549" s="3">
        <v>189</v>
      </c>
      <c r="AD1549" s="3">
        <v>1</v>
      </c>
      <c r="AE1549" s="3">
        <v>3</v>
      </c>
      <c r="AF1549" s="3">
        <v>4</v>
      </c>
      <c r="AG1549" s="3">
        <v>7</v>
      </c>
      <c r="AH1549" s="3">
        <v>0</v>
      </c>
      <c r="AI1549" s="3">
        <v>0</v>
      </c>
      <c r="AJ1549" s="3">
        <v>1</v>
      </c>
      <c r="AK1549" s="3">
        <v>1</v>
      </c>
      <c r="AL1549" s="3">
        <v>3</v>
      </c>
      <c r="AM1549" s="3">
        <v>4</v>
      </c>
      <c r="AN1549" s="3">
        <v>0</v>
      </c>
      <c r="AO1549" s="3">
        <v>2</v>
      </c>
      <c r="AP1549" s="3">
        <v>0</v>
      </c>
      <c r="AQ1549" s="3">
        <v>0</v>
      </c>
      <c r="AR1549" s="2" t="s">
        <v>5</v>
      </c>
      <c r="AS1549" s="2" t="s">
        <v>16</v>
      </c>
      <c r="AT1549" s="5" t="str">
        <f>HYPERLINK("http://catalog.hathitrust.org/Record/001574469","HathiTrust Record")</f>
        <v>HathiTrust Record</v>
      </c>
      <c r="AU1549" s="5" t="str">
        <f>HYPERLINK("https://creighton-primo.hosted.exlibrisgroup.com/primo-explore/search?tab=default_tab&amp;search_scope=EVERYTHING&amp;vid=01CRU&amp;lang=en_US&amp;offset=0&amp;query=any,contains,991000919229702656","Catalog Record")</f>
        <v>Catalog Record</v>
      </c>
      <c r="AV1549" s="5" t="str">
        <f>HYPERLINK("http://www.worldcat.org/oclc/119863","WorldCat Record")</f>
        <v>WorldCat Record</v>
      </c>
      <c r="AW1549" s="2" t="s">
        <v>18466</v>
      </c>
      <c r="AX1549" s="2" t="s">
        <v>18467</v>
      </c>
      <c r="AY1549" s="2" t="s">
        <v>18468</v>
      </c>
      <c r="AZ1549" s="2" t="s">
        <v>18468</v>
      </c>
      <c r="BA1549" s="2" t="s">
        <v>18469</v>
      </c>
      <c r="BB1549" s="2" t="s">
        <v>21</v>
      </c>
      <c r="BD1549" s="2" t="s">
        <v>18470</v>
      </c>
      <c r="BE1549" s="2" t="s">
        <v>18471</v>
      </c>
      <c r="BF1549" s="2" t="s">
        <v>18472</v>
      </c>
    </row>
    <row r="1550" spans="1:58" ht="41.25" customHeight="1" x14ac:dyDescent="0.25">
      <c r="A1550" s="8" t="s">
        <v>5</v>
      </c>
      <c r="B1550" s="1" t="s">
        <v>0</v>
      </c>
      <c r="C1550" s="1" t="s">
        <v>1</v>
      </c>
      <c r="D1550" s="1" t="s">
        <v>18473</v>
      </c>
      <c r="E1550" s="1" t="s">
        <v>18474</v>
      </c>
      <c r="F1550" s="1" t="s">
        <v>18475</v>
      </c>
      <c r="H1550" s="2" t="s">
        <v>5</v>
      </c>
      <c r="I1550" s="2" t="s">
        <v>6</v>
      </c>
      <c r="J1550" s="2" t="s">
        <v>5</v>
      </c>
      <c r="K1550" s="2" t="s">
        <v>5</v>
      </c>
      <c r="L1550" s="2" t="s">
        <v>7</v>
      </c>
      <c r="N1550" s="1" t="s">
        <v>18476</v>
      </c>
      <c r="O1550" s="2" t="s">
        <v>2738</v>
      </c>
      <c r="Q1550" s="2" t="s">
        <v>11</v>
      </c>
      <c r="R1550" s="2" t="s">
        <v>12</v>
      </c>
      <c r="S1550" s="1" t="s">
        <v>9631</v>
      </c>
      <c r="T1550" s="2" t="s">
        <v>520</v>
      </c>
      <c r="U1550" s="3">
        <v>8</v>
      </c>
      <c r="V1550" s="3">
        <v>8</v>
      </c>
      <c r="W1550" s="4" t="s">
        <v>17317</v>
      </c>
      <c r="X1550" s="4" t="s">
        <v>17317</v>
      </c>
      <c r="Y1550" s="4" t="s">
        <v>15</v>
      </c>
      <c r="Z1550" s="4" t="s">
        <v>15</v>
      </c>
      <c r="AA1550" s="3">
        <v>114</v>
      </c>
      <c r="AB1550" s="3">
        <v>103</v>
      </c>
      <c r="AC1550" s="3">
        <v>120</v>
      </c>
      <c r="AD1550" s="3">
        <v>2</v>
      </c>
      <c r="AE1550" s="3">
        <v>2</v>
      </c>
      <c r="AF1550" s="3">
        <v>3</v>
      </c>
      <c r="AG1550" s="3">
        <v>3</v>
      </c>
      <c r="AH1550" s="3">
        <v>0</v>
      </c>
      <c r="AI1550" s="3">
        <v>0</v>
      </c>
      <c r="AJ1550" s="3">
        <v>0</v>
      </c>
      <c r="AK1550" s="3">
        <v>0</v>
      </c>
      <c r="AL1550" s="3">
        <v>2</v>
      </c>
      <c r="AM1550" s="3">
        <v>2</v>
      </c>
      <c r="AN1550" s="3">
        <v>1</v>
      </c>
      <c r="AO1550" s="3">
        <v>1</v>
      </c>
      <c r="AP1550" s="3">
        <v>0</v>
      </c>
      <c r="AQ1550" s="3">
        <v>0</v>
      </c>
      <c r="AR1550" s="2" t="s">
        <v>5</v>
      </c>
      <c r="AS1550" s="2" t="s">
        <v>16</v>
      </c>
      <c r="AT1550" s="5" t="str">
        <f>HYPERLINK("http://catalog.hathitrust.org/Record/001565947","HathiTrust Record")</f>
        <v>HathiTrust Record</v>
      </c>
      <c r="AU1550" s="5" t="str">
        <f>HYPERLINK("https://creighton-primo.hosted.exlibrisgroup.com/primo-explore/search?tab=default_tab&amp;search_scope=EVERYTHING&amp;vid=01CRU&amp;lang=en_US&amp;offset=0&amp;query=any,contains,991000919309702656","Catalog Record")</f>
        <v>Catalog Record</v>
      </c>
      <c r="AV1550" s="5" t="str">
        <f>HYPERLINK("http://www.worldcat.org/oclc/211498","WorldCat Record")</f>
        <v>WorldCat Record</v>
      </c>
      <c r="AW1550" s="2" t="s">
        <v>18477</v>
      </c>
      <c r="AX1550" s="2" t="s">
        <v>18478</v>
      </c>
      <c r="AY1550" s="2" t="s">
        <v>18479</v>
      </c>
      <c r="AZ1550" s="2" t="s">
        <v>18479</v>
      </c>
      <c r="BA1550" s="2" t="s">
        <v>18480</v>
      </c>
      <c r="BB1550" s="2" t="s">
        <v>21</v>
      </c>
      <c r="BE1550" s="2" t="s">
        <v>18481</v>
      </c>
      <c r="BF1550" s="2" t="s">
        <v>18482</v>
      </c>
    </row>
    <row r="1551" spans="1:58" ht="41.25" customHeight="1" x14ac:dyDescent="0.25">
      <c r="A1551" s="8" t="s">
        <v>5</v>
      </c>
      <c r="B1551" s="1" t="s">
        <v>0</v>
      </c>
      <c r="C1551" s="1" t="s">
        <v>1</v>
      </c>
      <c r="D1551" s="1" t="s">
        <v>18483</v>
      </c>
      <c r="E1551" s="1" t="s">
        <v>18484</v>
      </c>
      <c r="F1551" s="1" t="s">
        <v>18485</v>
      </c>
      <c r="H1551" s="2" t="s">
        <v>5</v>
      </c>
      <c r="I1551" s="2" t="s">
        <v>6</v>
      </c>
      <c r="J1551" s="2" t="s">
        <v>5</v>
      </c>
      <c r="K1551" s="2" t="s">
        <v>5</v>
      </c>
      <c r="L1551" s="2" t="s">
        <v>7</v>
      </c>
      <c r="N1551" s="1" t="s">
        <v>9221</v>
      </c>
      <c r="O1551" s="2" t="s">
        <v>1102</v>
      </c>
      <c r="Q1551" s="2" t="s">
        <v>11</v>
      </c>
      <c r="R1551" s="2" t="s">
        <v>426</v>
      </c>
      <c r="T1551" s="2" t="s">
        <v>520</v>
      </c>
      <c r="U1551" s="3">
        <v>2</v>
      </c>
      <c r="V1551" s="3">
        <v>2</v>
      </c>
      <c r="W1551" s="4" t="s">
        <v>18157</v>
      </c>
      <c r="X1551" s="4" t="s">
        <v>18157</v>
      </c>
      <c r="Y1551" s="4" t="s">
        <v>15</v>
      </c>
      <c r="Z1551" s="4" t="s">
        <v>15</v>
      </c>
      <c r="AA1551" s="3">
        <v>240</v>
      </c>
      <c r="AB1551" s="3">
        <v>209</v>
      </c>
      <c r="AC1551" s="3">
        <v>216</v>
      </c>
      <c r="AD1551" s="3">
        <v>2</v>
      </c>
      <c r="AE1551" s="3">
        <v>2</v>
      </c>
      <c r="AF1551" s="3">
        <v>10</v>
      </c>
      <c r="AG1551" s="3">
        <v>10</v>
      </c>
      <c r="AH1551" s="3">
        <v>3</v>
      </c>
      <c r="AI1551" s="3">
        <v>3</v>
      </c>
      <c r="AJ1551" s="3">
        <v>3</v>
      </c>
      <c r="AK1551" s="3">
        <v>3</v>
      </c>
      <c r="AL1551" s="3">
        <v>8</v>
      </c>
      <c r="AM1551" s="3">
        <v>8</v>
      </c>
      <c r="AN1551" s="3">
        <v>0</v>
      </c>
      <c r="AO1551" s="3">
        <v>0</v>
      </c>
      <c r="AP1551" s="3">
        <v>0</v>
      </c>
      <c r="AQ1551" s="3">
        <v>0</v>
      </c>
      <c r="AR1551" s="2" t="s">
        <v>5</v>
      </c>
      <c r="AS1551" s="2" t="s">
        <v>16</v>
      </c>
      <c r="AT1551" s="5" t="str">
        <f>HYPERLINK("http://catalog.hathitrust.org/Record/000432524","HathiTrust Record")</f>
        <v>HathiTrust Record</v>
      </c>
      <c r="AU1551" s="5" t="str">
        <f>HYPERLINK("https://creighton-primo.hosted.exlibrisgroup.com/primo-explore/search?tab=default_tab&amp;search_scope=EVERYTHING&amp;vid=01CRU&amp;lang=en_US&amp;offset=0&amp;query=any,contains,991000919349702656","Catalog Record")</f>
        <v>Catalog Record</v>
      </c>
      <c r="AV1551" s="5" t="str">
        <f>HYPERLINK("http://www.worldcat.org/oclc/12558046","WorldCat Record")</f>
        <v>WorldCat Record</v>
      </c>
      <c r="AW1551" s="2" t="s">
        <v>18486</v>
      </c>
      <c r="AX1551" s="2" t="s">
        <v>18487</v>
      </c>
      <c r="AY1551" s="2" t="s">
        <v>18488</v>
      </c>
      <c r="AZ1551" s="2" t="s">
        <v>18488</v>
      </c>
      <c r="BA1551" s="2" t="s">
        <v>18489</v>
      </c>
      <c r="BB1551" s="2" t="s">
        <v>21</v>
      </c>
      <c r="BD1551" s="2" t="s">
        <v>18490</v>
      </c>
      <c r="BE1551" s="2" t="s">
        <v>18491</v>
      </c>
      <c r="BF1551" s="2" t="s">
        <v>18492</v>
      </c>
    </row>
    <row r="1552" spans="1:58" ht="41.25" customHeight="1" x14ac:dyDescent="0.25">
      <c r="A1552" s="8" t="s">
        <v>5</v>
      </c>
      <c r="B1552" s="1" t="s">
        <v>0</v>
      </c>
      <c r="C1552" s="1" t="s">
        <v>1</v>
      </c>
      <c r="D1552" s="1" t="s">
        <v>18493</v>
      </c>
      <c r="E1552" s="1" t="s">
        <v>18494</v>
      </c>
      <c r="F1552" s="1" t="s">
        <v>18495</v>
      </c>
      <c r="H1552" s="2" t="s">
        <v>5</v>
      </c>
      <c r="I1552" s="2" t="s">
        <v>6</v>
      </c>
      <c r="J1552" s="2" t="s">
        <v>5</v>
      </c>
      <c r="K1552" s="2" t="s">
        <v>5</v>
      </c>
      <c r="L1552" s="2" t="s">
        <v>7</v>
      </c>
      <c r="N1552" s="1" t="s">
        <v>18496</v>
      </c>
      <c r="O1552" s="2" t="s">
        <v>1378</v>
      </c>
      <c r="Q1552" s="2" t="s">
        <v>11</v>
      </c>
      <c r="R1552" s="2" t="s">
        <v>78</v>
      </c>
      <c r="T1552" s="2" t="s">
        <v>520</v>
      </c>
      <c r="U1552" s="3">
        <v>1</v>
      </c>
      <c r="V1552" s="3">
        <v>1</v>
      </c>
      <c r="W1552" s="4" t="s">
        <v>18497</v>
      </c>
      <c r="X1552" s="4" t="s">
        <v>18497</v>
      </c>
      <c r="Y1552" s="4" t="s">
        <v>18497</v>
      </c>
      <c r="Z1552" s="4" t="s">
        <v>18497</v>
      </c>
      <c r="AA1552" s="3">
        <v>51</v>
      </c>
      <c r="AB1552" s="3">
        <v>40</v>
      </c>
      <c r="AC1552" s="3">
        <v>63</v>
      </c>
      <c r="AD1552" s="3">
        <v>1</v>
      </c>
      <c r="AE1552" s="3">
        <v>2</v>
      </c>
      <c r="AF1552" s="3">
        <v>1</v>
      </c>
      <c r="AG1552" s="3">
        <v>2</v>
      </c>
      <c r="AH1552" s="3">
        <v>0</v>
      </c>
      <c r="AI1552" s="3">
        <v>0</v>
      </c>
      <c r="AJ1552" s="3">
        <v>1</v>
      </c>
      <c r="AK1552" s="3">
        <v>1</v>
      </c>
      <c r="AL1552" s="3">
        <v>1</v>
      </c>
      <c r="AM1552" s="3">
        <v>1</v>
      </c>
      <c r="AN1552" s="3">
        <v>0</v>
      </c>
      <c r="AO1552" s="3">
        <v>1</v>
      </c>
      <c r="AP1552" s="3">
        <v>0</v>
      </c>
      <c r="AQ1552" s="3">
        <v>0</v>
      </c>
      <c r="AR1552" s="2" t="s">
        <v>5</v>
      </c>
      <c r="AS1552" s="2" t="s">
        <v>16</v>
      </c>
      <c r="AT1552" s="5" t="str">
        <f>HYPERLINK("http://catalog.hathitrust.org/Record/004043810","HathiTrust Record")</f>
        <v>HathiTrust Record</v>
      </c>
      <c r="AU1552" s="5" t="str">
        <f>HYPERLINK("https://creighton-primo.hosted.exlibrisgroup.com/primo-explore/search?tab=default_tab&amp;search_scope=EVERYTHING&amp;vid=01CRU&amp;lang=en_US&amp;offset=0&amp;query=any,contains,991001442729702656","Catalog Record")</f>
        <v>Catalog Record</v>
      </c>
      <c r="AV1552" s="5" t="str">
        <f>HYPERLINK("http://www.worldcat.org/oclc/40782945","WorldCat Record")</f>
        <v>WorldCat Record</v>
      </c>
      <c r="AW1552" s="2" t="s">
        <v>18498</v>
      </c>
      <c r="AX1552" s="2" t="s">
        <v>18499</v>
      </c>
      <c r="AY1552" s="2" t="s">
        <v>18500</v>
      </c>
      <c r="AZ1552" s="2" t="s">
        <v>18500</v>
      </c>
      <c r="BA1552" s="2" t="s">
        <v>18501</v>
      </c>
      <c r="BB1552" s="2" t="s">
        <v>21</v>
      </c>
      <c r="BD1552" s="2" t="s">
        <v>18502</v>
      </c>
      <c r="BE1552" s="2" t="s">
        <v>18503</v>
      </c>
      <c r="BF1552" s="2" t="s">
        <v>18504</v>
      </c>
    </row>
    <row r="1553" spans="1:58" ht="41.25" customHeight="1" x14ac:dyDescent="0.25">
      <c r="A1553" s="8" t="s">
        <v>5</v>
      </c>
      <c r="B1553" s="1" t="s">
        <v>0</v>
      </c>
      <c r="C1553" s="1" t="s">
        <v>1</v>
      </c>
      <c r="D1553" s="1" t="s">
        <v>18505</v>
      </c>
      <c r="E1553" s="1" t="s">
        <v>18506</v>
      </c>
      <c r="F1553" s="1" t="s">
        <v>18507</v>
      </c>
      <c r="H1553" s="2" t="s">
        <v>5</v>
      </c>
      <c r="I1553" s="2" t="s">
        <v>6</v>
      </c>
      <c r="J1553" s="2" t="s">
        <v>5</v>
      </c>
      <c r="K1553" s="2" t="s">
        <v>5</v>
      </c>
      <c r="L1553" s="2" t="s">
        <v>7</v>
      </c>
      <c r="N1553" s="1" t="s">
        <v>18496</v>
      </c>
      <c r="O1553" s="2" t="s">
        <v>1378</v>
      </c>
      <c r="Q1553" s="2" t="s">
        <v>11</v>
      </c>
      <c r="R1553" s="2" t="s">
        <v>78</v>
      </c>
      <c r="T1553" s="2" t="s">
        <v>520</v>
      </c>
      <c r="U1553" s="3">
        <v>2</v>
      </c>
      <c r="V1553" s="3">
        <v>2</v>
      </c>
      <c r="W1553" s="4" t="s">
        <v>14857</v>
      </c>
      <c r="X1553" s="4" t="s">
        <v>14857</v>
      </c>
      <c r="Y1553" s="4" t="s">
        <v>9800</v>
      </c>
      <c r="Z1553" s="4" t="s">
        <v>9800</v>
      </c>
      <c r="AA1553" s="3">
        <v>58</v>
      </c>
      <c r="AB1553" s="3">
        <v>47</v>
      </c>
      <c r="AC1553" s="3">
        <v>252</v>
      </c>
      <c r="AD1553" s="3">
        <v>1</v>
      </c>
      <c r="AE1553" s="3">
        <v>2</v>
      </c>
      <c r="AF1553" s="3">
        <v>1</v>
      </c>
      <c r="AG1553" s="3">
        <v>16</v>
      </c>
      <c r="AH1553" s="3">
        <v>0</v>
      </c>
      <c r="AI1553" s="3">
        <v>6</v>
      </c>
      <c r="AJ1553" s="3">
        <v>0</v>
      </c>
      <c r="AK1553" s="3">
        <v>3</v>
      </c>
      <c r="AL1553" s="3">
        <v>1</v>
      </c>
      <c r="AM1553" s="3">
        <v>8</v>
      </c>
      <c r="AN1553" s="3">
        <v>0</v>
      </c>
      <c r="AO1553" s="3">
        <v>1</v>
      </c>
      <c r="AP1553" s="3">
        <v>0</v>
      </c>
      <c r="AQ1553" s="3">
        <v>0</v>
      </c>
      <c r="AR1553" s="2" t="s">
        <v>5</v>
      </c>
      <c r="AS1553" s="2" t="s">
        <v>5</v>
      </c>
      <c r="AU1553" s="5" t="str">
        <f>HYPERLINK("https://creighton-primo.hosted.exlibrisgroup.com/primo-explore/search?tab=default_tab&amp;search_scope=EVERYTHING&amp;vid=01CRU&amp;lang=en_US&amp;offset=0&amp;query=any,contains,991001440159702656","Catalog Record")</f>
        <v>Catalog Record</v>
      </c>
      <c r="AV1553" s="5" t="str">
        <f>HYPERLINK("http://www.worldcat.org/oclc/39543301","WorldCat Record")</f>
        <v>WorldCat Record</v>
      </c>
      <c r="AW1553" s="2" t="s">
        <v>18508</v>
      </c>
      <c r="AX1553" s="2" t="s">
        <v>18509</v>
      </c>
      <c r="AY1553" s="2" t="s">
        <v>18510</v>
      </c>
      <c r="AZ1553" s="2" t="s">
        <v>18510</v>
      </c>
      <c r="BA1553" s="2" t="s">
        <v>18511</v>
      </c>
      <c r="BB1553" s="2" t="s">
        <v>21</v>
      </c>
      <c r="BD1553" s="2" t="s">
        <v>18512</v>
      </c>
      <c r="BE1553" s="2" t="s">
        <v>18513</v>
      </c>
      <c r="BF1553" s="2" t="s">
        <v>18514</v>
      </c>
    </row>
    <row r="1554" spans="1:58" ht="41.25" customHeight="1" x14ac:dyDescent="0.25">
      <c r="A1554" s="8" t="s">
        <v>5</v>
      </c>
      <c r="B1554" s="1" t="s">
        <v>0</v>
      </c>
      <c r="C1554" s="1" t="s">
        <v>1</v>
      </c>
      <c r="D1554" s="1" t="s">
        <v>18515</v>
      </c>
      <c r="E1554" s="1" t="s">
        <v>18516</v>
      </c>
      <c r="F1554" s="1" t="s">
        <v>18517</v>
      </c>
      <c r="H1554" s="2" t="s">
        <v>5</v>
      </c>
      <c r="I1554" s="2" t="s">
        <v>6</v>
      </c>
      <c r="J1554" s="2" t="s">
        <v>5</v>
      </c>
      <c r="K1554" s="2" t="s">
        <v>5</v>
      </c>
      <c r="L1554" s="2" t="s">
        <v>7</v>
      </c>
      <c r="N1554" s="1" t="s">
        <v>18518</v>
      </c>
      <c r="O1554" s="2" t="s">
        <v>1046</v>
      </c>
      <c r="P1554" s="1" t="s">
        <v>211</v>
      </c>
      <c r="Q1554" s="2" t="s">
        <v>11</v>
      </c>
      <c r="R1554" s="2" t="s">
        <v>271</v>
      </c>
      <c r="S1554" s="1" t="s">
        <v>6166</v>
      </c>
      <c r="T1554" s="2" t="s">
        <v>520</v>
      </c>
      <c r="U1554" s="3">
        <v>2</v>
      </c>
      <c r="V1554" s="3">
        <v>2</v>
      </c>
      <c r="W1554" s="4" t="s">
        <v>1653</v>
      </c>
      <c r="X1554" s="4" t="s">
        <v>1653</v>
      </c>
      <c r="Y1554" s="4" t="s">
        <v>1653</v>
      </c>
      <c r="Z1554" s="4" t="s">
        <v>1653</v>
      </c>
      <c r="AA1554" s="3">
        <v>360</v>
      </c>
      <c r="AB1554" s="3">
        <v>278</v>
      </c>
      <c r="AC1554" s="3">
        <v>1305</v>
      </c>
      <c r="AD1554" s="3">
        <v>4</v>
      </c>
      <c r="AE1554" s="3">
        <v>6</v>
      </c>
      <c r="AF1554" s="3">
        <v>17</v>
      </c>
      <c r="AG1554" s="3">
        <v>36</v>
      </c>
      <c r="AH1554" s="3">
        <v>6</v>
      </c>
      <c r="AI1554" s="3">
        <v>16</v>
      </c>
      <c r="AJ1554" s="3">
        <v>3</v>
      </c>
      <c r="AK1554" s="3">
        <v>7</v>
      </c>
      <c r="AL1554" s="3">
        <v>7</v>
      </c>
      <c r="AM1554" s="3">
        <v>14</v>
      </c>
      <c r="AN1554" s="3">
        <v>3</v>
      </c>
      <c r="AO1554" s="3">
        <v>5</v>
      </c>
      <c r="AP1554" s="3">
        <v>0</v>
      </c>
      <c r="AQ1554" s="3">
        <v>0</v>
      </c>
      <c r="AR1554" s="2" t="s">
        <v>5</v>
      </c>
      <c r="AS1554" s="2" t="s">
        <v>16</v>
      </c>
      <c r="AT1554" s="5" t="str">
        <f>HYPERLINK("http://catalog.hathitrust.org/Record/004323233","HathiTrust Record")</f>
        <v>HathiTrust Record</v>
      </c>
      <c r="AU1554" s="5" t="str">
        <f>HYPERLINK("https://creighton-primo.hosted.exlibrisgroup.com/primo-explore/search?tab=default_tab&amp;search_scope=EVERYTHING&amp;vid=01CRU&amp;lang=en_US&amp;offset=0&amp;query=any,contains,991001723359702656","Catalog Record")</f>
        <v>Catalog Record</v>
      </c>
      <c r="AV1554" s="5" t="str">
        <f>HYPERLINK("http://www.worldcat.org/oclc/51258166","WorldCat Record")</f>
        <v>WorldCat Record</v>
      </c>
      <c r="AW1554" s="2" t="s">
        <v>18519</v>
      </c>
      <c r="AX1554" s="2" t="s">
        <v>18520</v>
      </c>
      <c r="AY1554" s="2" t="s">
        <v>18521</v>
      </c>
      <c r="AZ1554" s="2" t="s">
        <v>18521</v>
      </c>
      <c r="BA1554" s="2" t="s">
        <v>18522</v>
      </c>
      <c r="BB1554" s="2" t="s">
        <v>21</v>
      </c>
      <c r="BD1554" s="2" t="s">
        <v>18523</v>
      </c>
      <c r="BE1554" s="2" t="s">
        <v>18524</v>
      </c>
      <c r="BF1554" s="2" t="s">
        <v>18525</v>
      </c>
    </row>
    <row r="1555" spans="1:58" ht="41.25" customHeight="1" x14ac:dyDescent="0.25">
      <c r="A1555" s="8" t="s">
        <v>5</v>
      </c>
      <c r="B1555" s="1" t="s">
        <v>0</v>
      </c>
      <c r="C1555" s="1" t="s">
        <v>1</v>
      </c>
      <c r="D1555" s="1" t="s">
        <v>18526</v>
      </c>
      <c r="E1555" s="1" t="s">
        <v>18527</v>
      </c>
      <c r="F1555" s="1" t="s">
        <v>18528</v>
      </c>
      <c r="H1555" s="2" t="s">
        <v>5</v>
      </c>
      <c r="I1555" s="2" t="s">
        <v>6</v>
      </c>
      <c r="J1555" s="2" t="s">
        <v>5</v>
      </c>
      <c r="K1555" s="2" t="s">
        <v>5</v>
      </c>
      <c r="L1555" s="2" t="s">
        <v>7</v>
      </c>
      <c r="N1555" s="1" t="s">
        <v>18529</v>
      </c>
      <c r="O1555" s="2" t="s">
        <v>3465</v>
      </c>
      <c r="Q1555" s="2" t="s">
        <v>11</v>
      </c>
      <c r="R1555" s="2" t="s">
        <v>31</v>
      </c>
      <c r="T1555" s="2" t="s">
        <v>520</v>
      </c>
      <c r="U1555" s="3">
        <v>0</v>
      </c>
      <c r="V1555" s="3">
        <v>0</v>
      </c>
      <c r="W1555" s="4" t="s">
        <v>18530</v>
      </c>
      <c r="X1555" s="4" t="s">
        <v>18530</v>
      </c>
      <c r="Y1555" s="4" t="s">
        <v>18530</v>
      </c>
      <c r="Z1555" s="4" t="s">
        <v>18530</v>
      </c>
      <c r="AA1555" s="3">
        <v>205</v>
      </c>
      <c r="AB1555" s="3">
        <v>138</v>
      </c>
      <c r="AC1555" s="3">
        <v>149</v>
      </c>
      <c r="AD1555" s="3">
        <v>1</v>
      </c>
      <c r="AE1555" s="3">
        <v>1</v>
      </c>
      <c r="AF1555" s="3">
        <v>5</v>
      </c>
      <c r="AG1555" s="3">
        <v>5</v>
      </c>
      <c r="AH1555" s="3">
        <v>1</v>
      </c>
      <c r="AI1555" s="3">
        <v>1</v>
      </c>
      <c r="AJ1555" s="3">
        <v>3</v>
      </c>
      <c r="AK1555" s="3">
        <v>3</v>
      </c>
      <c r="AL1555" s="3">
        <v>2</v>
      </c>
      <c r="AM1555" s="3">
        <v>2</v>
      </c>
      <c r="AN1555" s="3">
        <v>0</v>
      </c>
      <c r="AO1555" s="3">
        <v>0</v>
      </c>
      <c r="AP1555" s="3">
        <v>0</v>
      </c>
      <c r="AQ1555" s="3">
        <v>0</v>
      </c>
      <c r="AR1555" s="2" t="s">
        <v>5</v>
      </c>
      <c r="AS1555" s="2" t="s">
        <v>5</v>
      </c>
      <c r="AU1555" s="5" t="str">
        <f>HYPERLINK("https://creighton-primo.hosted.exlibrisgroup.com/primo-explore/search?tab=default_tab&amp;search_scope=EVERYTHING&amp;vid=01CRU&amp;lang=en_US&amp;offset=0&amp;query=any,contains,991001486109702656","Catalog Record")</f>
        <v>Catalog Record</v>
      </c>
      <c r="AV1555" s="5" t="str">
        <f>HYPERLINK("http://www.worldcat.org/oclc/127113523","WorldCat Record")</f>
        <v>WorldCat Record</v>
      </c>
      <c r="AW1555" s="2" t="s">
        <v>18531</v>
      </c>
      <c r="AX1555" s="2" t="s">
        <v>18532</v>
      </c>
      <c r="AY1555" s="2" t="s">
        <v>18533</v>
      </c>
      <c r="AZ1555" s="2" t="s">
        <v>18533</v>
      </c>
      <c r="BA1555" s="2" t="s">
        <v>18534</v>
      </c>
      <c r="BB1555" s="2" t="s">
        <v>21</v>
      </c>
      <c r="BD1555" s="2" t="s">
        <v>18535</v>
      </c>
      <c r="BE1555" s="2" t="s">
        <v>18536</v>
      </c>
      <c r="BF1555" s="2" t="s">
        <v>18537</v>
      </c>
    </row>
    <row r="1556" spans="1:58" ht="41.25" customHeight="1" x14ac:dyDescent="0.25">
      <c r="A1556" s="8" t="s">
        <v>5</v>
      </c>
      <c r="B1556" s="1" t="s">
        <v>0</v>
      </c>
      <c r="C1556" s="1" t="s">
        <v>1</v>
      </c>
      <c r="D1556" s="1" t="s">
        <v>18538</v>
      </c>
      <c r="E1556" s="1" t="s">
        <v>18539</v>
      </c>
      <c r="F1556" s="1" t="s">
        <v>18540</v>
      </c>
      <c r="H1556" s="2" t="s">
        <v>5</v>
      </c>
      <c r="I1556" s="2" t="s">
        <v>6</v>
      </c>
      <c r="J1556" s="2" t="s">
        <v>5</v>
      </c>
      <c r="K1556" s="2" t="s">
        <v>5</v>
      </c>
      <c r="L1556" s="2" t="s">
        <v>7</v>
      </c>
      <c r="M1556" s="1" t="s">
        <v>18541</v>
      </c>
      <c r="N1556" s="1" t="s">
        <v>18542</v>
      </c>
      <c r="O1556" s="2" t="s">
        <v>92</v>
      </c>
      <c r="Q1556" s="2" t="s">
        <v>11</v>
      </c>
      <c r="R1556" s="2" t="s">
        <v>229</v>
      </c>
      <c r="T1556" s="2" t="s">
        <v>520</v>
      </c>
      <c r="U1556" s="3">
        <v>4</v>
      </c>
      <c r="V1556" s="3">
        <v>4</v>
      </c>
      <c r="W1556" s="4" t="s">
        <v>286</v>
      </c>
      <c r="X1556" s="4" t="s">
        <v>286</v>
      </c>
      <c r="Y1556" s="4" t="s">
        <v>14808</v>
      </c>
      <c r="Z1556" s="4" t="s">
        <v>14808</v>
      </c>
      <c r="AA1556" s="3">
        <v>343</v>
      </c>
      <c r="AB1556" s="3">
        <v>288</v>
      </c>
      <c r="AC1556" s="3">
        <v>354</v>
      </c>
      <c r="AD1556" s="3">
        <v>4</v>
      </c>
      <c r="AE1556" s="3">
        <v>4</v>
      </c>
      <c r="AF1556" s="3">
        <v>11</v>
      </c>
      <c r="AG1556" s="3">
        <v>13</v>
      </c>
      <c r="AH1556" s="3">
        <v>2</v>
      </c>
      <c r="AI1556" s="3">
        <v>3</v>
      </c>
      <c r="AJ1556" s="3">
        <v>2</v>
      </c>
      <c r="AK1556" s="3">
        <v>3</v>
      </c>
      <c r="AL1556" s="3">
        <v>6</v>
      </c>
      <c r="AM1556" s="3">
        <v>7</v>
      </c>
      <c r="AN1556" s="3">
        <v>2</v>
      </c>
      <c r="AO1556" s="3">
        <v>2</v>
      </c>
      <c r="AP1556" s="3">
        <v>0</v>
      </c>
      <c r="AQ1556" s="3">
        <v>0</v>
      </c>
      <c r="AR1556" s="2" t="s">
        <v>5</v>
      </c>
      <c r="AS1556" s="2" t="s">
        <v>16</v>
      </c>
      <c r="AT1556" s="5" t="str">
        <f>HYPERLINK("http://catalog.hathitrust.org/Record/000045199","HathiTrust Record")</f>
        <v>HathiTrust Record</v>
      </c>
      <c r="AU1556" s="5" t="str">
        <f>HYPERLINK("https://creighton-primo.hosted.exlibrisgroup.com/primo-explore/search?tab=default_tab&amp;search_scope=EVERYTHING&amp;vid=01CRU&amp;lang=en_US&amp;offset=0&amp;query=any,contains,991000733759702656","Catalog Record")</f>
        <v>Catalog Record</v>
      </c>
      <c r="AV1556" s="5" t="str">
        <f>HYPERLINK("http://www.worldcat.org/oclc/1529311","WorldCat Record")</f>
        <v>WorldCat Record</v>
      </c>
      <c r="AW1556" s="2" t="s">
        <v>18543</v>
      </c>
      <c r="AX1556" s="2" t="s">
        <v>18544</v>
      </c>
      <c r="AY1556" s="2" t="s">
        <v>18545</v>
      </c>
      <c r="AZ1556" s="2" t="s">
        <v>18545</v>
      </c>
      <c r="BA1556" s="2" t="s">
        <v>18546</v>
      </c>
      <c r="BB1556" s="2" t="s">
        <v>21</v>
      </c>
      <c r="BD1556" s="2" t="s">
        <v>18547</v>
      </c>
      <c r="BE1556" s="2" t="s">
        <v>18548</v>
      </c>
      <c r="BF1556" s="2" t="s">
        <v>18549</v>
      </c>
    </row>
    <row r="1557" spans="1:58" ht="41.25" customHeight="1" x14ac:dyDescent="0.25">
      <c r="A1557" s="8" t="s">
        <v>5</v>
      </c>
      <c r="B1557" s="1" t="s">
        <v>0</v>
      </c>
      <c r="C1557" s="1" t="s">
        <v>1</v>
      </c>
      <c r="D1557" s="1" t="s">
        <v>18550</v>
      </c>
      <c r="E1557" s="1" t="s">
        <v>18551</v>
      </c>
      <c r="F1557" s="1" t="s">
        <v>18552</v>
      </c>
      <c r="H1557" s="2" t="s">
        <v>5</v>
      </c>
      <c r="I1557" s="2" t="s">
        <v>6</v>
      </c>
      <c r="J1557" s="2" t="s">
        <v>5</v>
      </c>
      <c r="K1557" s="2" t="s">
        <v>16</v>
      </c>
      <c r="L1557" s="2" t="s">
        <v>7</v>
      </c>
      <c r="M1557" s="1" t="s">
        <v>18553</v>
      </c>
      <c r="N1557" s="1" t="s">
        <v>18554</v>
      </c>
      <c r="O1557" s="2" t="s">
        <v>2726</v>
      </c>
      <c r="Q1557" s="2" t="s">
        <v>11</v>
      </c>
      <c r="R1557" s="2" t="s">
        <v>78</v>
      </c>
      <c r="S1557" s="1" t="s">
        <v>18555</v>
      </c>
      <c r="T1557" s="2" t="s">
        <v>520</v>
      </c>
      <c r="U1557" s="3">
        <v>3</v>
      </c>
      <c r="V1557" s="3">
        <v>3</v>
      </c>
      <c r="W1557" s="4" t="s">
        <v>17379</v>
      </c>
      <c r="X1557" s="4" t="s">
        <v>17379</v>
      </c>
      <c r="Y1557" s="4" t="s">
        <v>15</v>
      </c>
      <c r="Z1557" s="4" t="s">
        <v>15</v>
      </c>
      <c r="AA1557" s="3">
        <v>201</v>
      </c>
      <c r="AB1557" s="3">
        <v>159</v>
      </c>
      <c r="AC1557" s="3">
        <v>270</v>
      </c>
      <c r="AD1557" s="3">
        <v>2</v>
      </c>
      <c r="AE1557" s="3">
        <v>2</v>
      </c>
      <c r="AF1557" s="3">
        <v>7</v>
      </c>
      <c r="AG1557" s="3">
        <v>11</v>
      </c>
      <c r="AH1557" s="3">
        <v>0</v>
      </c>
      <c r="AI1557" s="3">
        <v>2</v>
      </c>
      <c r="AJ1557" s="3">
        <v>3</v>
      </c>
      <c r="AK1557" s="3">
        <v>4</v>
      </c>
      <c r="AL1557" s="3">
        <v>4</v>
      </c>
      <c r="AM1557" s="3">
        <v>6</v>
      </c>
      <c r="AN1557" s="3">
        <v>1</v>
      </c>
      <c r="AO1557" s="3">
        <v>1</v>
      </c>
      <c r="AP1557" s="3">
        <v>0</v>
      </c>
      <c r="AQ1557" s="3">
        <v>0</v>
      </c>
      <c r="AR1557" s="2" t="s">
        <v>5</v>
      </c>
      <c r="AS1557" s="2" t="s">
        <v>16</v>
      </c>
      <c r="AT1557" s="5" t="str">
        <f>HYPERLINK("http://catalog.hathitrust.org/Record/001565950","HathiTrust Record")</f>
        <v>HathiTrust Record</v>
      </c>
      <c r="AU1557" s="5" t="str">
        <f>HYPERLINK("https://creighton-primo.hosted.exlibrisgroup.com/primo-explore/search?tab=default_tab&amp;search_scope=EVERYTHING&amp;vid=01CRU&amp;lang=en_US&amp;offset=0&amp;query=any,contains,991000919659702656","Catalog Record")</f>
        <v>Catalog Record</v>
      </c>
      <c r="AV1557" s="5" t="str">
        <f>HYPERLINK("http://www.worldcat.org/oclc/363894","WorldCat Record")</f>
        <v>WorldCat Record</v>
      </c>
      <c r="AW1557" s="2" t="s">
        <v>18265</v>
      </c>
      <c r="AX1557" s="2" t="s">
        <v>18556</v>
      </c>
      <c r="AY1557" s="2" t="s">
        <v>18557</v>
      </c>
      <c r="AZ1557" s="2" t="s">
        <v>18557</v>
      </c>
      <c r="BA1557" s="2" t="s">
        <v>18558</v>
      </c>
      <c r="BB1557" s="2" t="s">
        <v>21</v>
      </c>
      <c r="BD1557" s="2" t="s">
        <v>18559</v>
      </c>
      <c r="BE1557" s="2" t="s">
        <v>18560</v>
      </c>
      <c r="BF1557" s="2" t="s">
        <v>18561</v>
      </c>
    </row>
    <row r="1558" spans="1:58" ht="41.25" customHeight="1" x14ac:dyDescent="0.25">
      <c r="A1558" s="8" t="s">
        <v>5</v>
      </c>
      <c r="B1558" s="1" t="s">
        <v>0</v>
      </c>
      <c r="C1558" s="1" t="s">
        <v>1</v>
      </c>
      <c r="D1558" s="1" t="s">
        <v>18562</v>
      </c>
      <c r="E1558" s="1" t="s">
        <v>18563</v>
      </c>
      <c r="F1558" s="1" t="s">
        <v>18564</v>
      </c>
      <c r="H1558" s="2" t="s">
        <v>5</v>
      </c>
      <c r="I1558" s="2" t="s">
        <v>6</v>
      </c>
      <c r="J1558" s="2" t="s">
        <v>5</v>
      </c>
      <c r="K1558" s="2" t="s">
        <v>5</v>
      </c>
      <c r="L1558" s="2" t="s">
        <v>7</v>
      </c>
      <c r="N1558" s="1" t="s">
        <v>18565</v>
      </c>
      <c r="O1558" s="2" t="s">
        <v>1102</v>
      </c>
      <c r="Q1558" s="2" t="s">
        <v>11</v>
      </c>
      <c r="R1558" s="2" t="s">
        <v>426</v>
      </c>
      <c r="S1558" s="1" t="s">
        <v>3264</v>
      </c>
      <c r="T1558" s="2" t="s">
        <v>520</v>
      </c>
      <c r="U1558" s="3">
        <v>27</v>
      </c>
      <c r="V1558" s="3">
        <v>27</v>
      </c>
      <c r="W1558" s="4" t="s">
        <v>7855</v>
      </c>
      <c r="X1558" s="4" t="s">
        <v>7855</v>
      </c>
      <c r="Y1558" s="4" t="s">
        <v>14808</v>
      </c>
      <c r="Z1558" s="4" t="s">
        <v>14808</v>
      </c>
      <c r="AA1558" s="3">
        <v>225</v>
      </c>
      <c r="AB1558" s="3">
        <v>182</v>
      </c>
      <c r="AC1558" s="3">
        <v>189</v>
      </c>
      <c r="AD1558" s="3">
        <v>3</v>
      </c>
      <c r="AE1558" s="3">
        <v>3</v>
      </c>
      <c r="AF1558" s="3">
        <v>8</v>
      </c>
      <c r="AG1558" s="3">
        <v>8</v>
      </c>
      <c r="AH1558" s="3">
        <v>1</v>
      </c>
      <c r="AI1558" s="3">
        <v>1</v>
      </c>
      <c r="AJ1558" s="3">
        <v>3</v>
      </c>
      <c r="AK1558" s="3">
        <v>3</v>
      </c>
      <c r="AL1558" s="3">
        <v>5</v>
      </c>
      <c r="AM1558" s="3">
        <v>5</v>
      </c>
      <c r="AN1558" s="3">
        <v>1</v>
      </c>
      <c r="AO1558" s="3">
        <v>1</v>
      </c>
      <c r="AP1558" s="3">
        <v>0</v>
      </c>
      <c r="AQ1558" s="3">
        <v>0</v>
      </c>
      <c r="AR1558" s="2" t="s">
        <v>5</v>
      </c>
      <c r="AS1558" s="2" t="s">
        <v>16</v>
      </c>
      <c r="AT1558" s="5" t="str">
        <f>HYPERLINK("http://catalog.hathitrust.org/Record/000632744","HathiTrust Record")</f>
        <v>HathiTrust Record</v>
      </c>
      <c r="AU1558" s="5" t="str">
        <f>HYPERLINK("https://creighton-primo.hosted.exlibrisgroup.com/primo-explore/search?tab=default_tab&amp;search_scope=EVERYTHING&amp;vid=01CRU&amp;lang=en_US&amp;offset=0&amp;query=any,contains,991000733709702656","Catalog Record")</f>
        <v>Catalog Record</v>
      </c>
      <c r="AV1558" s="5" t="str">
        <f>HYPERLINK("http://www.worldcat.org/oclc/13580393","WorldCat Record")</f>
        <v>WorldCat Record</v>
      </c>
      <c r="AW1558" s="2" t="s">
        <v>18566</v>
      </c>
      <c r="AX1558" s="2" t="s">
        <v>18567</v>
      </c>
      <c r="AY1558" s="2" t="s">
        <v>18568</v>
      </c>
      <c r="AZ1558" s="2" t="s">
        <v>18568</v>
      </c>
      <c r="BA1558" s="2" t="s">
        <v>18569</v>
      </c>
      <c r="BB1558" s="2" t="s">
        <v>21</v>
      </c>
      <c r="BD1558" s="2" t="s">
        <v>18570</v>
      </c>
      <c r="BE1558" s="2" t="s">
        <v>18571</v>
      </c>
      <c r="BF1558" s="2" t="s">
        <v>18572</v>
      </c>
    </row>
    <row r="1559" spans="1:58" ht="41.25" customHeight="1" x14ac:dyDescent="0.25">
      <c r="A1559" s="8" t="s">
        <v>5</v>
      </c>
      <c r="B1559" s="1" t="s">
        <v>0</v>
      </c>
      <c r="C1559" s="1" t="s">
        <v>1</v>
      </c>
      <c r="D1559" s="1" t="s">
        <v>18573</v>
      </c>
      <c r="E1559" s="1" t="s">
        <v>18574</v>
      </c>
      <c r="F1559" s="1" t="s">
        <v>18575</v>
      </c>
      <c r="H1559" s="2" t="s">
        <v>5</v>
      </c>
      <c r="I1559" s="2" t="s">
        <v>6</v>
      </c>
      <c r="J1559" s="2" t="s">
        <v>5</v>
      </c>
      <c r="K1559" s="2" t="s">
        <v>16</v>
      </c>
      <c r="L1559" s="2" t="s">
        <v>7</v>
      </c>
      <c r="M1559" s="1" t="s">
        <v>18576</v>
      </c>
      <c r="N1559" s="1" t="s">
        <v>18577</v>
      </c>
      <c r="O1559" s="2" t="s">
        <v>1339</v>
      </c>
      <c r="Q1559" s="2" t="s">
        <v>11</v>
      </c>
      <c r="R1559" s="2" t="s">
        <v>426</v>
      </c>
      <c r="S1559" s="1" t="s">
        <v>18578</v>
      </c>
      <c r="T1559" s="2" t="s">
        <v>520</v>
      </c>
      <c r="U1559" s="3">
        <v>1</v>
      </c>
      <c r="V1559" s="3">
        <v>1</v>
      </c>
      <c r="W1559" s="4" t="s">
        <v>18579</v>
      </c>
      <c r="X1559" s="4" t="s">
        <v>18579</v>
      </c>
      <c r="Y1559" s="4" t="s">
        <v>7730</v>
      </c>
      <c r="Z1559" s="4" t="s">
        <v>7730</v>
      </c>
      <c r="AA1559" s="3">
        <v>151</v>
      </c>
      <c r="AB1559" s="3">
        <v>141</v>
      </c>
      <c r="AC1559" s="3">
        <v>315</v>
      </c>
      <c r="AD1559" s="3">
        <v>1</v>
      </c>
      <c r="AE1559" s="3">
        <v>2</v>
      </c>
      <c r="AF1559" s="3">
        <v>4</v>
      </c>
      <c r="AG1559" s="3">
        <v>12</v>
      </c>
      <c r="AH1559" s="3">
        <v>0</v>
      </c>
      <c r="AI1559" s="3">
        <v>4</v>
      </c>
      <c r="AJ1559" s="3">
        <v>2</v>
      </c>
      <c r="AK1559" s="3">
        <v>2</v>
      </c>
      <c r="AL1559" s="3">
        <v>3</v>
      </c>
      <c r="AM1559" s="3">
        <v>9</v>
      </c>
      <c r="AN1559" s="3">
        <v>0</v>
      </c>
      <c r="AO1559" s="3">
        <v>0</v>
      </c>
      <c r="AP1559" s="3">
        <v>0</v>
      </c>
      <c r="AQ1559" s="3">
        <v>0</v>
      </c>
      <c r="AR1559" s="2" t="s">
        <v>5</v>
      </c>
      <c r="AS1559" s="2" t="s">
        <v>16</v>
      </c>
      <c r="AT1559" s="5" t="str">
        <f>HYPERLINK("http://catalog.hathitrust.org/Record/004399542","HathiTrust Record")</f>
        <v>HathiTrust Record</v>
      </c>
      <c r="AU1559" s="5" t="str">
        <f>HYPERLINK("https://creighton-primo.hosted.exlibrisgroup.com/primo-explore/search?tab=default_tab&amp;search_scope=EVERYTHING&amp;vid=01CRU&amp;lang=en_US&amp;offset=0&amp;query=any,contains,991001415079702656","Catalog Record")</f>
        <v>Catalog Record</v>
      </c>
      <c r="AV1559" s="5" t="str">
        <f>HYPERLINK("http://www.worldcat.org/oclc/17105281","WorldCat Record")</f>
        <v>WorldCat Record</v>
      </c>
      <c r="AW1559" s="2" t="s">
        <v>18580</v>
      </c>
      <c r="AX1559" s="2" t="s">
        <v>18581</v>
      </c>
      <c r="AY1559" s="2" t="s">
        <v>18582</v>
      </c>
      <c r="AZ1559" s="2" t="s">
        <v>18582</v>
      </c>
      <c r="BA1559" s="2" t="s">
        <v>18583</v>
      </c>
      <c r="BB1559" s="2" t="s">
        <v>21</v>
      </c>
      <c r="BE1559" s="2" t="s">
        <v>18584</v>
      </c>
      <c r="BF1559" s="2" t="s">
        <v>18585</v>
      </c>
    </row>
    <row r="1560" spans="1:58" ht="41.25" customHeight="1" x14ac:dyDescent="0.25">
      <c r="A1560" s="8" t="s">
        <v>5</v>
      </c>
      <c r="B1560" s="1" t="s">
        <v>0</v>
      </c>
      <c r="C1560" s="1" t="s">
        <v>1</v>
      </c>
      <c r="D1560" s="1" t="s">
        <v>18586</v>
      </c>
      <c r="E1560" s="1" t="s">
        <v>18587</v>
      </c>
      <c r="F1560" s="1" t="s">
        <v>18588</v>
      </c>
      <c r="H1560" s="2" t="s">
        <v>5</v>
      </c>
      <c r="I1560" s="2" t="s">
        <v>6</v>
      </c>
      <c r="J1560" s="2" t="s">
        <v>5</v>
      </c>
      <c r="K1560" s="2" t="s">
        <v>5</v>
      </c>
      <c r="L1560" s="2" t="s">
        <v>7</v>
      </c>
      <c r="M1560" s="1" t="s">
        <v>18589</v>
      </c>
      <c r="N1560" s="1" t="s">
        <v>6543</v>
      </c>
      <c r="O1560" s="2" t="s">
        <v>872</v>
      </c>
      <c r="Q1560" s="2" t="s">
        <v>11</v>
      </c>
      <c r="R1560" s="2" t="s">
        <v>426</v>
      </c>
      <c r="T1560" s="2" t="s">
        <v>520</v>
      </c>
      <c r="U1560" s="3">
        <v>2</v>
      </c>
      <c r="V1560" s="3">
        <v>2</v>
      </c>
      <c r="W1560" s="4" t="s">
        <v>5455</v>
      </c>
      <c r="X1560" s="4" t="s">
        <v>5455</v>
      </c>
      <c r="Y1560" s="4" t="s">
        <v>18590</v>
      </c>
      <c r="Z1560" s="4" t="s">
        <v>18590</v>
      </c>
      <c r="AA1560" s="3">
        <v>241</v>
      </c>
      <c r="AB1560" s="3">
        <v>195</v>
      </c>
      <c r="AC1560" s="3">
        <v>281</v>
      </c>
      <c r="AD1560" s="3">
        <v>2</v>
      </c>
      <c r="AE1560" s="3">
        <v>2</v>
      </c>
      <c r="AF1560" s="3">
        <v>6</v>
      </c>
      <c r="AG1560" s="3">
        <v>9</v>
      </c>
      <c r="AH1560" s="3">
        <v>1</v>
      </c>
      <c r="AI1560" s="3">
        <v>2</v>
      </c>
      <c r="AJ1560" s="3">
        <v>3</v>
      </c>
      <c r="AK1560" s="3">
        <v>3</v>
      </c>
      <c r="AL1560" s="3">
        <v>3</v>
      </c>
      <c r="AM1560" s="3">
        <v>5</v>
      </c>
      <c r="AN1560" s="3">
        <v>1</v>
      </c>
      <c r="AO1560" s="3">
        <v>1</v>
      </c>
      <c r="AP1560" s="3">
        <v>0</v>
      </c>
      <c r="AQ1560" s="3">
        <v>0</v>
      </c>
      <c r="AR1560" s="2" t="s">
        <v>5</v>
      </c>
      <c r="AS1560" s="2" t="s">
        <v>16</v>
      </c>
      <c r="AT1560" s="5" t="str">
        <f>HYPERLINK("http://catalog.hathitrust.org/Record/002204098","HathiTrust Record")</f>
        <v>HathiTrust Record</v>
      </c>
      <c r="AU1560" s="5" t="str">
        <f>HYPERLINK("https://creighton-primo.hosted.exlibrisgroup.com/primo-explore/search?tab=default_tab&amp;search_scope=EVERYTHING&amp;vid=01CRU&amp;lang=en_US&amp;offset=0&amp;query=any,contains,991001247099702656","Catalog Record")</f>
        <v>Catalog Record</v>
      </c>
      <c r="AV1560" s="5" t="str">
        <f>HYPERLINK("http://www.worldcat.org/oclc/17675422","WorldCat Record")</f>
        <v>WorldCat Record</v>
      </c>
      <c r="AW1560" s="2" t="s">
        <v>18591</v>
      </c>
      <c r="AX1560" s="2" t="s">
        <v>18592</v>
      </c>
      <c r="AY1560" s="2" t="s">
        <v>18593</v>
      </c>
      <c r="AZ1560" s="2" t="s">
        <v>18593</v>
      </c>
      <c r="BA1560" s="2" t="s">
        <v>18594</v>
      </c>
      <c r="BB1560" s="2" t="s">
        <v>21</v>
      </c>
      <c r="BD1560" s="2" t="s">
        <v>18595</v>
      </c>
      <c r="BE1560" s="2" t="s">
        <v>18596</v>
      </c>
      <c r="BF1560" s="2" t="s">
        <v>18597</v>
      </c>
    </row>
    <row r="1561" spans="1:58" ht="41.25" customHeight="1" x14ac:dyDescent="0.25">
      <c r="A1561" s="8" t="s">
        <v>5</v>
      </c>
      <c r="B1561" s="1" t="s">
        <v>0</v>
      </c>
      <c r="C1561" s="1" t="s">
        <v>1</v>
      </c>
      <c r="D1561" s="1" t="s">
        <v>18598</v>
      </c>
      <c r="E1561" s="1" t="s">
        <v>18599</v>
      </c>
      <c r="F1561" s="1" t="s">
        <v>18600</v>
      </c>
      <c r="H1561" s="2" t="s">
        <v>5</v>
      </c>
      <c r="I1561" s="2" t="s">
        <v>6</v>
      </c>
      <c r="J1561" s="2" t="s">
        <v>5</v>
      </c>
      <c r="K1561" s="2" t="s">
        <v>5</v>
      </c>
      <c r="L1561" s="2" t="s">
        <v>7</v>
      </c>
      <c r="M1561" s="1" t="s">
        <v>18601</v>
      </c>
      <c r="N1561" s="1" t="s">
        <v>2250</v>
      </c>
      <c r="O1561" s="2" t="s">
        <v>228</v>
      </c>
      <c r="P1561" s="1" t="s">
        <v>901</v>
      </c>
      <c r="Q1561" s="2" t="s">
        <v>11</v>
      </c>
      <c r="R1561" s="2" t="s">
        <v>426</v>
      </c>
      <c r="T1561" s="2" t="s">
        <v>520</v>
      </c>
      <c r="U1561" s="3">
        <v>2</v>
      </c>
      <c r="V1561" s="3">
        <v>2</v>
      </c>
      <c r="W1561" s="4" t="s">
        <v>18602</v>
      </c>
      <c r="X1561" s="4" t="s">
        <v>18602</v>
      </c>
      <c r="Y1561" s="4" t="s">
        <v>15</v>
      </c>
      <c r="Z1561" s="4" t="s">
        <v>15</v>
      </c>
      <c r="AA1561" s="3">
        <v>342</v>
      </c>
      <c r="AB1561" s="3">
        <v>290</v>
      </c>
      <c r="AC1561" s="3">
        <v>297</v>
      </c>
      <c r="AD1561" s="3">
        <v>1</v>
      </c>
      <c r="AE1561" s="3">
        <v>1</v>
      </c>
      <c r="AF1561" s="3">
        <v>6</v>
      </c>
      <c r="AG1561" s="3">
        <v>6</v>
      </c>
      <c r="AH1561" s="3">
        <v>3</v>
      </c>
      <c r="AI1561" s="3">
        <v>3</v>
      </c>
      <c r="AJ1561" s="3">
        <v>2</v>
      </c>
      <c r="AK1561" s="3">
        <v>2</v>
      </c>
      <c r="AL1561" s="3">
        <v>4</v>
      </c>
      <c r="AM1561" s="3">
        <v>4</v>
      </c>
      <c r="AN1561" s="3">
        <v>0</v>
      </c>
      <c r="AO1561" s="3">
        <v>0</v>
      </c>
      <c r="AP1561" s="3">
        <v>0</v>
      </c>
      <c r="AQ1561" s="3">
        <v>0</v>
      </c>
      <c r="AR1561" s="2" t="s">
        <v>5</v>
      </c>
      <c r="AS1561" s="2" t="s">
        <v>16</v>
      </c>
      <c r="AT1561" s="5" t="str">
        <f>HYPERLINK("http://catalog.hathitrust.org/Record/000103720","HathiTrust Record")</f>
        <v>HathiTrust Record</v>
      </c>
      <c r="AU1561" s="5" t="str">
        <f>HYPERLINK("https://creighton-primo.hosted.exlibrisgroup.com/primo-explore/search?tab=default_tab&amp;search_scope=EVERYTHING&amp;vid=01CRU&amp;lang=en_US&amp;offset=0&amp;query=any,contains,991000919909702656","Catalog Record")</f>
        <v>Catalog Record</v>
      </c>
      <c r="AV1561" s="5" t="str">
        <f>HYPERLINK("http://www.worldcat.org/oclc/8306842","WorldCat Record")</f>
        <v>WorldCat Record</v>
      </c>
      <c r="AW1561" s="2" t="s">
        <v>18603</v>
      </c>
      <c r="AX1561" s="2" t="s">
        <v>18604</v>
      </c>
      <c r="AY1561" s="2" t="s">
        <v>18605</v>
      </c>
      <c r="AZ1561" s="2" t="s">
        <v>18605</v>
      </c>
      <c r="BA1561" s="2" t="s">
        <v>18606</v>
      </c>
      <c r="BB1561" s="2" t="s">
        <v>21</v>
      </c>
      <c r="BD1561" s="2" t="s">
        <v>18607</v>
      </c>
      <c r="BE1561" s="2" t="s">
        <v>18608</v>
      </c>
      <c r="BF1561" s="2" t="s">
        <v>18609</v>
      </c>
    </row>
    <row r="1562" spans="1:58" ht="41.25" customHeight="1" x14ac:dyDescent="0.25">
      <c r="A1562" s="8" t="s">
        <v>5</v>
      </c>
      <c r="B1562" s="1" t="s">
        <v>0</v>
      </c>
      <c r="C1562" s="1" t="s">
        <v>1</v>
      </c>
      <c r="D1562" s="1" t="s">
        <v>18610</v>
      </c>
      <c r="E1562" s="1" t="s">
        <v>18611</v>
      </c>
      <c r="F1562" s="1" t="s">
        <v>18612</v>
      </c>
      <c r="H1562" s="2" t="s">
        <v>5</v>
      </c>
      <c r="I1562" s="2" t="s">
        <v>6</v>
      </c>
      <c r="J1562" s="2" t="s">
        <v>5</v>
      </c>
      <c r="K1562" s="2" t="s">
        <v>5</v>
      </c>
      <c r="L1562" s="2" t="s">
        <v>7</v>
      </c>
      <c r="M1562" s="1" t="s">
        <v>18613</v>
      </c>
      <c r="N1562" s="1" t="s">
        <v>9760</v>
      </c>
      <c r="O1562" s="2" t="s">
        <v>888</v>
      </c>
      <c r="P1562" s="1" t="s">
        <v>1208</v>
      </c>
      <c r="Q1562" s="2" t="s">
        <v>11</v>
      </c>
      <c r="R1562" s="2" t="s">
        <v>426</v>
      </c>
      <c r="T1562" s="2" t="s">
        <v>520</v>
      </c>
      <c r="U1562" s="3">
        <v>4</v>
      </c>
      <c r="V1562" s="3">
        <v>4</v>
      </c>
      <c r="W1562" s="4" t="s">
        <v>18614</v>
      </c>
      <c r="X1562" s="4" t="s">
        <v>18614</v>
      </c>
      <c r="Y1562" s="4" t="s">
        <v>14808</v>
      </c>
      <c r="Z1562" s="4" t="s">
        <v>14808</v>
      </c>
      <c r="AA1562" s="3">
        <v>249</v>
      </c>
      <c r="AB1562" s="3">
        <v>204</v>
      </c>
      <c r="AC1562" s="3">
        <v>346</v>
      </c>
      <c r="AD1562" s="3">
        <v>2</v>
      </c>
      <c r="AE1562" s="3">
        <v>4</v>
      </c>
      <c r="AF1562" s="3">
        <v>8</v>
      </c>
      <c r="AG1562" s="3">
        <v>13</v>
      </c>
      <c r="AH1562" s="3">
        <v>3</v>
      </c>
      <c r="AI1562" s="3">
        <v>5</v>
      </c>
      <c r="AJ1562" s="3">
        <v>2</v>
      </c>
      <c r="AK1562" s="3">
        <v>2</v>
      </c>
      <c r="AL1562" s="3">
        <v>6</v>
      </c>
      <c r="AM1562" s="3">
        <v>8</v>
      </c>
      <c r="AN1562" s="3">
        <v>0</v>
      </c>
      <c r="AO1562" s="3">
        <v>2</v>
      </c>
      <c r="AP1562" s="3">
        <v>0</v>
      </c>
      <c r="AQ1562" s="3">
        <v>0</v>
      </c>
      <c r="AR1562" s="2" t="s">
        <v>5</v>
      </c>
      <c r="AS1562" s="2" t="s">
        <v>16</v>
      </c>
      <c r="AT1562" s="5" t="str">
        <f>HYPERLINK("http://catalog.hathitrust.org/Record/000325372","HathiTrust Record")</f>
        <v>HathiTrust Record</v>
      </c>
      <c r="AU1562" s="5" t="str">
        <f>HYPERLINK("https://creighton-primo.hosted.exlibrisgroup.com/primo-explore/search?tab=default_tab&amp;search_scope=EVERYTHING&amp;vid=01CRU&amp;lang=en_US&amp;offset=0&amp;query=any,contains,991000733659702656","Catalog Record")</f>
        <v>Catalog Record</v>
      </c>
      <c r="AV1562" s="5" t="str">
        <f>HYPERLINK("http://www.worldcat.org/oclc/9533560","WorldCat Record")</f>
        <v>WorldCat Record</v>
      </c>
      <c r="AW1562" s="2" t="s">
        <v>18615</v>
      </c>
      <c r="AX1562" s="2" t="s">
        <v>18616</v>
      </c>
      <c r="AY1562" s="2" t="s">
        <v>18617</v>
      </c>
      <c r="AZ1562" s="2" t="s">
        <v>18617</v>
      </c>
      <c r="BA1562" s="2" t="s">
        <v>18618</v>
      </c>
      <c r="BB1562" s="2" t="s">
        <v>21</v>
      </c>
      <c r="BD1562" s="2" t="s">
        <v>18619</v>
      </c>
      <c r="BE1562" s="2" t="s">
        <v>18620</v>
      </c>
      <c r="BF1562" s="2" t="s">
        <v>18621</v>
      </c>
    </row>
    <row r="1563" spans="1:58" ht="41.25" customHeight="1" x14ac:dyDescent="0.25">
      <c r="A1563" s="8" t="s">
        <v>5</v>
      </c>
      <c r="B1563" s="1" t="s">
        <v>0</v>
      </c>
      <c r="C1563" s="1" t="s">
        <v>1</v>
      </c>
      <c r="D1563" s="1" t="s">
        <v>18622</v>
      </c>
      <c r="E1563" s="1" t="s">
        <v>18623</v>
      </c>
      <c r="F1563" s="1" t="s">
        <v>18624</v>
      </c>
      <c r="H1563" s="2" t="s">
        <v>5</v>
      </c>
      <c r="I1563" s="2" t="s">
        <v>6</v>
      </c>
      <c r="J1563" s="2" t="s">
        <v>5</v>
      </c>
      <c r="K1563" s="2" t="s">
        <v>5</v>
      </c>
      <c r="L1563" s="2" t="s">
        <v>7</v>
      </c>
      <c r="N1563" s="1" t="s">
        <v>2250</v>
      </c>
      <c r="O1563" s="2" t="s">
        <v>228</v>
      </c>
      <c r="Q1563" s="2" t="s">
        <v>11</v>
      </c>
      <c r="R1563" s="2" t="s">
        <v>426</v>
      </c>
      <c r="T1563" s="2" t="s">
        <v>520</v>
      </c>
      <c r="U1563" s="3">
        <v>7</v>
      </c>
      <c r="V1563" s="3">
        <v>7</v>
      </c>
      <c r="W1563" s="4" t="s">
        <v>18625</v>
      </c>
      <c r="X1563" s="4" t="s">
        <v>18625</v>
      </c>
      <c r="Y1563" s="4" t="s">
        <v>15</v>
      </c>
      <c r="Z1563" s="4" t="s">
        <v>15</v>
      </c>
      <c r="AA1563" s="3">
        <v>313</v>
      </c>
      <c r="AB1563" s="3">
        <v>261</v>
      </c>
      <c r="AC1563" s="3">
        <v>268</v>
      </c>
      <c r="AD1563" s="3">
        <v>3</v>
      </c>
      <c r="AE1563" s="3">
        <v>3</v>
      </c>
      <c r="AF1563" s="3">
        <v>11</v>
      </c>
      <c r="AG1563" s="3">
        <v>11</v>
      </c>
      <c r="AH1563" s="3">
        <v>4</v>
      </c>
      <c r="AI1563" s="3">
        <v>4</v>
      </c>
      <c r="AJ1563" s="3">
        <v>3</v>
      </c>
      <c r="AK1563" s="3">
        <v>3</v>
      </c>
      <c r="AL1563" s="3">
        <v>6</v>
      </c>
      <c r="AM1563" s="3">
        <v>6</v>
      </c>
      <c r="AN1563" s="3">
        <v>1</v>
      </c>
      <c r="AO1563" s="3">
        <v>1</v>
      </c>
      <c r="AP1563" s="3">
        <v>0</v>
      </c>
      <c r="AQ1563" s="3">
        <v>0</v>
      </c>
      <c r="AR1563" s="2" t="s">
        <v>5</v>
      </c>
      <c r="AS1563" s="2" t="s">
        <v>16</v>
      </c>
      <c r="AT1563" s="5" t="str">
        <f>HYPERLINK("http://catalog.hathitrust.org/Record/000762408","HathiTrust Record")</f>
        <v>HathiTrust Record</v>
      </c>
      <c r="AU1563" s="5" t="str">
        <f>HYPERLINK("https://creighton-primo.hosted.exlibrisgroup.com/primo-explore/search?tab=default_tab&amp;search_scope=EVERYTHING&amp;vid=01CRU&amp;lang=en_US&amp;offset=0&amp;query=any,contains,991000920019702656","Catalog Record")</f>
        <v>Catalog Record</v>
      </c>
      <c r="AV1563" s="5" t="str">
        <f>HYPERLINK("http://www.worldcat.org/oclc/7773997","WorldCat Record")</f>
        <v>WorldCat Record</v>
      </c>
      <c r="AW1563" s="2" t="s">
        <v>18626</v>
      </c>
      <c r="AX1563" s="2" t="s">
        <v>18627</v>
      </c>
      <c r="AY1563" s="2" t="s">
        <v>18628</v>
      </c>
      <c r="AZ1563" s="2" t="s">
        <v>18628</v>
      </c>
      <c r="BA1563" s="2" t="s">
        <v>18629</v>
      </c>
      <c r="BB1563" s="2" t="s">
        <v>21</v>
      </c>
      <c r="BD1563" s="2" t="s">
        <v>18630</v>
      </c>
      <c r="BE1563" s="2" t="s">
        <v>18631</v>
      </c>
      <c r="BF1563" s="2" t="s">
        <v>18632</v>
      </c>
    </row>
    <row r="1564" spans="1:58" ht="41.25" customHeight="1" x14ac:dyDescent="0.25">
      <c r="A1564" s="8" t="s">
        <v>5</v>
      </c>
      <c r="B1564" s="1" t="s">
        <v>0</v>
      </c>
      <c r="C1564" s="1" t="s">
        <v>1</v>
      </c>
      <c r="D1564" s="1" t="s">
        <v>18633</v>
      </c>
      <c r="E1564" s="1" t="s">
        <v>18634</v>
      </c>
      <c r="F1564" s="1" t="s">
        <v>18635</v>
      </c>
      <c r="H1564" s="2" t="s">
        <v>5</v>
      </c>
      <c r="I1564" s="2" t="s">
        <v>6</v>
      </c>
      <c r="J1564" s="2" t="s">
        <v>5</v>
      </c>
      <c r="K1564" s="2" t="s">
        <v>5</v>
      </c>
      <c r="L1564" s="2" t="s">
        <v>7</v>
      </c>
      <c r="N1564" s="1" t="s">
        <v>18636</v>
      </c>
      <c r="O1564" s="2" t="s">
        <v>8055</v>
      </c>
      <c r="Q1564" s="2" t="s">
        <v>11</v>
      </c>
      <c r="R1564" s="2" t="s">
        <v>229</v>
      </c>
      <c r="T1564" s="2" t="s">
        <v>520</v>
      </c>
      <c r="U1564" s="3">
        <v>0</v>
      </c>
      <c r="V1564" s="3">
        <v>0</v>
      </c>
      <c r="W1564" s="4" t="s">
        <v>3391</v>
      </c>
      <c r="X1564" s="4" t="s">
        <v>3391</v>
      </c>
      <c r="Y1564" s="4" t="s">
        <v>3391</v>
      </c>
      <c r="Z1564" s="4" t="s">
        <v>3391</v>
      </c>
      <c r="AA1564" s="3">
        <v>7</v>
      </c>
      <c r="AB1564" s="3">
        <v>7</v>
      </c>
      <c r="AC1564" s="3">
        <v>7</v>
      </c>
      <c r="AD1564" s="3">
        <v>1</v>
      </c>
      <c r="AE1564" s="3">
        <v>1</v>
      </c>
      <c r="AF1564" s="3">
        <v>0</v>
      </c>
      <c r="AG1564" s="3">
        <v>0</v>
      </c>
      <c r="AH1564" s="3">
        <v>0</v>
      </c>
      <c r="AI1564" s="3">
        <v>0</v>
      </c>
      <c r="AJ1564" s="3">
        <v>0</v>
      </c>
      <c r="AK1564" s="3">
        <v>0</v>
      </c>
      <c r="AL1564" s="3">
        <v>0</v>
      </c>
      <c r="AM1564" s="3">
        <v>0</v>
      </c>
      <c r="AN1564" s="3">
        <v>0</v>
      </c>
      <c r="AO1564" s="3">
        <v>0</v>
      </c>
      <c r="AP1564" s="3">
        <v>0</v>
      </c>
      <c r="AQ1564" s="3">
        <v>0</v>
      </c>
      <c r="AR1564" s="2" t="s">
        <v>5</v>
      </c>
      <c r="AS1564" s="2" t="s">
        <v>5</v>
      </c>
      <c r="AU1564" s="5" t="str">
        <f>HYPERLINK("https://creighton-primo.hosted.exlibrisgroup.com/primo-explore/search?tab=default_tab&amp;search_scope=EVERYTHING&amp;vid=01CRU&amp;lang=en_US&amp;offset=0&amp;query=any,contains,991001344799702656","Catalog Record")</f>
        <v>Catalog Record</v>
      </c>
      <c r="AV1564" s="5" t="str">
        <f>HYPERLINK("http://www.worldcat.org/oclc/299085589","WorldCat Record")</f>
        <v>WorldCat Record</v>
      </c>
      <c r="AW1564" s="2" t="s">
        <v>18637</v>
      </c>
      <c r="AX1564" s="2" t="s">
        <v>18638</v>
      </c>
      <c r="AY1564" s="2" t="s">
        <v>18639</v>
      </c>
      <c r="AZ1564" s="2" t="s">
        <v>18639</v>
      </c>
      <c r="BA1564" s="2" t="s">
        <v>18640</v>
      </c>
      <c r="BB1564" s="2" t="s">
        <v>21</v>
      </c>
      <c r="BD1564" s="2" t="s">
        <v>18641</v>
      </c>
      <c r="BE1564" s="2" t="s">
        <v>18642</v>
      </c>
      <c r="BF1564" s="2" t="s">
        <v>18643</v>
      </c>
    </row>
    <row r="1565" spans="1:58" ht="41.25" customHeight="1" x14ac:dyDescent="0.25">
      <c r="A1565" s="8" t="s">
        <v>5</v>
      </c>
      <c r="B1565" s="1" t="s">
        <v>0</v>
      </c>
      <c r="C1565" s="1" t="s">
        <v>1</v>
      </c>
      <c r="D1565" s="1" t="s">
        <v>18644</v>
      </c>
      <c r="E1565" s="1" t="s">
        <v>18645</v>
      </c>
      <c r="F1565" s="1" t="s">
        <v>18646</v>
      </c>
      <c r="H1565" s="2" t="s">
        <v>5</v>
      </c>
      <c r="I1565" s="2" t="s">
        <v>6</v>
      </c>
      <c r="J1565" s="2" t="s">
        <v>5</v>
      </c>
      <c r="K1565" s="2" t="s">
        <v>5</v>
      </c>
      <c r="L1565" s="2" t="s">
        <v>7</v>
      </c>
      <c r="M1565" s="1" t="s">
        <v>18647</v>
      </c>
      <c r="N1565" s="1" t="s">
        <v>18648</v>
      </c>
      <c r="O1565" s="2" t="s">
        <v>393</v>
      </c>
      <c r="Q1565" s="2" t="s">
        <v>11</v>
      </c>
      <c r="R1565" s="2" t="s">
        <v>12</v>
      </c>
      <c r="T1565" s="2" t="s">
        <v>520</v>
      </c>
      <c r="U1565" s="3">
        <v>1</v>
      </c>
      <c r="V1565" s="3">
        <v>1</v>
      </c>
      <c r="W1565" s="4" t="s">
        <v>18649</v>
      </c>
      <c r="X1565" s="4" t="s">
        <v>18649</v>
      </c>
      <c r="Y1565" s="4" t="s">
        <v>15</v>
      </c>
      <c r="Z1565" s="4" t="s">
        <v>15</v>
      </c>
      <c r="AA1565" s="3">
        <v>56</v>
      </c>
      <c r="AB1565" s="3">
        <v>53</v>
      </c>
      <c r="AC1565" s="3">
        <v>61</v>
      </c>
      <c r="AD1565" s="3">
        <v>1</v>
      </c>
      <c r="AE1565" s="3">
        <v>1</v>
      </c>
      <c r="AF1565" s="3">
        <v>0</v>
      </c>
      <c r="AG1565" s="3">
        <v>0</v>
      </c>
      <c r="AH1565" s="3">
        <v>0</v>
      </c>
      <c r="AI1565" s="3">
        <v>0</v>
      </c>
      <c r="AJ1565" s="3">
        <v>0</v>
      </c>
      <c r="AK1565" s="3">
        <v>0</v>
      </c>
      <c r="AL1565" s="3">
        <v>0</v>
      </c>
      <c r="AM1565" s="3">
        <v>0</v>
      </c>
      <c r="AN1565" s="3">
        <v>0</v>
      </c>
      <c r="AO1565" s="3">
        <v>0</v>
      </c>
      <c r="AP1565" s="3">
        <v>0</v>
      </c>
      <c r="AQ1565" s="3">
        <v>0</v>
      </c>
      <c r="AR1565" s="2" t="s">
        <v>5</v>
      </c>
      <c r="AS1565" s="2" t="s">
        <v>5</v>
      </c>
      <c r="AU1565" s="5" t="str">
        <f>HYPERLINK("https://creighton-primo.hosted.exlibrisgroup.com/primo-explore/search?tab=default_tab&amp;search_scope=EVERYTHING&amp;vid=01CRU&amp;lang=en_US&amp;offset=0&amp;query=any,contains,991000920209702656","Catalog Record")</f>
        <v>Catalog Record</v>
      </c>
      <c r="AV1565" s="5" t="str">
        <f>HYPERLINK("http://www.worldcat.org/oclc/7350171","WorldCat Record")</f>
        <v>WorldCat Record</v>
      </c>
      <c r="AW1565" s="2" t="s">
        <v>18650</v>
      </c>
      <c r="AX1565" s="2" t="s">
        <v>18651</v>
      </c>
      <c r="AY1565" s="2" t="s">
        <v>18652</v>
      </c>
      <c r="AZ1565" s="2" t="s">
        <v>18652</v>
      </c>
      <c r="BA1565" s="2" t="s">
        <v>18653</v>
      </c>
      <c r="BB1565" s="2" t="s">
        <v>21</v>
      </c>
      <c r="BD1565" s="2" t="s">
        <v>18654</v>
      </c>
      <c r="BE1565" s="2" t="s">
        <v>18655</v>
      </c>
      <c r="BF1565" s="2" t="s">
        <v>18656</v>
      </c>
    </row>
    <row r="1566" spans="1:58" ht="41.25" customHeight="1" x14ac:dyDescent="0.25">
      <c r="A1566" s="8" t="s">
        <v>5</v>
      </c>
      <c r="B1566" s="1" t="s">
        <v>0</v>
      </c>
      <c r="C1566" s="1" t="s">
        <v>1</v>
      </c>
      <c r="D1566" s="1" t="s">
        <v>18657</v>
      </c>
      <c r="E1566" s="1" t="s">
        <v>18658</v>
      </c>
      <c r="F1566" s="1" t="s">
        <v>18659</v>
      </c>
      <c r="H1566" s="2" t="s">
        <v>5</v>
      </c>
      <c r="I1566" s="2" t="s">
        <v>6</v>
      </c>
      <c r="J1566" s="2" t="s">
        <v>5</v>
      </c>
      <c r="K1566" s="2" t="s">
        <v>5</v>
      </c>
      <c r="L1566" s="2" t="s">
        <v>7</v>
      </c>
      <c r="M1566" s="1" t="s">
        <v>18660</v>
      </c>
      <c r="N1566" s="1" t="s">
        <v>6455</v>
      </c>
      <c r="O1566" s="2" t="s">
        <v>393</v>
      </c>
      <c r="Q1566" s="2" t="s">
        <v>11</v>
      </c>
      <c r="R1566" s="2" t="s">
        <v>12</v>
      </c>
      <c r="T1566" s="2" t="s">
        <v>520</v>
      </c>
      <c r="U1566" s="3">
        <v>2</v>
      </c>
      <c r="V1566" s="3">
        <v>2</v>
      </c>
      <c r="W1566" s="4" t="s">
        <v>18661</v>
      </c>
      <c r="X1566" s="4" t="s">
        <v>18661</v>
      </c>
      <c r="Y1566" s="4" t="s">
        <v>14808</v>
      </c>
      <c r="Z1566" s="4" t="s">
        <v>14808</v>
      </c>
      <c r="AA1566" s="3">
        <v>151</v>
      </c>
      <c r="AB1566" s="3">
        <v>129</v>
      </c>
      <c r="AC1566" s="3">
        <v>131</v>
      </c>
      <c r="AD1566" s="3">
        <v>1</v>
      </c>
      <c r="AE1566" s="3">
        <v>1</v>
      </c>
      <c r="AF1566" s="3">
        <v>3</v>
      </c>
      <c r="AG1566" s="3">
        <v>3</v>
      </c>
      <c r="AH1566" s="3">
        <v>0</v>
      </c>
      <c r="AI1566" s="3">
        <v>0</v>
      </c>
      <c r="AJ1566" s="3">
        <v>0</v>
      </c>
      <c r="AK1566" s="3">
        <v>0</v>
      </c>
      <c r="AL1566" s="3">
        <v>3</v>
      </c>
      <c r="AM1566" s="3">
        <v>3</v>
      </c>
      <c r="AN1566" s="3">
        <v>0</v>
      </c>
      <c r="AO1566" s="3">
        <v>0</v>
      </c>
      <c r="AP1566" s="3">
        <v>0</v>
      </c>
      <c r="AQ1566" s="3">
        <v>0</v>
      </c>
      <c r="AR1566" s="2" t="s">
        <v>5</v>
      </c>
      <c r="AS1566" s="2" t="s">
        <v>16</v>
      </c>
      <c r="AT1566" s="5" t="str">
        <f>HYPERLINK("http://catalog.hathitrust.org/Record/000762625","HathiTrust Record")</f>
        <v>HathiTrust Record</v>
      </c>
      <c r="AU1566" s="5" t="str">
        <f>HYPERLINK("https://creighton-primo.hosted.exlibrisgroup.com/primo-explore/search?tab=default_tab&amp;search_scope=EVERYTHING&amp;vid=01CRU&amp;lang=en_US&amp;offset=0&amp;query=any,contains,991000733409702656","Catalog Record")</f>
        <v>Catalog Record</v>
      </c>
      <c r="AV1566" s="5" t="str">
        <f>HYPERLINK("http://www.worldcat.org/oclc/6916886","WorldCat Record")</f>
        <v>WorldCat Record</v>
      </c>
      <c r="AW1566" s="2" t="s">
        <v>18662</v>
      </c>
      <c r="AX1566" s="2" t="s">
        <v>18663</v>
      </c>
      <c r="AY1566" s="2" t="s">
        <v>18664</v>
      </c>
      <c r="AZ1566" s="2" t="s">
        <v>18664</v>
      </c>
      <c r="BA1566" s="2" t="s">
        <v>18665</v>
      </c>
      <c r="BB1566" s="2" t="s">
        <v>21</v>
      </c>
      <c r="BD1566" s="2" t="s">
        <v>18666</v>
      </c>
      <c r="BE1566" s="2" t="s">
        <v>18667</v>
      </c>
      <c r="BF1566" s="2" t="s">
        <v>18668</v>
      </c>
    </row>
    <row r="1567" spans="1:58" ht="41.25" customHeight="1" x14ac:dyDescent="0.25">
      <c r="A1567" s="8" t="s">
        <v>5</v>
      </c>
      <c r="B1567" s="1" t="s">
        <v>0</v>
      </c>
      <c r="C1567" s="1" t="s">
        <v>1</v>
      </c>
      <c r="D1567" s="1" t="s">
        <v>18669</v>
      </c>
      <c r="E1567" s="1" t="s">
        <v>18670</v>
      </c>
      <c r="F1567" s="1" t="s">
        <v>18671</v>
      </c>
      <c r="H1567" s="2" t="s">
        <v>5</v>
      </c>
      <c r="I1567" s="2" t="s">
        <v>6</v>
      </c>
      <c r="J1567" s="2" t="s">
        <v>5</v>
      </c>
      <c r="K1567" s="2" t="s">
        <v>5</v>
      </c>
      <c r="L1567" s="2" t="s">
        <v>7</v>
      </c>
      <c r="M1567" s="1" t="s">
        <v>18672</v>
      </c>
      <c r="N1567" s="1" t="s">
        <v>887</v>
      </c>
      <c r="O1567" s="2" t="s">
        <v>888</v>
      </c>
      <c r="Q1567" s="2" t="s">
        <v>11</v>
      </c>
      <c r="R1567" s="2" t="s">
        <v>2116</v>
      </c>
      <c r="T1567" s="2" t="s">
        <v>520</v>
      </c>
      <c r="U1567" s="3">
        <v>4</v>
      </c>
      <c r="V1567" s="3">
        <v>4</v>
      </c>
      <c r="W1567" s="4" t="s">
        <v>18673</v>
      </c>
      <c r="X1567" s="4" t="s">
        <v>18673</v>
      </c>
      <c r="Y1567" s="4" t="s">
        <v>14808</v>
      </c>
      <c r="Z1567" s="4" t="s">
        <v>14808</v>
      </c>
      <c r="AA1567" s="3">
        <v>138</v>
      </c>
      <c r="AB1567" s="3">
        <v>112</v>
      </c>
      <c r="AC1567" s="3">
        <v>114</v>
      </c>
      <c r="AD1567" s="3">
        <v>1</v>
      </c>
      <c r="AE1567" s="3">
        <v>1</v>
      </c>
      <c r="AF1567" s="3">
        <v>7</v>
      </c>
      <c r="AG1567" s="3">
        <v>7</v>
      </c>
      <c r="AH1567" s="3">
        <v>4</v>
      </c>
      <c r="AI1567" s="3">
        <v>4</v>
      </c>
      <c r="AJ1567" s="3">
        <v>1</v>
      </c>
      <c r="AK1567" s="3">
        <v>1</v>
      </c>
      <c r="AL1567" s="3">
        <v>2</v>
      </c>
      <c r="AM1567" s="3">
        <v>2</v>
      </c>
      <c r="AN1567" s="3">
        <v>0</v>
      </c>
      <c r="AO1567" s="3">
        <v>0</v>
      </c>
      <c r="AP1567" s="3">
        <v>0</v>
      </c>
      <c r="AQ1567" s="3">
        <v>0</v>
      </c>
      <c r="AR1567" s="2" t="s">
        <v>5</v>
      </c>
      <c r="AS1567" s="2" t="s">
        <v>16</v>
      </c>
      <c r="AT1567" s="5" t="str">
        <f>HYPERLINK("http://catalog.hathitrust.org/Record/000587663","HathiTrust Record")</f>
        <v>HathiTrust Record</v>
      </c>
      <c r="AU1567" s="5" t="str">
        <f>HYPERLINK("https://creighton-primo.hosted.exlibrisgroup.com/primo-explore/search?tab=default_tab&amp;search_scope=EVERYTHING&amp;vid=01CRU&amp;lang=en_US&amp;offset=0&amp;query=any,contains,991000733359702656","Catalog Record")</f>
        <v>Catalog Record</v>
      </c>
      <c r="AV1567" s="5" t="str">
        <f>HYPERLINK("http://www.worldcat.org/oclc/10914144","WorldCat Record")</f>
        <v>WorldCat Record</v>
      </c>
      <c r="AW1567" s="2" t="s">
        <v>18674</v>
      </c>
      <c r="AX1567" s="2" t="s">
        <v>18675</v>
      </c>
      <c r="AY1567" s="2" t="s">
        <v>18676</v>
      </c>
      <c r="AZ1567" s="2" t="s">
        <v>18676</v>
      </c>
      <c r="BA1567" s="2" t="s">
        <v>18677</v>
      </c>
      <c r="BB1567" s="2" t="s">
        <v>21</v>
      </c>
      <c r="BD1567" s="2" t="s">
        <v>18678</v>
      </c>
      <c r="BE1567" s="2" t="s">
        <v>18679</v>
      </c>
      <c r="BF1567" s="2" t="s">
        <v>18680</v>
      </c>
    </row>
    <row r="1568" spans="1:58" ht="41.25" customHeight="1" x14ac:dyDescent="0.25">
      <c r="A1568" s="8" t="s">
        <v>5</v>
      </c>
      <c r="B1568" s="1" t="s">
        <v>0</v>
      </c>
      <c r="C1568" s="1" t="s">
        <v>1</v>
      </c>
      <c r="D1568" s="1" t="s">
        <v>18681</v>
      </c>
      <c r="E1568" s="1" t="s">
        <v>18682</v>
      </c>
      <c r="F1568" s="1" t="s">
        <v>18683</v>
      </c>
      <c r="H1568" s="2" t="s">
        <v>5</v>
      </c>
      <c r="I1568" s="2" t="s">
        <v>6</v>
      </c>
      <c r="J1568" s="2" t="s">
        <v>5</v>
      </c>
      <c r="K1568" s="2" t="s">
        <v>16</v>
      </c>
      <c r="L1568" s="2" t="s">
        <v>7</v>
      </c>
      <c r="M1568" s="1" t="s">
        <v>18684</v>
      </c>
      <c r="N1568" s="1" t="s">
        <v>1233</v>
      </c>
      <c r="O1568" s="2" t="s">
        <v>136</v>
      </c>
      <c r="P1568" s="1" t="s">
        <v>901</v>
      </c>
      <c r="Q1568" s="2" t="s">
        <v>11</v>
      </c>
      <c r="R1568" s="2" t="s">
        <v>31</v>
      </c>
      <c r="T1568" s="2" t="s">
        <v>520</v>
      </c>
      <c r="U1568" s="3">
        <v>49</v>
      </c>
      <c r="V1568" s="3">
        <v>49</v>
      </c>
      <c r="W1568" s="4" t="s">
        <v>18685</v>
      </c>
      <c r="X1568" s="4" t="s">
        <v>18685</v>
      </c>
      <c r="Y1568" s="4" t="s">
        <v>4106</v>
      </c>
      <c r="Z1568" s="4" t="s">
        <v>4106</v>
      </c>
      <c r="AA1568" s="3">
        <v>289</v>
      </c>
      <c r="AB1568" s="3">
        <v>234</v>
      </c>
      <c r="AC1568" s="3">
        <v>390</v>
      </c>
      <c r="AD1568" s="3">
        <v>2</v>
      </c>
      <c r="AE1568" s="3">
        <v>2</v>
      </c>
      <c r="AF1568" s="3">
        <v>5</v>
      </c>
      <c r="AG1568" s="3">
        <v>9</v>
      </c>
      <c r="AH1568" s="3">
        <v>2</v>
      </c>
      <c r="AI1568" s="3">
        <v>4</v>
      </c>
      <c r="AJ1568" s="3">
        <v>1</v>
      </c>
      <c r="AK1568" s="3">
        <v>1</v>
      </c>
      <c r="AL1568" s="3">
        <v>3</v>
      </c>
      <c r="AM1568" s="3">
        <v>6</v>
      </c>
      <c r="AN1568" s="3">
        <v>1</v>
      </c>
      <c r="AO1568" s="3">
        <v>1</v>
      </c>
      <c r="AP1568" s="3">
        <v>0</v>
      </c>
      <c r="AQ1568" s="3">
        <v>0</v>
      </c>
      <c r="AR1568" s="2" t="s">
        <v>5</v>
      </c>
      <c r="AS1568" s="2" t="s">
        <v>16</v>
      </c>
      <c r="AT1568" s="5" t="str">
        <f>HYPERLINK("http://catalog.hathitrust.org/Record/002441497","HathiTrust Record")</f>
        <v>HathiTrust Record</v>
      </c>
      <c r="AU1568" s="5" t="str">
        <f>HYPERLINK("https://creighton-primo.hosted.exlibrisgroup.com/primo-explore/search?tab=default_tab&amp;search_scope=EVERYTHING&amp;vid=01CRU&amp;lang=en_US&amp;offset=0&amp;query=any,contains,991000817739702656","Catalog Record")</f>
        <v>Catalog Record</v>
      </c>
      <c r="AV1568" s="5" t="str">
        <f>HYPERLINK("http://www.worldcat.org/oclc/22243593","WorldCat Record")</f>
        <v>WorldCat Record</v>
      </c>
      <c r="AW1568" s="2" t="s">
        <v>18686</v>
      </c>
      <c r="AX1568" s="2" t="s">
        <v>18687</v>
      </c>
      <c r="AY1568" s="2" t="s">
        <v>18688</v>
      </c>
      <c r="AZ1568" s="2" t="s">
        <v>18688</v>
      </c>
      <c r="BA1568" s="2" t="s">
        <v>18689</v>
      </c>
      <c r="BB1568" s="2" t="s">
        <v>21</v>
      </c>
      <c r="BD1568" s="2" t="s">
        <v>18690</v>
      </c>
      <c r="BE1568" s="2" t="s">
        <v>18691</v>
      </c>
      <c r="BF1568" s="2" t="s">
        <v>18692</v>
      </c>
    </row>
    <row r="1569" spans="1:58" ht="41.25" customHeight="1" x14ac:dyDescent="0.25">
      <c r="A1569" s="8" t="s">
        <v>5</v>
      </c>
      <c r="B1569" s="1" t="s">
        <v>0</v>
      </c>
      <c r="C1569" s="1" t="s">
        <v>1</v>
      </c>
      <c r="D1569" s="1" t="s">
        <v>18693</v>
      </c>
      <c r="E1569" s="1" t="s">
        <v>18694</v>
      </c>
      <c r="F1569" s="1" t="s">
        <v>18695</v>
      </c>
      <c r="H1569" s="2" t="s">
        <v>5</v>
      </c>
      <c r="I1569" s="2" t="s">
        <v>6</v>
      </c>
      <c r="J1569" s="2" t="s">
        <v>5</v>
      </c>
      <c r="K1569" s="2" t="s">
        <v>5</v>
      </c>
      <c r="L1569" s="2" t="s">
        <v>7</v>
      </c>
      <c r="N1569" s="1" t="s">
        <v>5387</v>
      </c>
      <c r="O1569" s="2" t="s">
        <v>393</v>
      </c>
      <c r="Q1569" s="2" t="s">
        <v>11</v>
      </c>
      <c r="R1569" s="2" t="s">
        <v>426</v>
      </c>
      <c r="T1569" s="2" t="s">
        <v>520</v>
      </c>
      <c r="U1569" s="3">
        <v>0</v>
      </c>
      <c r="V1569" s="3">
        <v>0</v>
      </c>
      <c r="W1569" s="4" t="s">
        <v>18696</v>
      </c>
      <c r="X1569" s="4" t="s">
        <v>18696</v>
      </c>
      <c r="Y1569" s="4" t="s">
        <v>14808</v>
      </c>
      <c r="Z1569" s="4" t="s">
        <v>14808</v>
      </c>
      <c r="AA1569" s="3">
        <v>211</v>
      </c>
      <c r="AB1569" s="3">
        <v>171</v>
      </c>
      <c r="AC1569" s="3">
        <v>179</v>
      </c>
      <c r="AD1569" s="3">
        <v>2</v>
      </c>
      <c r="AE1569" s="3">
        <v>2</v>
      </c>
      <c r="AF1569" s="3">
        <v>3</v>
      </c>
      <c r="AG1569" s="3">
        <v>3</v>
      </c>
      <c r="AH1569" s="3">
        <v>0</v>
      </c>
      <c r="AI1569" s="3">
        <v>0</v>
      </c>
      <c r="AJ1569" s="3">
        <v>0</v>
      </c>
      <c r="AK1569" s="3">
        <v>0</v>
      </c>
      <c r="AL1569" s="3">
        <v>2</v>
      </c>
      <c r="AM1569" s="3">
        <v>2</v>
      </c>
      <c r="AN1569" s="3">
        <v>1</v>
      </c>
      <c r="AO1569" s="3">
        <v>1</v>
      </c>
      <c r="AP1569" s="3">
        <v>0</v>
      </c>
      <c r="AQ1569" s="3">
        <v>0</v>
      </c>
      <c r="AR1569" s="2" t="s">
        <v>5</v>
      </c>
      <c r="AS1569" s="2" t="s">
        <v>16</v>
      </c>
      <c r="AT1569" s="5" t="str">
        <f>HYPERLINK("http://catalog.hathitrust.org/Record/000270283","HathiTrust Record")</f>
        <v>HathiTrust Record</v>
      </c>
      <c r="AU1569" s="5" t="str">
        <f>HYPERLINK("https://creighton-primo.hosted.exlibrisgroup.com/primo-explore/search?tab=default_tab&amp;search_scope=EVERYTHING&amp;vid=01CRU&amp;lang=en_US&amp;offset=0&amp;query=any,contains,991000733159702656","Catalog Record")</f>
        <v>Catalog Record</v>
      </c>
      <c r="AV1569" s="5" t="str">
        <f>HYPERLINK("http://www.worldcat.org/oclc/7573786","WorldCat Record")</f>
        <v>WorldCat Record</v>
      </c>
      <c r="AW1569" s="2" t="s">
        <v>18697</v>
      </c>
      <c r="AX1569" s="2" t="s">
        <v>18698</v>
      </c>
      <c r="AY1569" s="2" t="s">
        <v>18699</v>
      </c>
      <c r="AZ1569" s="2" t="s">
        <v>18699</v>
      </c>
      <c r="BA1569" s="2" t="s">
        <v>18700</v>
      </c>
      <c r="BB1569" s="2" t="s">
        <v>21</v>
      </c>
      <c r="BD1569" s="2" t="s">
        <v>18701</v>
      </c>
      <c r="BE1569" s="2" t="s">
        <v>18702</v>
      </c>
      <c r="BF1569" s="2" t="s">
        <v>18703</v>
      </c>
    </row>
    <row r="1570" spans="1:58" ht="41.25" customHeight="1" x14ac:dyDescent="0.25">
      <c r="A1570" s="8" t="s">
        <v>5</v>
      </c>
      <c r="B1570" s="1" t="s">
        <v>0</v>
      </c>
      <c r="C1570" s="1" t="s">
        <v>1</v>
      </c>
      <c r="D1570" s="1" t="s">
        <v>18704</v>
      </c>
      <c r="E1570" s="1" t="s">
        <v>18705</v>
      </c>
      <c r="F1570" s="1" t="s">
        <v>18706</v>
      </c>
      <c r="H1570" s="2" t="s">
        <v>5</v>
      </c>
      <c r="I1570" s="2" t="s">
        <v>6</v>
      </c>
      <c r="J1570" s="2" t="s">
        <v>5</v>
      </c>
      <c r="K1570" s="2" t="s">
        <v>5</v>
      </c>
      <c r="L1570" s="2" t="s">
        <v>7</v>
      </c>
      <c r="M1570" s="1" t="s">
        <v>18707</v>
      </c>
      <c r="N1570" s="1" t="s">
        <v>18708</v>
      </c>
      <c r="O1570" s="2" t="s">
        <v>1339</v>
      </c>
      <c r="Q1570" s="2" t="s">
        <v>11</v>
      </c>
      <c r="R1570" s="2" t="s">
        <v>271</v>
      </c>
      <c r="T1570" s="2" t="s">
        <v>520</v>
      </c>
      <c r="U1570" s="3">
        <v>6</v>
      </c>
      <c r="V1570" s="3">
        <v>6</v>
      </c>
      <c r="W1570" s="4" t="s">
        <v>18709</v>
      </c>
      <c r="X1570" s="4" t="s">
        <v>18709</v>
      </c>
      <c r="Y1570" s="4" t="s">
        <v>6971</v>
      </c>
      <c r="Z1570" s="4" t="s">
        <v>6971</v>
      </c>
      <c r="AA1570" s="3">
        <v>289</v>
      </c>
      <c r="AB1570" s="3">
        <v>240</v>
      </c>
      <c r="AC1570" s="3">
        <v>241</v>
      </c>
      <c r="AD1570" s="3">
        <v>1</v>
      </c>
      <c r="AE1570" s="3">
        <v>1</v>
      </c>
      <c r="AF1570" s="3">
        <v>11</v>
      </c>
      <c r="AG1570" s="3">
        <v>11</v>
      </c>
      <c r="AH1570" s="3">
        <v>7</v>
      </c>
      <c r="AI1570" s="3">
        <v>7</v>
      </c>
      <c r="AJ1570" s="3">
        <v>1</v>
      </c>
      <c r="AK1570" s="3">
        <v>1</v>
      </c>
      <c r="AL1570" s="3">
        <v>7</v>
      </c>
      <c r="AM1570" s="3">
        <v>7</v>
      </c>
      <c r="AN1570" s="3">
        <v>0</v>
      </c>
      <c r="AO1570" s="3">
        <v>0</v>
      </c>
      <c r="AP1570" s="3">
        <v>0</v>
      </c>
      <c r="AQ1570" s="3">
        <v>0</v>
      </c>
      <c r="AR1570" s="2" t="s">
        <v>5</v>
      </c>
      <c r="AS1570" s="2" t="s">
        <v>5</v>
      </c>
      <c r="AU1570" s="5" t="str">
        <f>HYPERLINK("https://creighton-primo.hosted.exlibrisgroup.com/primo-explore/search?tab=default_tab&amp;search_scope=EVERYTHING&amp;vid=01CRU&amp;lang=en_US&amp;offset=0&amp;query=any,contains,991001323229702656","Catalog Record")</f>
        <v>Catalog Record</v>
      </c>
      <c r="AV1570" s="5" t="str">
        <f>HYPERLINK("http://www.worldcat.org/oclc/15196961","WorldCat Record")</f>
        <v>WorldCat Record</v>
      </c>
      <c r="AW1570" s="2" t="s">
        <v>18710</v>
      </c>
      <c r="AX1570" s="2" t="s">
        <v>18711</v>
      </c>
      <c r="AY1570" s="2" t="s">
        <v>18712</v>
      </c>
      <c r="AZ1570" s="2" t="s">
        <v>18712</v>
      </c>
      <c r="BA1570" s="2" t="s">
        <v>18713</v>
      </c>
      <c r="BB1570" s="2" t="s">
        <v>21</v>
      </c>
      <c r="BD1570" s="2" t="s">
        <v>18714</v>
      </c>
      <c r="BE1570" s="2" t="s">
        <v>18715</v>
      </c>
      <c r="BF1570" s="2" t="s">
        <v>18716</v>
      </c>
    </row>
    <row r="1571" spans="1:58" ht="41.25" customHeight="1" x14ac:dyDescent="0.25">
      <c r="A1571" s="8" t="s">
        <v>5</v>
      </c>
      <c r="B1571" s="1" t="s">
        <v>0</v>
      </c>
      <c r="C1571" s="1" t="s">
        <v>1</v>
      </c>
      <c r="D1571" s="1" t="s">
        <v>18717</v>
      </c>
      <c r="E1571" s="1" t="s">
        <v>18718</v>
      </c>
      <c r="F1571" s="1" t="s">
        <v>18719</v>
      </c>
      <c r="H1571" s="2" t="s">
        <v>5</v>
      </c>
      <c r="I1571" s="2" t="s">
        <v>6</v>
      </c>
      <c r="J1571" s="2" t="s">
        <v>5</v>
      </c>
      <c r="K1571" s="2" t="s">
        <v>16</v>
      </c>
      <c r="L1571" s="2" t="s">
        <v>7</v>
      </c>
      <c r="M1571" s="1" t="s">
        <v>18720</v>
      </c>
      <c r="N1571" s="1" t="s">
        <v>1602</v>
      </c>
      <c r="O1571" s="2" t="s">
        <v>1378</v>
      </c>
      <c r="P1571" s="1" t="s">
        <v>211</v>
      </c>
      <c r="Q1571" s="2" t="s">
        <v>11</v>
      </c>
      <c r="R1571" s="2" t="s">
        <v>31</v>
      </c>
      <c r="T1571" s="2" t="s">
        <v>520</v>
      </c>
      <c r="U1571" s="3">
        <v>6</v>
      </c>
      <c r="V1571" s="3">
        <v>6</v>
      </c>
      <c r="W1571" s="4" t="s">
        <v>1196</v>
      </c>
      <c r="X1571" s="4" t="s">
        <v>1196</v>
      </c>
      <c r="Y1571" s="4" t="s">
        <v>8914</v>
      </c>
      <c r="Z1571" s="4" t="s">
        <v>8914</v>
      </c>
      <c r="AA1571" s="3">
        <v>303</v>
      </c>
      <c r="AB1571" s="3">
        <v>235</v>
      </c>
      <c r="AC1571" s="3">
        <v>853</v>
      </c>
      <c r="AD1571" s="3">
        <v>1</v>
      </c>
      <c r="AE1571" s="3">
        <v>6</v>
      </c>
      <c r="AF1571" s="3">
        <v>6</v>
      </c>
      <c r="AG1571" s="3">
        <v>30</v>
      </c>
      <c r="AH1571" s="3">
        <v>1</v>
      </c>
      <c r="AI1571" s="3">
        <v>10</v>
      </c>
      <c r="AJ1571" s="3">
        <v>2</v>
      </c>
      <c r="AK1571" s="3">
        <v>8</v>
      </c>
      <c r="AL1571" s="3">
        <v>3</v>
      </c>
      <c r="AM1571" s="3">
        <v>13</v>
      </c>
      <c r="AN1571" s="3">
        <v>0</v>
      </c>
      <c r="AO1571" s="3">
        <v>3</v>
      </c>
      <c r="AP1571" s="3">
        <v>0</v>
      </c>
      <c r="AQ1571" s="3">
        <v>0</v>
      </c>
      <c r="AR1571" s="2" t="s">
        <v>5</v>
      </c>
      <c r="AS1571" s="2" t="s">
        <v>16</v>
      </c>
      <c r="AT1571" s="5" t="str">
        <f>HYPERLINK("http://catalog.hathitrust.org/Record/003966188","HathiTrust Record")</f>
        <v>HathiTrust Record</v>
      </c>
      <c r="AU1571" s="5" t="str">
        <f>HYPERLINK("https://creighton-primo.hosted.exlibrisgroup.com/primo-explore/search?tab=default_tab&amp;search_scope=EVERYTHING&amp;vid=01CRU&amp;lang=en_US&amp;offset=0&amp;query=any,contains,991001427179702656","Catalog Record")</f>
        <v>Catalog Record</v>
      </c>
      <c r="AV1571" s="5" t="str">
        <f>HYPERLINK("http://www.worldcat.org/oclc/37993228","WorldCat Record")</f>
        <v>WorldCat Record</v>
      </c>
      <c r="AW1571" s="2" t="s">
        <v>18721</v>
      </c>
      <c r="AX1571" s="2" t="s">
        <v>18722</v>
      </c>
      <c r="AY1571" s="2" t="s">
        <v>18723</v>
      </c>
      <c r="AZ1571" s="2" t="s">
        <v>18723</v>
      </c>
      <c r="BA1571" s="2" t="s">
        <v>18724</v>
      </c>
      <c r="BB1571" s="2" t="s">
        <v>21</v>
      </c>
      <c r="BD1571" s="2" t="s">
        <v>18725</v>
      </c>
      <c r="BE1571" s="2" t="s">
        <v>18726</v>
      </c>
      <c r="BF1571" s="2" t="s">
        <v>18727</v>
      </c>
    </row>
    <row r="1572" spans="1:58" ht="41.25" customHeight="1" x14ac:dyDescent="0.25">
      <c r="A1572" s="8" t="s">
        <v>5</v>
      </c>
      <c r="B1572" s="1" t="s">
        <v>0</v>
      </c>
      <c r="C1572" s="1" t="s">
        <v>1</v>
      </c>
      <c r="D1572" s="1" t="s">
        <v>18728</v>
      </c>
      <c r="E1572" s="1" t="s">
        <v>18729</v>
      </c>
      <c r="F1572" s="1" t="s">
        <v>18719</v>
      </c>
      <c r="H1572" s="2" t="s">
        <v>5</v>
      </c>
      <c r="I1572" s="2" t="s">
        <v>6</v>
      </c>
      <c r="J1572" s="2" t="s">
        <v>5</v>
      </c>
      <c r="K1572" s="2" t="s">
        <v>16</v>
      </c>
      <c r="L1572" s="2" t="s">
        <v>7</v>
      </c>
      <c r="M1572" s="1" t="s">
        <v>18720</v>
      </c>
      <c r="N1572" s="1" t="s">
        <v>10652</v>
      </c>
      <c r="O1572" s="2" t="s">
        <v>1046</v>
      </c>
      <c r="P1572" s="1" t="s">
        <v>901</v>
      </c>
      <c r="Q1572" s="2" t="s">
        <v>11</v>
      </c>
      <c r="R1572" s="2" t="s">
        <v>31</v>
      </c>
      <c r="T1572" s="2" t="s">
        <v>520</v>
      </c>
      <c r="U1572" s="3">
        <v>6</v>
      </c>
      <c r="V1572" s="3">
        <v>6</v>
      </c>
      <c r="W1572" s="4" t="s">
        <v>9354</v>
      </c>
      <c r="X1572" s="4" t="s">
        <v>9354</v>
      </c>
      <c r="Y1572" s="4" t="s">
        <v>18730</v>
      </c>
      <c r="Z1572" s="4" t="s">
        <v>18730</v>
      </c>
      <c r="AA1572" s="3">
        <v>434</v>
      </c>
      <c r="AB1572" s="3">
        <v>341</v>
      </c>
      <c r="AC1572" s="3">
        <v>853</v>
      </c>
      <c r="AD1572" s="3">
        <v>1</v>
      </c>
      <c r="AE1572" s="3">
        <v>6</v>
      </c>
      <c r="AF1572" s="3">
        <v>11</v>
      </c>
      <c r="AG1572" s="3">
        <v>30</v>
      </c>
      <c r="AH1572" s="3">
        <v>5</v>
      </c>
      <c r="AI1572" s="3">
        <v>10</v>
      </c>
      <c r="AJ1572" s="3">
        <v>1</v>
      </c>
      <c r="AK1572" s="3">
        <v>8</v>
      </c>
      <c r="AL1572" s="3">
        <v>6</v>
      </c>
      <c r="AM1572" s="3">
        <v>13</v>
      </c>
      <c r="AN1572" s="3">
        <v>0</v>
      </c>
      <c r="AO1572" s="3">
        <v>3</v>
      </c>
      <c r="AP1572" s="3">
        <v>0</v>
      </c>
      <c r="AQ1572" s="3">
        <v>0</v>
      </c>
      <c r="AR1572" s="2" t="s">
        <v>5</v>
      </c>
      <c r="AS1572" s="2" t="s">
        <v>16</v>
      </c>
      <c r="AT1572" s="5" t="str">
        <f>HYPERLINK("http://catalog.hathitrust.org/Record/004270215","HathiTrust Record")</f>
        <v>HathiTrust Record</v>
      </c>
      <c r="AU1572" s="5" t="str">
        <f>HYPERLINK("https://creighton-primo.hosted.exlibrisgroup.com/primo-explore/search?tab=default_tab&amp;search_scope=EVERYTHING&amp;vid=01CRU&amp;lang=en_US&amp;offset=0&amp;query=any,contains,991001718139702656","Catalog Record")</f>
        <v>Catalog Record</v>
      </c>
      <c r="AV1572" s="5" t="str">
        <f>HYPERLINK("http://www.worldcat.org/oclc/50059591","WorldCat Record")</f>
        <v>WorldCat Record</v>
      </c>
      <c r="AW1572" s="2" t="s">
        <v>18721</v>
      </c>
      <c r="AX1572" s="2" t="s">
        <v>18731</v>
      </c>
      <c r="AY1572" s="2" t="s">
        <v>18732</v>
      </c>
      <c r="AZ1572" s="2" t="s">
        <v>18732</v>
      </c>
      <c r="BA1572" s="2" t="s">
        <v>18733</v>
      </c>
      <c r="BB1572" s="2" t="s">
        <v>21</v>
      </c>
      <c r="BD1572" s="2" t="s">
        <v>18734</v>
      </c>
      <c r="BE1572" s="2" t="s">
        <v>18735</v>
      </c>
      <c r="BF1572" s="2" t="s">
        <v>18736</v>
      </c>
    </row>
    <row r="1573" spans="1:58" ht="41.25" customHeight="1" x14ac:dyDescent="0.25">
      <c r="A1573" s="8" t="s">
        <v>5</v>
      </c>
      <c r="B1573" s="1" t="s">
        <v>0</v>
      </c>
      <c r="C1573" s="1" t="s">
        <v>1</v>
      </c>
      <c r="D1573" s="1" t="s">
        <v>18737</v>
      </c>
      <c r="E1573" s="1" t="s">
        <v>18738</v>
      </c>
      <c r="F1573" s="1" t="s">
        <v>18739</v>
      </c>
      <c r="H1573" s="2" t="s">
        <v>5</v>
      </c>
      <c r="I1573" s="2" t="s">
        <v>6</v>
      </c>
      <c r="J1573" s="2" t="s">
        <v>5</v>
      </c>
      <c r="K1573" s="2" t="s">
        <v>5</v>
      </c>
      <c r="L1573" s="2" t="s">
        <v>7</v>
      </c>
      <c r="M1573" s="1" t="s">
        <v>18740</v>
      </c>
      <c r="N1573" s="1" t="s">
        <v>15927</v>
      </c>
      <c r="O1573" s="2" t="s">
        <v>151</v>
      </c>
      <c r="Q1573" s="2" t="s">
        <v>11</v>
      </c>
      <c r="R1573" s="2" t="s">
        <v>31</v>
      </c>
      <c r="T1573" s="2" t="s">
        <v>520</v>
      </c>
      <c r="U1573" s="3">
        <v>2</v>
      </c>
      <c r="V1573" s="3">
        <v>2</v>
      </c>
      <c r="W1573" s="4" t="s">
        <v>18741</v>
      </c>
      <c r="X1573" s="4" t="s">
        <v>18741</v>
      </c>
      <c r="Y1573" s="4" t="s">
        <v>49</v>
      </c>
      <c r="Z1573" s="4" t="s">
        <v>49</v>
      </c>
      <c r="AA1573" s="3">
        <v>96</v>
      </c>
      <c r="AB1573" s="3">
        <v>70</v>
      </c>
      <c r="AC1573" s="3">
        <v>72</v>
      </c>
      <c r="AD1573" s="3">
        <v>1</v>
      </c>
      <c r="AE1573" s="3">
        <v>1</v>
      </c>
      <c r="AF1573" s="3">
        <v>4</v>
      </c>
      <c r="AG1573" s="3">
        <v>4</v>
      </c>
      <c r="AH1573" s="3">
        <v>1</v>
      </c>
      <c r="AI1573" s="3">
        <v>1</v>
      </c>
      <c r="AJ1573" s="3">
        <v>0</v>
      </c>
      <c r="AK1573" s="3">
        <v>0</v>
      </c>
      <c r="AL1573" s="3">
        <v>3</v>
      </c>
      <c r="AM1573" s="3">
        <v>3</v>
      </c>
      <c r="AN1573" s="3">
        <v>0</v>
      </c>
      <c r="AO1573" s="3">
        <v>0</v>
      </c>
      <c r="AP1573" s="3">
        <v>0</v>
      </c>
      <c r="AQ1573" s="3">
        <v>0</v>
      </c>
      <c r="AR1573" s="2" t="s">
        <v>5</v>
      </c>
      <c r="AS1573" s="2" t="s">
        <v>16</v>
      </c>
      <c r="AT1573" s="5" t="str">
        <f>HYPERLINK("http://catalog.hathitrust.org/Record/001570003","HathiTrust Record")</f>
        <v>HathiTrust Record</v>
      </c>
      <c r="AU1573" s="5" t="str">
        <f>HYPERLINK("https://creighton-primo.hosted.exlibrisgroup.com/primo-explore/search?tab=default_tab&amp;search_scope=EVERYTHING&amp;vid=01CRU&amp;lang=en_US&amp;offset=0&amp;query=any,contains,991000921129702656","Catalog Record")</f>
        <v>Catalog Record</v>
      </c>
      <c r="AV1573" s="5" t="str">
        <f>HYPERLINK("http://www.worldcat.org/oclc/1056887","WorldCat Record")</f>
        <v>WorldCat Record</v>
      </c>
      <c r="AW1573" s="2" t="s">
        <v>18742</v>
      </c>
      <c r="AX1573" s="2" t="s">
        <v>18743</v>
      </c>
      <c r="AY1573" s="2" t="s">
        <v>18744</v>
      </c>
      <c r="AZ1573" s="2" t="s">
        <v>18744</v>
      </c>
      <c r="BA1573" s="2" t="s">
        <v>18745</v>
      </c>
      <c r="BB1573" s="2" t="s">
        <v>21</v>
      </c>
      <c r="BD1573" s="2" t="s">
        <v>18746</v>
      </c>
      <c r="BE1573" s="2" t="s">
        <v>18747</v>
      </c>
      <c r="BF1573" s="2" t="s">
        <v>18748</v>
      </c>
    </row>
    <row r="1574" spans="1:58" ht="41.25" customHeight="1" x14ac:dyDescent="0.25">
      <c r="A1574" s="8" t="s">
        <v>5</v>
      </c>
      <c r="B1574" s="1" t="s">
        <v>0</v>
      </c>
      <c r="C1574" s="1" t="s">
        <v>1</v>
      </c>
      <c r="D1574" s="1" t="s">
        <v>18749</v>
      </c>
      <c r="E1574" s="1" t="s">
        <v>18750</v>
      </c>
      <c r="F1574" s="1" t="s">
        <v>18751</v>
      </c>
      <c r="H1574" s="2" t="s">
        <v>5</v>
      </c>
      <c r="I1574" s="2" t="s">
        <v>6</v>
      </c>
      <c r="J1574" s="2" t="s">
        <v>5</v>
      </c>
      <c r="K1574" s="2" t="s">
        <v>5</v>
      </c>
      <c r="L1574" s="2" t="s">
        <v>7</v>
      </c>
      <c r="N1574" s="1" t="s">
        <v>18752</v>
      </c>
      <c r="O1574" s="2" t="s">
        <v>228</v>
      </c>
      <c r="Q1574" s="2" t="s">
        <v>11</v>
      </c>
      <c r="R1574" s="2" t="s">
        <v>426</v>
      </c>
      <c r="T1574" s="2" t="s">
        <v>520</v>
      </c>
      <c r="U1574" s="3">
        <v>1</v>
      </c>
      <c r="V1574" s="3">
        <v>1</v>
      </c>
      <c r="W1574" s="4" t="s">
        <v>12030</v>
      </c>
      <c r="X1574" s="4" t="s">
        <v>12030</v>
      </c>
      <c r="Y1574" s="4" t="s">
        <v>18753</v>
      </c>
      <c r="Z1574" s="4" t="s">
        <v>18753</v>
      </c>
      <c r="AA1574" s="3">
        <v>123</v>
      </c>
      <c r="AB1574" s="3">
        <v>114</v>
      </c>
      <c r="AC1574" s="3">
        <v>119</v>
      </c>
      <c r="AD1574" s="3">
        <v>1</v>
      </c>
      <c r="AE1574" s="3">
        <v>1</v>
      </c>
      <c r="AF1574" s="3">
        <v>3</v>
      </c>
      <c r="AG1574" s="3">
        <v>3</v>
      </c>
      <c r="AH1574" s="3">
        <v>0</v>
      </c>
      <c r="AI1574" s="3">
        <v>0</v>
      </c>
      <c r="AJ1574" s="3">
        <v>1</v>
      </c>
      <c r="AK1574" s="3">
        <v>1</v>
      </c>
      <c r="AL1574" s="3">
        <v>2</v>
      </c>
      <c r="AM1574" s="3">
        <v>2</v>
      </c>
      <c r="AN1574" s="3">
        <v>0</v>
      </c>
      <c r="AO1574" s="3">
        <v>0</v>
      </c>
      <c r="AP1574" s="3">
        <v>0</v>
      </c>
      <c r="AQ1574" s="3">
        <v>0</v>
      </c>
      <c r="AR1574" s="2" t="s">
        <v>5</v>
      </c>
      <c r="AS1574" s="2" t="s">
        <v>5</v>
      </c>
      <c r="AU1574" s="5" t="str">
        <f>HYPERLINK("https://creighton-primo.hosted.exlibrisgroup.com/primo-explore/search?tab=default_tab&amp;search_scope=EVERYTHING&amp;vid=01CRU&amp;lang=en_US&amp;offset=0&amp;query=any,contains,991000921199702656","Catalog Record")</f>
        <v>Catalog Record</v>
      </c>
      <c r="AV1574" s="5" t="str">
        <f>HYPERLINK("http://www.worldcat.org/oclc/7976114","WorldCat Record")</f>
        <v>WorldCat Record</v>
      </c>
      <c r="AW1574" s="2" t="s">
        <v>18754</v>
      </c>
      <c r="AX1574" s="2" t="s">
        <v>18755</v>
      </c>
      <c r="AY1574" s="2" t="s">
        <v>18756</v>
      </c>
      <c r="AZ1574" s="2" t="s">
        <v>18756</v>
      </c>
      <c r="BA1574" s="2" t="s">
        <v>18757</v>
      </c>
      <c r="BB1574" s="2" t="s">
        <v>21</v>
      </c>
      <c r="BD1574" s="2" t="s">
        <v>18758</v>
      </c>
      <c r="BE1574" s="2" t="s">
        <v>18759</v>
      </c>
      <c r="BF1574" s="2" t="s">
        <v>18760</v>
      </c>
    </row>
    <row r="1575" spans="1:58" ht="41.25" customHeight="1" x14ac:dyDescent="0.25">
      <c r="A1575" s="8" t="s">
        <v>5</v>
      </c>
      <c r="B1575" s="1" t="s">
        <v>0</v>
      </c>
      <c r="C1575" s="1" t="s">
        <v>1</v>
      </c>
      <c r="D1575" s="1" t="s">
        <v>18761</v>
      </c>
      <c r="E1575" s="1" t="s">
        <v>18762</v>
      </c>
      <c r="F1575" s="1" t="s">
        <v>18763</v>
      </c>
      <c r="H1575" s="2" t="s">
        <v>5</v>
      </c>
      <c r="I1575" s="2" t="s">
        <v>6</v>
      </c>
      <c r="J1575" s="2" t="s">
        <v>5</v>
      </c>
      <c r="K1575" s="2" t="s">
        <v>5</v>
      </c>
      <c r="L1575" s="2" t="s">
        <v>7</v>
      </c>
      <c r="N1575" s="1" t="s">
        <v>13789</v>
      </c>
      <c r="O1575" s="2" t="s">
        <v>989</v>
      </c>
      <c r="Q1575" s="2" t="s">
        <v>11</v>
      </c>
      <c r="R1575" s="2" t="s">
        <v>426</v>
      </c>
      <c r="T1575" s="2" t="s">
        <v>520</v>
      </c>
      <c r="U1575" s="3">
        <v>12</v>
      </c>
      <c r="V1575" s="3">
        <v>12</v>
      </c>
      <c r="W1575" s="4" t="s">
        <v>17697</v>
      </c>
      <c r="X1575" s="4" t="s">
        <v>17697</v>
      </c>
      <c r="Y1575" s="4" t="s">
        <v>18764</v>
      </c>
      <c r="Z1575" s="4" t="s">
        <v>18764</v>
      </c>
      <c r="AA1575" s="3">
        <v>141</v>
      </c>
      <c r="AB1575" s="3">
        <v>102</v>
      </c>
      <c r="AC1575" s="3">
        <v>179</v>
      </c>
      <c r="AD1575" s="3">
        <v>1</v>
      </c>
      <c r="AE1575" s="3">
        <v>1</v>
      </c>
      <c r="AF1575" s="3">
        <v>2</v>
      </c>
      <c r="AG1575" s="3">
        <v>5</v>
      </c>
      <c r="AH1575" s="3">
        <v>0</v>
      </c>
      <c r="AI1575" s="3">
        <v>1</v>
      </c>
      <c r="AJ1575" s="3">
        <v>1</v>
      </c>
      <c r="AK1575" s="3">
        <v>2</v>
      </c>
      <c r="AL1575" s="3">
        <v>1</v>
      </c>
      <c r="AM1575" s="3">
        <v>3</v>
      </c>
      <c r="AN1575" s="3">
        <v>0</v>
      </c>
      <c r="AO1575" s="3">
        <v>0</v>
      </c>
      <c r="AP1575" s="3">
        <v>0</v>
      </c>
      <c r="AQ1575" s="3">
        <v>0</v>
      </c>
      <c r="AR1575" s="2" t="s">
        <v>5</v>
      </c>
      <c r="AS1575" s="2" t="s">
        <v>16</v>
      </c>
      <c r="AT1575" s="5" t="str">
        <f>HYPERLINK("http://catalog.hathitrust.org/Record/002233095","HathiTrust Record")</f>
        <v>HathiTrust Record</v>
      </c>
      <c r="AU1575" s="5" t="str">
        <f>HYPERLINK("https://creighton-primo.hosted.exlibrisgroup.com/primo-explore/search?tab=default_tab&amp;search_scope=EVERYTHING&amp;vid=01CRU&amp;lang=en_US&amp;offset=0&amp;query=any,contains,991000780839702656","Catalog Record")</f>
        <v>Catalog Record</v>
      </c>
      <c r="AV1575" s="5" t="str">
        <f>HYPERLINK("http://www.worldcat.org/oclc/19264263","WorldCat Record")</f>
        <v>WorldCat Record</v>
      </c>
      <c r="AW1575" s="2" t="s">
        <v>18765</v>
      </c>
      <c r="AX1575" s="2" t="s">
        <v>18766</v>
      </c>
      <c r="AY1575" s="2" t="s">
        <v>18767</v>
      </c>
      <c r="AZ1575" s="2" t="s">
        <v>18767</v>
      </c>
      <c r="BA1575" s="2" t="s">
        <v>18768</v>
      </c>
      <c r="BB1575" s="2" t="s">
        <v>21</v>
      </c>
      <c r="BD1575" s="2" t="s">
        <v>18769</v>
      </c>
      <c r="BE1575" s="2" t="s">
        <v>18770</v>
      </c>
      <c r="BF1575" s="2" t="s">
        <v>18771</v>
      </c>
    </row>
    <row r="1576" spans="1:58" ht="41.25" customHeight="1" x14ac:dyDescent="0.25">
      <c r="A1576" s="8" t="s">
        <v>5</v>
      </c>
      <c r="B1576" s="1" t="s">
        <v>0</v>
      </c>
      <c r="C1576" s="1" t="s">
        <v>1</v>
      </c>
      <c r="D1576" s="1" t="s">
        <v>18772</v>
      </c>
      <c r="E1576" s="1" t="s">
        <v>18773</v>
      </c>
      <c r="F1576" s="1" t="s">
        <v>18774</v>
      </c>
      <c r="H1576" s="2" t="s">
        <v>5</v>
      </c>
      <c r="I1576" s="2" t="s">
        <v>6</v>
      </c>
      <c r="J1576" s="2" t="s">
        <v>5</v>
      </c>
      <c r="K1576" s="2" t="s">
        <v>5</v>
      </c>
      <c r="L1576" s="2" t="s">
        <v>7</v>
      </c>
      <c r="M1576" s="1" t="s">
        <v>7604</v>
      </c>
      <c r="N1576" s="1" t="s">
        <v>2468</v>
      </c>
      <c r="O1576" s="2" t="s">
        <v>872</v>
      </c>
      <c r="Q1576" s="2" t="s">
        <v>11</v>
      </c>
      <c r="R1576" s="2" t="s">
        <v>426</v>
      </c>
      <c r="T1576" s="2" t="s">
        <v>520</v>
      </c>
      <c r="U1576" s="3">
        <v>17</v>
      </c>
      <c r="V1576" s="3">
        <v>17</v>
      </c>
      <c r="W1576" s="4" t="s">
        <v>18775</v>
      </c>
      <c r="X1576" s="4" t="s">
        <v>18775</v>
      </c>
      <c r="Y1576" s="4" t="s">
        <v>18776</v>
      </c>
      <c r="Z1576" s="4" t="s">
        <v>18776</v>
      </c>
      <c r="AA1576" s="3">
        <v>134</v>
      </c>
      <c r="AB1576" s="3">
        <v>102</v>
      </c>
      <c r="AC1576" s="3">
        <v>102</v>
      </c>
      <c r="AD1576" s="3">
        <v>1</v>
      </c>
      <c r="AE1576" s="3">
        <v>1</v>
      </c>
      <c r="AF1576" s="3">
        <v>2</v>
      </c>
      <c r="AG1576" s="3">
        <v>2</v>
      </c>
      <c r="AH1576" s="3">
        <v>1</v>
      </c>
      <c r="AI1576" s="3">
        <v>1</v>
      </c>
      <c r="AJ1576" s="3">
        <v>0</v>
      </c>
      <c r="AK1576" s="3">
        <v>0</v>
      </c>
      <c r="AL1576" s="3">
        <v>1</v>
      </c>
      <c r="AM1576" s="3">
        <v>1</v>
      </c>
      <c r="AN1576" s="3">
        <v>0</v>
      </c>
      <c r="AO1576" s="3">
        <v>0</v>
      </c>
      <c r="AP1576" s="3">
        <v>0</v>
      </c>
      <c r="AQ1576" s="3">
        <v>0</v>
      </c>
      <c r="AR1576" s="2" t="s">
        <v>5</v>
      </c>
      <c r="AS1576" s="2" t="s">
        <v>5</v>
      </c>
      <c r="AU1576" s="5" t="str">
        <f>HYPERLINK("https://creighton-primo.hosted.exlibrisgroup.com/primo-explore/search?tab=default_tab&amp;search_scope=EVERYTHING&amp;vid=01CRU&amp;lang=en_US&amp;offset=0&amp;query=any,contains,991001315229702656","Catalog Record")</f>
        <v>Catalog Record</v>
      </c>
      <c r="AV1576" s="5" t="str">
        <f>HYPERLINK("http://www.worldcat.org/oclc/18962056","WorldCat Record")</f>
        <v>WorldCat Record</v>
      </c>
      <c r="AW1576" s="2" t="s">
        <v>18777</v>
      </c>
      <c r="AX1576" s="2" t="s">
        <v>18778</v>
      </c>
      <c r="AY1576" s="2" t="s">
        <v>18779</v>
      </c>
      <c r="AZ1576" s="2" t="s">
        <v>18779</v>
      </c>
      <c r="BA1576" s="2" t="s">
        <v>18780</v>
      </c>
      <c r="BB1576" s="2" t="s">
        <v>21</v>
      </c>
      <c r="BD1576" s="2" t="s">
        <v>18781</v>
      </c>
      <c r="BE1576" s="2" t="s">
        <v>18782</v>
      </c>
      <c r="BF1576" s="2" t="s">
        <v>18783</v>
      </c>
    </row>
    <row r="1577" spans="1:58" ht="41.25" customHeight="1" x14ac:dyDescent="0.25">
      <c r="A1577" s="8" t="s">
        <v>5</v>
      </c>
      <c r="B1577" s="1" t="s">
        <v>0</v>
      </c>
      <c r="C1577" s="1" t="s">
        <v>1</v>
      </c>
      <c r="D1577" s="1" t="s">
        <v>18784</v>
      </c>
      <c r="E1577" s="1" t="s">
        <v>18785</v>
      </c>
      <c r="F1577" s="1" t="s">
        <v>18786</v>
      </c>
      <c r="H1577" s="2" t="s">
        <v>5</v>
      </c>
      <c r="I1577" s="2" t="s">
        <v>6</v>
      </c>
      <c r="J1577" s="2" t="s">
        <v>5</v>
      </c>
      <c r="K1577" s="2" t="s">
        <v>5</v>
      </c>
      <c r="L1577" s="2" t="s">
        <v>7</v>
      </c>
      <c r="N1577" s="1" t="s">
        <v>10889</v>
      </c>
      <c r="O1577" s="2" t="s">
        <v>546</v>
      </c>
      <c r="P1577" s="1" t="s">
        <v>901</v>
      </c>
      <c r="Q1577" s="2" t="s">
        <v>11</v>
      </c>
      <c r="R1577" s="2" t="s">
        <v>78</v>
      </c>
      <c r="T1577" s="2" t="s">
        <v>520</v>
      </c>
      <c r="U1577" s="3">
        <v>71</v>
      </c>
      <c r="V1577" s="3">
        <v>71</v>
      </c>
      <c r="W1577" s="4" t="s">
        <v>18787</v>
      </c>
      <c r="X1577" s="4" t="s">
        <v>18787</v>
      </c>
      <c r="Y1577" s="4" t="s">
        <v>3095</v>
      </c>
      <c r="Z1577" s="4" t="s">
        <v>3095</v>
      </c>
      <c r="AA1577" s="3">
        <v>304</v>
      </c>
      <c r="AB1577" s="3">
        <v>240</v>
      </c>
      <c r="AC1577" s="3">
        <v>243</v>
      </c>
      <c r="AD1577" s="3">
        <v>2</v>
      </c>
      <c r="AE1577" s="3">
        <v>2</v>
      </c>
      <c r="AF1577" s="3">
        <v>9</v>
      </c>
      <c r="AG1577" s="3">
        <v>9</v>
      </c>
      <c r="AH1577" s="3">
        <v>3</v>
      </c>
      <c r="AI1577" s="3">
        <v>3</v>
      </c>
      <c r="AJ1577" s="3">
        <v>2</v>
      </c>
      <c r="AK1577" s="3">
        <v>2</v>
      </c>
      <c r="AL1577" s="3">
        <v>5</v>
      </c>
      <c r="AM1577" s="3">
        <v>5</v>
      </c>
      <c r="AN1577" s="3">
        <v>1</v>
      </c>
      <c r="AO1577" s="3">
        <v>1</v>
      </c>
      <c r="AP1577" s="3">
        <v>0</v>
      </c>
      <c r="AQ1577" s="3">
        <v>0</v>
      </c>
      <c r="AR1577" s="2" t="s">
        <v>5</v>
      </c>
      <c r="AS1577" s="2" t="s">
        <v>16</v>
      </c>
      <c r="AT1577" s="5" t="str">
        <f>HYPERLINK("http://catalog.hathitrust.org/Record/004537128","HathiTrust Record")</f>
        <v>HathiTrust Record</v>
      </c>
      <c r="AU1577" s="5" t="str">
        <f>HYPERLINK("https://creighton-primo.hosted.exlibrisgroup.com/primo-explore/search?tab=default_tab&amp;search_scope=EVERYTHING&amp;vid=01CRU&amp;lang=en_US&amp;offset=0&amp;query=any,contains,991001119269702656","Catalog Record")</f>
        <v>Catalog Record</v>
      </c>
      <c r="AV1577" s="5" t="str">
        <f>HYPERLINK("http://www.worldcat.org/oclc/28421814","WorldCat Record")</f>
        <v>WorldCat Record</v>
      </c>
      <c r="AW1577" s="2" t="s">
        <v>18788</v>
      </c>
      <c r="AX1577" s="2" t="s">
        <v>18789</v>
      </c>
      <c r="AY1577" s="2" t="s">
        <v>18790</v>
      </c>
      <c r="AZ1577" s="2" t="s">
        <v>18790</v>
      </c>
      <c r="BA1577" s="2" t="s">
        <v>18791</v>
      </c>
      <c r="BB1577" s="2" t="s">
        <v>21</v>
      </c>
      <c r="BD1577" s="2" t="s">
        <v>18792</v>
      </c>
      <c r="BE1577" s="2" t="s">
        <v>18793</v>
      </c>
      <c r="BF1577" s="2" t="s">
        <v>18794</v>
      </c>
    </row>
    <row r="1578" spans="1:58" ht="41.25" customHeight="1" x14ac:dyDescent="0.25">
      <c r="A1578" s="8" t="s">
        <v>5</v>
      </c>
      <c r="B1578" s="1" t="s">
        <v>0</v>
      </c>
      <c r="C1578" s="1" t="s">
        <v>1</v>
      </c>
      <c r="D1578" s="1" t="s">
        <v>18795</v>
      </c>
      <c r="E1578" s="1" t="s">
        <v>18796</v>
      </c>
      <c r="F1578" s="1" t="s">
        <v>18797</v>
      </c>
      <c r="H1578" s="2" t="s">
        <v>5</v>
      </c>
      <c r="I1578" s="2" t="s">
        <v>6</v>
      </c>
      <c r="J1578" s="2" t="s">
        <v>5</v>
      </c>
      <c r="K1578" s="2" t="s">
        <v>5</v>
      </c>
      <c r="L1578" s="2" t="s">
        <v>7</v>
      </c>
      <c r="M1578" s="1" t="s">
        <v>18798</v>
      </c>
      <c r="N1578" s="1" t="s">
        <v>913</v>
      </c>
      <c r="O1578" s="2" t="s">
        <v>734</v>
      </c>
      <c r="P1578" s="1" t="s">
        <v>211</v>
      </c>
      <c r="Q1578" s="2" t="s">
        <v>11</v>
      </c>
      <c r="R1578" s="2" t="s">
        <v>426</v>
      </c>
      <c r="T1578" s="2" t="s">
        <v>520</v>
      </c>
      <c r="U1578" s="3">
        <v>4</v>
      </c>
      <c r="V1578" s="3">
        <v>4</v>
      </c>
      <c r="W1578" s="4" t="s">
        <v>18799</v>
      </c>
      <c r="X1578" s="4" t="s">
        <v>18799</v>
      </c>
      <c r="Y1578" s="4" t="s">
        <v>18800</v>
      </c>
      <c r="Z1578" s="4" t="s">
        <v>18800</v>
      </c>
      <c r="AA1578" s="3">
        <v>231</v>
      </c>
      <c r="AB1578" s="3">
        <v>182</v>
      </c>
      <c r="AC1578" s="3">
        <v>285</v>
      </c>
      <c r="AD1578" s="3">
        <v>2</v>
      </c>
      <c r="AE1578" s="3">
        <v>4</v>
      </c>
      <c r="AF1578" s="3">
        <v>10</v>
      </c>
      <c r="AG1578" s="3">
        <v>13</v>
      </c>
      <c r="AH1578" s="3">
        <v>5</v>
      </c>
      <c r="AI1578" s="3">
        <v>6</v>
      </c>
      <c r="AJ1578" s="3">
        <v>1</v>
      </c>
      <c r="AK1578" s="3">
        <v>1</v>
      </c>
      <c r="AL1578" s="3">
        <v>4</v>
      </c>
      <c r="AM1578" s="3">
        <v>5</v>
      </c>
      <c r="AN1578" s="3">
        <v>1</v>
      </c>
      <c r="AO1578" s="3">
        <v>2</v>
      </c>
      <c r="AP1578" s="3">
        <v>0</v>
      </c>
      <c r="AQ1578" s="3">
        <v>0</v>
      </c>
      <c r="AR1578" s="2" t="s">
        <v>5</v>
      </c>
      <c r="AS1578" s="2" t="s">
        <v>5</v>
      </c>
      <c r="AU1578" s="5" t="str">
        <f>HYPERLINK("https://creighton-primo.hosted.exlibrisgroup.com/primo-explore/search?tab=default_tab&amp;search_scope=EVERYTHING&amp;vid=01CRU&amp;lang=en_US&amp;offset=0&amp;query=any,contains,991000732619702656","Catalog Record")</f>
        <v>Catalog Record</v>
      </c>
      <c r="AV1578" s="5" t="str">
        <f>HYPERLINK("http://www.worldcat.org/oclc/8533144","WorldCat Record")</f>
        <v>WorldCat Record</v>
      </c>
      <c r="AW1578" s="2" t="s">
        <v>18801</v>
      </c>
      <c r="AX1578" s="2" t="s">
        <v>18802</v>
      </c>
      <c r="AY1578" s="2" t="s">
        <v>18803</v>
      </c>
      <c r="AZ1578" s="2" t="s">
        <v>18803</v>
      </c>
      <c r="BA1578" s="2" t="s">
        <v>18804</v>
      </c>
      <c r="BB1578" s="2" t="s">
        <v>21</v>
      </c>
      <c r="BD1578" s="2" t="s">
        <v>18805</v>
      </c>
      <c r="BE1578" s="2" t="s">
        <v>18806</v>
      </c>
      <c r="BF1578" s="2" t="s">
        <v>18807</v>
      </c>
    </row>
    <row r="1579" spans="1:58" ht="41.25" customHeight="1" x14ac:dyDescent="0.25">
      <c r="A1579" s="8" t="s">
        <v>5</v>
      </c>
      <c r="B1579" s="1" t="s">
        <v>0</v>
      </c>
      <c r="C1579" s="1" t="s">
        <v>1</v>
      </c>
      <c r="D1579" s="1" t="s">
        <v>18808</v>
      </c>
      <c r="E1579" s="1" t="s">
        <v>18809</v>
      </c>
      <c r="F1579" s="1" t="s">
        <v>18810</v>
      </c>
      <c r="H1579" s="2" t="s">
        <v>5</v>
      </c>
      <c r="I1579" s="2" t="s">
        <v>6</v>
      </c>
      <c r="J1579" s="2" t="s">
        <v>5</v>
      </c>
      <c r="K1579" s="2" t="s">
        <v>5</v>
      </c>
      <c r="L1579" s="2" t="s">
        <v>7</v>
      </c>
      <c r="N1579" s="1" t="s">
        <v>6594</v>
      </c>
      <c r="O1579" s="2" t="s">
        <v>734</v>
      </c>
      <c r="Q1579" s="2" t="s">
        <v>11</v>
      </c>
      <c r="R1579" s="2" t="s">
        <v>426</v>
      </c>
      <c r="T1579" s="2" t="s">
        <v>520</v>
      </c>
      <c r="U1579" s="3">
        <v>4</v>
      </c>
      <c r="V1579" s="3">
        <v>4</v>
      </c>
      <c r="W1579" s="4" t="s">
        <v>18811</v>
      </c>
      <c r="X1579" s="4" t="s">
        <v>18811</v>
      </c>
      <c r="Y1579" s="4" t="s">
        <v>18753</v>
      </c>
      <c r="Z1579" s="4" t="s">
        <v>18753</v>
      </c>
      <c r="AA1579" s="3">
        <v>218</v>
      </c>
      <c r="AB1579" s="3">
        <v>184</v>
      </c>
      <c r="AC1579" s="3">
        <v>187</v>
      </c>
      <c r="AD1579" s="3">
        <v>1</v>
      </c>
      <c r="AE1579" s="3">
        <v>1</v>
      </c>
      <c r="AF1579" s="3">
        <v>5</v>
      </c>
      <c r="AG1579" s="3">
        <v>5</v>
      </c>
      <c r="AH1579" s="3">
        <v>2</v>
      </c>
      <c r="AI1579" s="3">
        <v>2</v>
      </c>
      <c r="AJ1579" s="3">
        <v>0</v>
      </c>
      <c r="AK1579" s="3">
        <v>0</v>
      </c>
      <c r="AL1579" s="3">
        <v>3</v>
      </c>
      <c r="AM1579" s="3">
        <v>3</v>
      </c>
      <c r="AN1579" s="3">
        <v>0</v>
      </c>
      <c r="AO1579" s="3">
        <v>0</v>
      </c>
      <c r="AP1579" s="3">
        <v>0</v>
      </c>
      <c r="AQ1579" s="3">
        <v>0</v>
      </c>
      <c r="AR1579" s="2" t="s">
        <v>5</v>
      </c>
      <c r="AS1579" s="2" t="s">
        <v>16</v>
      </c>
      <c r="AT1579" s="5" t="str">
        <f>HYPERLINK("http://catalog.hathitrust.org/Record/000161350","HathiTrust Record")</f>
        <v>HathiTrust Record</v>
      </c>
      <c r="AU1579" s="5" t="str">
        <f>HYPERLINK("https://creighton-primo.hosted.exlibrisgroup.com/primo-explore/search?tab=default_tab&amp;search_scope=EVERYTHING&amp;vid=01CRU&amp;lang=en_US&amp;offset=0&amp;query=any,contains,991000921499702656","Catalog Record")</f>
        <v>Catalog Record</v>
      </c>
      <c r="AV1579" s="5" t="str">
        <f>HYPERLINK("http://www.worldcat.org/oclc/9412335","WorldCat Record")</f>
        <v>WorldCat Record</v>
      </c>
      <c r="AW1579" s="2" t="s">
        <v>18812</v>
      </c>
      <c r="AX1579" s="2" t="s">
        <v>18813</v>
      </c>
      <c r="AY1579" s="2" t="s">
        <v>18814</v>
      </c>
      <c r="AZ1579" s="2" t="s">
        <v>18814</v>
      </c>
      <c r="BA1579" s="2" t="s">
        <v>18815</v>
      </c>
      <c r="BB1579" s="2" t="s">
        <v>21</v>
      </c>
      <c r="BD1579" s="2" t="s">
        <v>18816</v>
      </c>
      <c r="BE1579" s="2" t="s">
        <v>18817</v>
      </c>
      <c r="BF1579" s="2" t="s">
        <v>18818</v>
      </c>
    </row>
    <row r="1580" spans="1:58" ht="41.25" customHeight="1" x14ac:dyDescent="0.25">
      <c r="A1580" s="8" t="s">
        <v>5</v>
      </c>
      <c r="B1580" s="1" t="s">
        <v>0</v>
      </c>
      <c r="C1580" s="1" t="s">
        <v>1</v>
      </c>
      <c r="D1580" s="1" t="s">
        <v>18819</v>
      </c>
      <c r="E1580" s="1" t="s">
        <v>18820</v>
      </c>
      <c r="F1580" s="1" t="s">
        <v>18821</v>
      </c>
      <c r="H1580" s="2" t="s">
        <v>5</v>
      </c>
      <c r="I1580" s="2" t="s">
        <v>6</v>
      </c>
      <c r="J1580" s="2" t="s">
        <v>5</v>
      </c>
      <c r="K1580" s="2" t="s">
        <v>5</v>
      </c>
      <c r="L1580" s="2" t="s">
        <v>7</v>
      </c>
      <c r="N1580" s="1" t="s">
        <v>18822</v>
      </c>
      <c r="O1580" s="2" t="s">
        <v>1102</v>
      </c>
      <c r="Q1580" s="2" t="s">
        <v>11</v>
      </c>
      <c r="R1580" s="2" t="s">
        <v>1325</v>
      </c>
      <c r="T1580" s="2" t="s">
        <v>520</v>
      </c>
      <c r="U1580" s="3">
        <v>4</v>
      </c>
      <c r="V1580" s="3">
        <v>4</v>
      </c>
      <c r="W1580" s="4" t="s">
        <v>18811</v>
      </c>
      <c r="X1580" s="4" t="s">
        <v>18811</v>
      </c>
      <c r="Y1580" s="4" t="s">
        <v>18753</v>
      </c>
      <c r="Z1580" s="4" t="s">
        <v>18753</v>
      </c>
      <c r="AA1580" s="3">
        <v>164</v>
      </c>
      <c r="AB1580" s="3">
        <v>150</v>
      </c>
      <c r="AC1580" s="3">
        <v>152</v>
      </c>
      <c r="AD1580" s="3">
        <v>1</v>
      </c>
      <c r="AE1580" s="3">
        <v>1</v>
      </c>
      <c r="AF1580" s="3">
        <v>2</v>
      </c>
      <c r="AG1580" s="3">
        <v>2</v>
      </c>
      <c r="AH1580" s="3">
        <v>1</v>
      </c>
      <c r="AI1580" s="3">
        <v>1</v>
      </c>
      <c r="AJ1580" s="3">
        <v>0</v>
      </c>
      <c r="AK1580" s="3">
        <v>0</v>
      </c>
      <c r="AL1580" s="3">
        <v>1</v>
      </c>
      <c r="AM1580" s="3">
        <v>1</v>
      </c>
      <c r="AN1580" s="3">
        <v>0</v>
      </c>
      <c r="AO1580" s="3">
        <v>0</v>
      </c>
      <c r="AP1580" s="3">
        <v>0</v>
      </c>
      <c r="AQ1580" s="3">
        <v>0</v>
      </c>
      <c r="AR1580" s="2" t="s">
        <v>5</v>
      </c>
      <c r="AS1580" s="2" t="s">
        <v>16</v>
      </c>
      <c r="AT1580" s="5" t="str">
        <f>HYPERLINK("http://catalog.hathitrust.org/Record/000479012","HathiTrust Record")</f>
        <v>HathiTrust Record</v>
      </c>
      <c r="AU1580" s="5" t="str">
        <f>HYPERLINK("https://creighton-primo.hosted.exlibrisgroup.com/primo-explore/search?tab=default_tab&amp;search_scope=EVERYTHING&amp;vid=01CRU&amp;lang=en_US&amp;offset=0&amp;query=any,contains,991000921479702656","Catalog Record")</f>
        <v>Catalog Record</v>
      </c>
      <c r="AV1580" s="5" t="str">
        <f>HYPERLINK("http://www.worldcat.org/oclc/22660643","WorldCat Record")</f>
        <v>WorldCat Record</v>
      </c>
      <c r="AW1580" s="2" t="s">
        <v>18823</v>
      </c>
      <c r="AX1580" s="2" t="s">
        <v>18824</v>
      </c>
      <c r="AY1580" s="2" t="s">
        <v>18825</v>
      </c>
      <c r="AZ1580" s="2" t="s">
        <v>18825</v>
      </c>
      <c r="BA1580" s="2" t="s">
        <v>18826</v>
      </c>
      <c r="BB1580" s="2" t="s">
        <v>21</v>
      </c>
      <c r="BE1580" s="2" t="s">
        <v>18827</v>
      </c>
      <c r="BF1580" s="2" t="s">
        <v>18828</v>
      </c>
    </row>
    <row r="1581" spans="1:58" ht="41.25" customHeight="1" x14ac:dyDescent="0.25">
      <c r="A1581" s="8" t="s">
        <v>5</v>
      </c>
      <c r="B1581" s="1" t="s">
        <v>0</v>
      </c>
      <c r="C1581" s="1" t="s">
        <v>1</v>
      </c>
      <c r="D1581" s="1" t="s">
        <v>18829</v>
      </c>
      <c r="E1581" s="1" t="s">
        <v>18830</v>
      </c>
      <c r="F1581" s="1" t="s">
        <v>18831</v>
      </c>
      <c r="H1581" s="2" t="s">
        <v>5</v>
      </c>
      <c r="I1581" s="2" t="s">
        <v>6</v>
      </c>
      <c r="J1581" s="2" t="s">
        <v>5</v>
      </c>
      <c r="K1581" s="2" t="s">
        <v>5</v>
      </c>
      <c r="L1581" s="2" t="s">
        <v>7</v>
      </c>
      <c r="N1581" s="1" t="s">
        <v>18832</v>
      </c>
      <c r="O1581" s="2" t="s">
        <v>354</v>
      </c>
      <c r="Q1581" s="2" t="s">
        <v>11</v>
      </c>
      <c r="R1581" s="2" t="s">
        <v>426</v>
      </c>
      <c r="T1581" s="2" t="s">
        <v>520</v>
      </c>
      <c r="U1581" s="3">
        <v>3</v>
      </c>
      <c r="V1581" s="3">
        <v>3</v>
      </c>
      <c r="W1581" s="4" t="s">
        <v>18685</v>
      </c>
      <c r="X1581" s="4" t="s">
        <v>18685</v>
      </c>
      <c r="Y1581" s="4" t="s">
        <v>5623</v>
      </c>
      <c r="Z1581" s="4" t="s">
        <v>5623</v>
      </c>
      <c r="AA1581" s="3">
        <v>235</v>
      </c>
      <c r="AB1581" s="3">
        <v>182</v>
      </c>
      <c r="AC1581" s="3">
        <v>187</v>
      </c>
      <c r="AD1581" s="3">
        <v>1</v>
      </c>
      <c r="AE1581" s="3">
        <v>1</v>
      </c>
      <c r="AF1581" s="3">
        <v>5</v>
      </c>
      <c r="AG1581" s="3">
        <v>5</v>
      </c>
      <c r="AH1581" s="3">
        <v>2</v>
      </c>
      <c r="AI1581" s="3">
        <v>2</v>
      </c>
      <c r="AJ1581" s="3">
        <v>0</v>
      </c>
      <c r="AK1581" s="3">
        <v>0</v>
      </c>
      <c r="AL1581" s="3">
        <v>3</v>
      </c>
      <c r="AM1581" s="3">
        <v>3</v>
      </c>
      <c r="AN1581" s="3">
        <v>0</v>
      </c>
      <c r="AO1581" s="3">
        <v>0</v>
      </c>
      <c r="AP1581" s="3">
        <v>0</v>
      </c>
      <c r="AQ1581" s="3">
        <v>0</v>
      </c>
      <c r="AR1581" s="2" t="s">
        <v>5</v>
      </c>
      <c r="AS1581" s="2" t="s">
        <v>5</v>
      </c>
      <c r="AU1581" s="5" t="str">
        <f>HYPERLINK("https://creighton-primo.hosted.exlibrisgroup.com/primo-explore/search?tab=default_tab&amp;search_scope=EVERYTHING&amp;vid=01CRU&amp;lang=en_US&amp;offset=0&amp;query=any,contains,991001312239702656","Catalog Record")</f>
        <v>Catalog Record</v>
      </c>
      <c r="AV1581" s="5" t="str">
        <f>HYPERLINK("http://www.worldcat.org/oclc/5777069","WorldCat Record")</f>
        <v>WorldCat Record</v>
      </c>
      <c r="AW1581" s="2" t="s">
        <v>18833</v>
      </c>
      <c r="AX1581" s="2" t="s">
        <v>18834</v>
      </c>
      <c r="AY1581" s="2" t="s">
        <v>18835</v>
      </c>
      <c r="AZ1581" s="2" t="s">
        <v>18835</v>
      </c>
      <c r="BA1581" s="2" t="s">
        <v>18836</v>
      </c>
      <c r="BB1581" s="2" t="s">
        <v>21</v>
      </c>
      <c r="BD1581" s="2" t="s">
        <v>18837</v>
      </c>
      <c r="BE1581" s="2" t="s">
        <v>18838</v>
      </c>
      <c r="BF1581" s="2" t="s">
        <v>18839</v>
      </c>
    </row>
    <row r="1582" spans="1:58" ht="41.25" customHeight="1" x14ac:dyDescent="0.25">
      <c r="A1582" s="8" t="s">
        <v>5</v>
      </c>
      <c r="B1582" s="1" t="s">
        <v>0</v>
      </c>
      <c r="C1582" s="1" t="s">
        <v>1</v>
      </c>
      <c r="D1582" s="1" t="s">
        <v>18840</v>
      </c>
      <c r="E1582" s="1" t="s">
        <v>18841</v>
      </c>
      <c r="F1582" s="1" t="s">
        <v>18842</v>
      </c>
      <c r="H1582" s="2" t="s">
        <v>5</v>
      </c>
      <c r="I1582" s="2" t="s">
        <v>6</v>
      </c>
      <c r="J1582" s="2" t="s">
        <v>5</v>
      </c>
      <c r="K1582" s="2" t="s">
        <v>5</v>
      </c>
      <c r="L1582" s="2" t="s">
        <v>7</v>
      </c>
      <c r="N1582" s="1" t="s">
        <v>8637</v>
      </c>
      <c r="O1582" s="2" t="s">
        <v>393</v>
      </c>
      <c r="Q1582" s="2" t="s">
        <v>11</v>
      </c>
      <c r="R1582" s="2" t="s">
        <v>31</v>
      </c>
      <c r="T1582" s="2" t="s">
        <v>520</v>
      </c>
      <c r="U1582" s="3">
        <v>2</v>
      </c>
      <c r="V1582" s="3">
        <v>2</v>
      </c>
      <c r="W1582" s="4" t="s">
        <v>18843</v>
      </c>
      <c r="X1582" s="4" t="s">
        <v>18843</v>
      </c>
      <c r="Y1582" s="4" t="s">
        <v>18753</v>
      </c>
      <c r="Z1582" s="4" t="s">
        <v>18753</v>
      </c>
      <c r="AA1582" s="3">
        <v>184</v>
      </c>
      <c r="AB1582" s="3">
        <v>150</v>
      </c>
      <c r="AC1582" s="3">
        <v>157</v>
      </c>
      <c r="AD1582" s="3">
        <v>3</v>
      </c>
      <c r="AE1582" s="3">
        <v>3</v>
      </c>
      <c r="AF1582" s="3">
        <v>4</v>
      </c>
      <c r="AG1582" s="3">
        <v>4</v>
      </c>
      <c r="AH1582" s="3">
        <v>1</v>
      </c>
      <c r="AI1582" s="3">
        <v>1</v>
      </c>
      <c r="AJ1582" s="3">
        <v>0</v>
      </c>
      <c r="AK1582" s="3">
        <v>0</v>
      </c>
      <c r="AL1582" s="3">
        <v>2</v>
      </c>
      <c r="AM1582" s="3">
        <v>2</v>
      </c>
      <c r="AN1582" s="3">
        <v>1</v>
      </c>
      <c r="AO1582" s="3">
        <v>1</v>
      </c>
      <c r="AP1582" s="3">
        <v>0</v>
      </c>
      <c r="AQ1582" s="3">
        <v>0</v>
      </c>
      <c r="AR1582" s="2" t="s">
        <v>5</v>
      </c>
      <c r="AS1582" s="2" t="s">
        <v>16</v>
      </c>
      <c r="AT1582" s="5" t="str">
        <f>HYPERLINK("http://catalog.hathitrust.org/Record/000106592","HathiTrust Record")</f>
        <v>HathiTrust Record</v>
      </c>
      <c r="AU1582" s="5" t="str">
        <f>HYPERLINK("https://creighton-primo.hosted.exlibrisgroup.com/primo-explore/search?tab=default_tab&amp;search_scope=EVERYTHING&amp;vid=01CRU&amp;lang=en_US&amp;offset=0&amp;query=any,contains,991000921539702656","Catalog Record")</f>
        <v>Catalog Record</v>
      </c>
      <c r="AV1582" s="5" t="str">
        <f>HYPERLINK("http://www.worldcat.org/oclc/7172792","WorldCat Record")</f>
        <v>WorldCat Record</v>
      </c>
      <c r="AW1582" s="2" t="s">
        <v>18844</v>
      </c>
      <c r="AX1582" s="2" t="s">
        <v>18845</v>
      </c>
      <c r="AY1582" s="2" t="s">
        <v>18846</v>
      </c>
      <c r="AZ1582" s="2" t="s">
        <v>18846</v>
      </c>
      <c r="BA1582" s="2" t="s">
        <v>18847</v>
      </c>
      <c r="BB1582" s="2" t="s">
        <v>21</v>
      </c>
      <c r="BD1582" s="2" t="s">
        <v>18848</v>
      </c>
      <c r="BE1582" s="2" t="s">
        <v>18849</v>
      </c>
      <c r="BF1582" s="2" t="s">
        <v>18850</v>
      </c>
    </row>
    <row r="1583" spans="1:58" ht="41.25" customHeight="1" x14ac:dyDescent="0.25">
      <c r="A1583" s="8" t="s">
        <v>5</v>
      </c>
      <c r="B1583" s="1" t="s">
        <v>0</v>
      </c>
      <c r="C1583" s="1" t="s">
        <v>1</v>
      </c>
      <c r="D1583" s="1" t="s">
        <v>18851</v>
      </c>
      <c r="E1583" s="1" t="s">
        <v>18852</v>
      </c>
      <c r="F1583" s="1" t="s">
        <v>18853</v>
      </c>
      <c r="H1583" s="2" t="s">
        <v>5</v>
      </c>
      <c r="I1583" s="2" t="s">
        <v>6</v>
      </c>
      <c r="J1583" s="2" t="s">
        <v>5</v>
      </c>
      <c r="K1583" s="2" t="s">
        <v>16</v>
      </c>
      <c r="L1583" s="2" t="s">
        <v>7</v>
      </c>
      <c r="M1583" s="1" t="s">
        <v>18854</v>
      </c>
      <c r="N1583" s="1" t="s">
        <v>5622</v>
      </c>
      <c r="O1583" s="2" t="s">
        <v>1339</v>
      </c>
      <c r="Q1583" s="2" t="s">
        <v>11</v>
      </c>
      <c r="R1583" s="2" t="s">
        <v>426</v>
      </c>
      <c r="T1583" s="2" t="s">
        <v>520</v>
      </c>
      <c r="U1583" s="3">
        <v>8</v>
      </c>
      <c r="V1583" s="3">
        <v>8</v>
      </c>
      <c r="W1583" s="4" t="s">
        <v>18855</v>
      </c>
      <c r="X1583" s="4" t="s">
        <v>18855</v>
      </c>
      <c r="Y1583" s="4" t="s">
        <v>18753</v>
      </c>
      <c r="Z1583" s="4" t="s">
        <v>18753</v>
      </c>
      <c r="AA1583" s="3">
        <v>102</v>
      </c>
      <c r="AB1583" s="3">
        <v>76</v>
      </c>
      <c r="AC1583" s="3">
        <v>224</v>
      </c>
      <c r="AD1583" s="3">
        <v>1</v>
      </c>
      <c r="AE1583" s="3">
        <v>3</v>
      </c>
      <c r="AF1583" s="3">
        <v>1</v>
      </c>
      <c r="AG1583" s="3">
        <v>7</v>
      </c>
      <c r="AH1583" s="3">
        <v>0</v>
      </c>
      <c r="AI1583" s="3">
        <v>1</v>
      </c>
      <c r="AJ1583" s="3">
        <v>0</v>
      </c>
      <c r="AK1583" s="3">
        <v>1</v>
      </c>
      <c r="AL1583" s="3">
        <v>1</v>
      </c>
      <c r="AM1583" s="3">
        <v>4</v>
      </c>
      <c r="AN1583" s="3">
        <v>0</v>
      </c>
      <c r="AO1583" s="3">
        <v>2</v>
      </c>
      <c r="AP1583" s="3">
        <v>0</v>
      </c>
      <c r="AQ1583" s="3">
        <v>0</v>
      </c>
      <c r="AR1583" s="2" t="s">
        <v>5</v>
      </c>
      <c r="AS1583" s="2" t="s">
        <v>16</v>
      </c>
      <c r="AT1583" s="5" t="str">
        <f>HYPERLINK("http://catalog.hathitrust.org/Record/000915860","HathiTrust Record")</f>
        <v>HathiTrust Record</v>
      </c>
      <c r="AU1583" s="5" t="str">
        <f>HYPERLINK("https://creighton-primo.hosted.exlibrisgroup.com/primo-explore/search?tab=default_tab&amp;search_scope=EVERYTHING&amp;vid=01CRU&amp;lang=en_US&amp;offset=0&amp;query=any,contains,991000763919702656","Catalog Record")</f>
        <v>Catalog Record</v>
      </c>
      <c r="AV1583" s="5" t="str">
        <f>HYPERLINK("http://www.worldcat.org/oclc/14518601","WorldCat Record")</f>
        <v>WorldCat Record</v>
      </c>
      <c r="AW1583" s="2" t="s">
        <v>18856</v>
      </c>
      <c r="AX1583" s="2" t="s">
        <v>18857</v>
      </c>
      <c r="AY1583" s="2" t="s">
        <v>18858</v>
      </c>
      <c r="AZ1583" s="2" t="s">
        <v>18858</v>
      </c>
      <c r="BA1583" s="2" t="s">
        <v>18859</v>
      </c>
      <c r="BB1583" s="2" t="s">
        <v>21</v>
      </c>
      <c r="BD1583" s="2" t="s">
        <v>18860</v>
      </c>
      <c r="BE1583" s="2" t="s">
        <v>18861</v>
      </c>
      <c r="BF1583" s="2" t="s">
        <v>18862</v>
      </c>
    </row>
    <row r="1584" spans="1:58" ht="41.25" customHeight="1" x14ac:dyDescent="0.25">
      <c r="A1584" s="8" t="s">
        <v>5</v>
      </c>
      <c r="B1584" s="1" t="s">
        <v>0</v>
      </c>
      <c r="C1584" s="1" t="s">
        <v>1</v>
      </c>
      <c r="D1584" s="1" t="s">
        <v>18863</v>
      </c>
      <c r="E1584" s="1" t="s">
        <v>18864</v>
      </c>
      <c r="F1584" s="1" t="s">
        <v>18865</v>
      </c>
      <c r="H1584" s="2" t="s">
        <v>5</v>
      </c>
      <c r="I1584" s="2" t="s">
        <v>6</v>
      </c>
      <c r="J1584" s="2" t="s">
        <v>5</v>
      </c>
      <c r="K1584" s="2" t="s">
        <v>16</v>
      </c>
      <c r="L1584" s="2" t="s">
        <v>7</v>
      </c>
      <c r="M1584" s="1" t="s">
        <v>18866</v>
      </c>
      <c r="N1584" s="1" t="s">
        <v>15134</v>
      </c>
      <c r="O1584" s="2" t="s">
        <v>1339</v>
      </c>
      <c r="P1584" s="1" t="s">
        <v>18867</v>
      </c>
      <c r="Q1584" s="2" t="s">
        <v>11</v>
      </c>
      <c r="R1584" s="2" t="s">
        <v>426</v>
      </c>
      <c r="T1584" s="2" t="s">
        <v>520</v>
      </c>
      <c r="U1584" s="3">
        <v>79</v>
      </c>
      <c r="V1584" s="3">
        <v>79</v>
      </c>
      <c r="W1584" s="4" t="s">
        <v>9933</v>
      </c>
      <c r="X1584" s="4" t="s">
        <v>9933</v>
      </c>
      <c r="Y1584" s="4" t="s">
        <v>18800</v>
      </c>
      <c r="Z1584" s="4" t="s">
        <v>18800</v>
      </c>
      <c r="AA1584" s="3">
        <v>309</v>
      </c>
      <c r="AB1584" s="3">
        <v>253</v>
      </c>
      <c r="AC1584" s="3">
        <v>668</v>
      </c>
      <c r="AD1584" s="3">
        <v>3</v>
      </c>
      <c r="AE1584" s="3">
        <v>4</v>
      </c>
      <c r="AF1584" s="3">
        <v>5</v>
      </c>
      <c r="AG1584" s="3">
        <v>16</v>
      </c>
      <c r="AH1584" s="3">
        <v>2</v>
      </c>
      <c r="AI1584" s="3">
        <v>6</v>
      </c>
      <c r="AJ1584" s="3">
        <v>1</v>
      </c>
      <c r="AK1584" s="3">
        <v>5</v>
      </c>
      <c r="AL1584" s="3">
        <v>3</v>
      </c>
      <c r="AM1584" s="3">
        <v>9</v>
      </c>
      <c r="AN1584" s="3">
        <v>0</v>
      </c>
      <c r="AO1584" s="3">
        <v>0</v>
      </c>
      <c r="AP1584" s="3">
        <v>0</v>
      </c>
      <c r="AQ1584" s="3">
        <v>0</v>
      </c>
      <c r="AR1584" s="2" t="s">
        <v>5</v>
      </c>
      <c r="AS1584" s="2" t="s">
        <v>5</v>
      </c>
      <c r="AU1584" s="5" t="str">
        <f>HYPERLINK("https://creighton-primo.hosted.exlibrisgroup.com/primo-explore/search?tab=default_tab&amp;search_scope=EVERYTHING&amp;vid=01CRU&amp;lang=en_US&amp;offset=0&amp;query=any,contains,991000762129702656","Catalog Record")</f>
        <v>Catalog Record</v>
      </c>
      <c r="AV1584" s="5" t="str">
        <f>HYPERLINK("http://www.worldcat.org/oclc/14242692","WorldCat Record")</f>
        <v>WorldCat Record</v>
      </c>
      <c r="AW1584" s="2" t="s">
        <v>18868</v>
      </c>
      <c r="AX1584" s="2" t="s">
        <v>18869</v>
      </c>
      <c r="AY1584" s="2" t="s">
        <v>18870</v>
      </c>
      <c r="AZ1584" s="2" t="s">
        <v>18870</v>
      </c>
      <c r="BA1584" s="2" t="s">
        <v>18871</v>
      </c>
      <c r="BB1584" s="2" t="s">
        <v>21</v>
      </c>
      <c r="BD1584" s="2" t="s">
        <v>18872</v>
      </c>
      <c r="BE1584" s="2" t="s">
        <v>18873</v>
      </c>
      <c r="BF1584" s="2" t="s">
        <v>18874</v>
      </c>
    </row>
    <row r="1585" spans="1:58" ht="41.25" customHeight="1" x14ac:dyDescent="0.25">
      <c r="A1585" s="8" t="s">
        <v>5</v>
      </c>
      <c r="B1585" s="1" t="s">
        <v>0</v>
      </c>
      <c r="C1585" s="1" t="s">
        <v>1</v>
      </c>
      <c r="D1585" s="1" t="s">
        <v>18875</v>
      </c>
      <c r="E1585" s="1" t="s">
        <v>18876</v>
      </c>
      <c r="F1585" s="1" t="s">
        <v>18877</v>
      </c>
      <c r="H1585" s="2" t="s">
        <v>5</v>
      </c>
      <c r="I1585" s="2" t="s">
        <v>6</v>
      </c>
      <c r="J1585" s="2" t="s">
        <v>5</v>
      </c>
      <c r="K1585" s="2" t="s">
        <v>16</v>
      </c>
      <c r="L1585" s="2" t="s">
        <v>7</v>
      </c>
      <c r="M1585" s="1" t="s">
        <v>18866</v>
      </c>
      <c r="N1585" s="1" t="s">
        <v>18878</v>
      </c>
      <c r="O1585" s="2" t="s">
        <v>210</v>
      </c>
      <c r="P1585" s="1" t="s">
        <v>18879</v>
      </c>
      <c r="Q1585" s="2" t="s">
        <v>11</v>
      </c>
      <c r="R1585" s="2" t="s">
        <v>426</v>
      </c>
      <c r="T1585" s="2" t="s">
        <v>520</v>
      </c>
      <c r="U1585" s="3">
        <v>6</v>
      </c>
      <c r="V1585" s="3">
        <v>6</v>
      </c>
      <c r="W1585" s="4" t="s">
        <v>18880</v>
      </c>
      <c r="X1585" s="4" t="s">
        <v>18880</v>
      </c>
      <c r="Y1585" s="4" t="s">
        <v>3416</v>
      </c>
      <c r="Z1585" s="4" t="s">
        <v>3416</v>
      </c>
      <c r="AA1585" s="3">
        <v>293</v>
      </c>
      <c r="AB1585" s="3">
        <v>236</v>
      </c>
      <c r="AC1585" s="3">
        <v>668</v>
      </c>
      <c r="AD1585" s="3">
        <v>2</v>
      </c>
      <c r="AE1585" s="3">
        <v>4</v>
      </c>
      <c r="AF1585" s="3">
        <v>8</v>
      </c>
      <c r="AG1585" s="3">
        <v>16</v>
      </c>
      <c r="AH1585" s="3">
        <v>2</v>
      </c>
      <c r="AI1585" s="3">
        <v>6</v>
      </c>
      <c r="AJ1585" s="3">
        <v>4</v>
      </c>
      <c r="AK1585" s="3">
        <v>5</v>
      </c>
      <c r="AL1585" s="3">
        <v>3</v>
      </c>
      <c r="AM1585" s="3">
        <v>9</v>
      </c>
      <c r="AN1585" s="3">
        <v>0</v>
      </c>
      <c r="AO1585" s="3">
        <v>0</v>
      </c>
      <c r="AP1585" s="3">
        <v>0</v>
      </c>
      <c r="AQ1585" s="3">
        <v>0</v>
      </c>
      <c r="AR1585" s="2" t="s">
        <v>5</v>
      </c>
      <c r="AS1585" s="2" t="s">
        <v>16</v>
      </c>
      <c r="AT1585" s="5" t="str">
        <f>HYPERLINK("http://catalog.hathitrust.org/Record/002514531","HathiTrust Record")</f>
        <v>HathiTrust Record</v>
      </c>
      <c r="AU1585" s="5" t="str">
        <f>HYPERLINK("https://creighton-primo.hosted.exlibrisgroup.com/primo-explore/search?tab=default_tab&amp;search_scope=EVERYTHING&amp;vid=01CRU&amp;lang=en_US&amp;offset=0&amp;query=any,contains,991001302649702656","Catalog Record")</f>
        <v>Catalog Record</v>
      </c>
      <c r="AV1585" s="5" t="str">
        <f>HYPERLINK("http://www.worldcat.org/oclc/24064883","WorldCat Record")</f>
        <v>WorldCat Record</v>
      </c>
      <c r="AW1585" s="2" t="s">
        <v>18868</v>
      </c>
      <c r="AX1585" s="2" t="s">
        <v>18881</v>
      </c>
      <c r="AY1585" s="2" t="s">
        <v>18882</v>
      </c>
      <c r="AZ1585" s="2" t="s">
        <v>18882</v>
      </c>
      <c r="BA1585" s="2" t="s">
        <v>18883</v>
      </c>
      <c r="BB1585" s="2" t="s">
        <v>21</v>
      </c>
      <c r="BD1585" s="2" t="s">
        <v>18884</v>
      </c>
      <c r="BE1585" s="2" t="s">
        <v>18885</v>
      </c>
      <c r="BF1585" s="2" t="s">
        <v>18886</v>
      </c>
    </row>
    <row r="1586" spans="1:58" ht="41.25" customHeight="1" x14ac:dyDescent="0.25">
      <c r="A1586" s="8" t="s">
        <v>5</v>
      </c>
      <c r="B1586" s="1" t="s">
        <v>0</v>
      </c>
      <c r="C1586" s="1" t="s">
        <v>1</v>
      </c>
      <c r="D1586" s="1" t="s">
        <v>18887</v>
      </c>
      <c r="E1586" s="1" t="s">
        <v>18888</v>
      </c>
      <c r="F1586" s="1" t="s">
        <v>18889</v>
      </c>
      <c r="H1586" s="2" t="s">
        <v>5</v>
      </c>
      <c r="I1586" s="2" t="s">
        <v>6</v>
      </c>
      <c r="J1586" s="2" t="s">
        <v>5</v>
      </c>
      <c r="K1586" s="2" t="s">
        <v>5</v>
      </c>
      <c r="L1586" s="2" t="s">
        <v>7</v>
      </c>
      <c r="M1586" s="1" t="s">
        <v>18890</v>
      </c>
      <c r="N1586" s="1" t="s">
        <v>18891</v>
      </c>
      <c r="O1586" s="2" t="s">
        <v>1339</v>
      </c>
      <c r="Q1586" s="2" t="s">
        <v>11</v>
      </c>
      <c r="R1586" s="2" t="s">
        <v>426</v>
      </c>
      <c r="T1586" s="2" t="s">
        <v>520</v>
      </c>
      <c r="U1586" s="3">
        <v>2</v>
      </c>
      <c r="V1586" s="3">
        <v>2</v>
      </c>
      <c r="W1586" s="4" t="s">
        <v>18892</v>
      </c>
      <c r="X1586" s="4" t="s">
        <v>18892</v>
      </c>
      <c r="Y1586" s="4" t="s">
        <v>18753</v>
      </c>
      <c r="Z1586" s="4" t="s">
        <v>18753</v>
      </c>
      <c r="AA1586" s="3">
        <v>298</v>
      </c>
      <c r="AB1586" s="3">
        <v>267</v>
      </c>
      <c r="AC1586" s="3">
        <v>270</v>
      </c>
      <c r="AD1586" s="3">
        <v>2</v>
      </c>
      <c r="AE1586" s="3">
        <v>2</v>
      </c>
      <c r="AF1586" s="3">
        <v>10</v>
      </c>
      <c r="AG1586" s="3">
        <v>10</v>
      </c>
      <c r="AH1586" s="3">
        <v>3</v>
      </c>
      <c r="AI1586" s="3">
        <v>3</v>
      </c>
      <c r="AJ1586" s="3">
        <v>3</v>
      </c>
      <c r="AK1586" s="3">
        <v>3</v>
      </c>
      <c r="AL1586" s="3">
        <v>4</v>
      </c>
      <c r="AM1586" s="3">
        <v>4</v>
      </c>
      <c r="AN1586" s="3">
        <v>1</v>
      </c>
      <c r="AO1586" s="3">
        <v>1</v>
      </c>
      <c r="AP1586" s="3">
        <v>0</v>
      </c>
      <c r="AQ1586" s="3">
        <v>0</v>
      </c>
      <c r="AR1586" s="2" t="s">
        <v>5</v>
      </c>
      <c r="AS1586" s="2" t="s">
        <v>16</v>
      </c>
      <c r="AT1586" s="5" t="str">
        <f>HYPERLINK("http://catalog.hathitrust.org/Record/000805904","HathiTrust Record")</f>
        <v>HathiTrust Record</v>
      </c>
      <c r="AU1586" s="5" t="str">
        <f>HYPERLINK("https://creighton-primo.hosted.exlibrisgroup.com/primo-explore/search?tab=default_tab&amp;search_scope=EVERYTHING&amp;vid=01CRU&amp;lang=en_US&amp;offset=0&amp;query=any,contains,991000921599702656","Catalog Record")</f>
        <v>Catalog Record</v>
      </c>
      <c r="AV1586" s="5" t="str">
        <f>HYPERLINK("http://www.worldcat.org/oclc/14905302","WorldCat Record")</f>
        <v>WorldCat Record</v>
      </c>
      <c r="AW1586" s="2" t="s">
        <v>18893</v>
      </c>
      <c r="AX1586" s="2" t="s">
        <v>18894</v>
      </c>
      <c r="AY1586" s="2" t="s">
        <v>18895</v>
      </c>
      <c r="AZ1586" s="2" t="s">
        <v>18895</v>
      </c>
      <c r="BA1586" s="2" t="s">
        <v>18896</v>
      </c>
      <c r="BB1586" s="2" t="s">
        <v>21</v>
      </c>
      <c r="BD1586" s="2" t="s">
        <v>18897</v>
      </c>
      <c r="BE1586" s="2" t="s">
        <v>18898</v>
      </c>
      <c r="BF1586" s="2" t="s">
        <v>18899</v>
      </c>
    </row>
    <row r="1587" spans="1:58" ht="41.25" customHeight="1" x14ac:dyDescent="0.25">
      <c r="A1587" s="8" t="s">
        <v>5</v>
      </c>
      <c r="B1587" s="1" t="s">
        <v>0</v>
      </c>
      <c r="C1587" s="1" t="s">
        <v>1</v>
      </c>
      <c r="D1587" s="1" t="s">
        <v>18900</v>
      </c>
      <c r="E1587" s="1" t="s">
        <v>18901</v>
      </c>
      <c r="F1587" s="1" t="s">
        <v>18902</v>
      </c>
      <c r="H1587" s="2" t="s">
        <v>5</v>
      </c>
      <c r="I1587" s="2" t="s">
        <v>6</v>
      </c>
      <c r="J1587" s="2" t="s">
        <v>5</v>
      </c>
      <c r="K1587" s="2" t="s">
        <v>5</v>
      </c>
      <c r="L1587" s="2" t="s">
        <v>7</v>
      </c>
      <c r="N1587" s="1" t="s">
        <v>18903</v>
      </c>
      <c r="O1587" s="2" t="s">
        <v>393</v>
      </c>
      <c r="P1587" s="1" t="s">
        <v>211</v>
      </c>
      <c r="Q1587" s="2" t="s">
        <v>11</v>
      </c>
      <c r="R1587" s="2" t="s">
        <v>1325</v>
      </c>
      <c r="T1587" s="2" t="s">
        <v>520</v>
      </c>
      <c r="U1587" s="3">
        <v>4</v>
      </c>
      <c r="V1587" s="3">
        <v>4</v>
      </c>
      <c r="W1587" s="4" t="s">
        <v>18904</v>
      </c>
      <c r="X1587" s="4" t="s">
        <v>18904</v>
      </c>
      <c r="Y1587" s="4" t="s">
        <v>18753</v>
      </c>
      <c r="Z1587" s="4" t="s">
        <v>18753</v>
      </c>
      <c r="AA1587" s="3">
        <v>39</v>
      </c>
      <c r="AB1587" s="3">
        <v>37</v>
      </c>
      <c r="AC1587" s="3">
        <v>79</v>
      </c>
      <c r="AD1587" s="3">
        <v>1</v>
      </c>
      <c r="AE1587" s="3">
        <v>2</v>
      </c>
      <c r="AF1587" s="3">
        <v>1</v>
      </c>
      <c r="AG1587" s="3">
        <v>1</v>
      </c>
      <c r="AH1587" s="3">
        <v>0</v>
      </c>
      <c r="AI1587" s="3">
        <v>0</v>
      </c>
      <c r="AJ1587" s="3">
        <v>0</v>
      </c>
      <c r="AK1587" s="3">
        <v>0</v>
      </c>
      <c r="AL1587" s="3">
        <v>1</v>
      </c>
      <c r="AM1587" s="3">
        <v>1</v>
      </c>
      <c r="AN1587" s="3">
        <v>0</v>
      </c>
      <c r="AO1587" s="3">
        <v>0</v>
      </c>
      <c r="AP1587" s="3">
        <v>0</v>
      </c>
      <c r="AQ1587" s="3">
        <v>0</v>
      </c>
      <c r="AR1587" s="2" t="s">
        <v>5</v>
      </c>
      <c r="AS1587" s="2" t="s">
        <v>16</v>
      </c>
      <c r="AT1587" s="5" t="str">
        <f>HYPERLINK("http://catalog.hathitrust.org/Record/000243840","HathiTrust Record")</f>
        <v>HathiTrust Record</v>
      </c>
      <c r="AU1587" s="5" t="str">
        <f>HYPERLINK("https://creighton-primo.hosted.exlibrisgroup.com/primo-explore/search?tab=default_tab&amp;search_scope=EVERYTHING&amp;vid=01CRU&amp;lang=en_US&amp;offset=0&amp;query=any,contains,991000921699702656","Catalog Record")</f>
        <v>Catalog Record</v>
      </c>
      <c r="AV1587" s="5" t="str">
        <f>HYPERLINK("http://www.worldcat.org/oclc/10350001","WorldCat Record")</f>
        <v>WorldCat Record</v>
      </c>
      <c r="AW1587" s="2" t="s">
        <v>18905</v>
      </c>
      <c r="AX1587" s="2" t="s">
        <v>18906</v>
      </c>
      <c r="AY1587" s="2" t="s">
        <v>18907</v>
      </c>
      <c r="AZ1587" s="2" t="s">
        <v>18907</v>
      </c>
      <c r="BA1587" s="2" t="s">
        <v>18908</v>
      </c>
      <c r="BB1587" s="2" t="s">
        <v>21</v>
      </c>
      <c r="BE1587" s="2" t="s">
        <v>18909</v>
      </c>
      <c r="BF1587" s="2" t="s">
        <v>18910</v>
      </c>
    </row>
    <row r="1588" spans="1:58" ht="41.25" customHeight="1" x14ac:dyDescent="0.25">
      <c r="A1588" s="8" t="s">
        <v>5</v>
      </c>
      <c r="B1588" s="1" t="s">
        <v>0</v>
      </c>
      <c r="C1588" s="1" t="s">
        <v>1</v>
      </c>
      <c r="D1588" s="1" t="s">
        <v>18911</v>
      </c>
      <c r="E1588" s="1" t="s">
        <v>18912</v>
      </c>
      <c r="F1588" s="1" t="s">
        <v>18913</v>
      </c>
      <c r="H1588" s="2" t="s">
        <v>5</v>
      </c>
      <c r="I1588" s="2" t="s">
        <v>6</v>
      </c>
      <c r="J1588" s="2" t="s">
        <v>5</v>
      </c>
      <c r="K1588" s="2" t="s">
        <v>5</v>
      </c>
      <c r="L1588" s="2" t="s">
        <v>7</v>
      </c>
      <c r="M1588" s="1" t="s">
        <v>18914</v>
      </c>
      <c r="N1588" s="1" t="s">
        <v>18915</v>
      </c>
      <c r="O1588" s="2" t="s">
        <v>888</v>
      </c>
      <c r="P1588" s="1" t="s">
        <v>771</v>
      </c>
      <c r="Q1588" s="2" t="s">
        <v>11</v>
      </c>
      <c r="R1588" s="2" t="s">
        <v>426</v>
      </c>
      <c r="T1588" s="2" t="s">
        <v>520</v>
      </c>
      <c r="U1588" s="3">
        <v>2</v>
      </c>
      <c r="V1588" s="3">
        <v>2</v>
      </c>
      <c r="W1588" s="4" t="s">
        <v>18916</v>
      </c>
      <c r="X1588" s="4" t="s">
        <v>18916</v>
      </c>
      <c r="Y1588" s="4" t="s">
        <v>18800</v>
      </c>
      <c r="Z1588" s="4" t="s">
        <v>18800</v>
      </c>
      <c r="AA1588" s="3">
        <v>261</v>
      </c>
      <c r="AB1588" s="3">
        <v>211</v>
      </c>
      <c r="AC1588" s="3">
        <v>413</v>
      </c>
      <c r="AD1588" s="3">
        <v>2</v>
      </c>
      <c r="AE1588" s="3">
        <v>3</v>
      </c>
      <c r="AF1588" s="3">
        <v>4</v>
      </c>
      <c r="AG1588" s="3">
        <v>13</v>
      </c>
      <c r="AH1588" s="3">
        <v>2</v>
      </c>
      <c r="AI1588" s="3">
        <v>4</v>
      </c>
      <c r="AJ1588" s="3">
        <v>1</v>
      </c>
      <c r="AK1588" s="3">
        <v>3</v>
      </c>
      <c r="AL1588" s="3">
        <v>3</v>
      </c>
      <c r="AM1588" s="3">
        <v>9</v>
      </c>
      <c r="AN1588" s="3">
        <v>0</v>
      </c>
      <c r="AO1588" s="3">
        <v>1</v>
      </c>
      <c r="AP1588" s="3">
        <v>0</v>
      </c>
      <c r="AQ1588" s="3">
        <v>0</v>
      </c>
      <c r="AR1588" s="2" t="s">
        <v>5</v>
      </c>
      <c r="AS1588" s="2" t="s">
        <v>16</v>
      </c>
      <c r="AT1588" s="5" t="str">
        <f>HYPERLINK("http://catalog.hathitrust.org/Record/000166589","HathiTrust Record")</f>
        <v>HathiTrust Record</v>
      </c>
      <c r="AU1588" s="5" t="str">
        <f>HYPERLINK("https://creighton-primo.hosted.exlibrisgroup.com/primo-explore/search?tab=default_tab&amp;search_scope=EVERYTHING&amp;vid=01CRU&amp;lang=en_US&amp;offset=0&amp;query=any,contains,991000732799702656","Catalog Record")</f>
        <v>Catalog Record</v>
      </c>
      <c r="AV1588" s="5" t="str">
        <f>HYPERLINK("http://www.worldcat.org/oclc/10230919","WorldCat Record")</f>
        <v>WorldCat Record</v>
      </c>
      <c r="AW1588" s="2" t="s">
        <v>18917</v>
      </c>
      <c r="AX1588" s="2" t="s">
        <v>18918</v>
      </c>
      <c r="AY1588" s="2" t="s">
        <v>18919</v>
      </c>
      <c r="AZ1588" s="2" t="s">
        <v>18919</v>
      </c>
      <c r="BA1588" s="2" t="s">
        <v>18920</v>
      </c>
      <c r="BB1588" s="2" t="s">
        <v>21</v>
      </c>
      <c r="BD1588" s="2" t="s">
        <v>18921</v>
      </c>
      <c r="BE1588" s="2" t="s">
        <v>18922</v>
      </c>
      <c r="BF1588" s="2" t="s">
        <v>18923</v>
      </c>
    </row>
    <row r="1589" spans="1:58" ht="41.25" customHeight="1" x14ac:dyDescent="0.25">
      <c r="A1589" s="8" t="s">
        <v>5</v>
      </c>
      <c r="B1589" s="1" t="s">
        <v>0</v>
      </c>
      <c r="C1589" s="1" t="s">
        <v>1</v>
      </c>
      <c r="D1589" s="1" t="s">
        <v>18924</v>
      </c>
      <c r="E1589" s="1" t="s">
        <v>18925</v>
      </c>
      <c r="F1589" s="1" t="s">
        <v>18926</v>
      </c>
      <c r="H1589" s="2" t="s">
        <v>5</v>
      </c>
      <c r="I1589" s="2" t="s">
        <v>6</v>
      </c>
      <c r="J1589" s="2" t="s">
        <v>5</v>
      </c>
      <c r="K1589" s="2" t="s">
        <v>5</v>
      </c>
      <c r="L1589" s="2" t="s">
        <v>7</v>
      </c>
      <c r="N1589" s="1" t="s">
        <v>6384</v>
      </c>
      <c r="O1589" s="2" t="s">
        <v>1004</v>
      </c>
      <c r="P1589" s="1" t="s">
        <v>211</v>
      </c>
      <c r="Q1589" s="2" t="s">
        <v>11</v>
      </c>
      <c r="R1589" s="2" t="s">
        <v>78</v>
      </c>
      <c r="T1589" s="2" t="s">
        <v>520</v>
      </c>
      <c r="U1589" s="3">
        <v>1</v>
      </c>
      <c r="V1589" s="3">
        <v>1</v>
      </c>
      <c r="W1589" s="4" t="s">
        <v>9354</v>
      </c>
      <c r="X1589" s="4" t="s">
        <v>9354</v>
      </c>
      <c r="Y1589" s="4" t="s">
        <v>5117</v>
      </c>
      <c r="Z1589" s="4" t="s">
        <v>5117</v>
      </c>
      <c r="AA1589" s="3">
        <v>329</v>
      </c>
      <c r="AB1589" s="3">
        <v>268</v>
      </c>
      <c r="AC1589" s="3">
        <v>268</v>
      </c>
      <c r="AD1589" s="3">
        <v>2</v>
      </c>
      <c r="AE1589" s="3">
        <v>2</v>
      </c>
      <c r="AF1589" s="3">
        <v>10</v>
      </c>
      <c r="AG1589" s="3">
        <v>10</v>
      </c>
      <c r="AH1589" s="3">
        <v>4</v>
      </c>
      <c r="AI1589" s="3">
        <v>4</v>
      </c>
      <c r="AJ1589" s="3">
        <v>2</v>
      </c>
      <c r="AK1589" s="3">
        <v>2</v>
      </c>
      <c r="AL1589" s="3">
        <v>4</v>
      </c>
      <c r="AM1589" s="3">
        <v>4</v>
      </c>
      <c r="AN1589" s="3">
        <v>1</v>
      </c>
      <c r="AO1589" s="3">
        <v>1</v>
      </c>
      <c r="AP1589" s="3">
        <v>0</v>
      </c>
      <c r="AQ1589" s="3">
        <v>0</v>
      </c>
      <c r="AR1589" s="2" t="s">
        <v>5</v>
      </c>
      <c r="AS1589" s="2" t="s">
        <v>5</v>
      </c>
      <c r="AU1589" s="5" t="str">
        <f>HYPERLINK("https://creighton-primo.hosted.exlibrisgroup.com/primo-explore/search?tab=default_tab&amp;search_scope=EVERYTHING&amp;vid=01CRU&amp;lang=en_US&amp;offset=0&amp;query=any,contains,991000319059702656","Catalog Record")</f>
        <v>Catalog Record</v>
      </c>
      <c r="AV1589" s="5" t="str">
        <f>HYPERLINK("http://www.worldcat.org/oclc/39236380","WorldCat Record")</f>
        <v>WorldCat Record</v>
      </c>
      <c r="AW1589" s="2" t="s">
        <v>18927</v>
      </c>
      <c r="AX1589" s="2" t="s">
        <v>18928</v>
      </c>
      <c r="AY1589" s="2" t="s">
        <v>18929</v>
      </c>
      <c r="AZ1589" s="2" t="s">
        <v>18929</v>
      </c>
      <c r="BA1589" s="2" t="s">
        <v>18930</v>
      </c>
      <c r="BB1589" s="2" t="s">
        <v>21</v>
      </c>
      <c r="BD1589" s="2" t="s">
        <v>18931</v>
      </c>
      <c r="BE1589" s="2" t="s">
        <v>18932</v>
      </c>
      <c r="BF1589" s="2" t="s">
        <v>18933</v>
      </c>
    </row>
    <row r="1590" spans="1:58" ht="41.25" customHeight="1" x14ac:dyDescent="0.25">
      <c r="A1590" s="8" t="s">
        <v>5</v>
      </c>
      <c r="B1590" s="1" t="s">
        <v>0</v>
      </c>
      <c r="C1590" s="1" t="s">
        <v>1</v>
      </c>
      <c r="D1590" s="1" t="s">
        <v>18934</v>
      </c>
      <c r="E1590" s="1" t="s">
        <v>18935</v>
      </c>
      <c r="F1590" s="1" t="s">
        <v>18936</v>
      </c>
      <c r="H1590" s="2" t="s">
        <v>5</v>
      </c>
      <c r="I1590" s="2" t="s">
        <v>6</v>
      </c>
      <c r="J1590" s="2" t="s">
        <v>5</v>
      </c>
      <c r="K1590" s="2" t="s">
        <v>16</v>
      </c>
      <c r="L1590" s="2" t="s">
        <v>7</v>
      </c>
      <c r="N1590" s="1" t="s">
        <v>18937</v>
      </c>
      <c r="O1590" s="2" t="s">
        <v>794</v>
      </c>
      <c r="Q1590" s="2" t="s">
        <v>11</v>
      </c>
      <c r="R1590" s="2" t="s">
        <v>78</v>
      </c>
      <c r="T1590" s="2" t="s">
        <v>520</v>
      </c>
      <c r="U1590" s="3">
        <v>1</v>
      </c>
      <c r="V1590" s="3">
        <v>1</v>
      </c>
      <c r="W1590" s="4" t="s">
        <v>18904</v>
      </c>
      <c r="X1590" s="4" t="s">
        <v>18904</v>
      </c>
      <c r="Y1590" s="4" t="s">
        <v>18938</v>
      </c>
      <c r="Z1590" s="4" t="s">
        <v>18938</v>
      </c>
      <c r="AA1590" s="3">
        <v>191</v>
      </c>
      <c r="AB1590" s="3">
        <v>156</v>
      </c>
      <c r="AC1590" s="3">
        <v>1012</v>
      </c>
      <c r="AD1590" s="3">
        <v>2</v>
      </c>
      <c r="AE1590" s="3">
        <v>8</v>
      </c>
      <c r="AF1590" s="3">
        <v>5</v>
      </c>
      <c r="AG1590" s="3">
        <v>39</v>
      </c>
      <c r="AH1590" s="3">
        <v>4</v>
      </c>
      <c r="AI1590" s="3">
        <v>15</v>
      </c>
      <c r="AJ1590" s="3">
        <v>0</v>
      </c>
      <c r="AK1590" s="3">
        <v>8</v>
      </c>
      <c r="AL1590" s="3">
        <v>2</v>
      </c>
      <c r="AM1590" s="3">
        <v>15</v>
      </c>
      <c r="AN1590" s="3">
        <v>0</v>
      </c>
      <c r="AO1590" s="3">
        <v>6</v>
      </c>
      <c r="AP1590" s="3">
        <v>0</v>
      </c>
      <c r="AQ1590" s="3">
        <v>1</v>
      </c>
      <c r="AR1590" s="2" t="s">
        <v>5</v>
      </c>
      <c r="AS1590" s="2" t="s">
        <v>16</v>
      </c>
      <c r="AT1590" s="5" t="str">
        <f>HYPERLINK("http://catalog.hathitrust.org/Record/003036562","HathiTrust Record")</f>
        <v>HathiTrust Record</v>
      </c>
      <c r="AU1590" s="5" t="str">
        <f>HYPERLINK("https://creighton-primo.hosted.exlibrisgroup.com/primo-explore/search?tab=default_tab&amp;search_scope=EVERYTHING&amp;vid=01CRU&amp;lang=en_US&amp;offset=0&amp;query=any,contains,991000317999702656","Catalog Record")</f>
        <v>Catalog Record</v>
      </c>
      <c r="AV1590" s="5" t="str">
        <f>HYPERLINK("http://www.worldcat.org/oclc/33282991","WorldCat Record")</f>
        <v>WorldCat Record</v>
      </c>
      <c r="AW1590" s="2" t="s">
        <v>18939</v>
      </c>
      <c r="AX1590" s="2" t="s">
        <v>18940</v>
      </c>
      <c r="AY1590" s="2" t="s">
        <v>18941</v>
      </c>
      <c r="AZ1590" s="2" t="s">
        <v>18941</v>
      </c>
      <c r="BA1590" s="2" t="s">
        <v>18942</v>
      </c>
      <c r="BB1590" s="2" t="s">
        <v>21</v>
      </c>
      <c r="BD1590" s="2" t="s">
        <v>18943</v>
      </c>
      <c r="BE1590" s="2" t="s">
        <v>18944</v>
      </c>
      <c r="BF1590" s="2" t="s">
        <v>18945</v>
      </c>
    </row>
    <row r="1591" spans="1:58" ht="41.25" customHeight="1" x14ac:dyDescent="0.25">
      <c r="A1591" s="8" t="s">
        <v>5</v>
      </c>
      <c r="B1591" s="1" t="s">
        <v>0</v>
      </c>
      <c r="C1591" s="1" t="s">
        <v>1</v>
      </c>
      <c r="D1591" s="1" t="s">
        <v>18946</v>
      </c>
      <c r="E1591" s="1" t="s">
        <v>18947</v>
      </c>
      <c r="F1591" s="1" t="s">
        <v>18948</v>
      </c>
      <c r="H1591" s="2" t="s">
        <v>5</v>
      </c>
      <c r="I1591" s="2" t="s">
        <v>6</v>
      </c>
      <c r="J1591" s="2" t="s">
        <v>5</v>
      </c>
      <c r="K1591" s="2" t="s">
        <v>16</v>
      </c>
      <c r="L1591" s="2" t="s">
        <v>7</v>
      </c>
      <c r="M1591" s="1" t="s">
        <v>18949</v>
      </c>
      <c r="N1591" s="1" t="s">
        <v>18950</v>
      </c>
      <c r="O1591" s="2" t="s">
        <v>1863</v>
      </c>
      <c r="P1591" s="1" t="s">
        <v>211</v>
      </c>
      <c r="Q1591" s="2" t="s">
        <v>11</v>
      </c>
      <c r="R1591" s="2" t="s">
        <v>78</v>
      </c>
      <c r="T1591" s="2" t="s">
        <v>520</v>
      </c>
      <c r="U1591" s="3">
        <v>0</v>
      </c>
      <c r="V1591" s="3">
        <v>0</v>
      </c>
      <c r="W1591" s="4" t="s">
        <v>18951</v>
      </c>
      <c r="X1591" s="4" t="s">
        <v>18951</v>
      </c>
      <c r="Y1591" s="4" t="s">
        <v>18952</v>
      </c>
      <c r="Z1591" s="4" t="s">
        <v>18952</v>
      </c>
      <c r="AA1591" s="3">
        <v>237</v>
      </c>
      <c r="AB1591" s="3">
        <v>196</v>
      </c>
      <c r="AC1591" s="3">
        <v>1012</v>
      </c>
      <c r="AD1591" s="3">
        <v>2</v>
      </c>
      <c r="AE1591" s="3">
        <v>8</v>
      </c>
      <c r="AF1591" s="3">
        <v>8</v>
      </c>
      <c r="AG1591" s="3">
        <v>39</v>
      </c>
      <c r="AH1591" s="3">
        <v>3</v>
      </c>
      <c r="AI1591" s="3">
        <v>15</v>
      </c>
      <c r="AJ1591" s="3">
        <v>1</v>
      </c>
      <c r="AK1591" s="3">
        <v>8</v>
      </c>
      <c r="AL1591" s="3">
        <v>3</v>
      </c>
      <c r="AM1591" s="3">
        <v>15</v>
      </c>
      <c r="AN1591" s="3">
        <v>1</v>
      </c>
      <c r="AO1591" s="3">
        <v>6</v>
      </c>
      <c r="AP1591" s="3">
        <v>0</v>
      </c>
      <c r="AQ1591" s="3">
        <v>1</v>
      </c>
      <c r="AR1591" s="2" t="s">
        <v>5</v>
      </c>
      <c r="AS1591" s="2" t="s">
        <v>5</v>
      </c>
      <c r="AU1591" s="5" t="str">
        <f>HYPERLINK("https://creighton-primo.hosted.exlibrisgroup.com/primo-explore/search?tab=default_tab&amp;search_scope=EVERYTHING&amp;vid=01CRU&amp;lang=en_US&amp;offset=0&amp;query=any,contains,991001735619702656","Catalog Record")</f>
        <v>Catalog Record</v>
      </c>
      <c r="AV1591" s="5" t="str">
        <f>HYPERLINK("http://www.worldcat.org/oclc/45460917","WorldCat Record")</f>
        <v>WorldCat Record</v>
      </c>
      <c r="AW1591" s="2" t="s">
        <v>18939</v>
      </c>
      <c r="AX1591" s="2" t="s">
        <v>18953</v>
      </c>
      <c r="AY1591" s="2" t="s">
        <v>18954</v>
      </c>
      <c r="AZ1591" s="2" t="s">
        <v>18954</v>
      </c>
      <c r="BA1591" s="2" t="s">
        <v>18955</v>
      </c>
      <c r="BB1591" s="2" t="s">
        <v>21</v>
      </c>
      <c r="BD1591" s="2" t="s">
        <v>18956</v>
      </c>
      <c r="BE1591" s="2" t="s">
        <v>18957</v>
      </c>
      <c r="BF1591" s="2" t="s">
        <v>18958</v>
      </c>
    </row>
    <row r="1592" spans="1:58" ht="41.25" customHeight="1" x14ac:dyDescent="0.25">
      <c r="A1592" s="8" t="s">
        <v>5</v>
      </c>
      <c r="B1592" s="1" t="s">
        <v>0</v>
      </c>
      <c r="C1592" s="1" t="s">
        <v>1</v>
      </c>
      <c r="D1592" s="1" t="s">
        <v>18959</v>
      </c>
      <c r="E1592" s="1" t="s">
        <v>18960</v>
      </c>
      <c r="F1592" s="1" t="s">
        <v>18961</v>
      </c>
      <c r="H1592" s="2" t="s">
        <v>5</v>
      </c>
      <c r="I1592" s="2" t="s">
        <v>6</v>
      </c>
      <c r="J1592" s="2" t="s">
        <v>5</v>
      </c>
      <c r="K1592" s="2" t="s">
        <v>16</v>
      </c>
      <c r="L1592" s="2" t="s">
        <v>7</v>
      </c>
      <c r="M1592" s="1" t="s">
        <v>18684</v>
      </c>
      <c r="N1592" s="1" t="s">
        <v>7590</v>
      </c>
      <c r="O1592" s="2" t="s">
        <v>872</v>
      </c>
      <c r="P1592" s="1" t="s">
        <v>18962</v>
      </c>
      <c r="Q1592" s="2" t="s">
        <v>11</v>
      </c>
      <c r="R1592" s="2" t="s">
        <v>426</v>
      </c>
      <c r="T1592" s="2" t="s">
        <v>520</v>
      </c>
      <c r="U1592" s="3">
        <v>15</v>
      </c>
      <c r="V1592" s="3">
        <v>15</v>
      </c>
      <c r="W1592" s="4" t="s">
        <v>18963</v>
      </c>
      <c r="X1592" s="4" t="s">
        <v>18963</v>
      </c>
      <c r="Y1592" s="4" t="s">
        <v>2470</v>
      </c>
      <c r="Z1592" s="4" t="s">
        <v>2470</v>
      </c>
      <c r="AA1592" s="3">
        <v>301</v>
      </c>
      <c r="AB1592" s="3">
        <v>242</v>
      </c>
      <c r="AC1592" s="3">
        <v>516</v>
      </c>
      <c r="AD1592" s="3">
        <v>2</v>
      </c>
      <c r="AE1592" s="3">
        <v>3</v>
      </c>
      <c r="AF1592" s="3">
        <v>7</v>
      </c>
      <c r="AG1592" s="3">
        <v>18</v>
      </c>
      <c r="AH1592" s="3">
        <v>3</v>
      </c>
      <c r="AI1592" s="3">
        <v>9</v>
      </c>
      <c r="AJ1592" s="3">
        <v>2</v>
      </c>
      <c r="AK1592" s="3">
        <v>5</v>
      </c>
      <c r="AL1592" s="3">
        <v>4</v>
      </c>
      <c r="AM1592" s="3">
        <v>7</v>
      </c>
      <c r="AN1592" s="3">
        <v>0</v>
      </c>
      <c r="AO1592" s="3">
        <v>1</v>
      </c>
      <c r="AP1592" s="3">
        <v>0</v>
      </c>
      <c r="AQ1592" s="3">
        <v>0</v>
      </c>
      <c r="AR1592" s="2" t="s">
        <v>5</v>
      </c>
      <c r="AS1592" s="2" t="s">
        <v>16</v>
      </c>
      <c r="AT1592" s="5" t="str">
        <f>HYPERLINK("http://catalog.hathitrust.org/Record/004439319","HathiTrust Record")</f>
        <v>HathiTrust Record</v>
      </c>
      <c r="AU1592" s="5" t="str">
        <f>HYPERLINK("https://creighton-primo.hosted.exlibrisgroup.com/primo-explore/search?tab=default_tab&amp;search_scope=EVERYTHING&amp;vid=01CRU&amp;lang=en_US&amp;offset=0&amp;query=any,contains,991001251139702656","Catalog Record")</f>
        <v>Catalog Record</v>
      </c>
      <c r="AV1592" s="5" t="str">
        <f>HYPERLINK("http://www.worldcat.org/oclc/18417273","WorldCat Record")</f>
        <v>WorldCat Record</v>
      </c>
      <c r="AW1592" s="2" t="s">
        <v>18964</v>
      </c>
      <c r="AX1592" s="2" t="s">
        <v>18965</v>
      </c>
      <c r="AY1592" s="2" t="s">
        <v>18966</v>
      </c>
      <c r="AZ1592" s="2" t="s">
        <v>18966</v>
      </c>
      <c r="BA1592" s="2" t="s">
        <v>18967</v>
      </c>
      <c r="BB1592" s="2" t="s">
        <v>21</v>
      </c>
      <c r="BD1592" s="2" t="s">
        <v>18968</v>
      </c>
      <c r="BE1592" s="2" t="s">
        <v>18969</v>
      </c>
      <c r="BF1592" s="2" t="s">
        <v>18970</v>
      </c>
    </row>
    <row r="1593" spans="1:58" ht="41.25" customHeight="1" x14ac:dyDescent="0.25">
      <c r="A1593" s="8" t="s">
        <v>5</v>
      </c>
      <c r="B1593" s="1" t="s">
        <v>0</v>
      </c>
      <c r="C1593" s="1" t="s">
        <v>1</v>
      </c>
      <c r="D1593" s="1" t="s">
        <v>18971</v>
      </c>
      <c r="E1593" s="1" t="s">
        <v>18972</v>
      </c>
      <c r="F1593" s="1" t="s">
        <v>18973</v>
      </c>
      <c r="H1593" s="2" t="s">
        <v>5</v>
      </c>
      <c r="I1593" s="2" t="s">
        <v>6</v>
      </c>
      <c r="J1593" s="2" t="s">
        <v>5</v>
      </c>
      <c r="K1593" s="2" t="s">
        <v>5</v>
      </c>
      <c r="L1593" s="2" t="s">
        <v>7</v>
      </c>
      <c r="M1593" s="1" t="s">
        <v>18974</v>
      </c>
      <c r="N1593" s="1" t="s">
        <v>11686</v>
      </c>
      <c r="O1593" s="2" t="s">
        <v>1283</v>
      </c>
      <c r="P1593" s="1" t="s">
        <v>108</v>
      </c>
      <c r="Q1593" s="2" t="s">
        <v>11</v>
      </c>
      <c r="R1593" s="2" t="s">
        <v>78</v>
      </c>
      <c r="T1593" s="2" t="s">
        <v>520</v>
      </c>
      <c r="U1593" s="3">
        <v>7</v>
      </c>
      <c r="V1593" s="3">
        <v>7</v>
      </c>
      <c r="W1593" s="4" t="s">
        <v>1196</v>
      </c>
      <c r="X1593" s="4" t="s">
        <v>1196</v>
      </c>
      <c r="Y1593" s="4" t="s">
        <v>18975</v>
      </c>
      <c r="Z1593" s="4" t="s">
        <v>18975</v>
      </c>
      <c r="AA1593" s="3">
        <v>210</v>
      </c>
      <c r="AB1593" s="3">
        <v>159</v>
      </c>
      <c r="AC1593" s="3">
        <v>329</v>
      </c>
      <c r="AD1593" s="3">
        <v>1</v>
      </c>
      <c r="AE1593" s="3">
        <v>1</v>
      </c>
      <c r="AF1593" s="3">
        <v>2</v>
      </c>
      <c r="AG1593" s="3">
        <v>10</v>
      </c>
      <c r="AH1593" s="3">
        <v>1</v>
      </c>
      <c r="AI1593" s="3">
        <v>4</v>
      </c>
      <c r="AJ1593" s="3">
        <v>0</v>
      </c>
      <c r="AK1593" s="3">
        <v>3</v>
      </c>
      <c r="AL1593" s="3">
        <v>1</v>
      </c>
      <c r="AM1593" s="3">
        <v>4</v>
      </c>
      <c r="AN1593" s="3">
        <v>0</v>
      </c>
      <c r="AO1593" s="3">
        <v>0</v>
      </c>
      <c r="AP1593" s="3">
        <v>0</v>
      </c>
      <c r="AQ1593" s="3">
        <v>0</v>
      </c>
      <c r="AR1593" s="2" t="s">
        <v>5</v>
      </c>
      <c r="AS1593" s="2" t="s">
        <v>16</v>
      </c>
      <c r="AT1593" s="5" t="str">
        <f>HYPERLINK("http://catalog.hathitrust.org/Record/003165699","HathiTrust Record")</f>
        <v>HathiTrust Record</v>
      </c>
      <c r="AU1593" s="5" t="str">
        <f>HYPERLINK("https://creighton-primo.hosted.exlibrisgroup.com/primo-explore/search?tab=default_tab&amp;search_scope=EVERYTHING&amp;vid=01CRU&amp;lang=en_US&amp;offset=0&amp;query=any,contains,991001254419702656","Catalog Record")</f>
        <v>Catalog Record</v>
      </c>
      <c r="AV1593" s="5" t="str">
        <f>HYPERLINK("http://www.worldcat.org/oclc/36430926","WorldCat Record")</f>
        <v>WorldCat Record</v>
      </c>
      <c r="AW1593" s="2" t="s">
        <v>18976</v>
      </c>
      <c r="AX1593" s="2" t="s">
        <v>18977</v>
      </c>
      <c r="AY1593" s="2" t="s">
        <v>18978</v>
      </c>
      <c r="AZ1593" s="2" t="s">
        <v>18978</v>
      </c>
      <c r="BA1593" s="2" t="s">
        <v>18979</v>
      </c>
      <c r="BB1593" s="2" t="s">
        <v>21</v>
      </c>
      <c r="BD1593" s="2" t="s">
        <v>18980</v>
      </c>
      <c r="BE1593" s="2" t="s">
        <v>18981</v>
      </c>
      <c r="BF1593" s="2" t="s">
        <v>18982</v>
      </c>
    </row>
    <row r="1594" spans="1:58" ht="41.25" customHeight="1" x14ac:dyDescent="0.25">
      <c r="A1594" s="8" t="s">
        <v>5</v>
      </c>
      <c r="B1594" s="1" t="s">
        <v>0</v>
      </c>
      <c r="C1594" s="1" t="s">
        <v>1</v>
      </c>
      <c r="D1594" s="1" t="s">
        <v>18983</v>
      </c>
      <c r="E1594" s="1" t="s">
        <v>18984</v>
      </c>
      <c r="F1594" s="1" t="s">
        <v>18985</v>
      </c>
      <c r="H1594" s="2" t="s">
        <v>5</v>
      </c>
      <c r="I1594" s="2" t="s">
        <v>6</v>
      </c>
      <c r="J1594" s="2" t="s">
        <v>5</v>
      </c>
      <c r="K1594" s="2" t="s">
        <v>5</v>
      </c>
      <c r="L1594" s="2" t="s">
        <v>7</v>
      </c>
      <c r="M1594" s="1" t="s">
        <v>18986</v>
      </c>
      <c r="N1594" s="1" t="s">
        <v>18987</v>
      </c>
      <c r="O1594" s="2" t="s">
        <v>136</v>
      </c>
      <c r="Q1594" s="2" t="s">
        <v>11</v>
      </c>
      <c r="R1594" s="2" t="s">
        <v>78</v>
      </c>
      <c r="T1594" s="2" t="s">
        <v>520</v>
      </c>
      <c r="U1594" s="3">
        <v>17</v>
      </c>
      <c r="V1594" s="3">
        <v>17</v>
      </c>
      <c r="W1594" s="4" t="s">
        <v>5018</v>
      </c>
      <c r="X1594" s="4" t="s">
        <v>5018</v>
      </c>
      <c r="Y1594" s="4" t="s">
        <v>1143</v>
      </c>
      <c r="Z1594" s="4" t="s">
        <v>1143</v>
      </c>
      <c r="AA1594" s="3">
        <v>249</v>
      </c>
      <c r="AB1594" s="3">
        <v>202</v>
      </c>
      <c r="AC1594" s="3">
        <v>202</v>
      </c>
      <c r="AD1594" s="3">
        <v>2</v>
      </c>
      <c r="AE1594" s="3">
        <v>2</v>
      </c>
      <c r="AF1594" s="3">
        <v>9</v>
      </c>
      <c r="AG1594" s="3">
        <v>9</v>
      </c>
      <c r="AH1594" s="3">
        <v>3</v>
      </c>
      <c r="AI1594" s="3">
        <v>3</v>
      </c>
      <c r="AJ1594" s="3">
        <v>2</v>
      </c>
      <c r="AK1594" s="3">
        <v>2</v>
      </c>
      <c r="AL1594" s="3">
        <v>7</v>
      </c>
      <c r="AM1594" s="3">
        <v>7</v>
      </c>
      <c r="AN1594" s="3">
        <v>0</v>
      </c>
      <c r="AO1594" s="3">
        <v>0</v>
      </c>
      <c r="AP1594" s="3">
        <v>0</v>
      </c>
      <c r="AQ1594" s="3">
        <v>0</v>
      </c>
      <c r="AR1594" s="2" t="s">
        <v>5</v>
      </c>
      <c r="AS1594" s="2" t="s">
        <v>5</v>
      </c>
      <c r="AU1594" s="5" t="str">
        <f>HYPERLINK("https://creighton-primo.hosted.exlibrisgroup.com/primo-explore/search?tab=default_tab&amp;search_scope=EVERYTHING&amp;vid=01CRU&amp;lang=en_US&amp;offset=0&amp;query=any,contains,991001475589702656","Catalog Record")</f>
        <v>Catalog Record</v>
      </c>
      <c r="AV1594" s="5" t="str">
        <f>HYPERLINK("http://www.worldcat.org/oclc/22859618","WorldCat Record")</f>
        <v>WorldCat Record</v>
      </c>
      <c r="AW1594" s="2" t="s">
        <v>18988</v>
      </c>
      <c r="AX1594" s="2" t="s">
        <v>18989</v>
      </c>
      <c r="AY1594" s="2" t="s">
        <v>18990</v>
      </c>
      <c r="AZ1594" s="2" t="s">
        <v>18990</v>
      </c>
      <c r="BA1594" s="2" t="s">
        <v>18991</v>
      </c>
      <c r="BB1594" s="2" t="s">
        <v>21</v>
      </c>
      <c r="BD1594" s="2" t="s">
        <v>18992</v>
      </c>
      <c r="BE1594" s="2" t="s">
        <v>18993</v>
      </c>
      <c r="BF1594" s="2" t="s">
        <v>18994</v>
      </c>
    </row>
    <row r="1595" spans="1:58" ht="41.25" customHeight="1" x14ac:dyDescent="0.25">
      <c r="A1595" s="8" t="s">
        <v>5</v>
      </c>
      <c r="B1595" s="1" t="s">
        <v>0</v>
      </c>
      <c r="C1595" s="1" t="s">
        <v>1</v>
      </c>
      <c r="D1595" s="1" t="s">
        <v>18995</v>
      </c>
      <c r="E1595" s="1" t="s">
        <v>18996</v>
      </c>
      <c r="F1595" s="1" t="s">
        <v>18997</v>
      </c>
      <c r="H1595" s="2" t="s">
        <v>5</v>
      </c>
      <c r="I1595" s="2" t="s">
        <v>6</v>
      </c>
      <c r="J1595" s="2" t="s">
        <v>5</v>
      </c>
      <c r="K1595" s="2" t="s">
        <v>16</v>
      </c>
      <c r="L1595" s="2" t="s">
        <v>7</v>
      </c>
      <c r="N1595" s="1" t="s">
        <v>2048</v>
      </c>
      <c r="O1595" s="2" t="s">
        <v>1378</v>
      </c>
      <c r="P1595" s="1" t="s">
        <v>211</v>
      </c>
      <c r="Q1595" s="2" t="s">
        <v>11</v>
      </c>
      <c r="R1595" s="2" t="s">
        <v>78</v>
      </c>
      <c r="T1595" s="2" t="s">
        <v>520</v>
      </c>
      <c r="U1595" s="3">
        <v>8</v>
      </c>
      <c r="V1595" s="3">
        <v>8</v>
      </c>
      <c r="W1595" s="4" t="s">
        <v>18998</v>
      </c>
      <c r="X1595" s="4" t="s">
        <v>18998</v>
      </c>
      <c r="Y1595" s="4" t="s">
        <v>14196</v>
      </c>
      <c r="Z1595" s="4" t="s">
        <v>14196</v>
      </c>
      <c r="AA1595" s="3">
        <v>307</v>
      </c>
      <c r="AB1595" s="3">
        <v>246</v>
      </c>
      <c r="AC1595" s="3">
        <v>461</v>
      </c>
      <c r="AD1595" s="3">
        <v>2</v>
      </c>
      <c r="AE1595" s="3">
        <v>4</v>
      </c>
      <c r="AF1595" s="3">
        <v>5</v>
      </c>
      <c r="AG1595" s="3">
        <v>15</v>
      </c>
      <c r="AH1595" s="3">
        <v>2</v>
      </c>
      <c r="AI1595" s="3">
        <v>6</v>
      </c>
      <c r="AJ1595" s="3">
        <v>1</v>
      </c>
      <c r="AK1595" s="3">
        <v>4</v>
      </c>
      <c r="AL1595" s="3">
        <v>2</v>
      </c>
      <c r="AM1595" s="3">
        <v>6</v>
      </c>
      <c r="AN1595" s="3">
        <v>0</v>
      </c>
      <c r="AO1595" s="3">
        <v>2</v>
      </c>
      <c r="AP1595" s="3">
        <v>0</v>
      </c>
      <c r="AQ1595" s="3">
        <v>0</v>
      </c>
      <c r="AR1595" s="2" t="s">
        <v>5</v>
      </c>
      <c r="AS1595" s="2" t="s">
        <v>5</v>
      </c>
      <c r="AU1595" s="5" t="str">
        <f>HYPERLINK("https://creighton-primo.hosted.exlibrisgroup.com/primo-explore/search?tab=default_tab&amp;search_scope=EVERYTHING&amp;vid=01CRU&amp;lang=en_US&amp;offset=0&amp;query=any,contains,991001295439702656","Catalog Record")</f>
        <v>Catalog Record</v>
      </c>
      <c r="AV1595" s="5" t="str">
        <f>HYPERLINK("http://www.worldcat.org/oclc/36308130","WorldCat Record")</f>
        <v>WorldCat Record</v>
      </c>
      <c r="AW1595" s="2" t="s">
        <v>18999</v>
      </c>
      <c r="AX1595" s="2" t="s">
        <v>19000</v>
      </c>
      <c r="AY1595" s="2" t="s">
        <v>19001</v>
      </c>
      <c r="AZ1595" s="2" t="s">
        <v>19001</v>
      </c>
      <c r="BA1595" s="2" t="s">
        <v>19002</v>
      </c>
      <c r="BB1595" s="2" t="s">
        <v>21</v>
      </c>
      <c r="BD1595" s="2" t="s">
        <v>19003</v>
      </c>
      <c r="BE1595" s="2" t="s">
        <v>19004</v>
      </c>
      <c r="BF1595" s="2" t="s">
        <v>19005</v>
      </c>
    </row>
    <row r="1596" spans="1:58" ht="41.25" customHeight="1" x14ac:dyDescent="0.25">
      <c r="A1596" s="8" t="s">
        <v>5</v>
      </c>
      <c r="B1596" s="1" t="s">
        <v>0</v>
      </c>
      <c r="C1596" s="1" t="s">
        <v>1</v>
      </c>
      <c r="D1596" s="1" t="s">
        <v>19006</v>
      </c>
      <c r="E1596" s="1" t="s">
        <v>19007</v>
      </c>
      <c r="F1596" s="1" t="s">
        <v>19008</v>
      </c>
      <c r="H1596" s="2" t="s">
        <v>5</v>
      </c>
      <c r="I1596" s="2" t="s">
        <v>6</v>
      </c>
      <c r="J1596" s="2" t="s">
        <v>5</v>
      </c>
      <c r="K1596" s="2" t="s">
        <v>16</v>
      </c>
      <c r="L1596" s="2" t="s">
        <v>7</v>
      </c>
      <c r="N1596" s="1" t="s">
        <v>12205</v>
      </c>
      <c r="O1596" s="2" t="s">
        <v>1046</v>
      </c>
      <c r="P1596" s="1" t="s">
        <v>901</v>
      </c>
      <c r="Q1596" s="2" t="s">
        <v>11</v>
      </c>
      <c r="R1596" s="2" t="s">
        <v>78</v>
      </c>
      <c r="T1596" s="2" t="s">
        <v>520</v>
      </c>
      <c r="U1596" s="3">
        <v>2</v>
      </c>
      <c r="V1596" s="3">
        <v>2</v>
      </c>
      <c r="W1596" s="4" t="s">
        <v>19009</v>
      </c>
      <c r="X1596" s="4" t="s">
        <v>19009</v>
      </c>
      <c r="Y1596" s="4" t="s">
        <v>7153</v>
      </c>
      <c r="Z1596" s="4" t="s">
        <v>7153</v>
      </c>
      <c r="AA1596" s="3">
        <v>248</v>
      </c>
      <c r="AB1596" s="3">
        <v>172</v>
      </c>
      <c r="AC1596" s="3">
        <v>461</v>
      </c>
      <c r="AD1596" s="3">
        <v>2</v>
      </c>
      <c r="AE1596" s="3">
        <v>4</v>
      </c>
      <c r="AF1596" s="3">
        <v>9</v>
      </c>
      <c r="AG1596" s="3">
        <v>15</v>
      </c>
      <c r="AH1596" s="3">
        <v>4</v>
      </c>
      <c r="AI1596" s="3">
        <v>6</v>
      </c>
      <c r="AJ1596" s="3">
        <v>3</v>
      </c>
      <c r="AK1596" s="3">
        <v>4</v>
      </c>
      <c r="AL1596" s="3">
        <v>2</v>
      </c>
      <c r="AM1596" s="3">
        <v>6</v>
      </c>
      <c r="AN1596" s="3">
        <v>1</v>
      </c>
      <c r="AO1596" s="3">
        <v>2</v>
      </c>
      <c r="AP1596" s="3">
        <v>0</v>
      </c>
      <c r="AQ1596" s="3">
        <v>0</v>
      </c>
      <c r="AR1596" s="2" t="s">
        <v>5</v>
      </c>
      <c r="AS1596" s="2" t="s">
        <v>16</v>
      </c>
      <c r="AT1596" s="5" t="str">
        <f>HYPERLINK("http://catalog.hathitrust.org/Record/003820790","HathiTrust Record")</f>
        <v>HathiTrust Record</v>
      </c>
      <c r="AU1596" s="5" t="str">
        <f>HYPERLINK("https://creighton-primo.hosted.exlibrisgroup.com/primo-explore/search?tab=default_tab&amp;search_scope=EVERYTHING&amp;vid=01CRU&amp;lang=en_US&amp;offset=0&amp;query=any,contains,991001719199702656","Catalog Record")</f>
        <v>Catalog Record</v>
      </c>
      <c r="AV1596" s="5" t="str">
        <f>HYPERLINK("http://www.worldcat.org/oclc/51002393","WorldCat Record")</f>
        <v>WorldCat Record</v>
      </c>
      <c r="AW1596" s="2" t="s">
        <v>18999</v>
      </c>
      <c r="AX1596" s="2" t="s">
        <v>19010</v>
      </c>
      <c r="AY1596" s="2" t="s">
        <v>19011</v>
      </c>
      <c r="AZ1596" s="2" t="s">
        <v>19011</v>
      </c>
      <c r="BA1596" s="2" t="s">
        <v>19012</v>
      </c>
      <c r="BB1596" s="2" t="s">
        <v>21</v>
      </c>
      <c r="BD1596" s="2" t="s">
        <v>19013</v>
      </c>
      <c r="BE1596" s="2" t="s">
        <v>19014</v>
      </c>
      <c r="BF1596" s="2" t="s">
        <v>19015</v>
      </c>
    </row>
    <row r="1597" spans="1:58" ht="41.25" customHeight="1" x14ac:dyDescent="0.25">
      <c r="A1597" s="8" t="s">
        <v>5</v>
      </c>
      <c r="B1597" s="1" t="s">
        <v>0</v>
      </c>
      <c r="C1597" s="1" t="s">
        <v>1</v>
      </c>
      <c r="D1597" s="1" t="s">
        <v>19016</v>
      </c>
      <c r="E1597" s="1" t="s">
        <v>19017</v>
      </c>
      <c r="F1597" s="1" t="s">
        <v>19018</v>
      </c>
      <c r="H1597" s="2" t="s">
        <v>5</v>
      </c>
      <c r="I1597" s="2" t="s">
        <v>6</v>
      </c>
      <c r="J1597" s="2" t="s">
        <v>5</v>
      </c>
      <c r="K1597" s="2" t="s">
        <v>5</v>
      </c>
      <c r="L1597" s="2" t="s">
        <v>7</v>
      </c>
      <c r="M1597" s="1" t="s">
        <v>19019</v>
      </c>
      <c r="N1597" s="1" t="s">
        <v>1602</v>
      </c>
      <c r="O1597" s="2" t="s">
        <v>1378</v>
      </c>
      <c r="P1597" s="1" t="s">
        <v>901</v>
      </c>
      <c r="Q1597" s="2" t="s">
        <v>11</v>
      </c>
      <c r="R1597" s="2" t="s">
        <v>31</v>
      </c>
      <c r="T1597" s="2" t="s">
        <v>520</v>
      </c>
      <c r="U1597" s="3">
        <v>12</v>
      </c>
      <c r="V1597" s="3">
        <v>12</v>
      </c>
      <c r="W1597" s="4" t="s">
        <v>1196</v>
      </c>
      <c r="X1597" s="4" t="s">
        <v>1196</v>
      </c>
      <c r="Y1597" s="4" t="s">
        <v>19020</v>
      </c>
      <c r="Z1597" s="4" t="s">
        <v>19020</v>
      </c>
      <c r="AA1597" s="3">
        <v>258</v>
      </c>
      <c r="AB1597" s="3">
        <v>207</v>
      </c>
      <c r="AC1597" s="3">
        <v>384</v>
      </c>
      <c r="AD1597" s="3">
        <v>3</v>
      </c>
      <c r="AE1597" s="3">
        <v>3</v>
      </c>
      <c r="AF1597" s="3">
        <v>6</v>
      </c>
      <c r="AG1597" s="3">
        <v>10</v>
      </c>
      <c r="AH1597" s="3">
        <v>2</v>
      </c>
      <c r="AI1597" s="3">
        <v>4</v>
      </c>
      <c r="AJ1597" s="3">
        <v>1</v>
      </c>
      <c r="AK1597" s="3">
        <v>2</v>
      </c>
      <c r="AL1597" s="3">
        <v>2</v>
      </c>
      <c r="AM1597" s="3">
        <v>5</v>
      </c>
      <c r="AN1597" s="3">
        <v>1</v>
      </c>
      <c r="AO1597" s="3">
        <v>1</v>
      </c>
      <c r="AP1597" s="3">
        <v>0</v>
      </c>
      <c r="AQ1597" s="3">
        <v>0</v>
      </c>
      <c r="AR1597" s="2" t="s">
        <v>5</v>
      </c>
      <c r="AS1597" s="2" t="s">
        <v>16</v>
      </c>
      <c r="AT1597" s="5" t="str">
        <f>HYPERLINK("http://catalog.hathitrust.org/Record/003172798","HathiTrust Record")</f>
        <v>HathiTrust Record</v>
      </c>
      <c r="AU1597" s="5" t="str">
        <f>HYPERLINK("https://creighton-primo.hosted.exlibrisgroup.com/primo-explore/search?tab=default_tab&amp;search_scope=EVERYTHING&amp;vid=01CRU&amp;lang=en_US&amp;offset=0&amp;query=any,contains,991001269489702656","Catalog Record")</f>
        <v>Catalog Record</v>
      </c>
      <c r="AV1597" s="5" t="str">
        <f>HYPERLINK("http://www.worldcat.org/oclc/36682382","WorldCat Record")</f>
        <v>WorldCat Record</v>
      </c>
      <c r="AW1597" s="2" t="s">
        <v>19021</v>
      </c>
      <c r="AX1597" s="2" t="s">
        <v>19022</v>
      </c>
      <c r="AY1597" s="2" t="s">
        <v>19023</v>
      </c>
      <c r="AZ1597" s="2" t="s">
        <v>19023</v>
      </c>
      <c r="BA1597" s="2" t="s">
        <v>19024</v>
      </c>
      <c r="BB1597" s="2" t="s">
        <v>21</v>
      </c>
      <c r="BD1597" s="2" t="s">
        <v>19025</v>
      </c>
      <c r="BE1597" s="2" t="s">
        <v>19026</v>
      </c>
      <c r="BF1597" s="2" t="s">
        <v>19027</v>
      </c>
    </row>
    <row r="1598" spans="1:58" ht="41.25" customHeight="1" x14ac:dyDescent="0.25">
      <c r="A1598" s="8" t="s">
        <v>5</v>
      </c>
      <c r="B1598" s="1" t="s">
        <v>0</v>
      </c>
      <c r="C1598" s="1" t="s">
        <v>1</v>
      </c>
      <c r="D1598" s="1" t="s">
        <v>19028</v>
      </c>
      <c r="E1598" s="1" t="s">
        <v>19029</v>
      </c>
      <c r="F1598" s="1" t="s">
        <v>19030</v>
      </c>
      <c r="H1598" s="2" t="s">
        <v>5</v>
      </c>
      <c r="I1598" s="2" t="s">
        <v>6</v>
      </c>
      <c r="J1598" s="2" t="s">
        <v>5</v>
      </c>
      <c r="K1598" s="2" t="s">
        <v>5</v>
      </c>
      <c r="L1598" s="2" t="s">
        <v>7</v>
      </c>
      <c r="M1598" s="1" t="s">
        <v>7563</v>
      </c>
      <c r="N1598" s="1" t="s">
        <v>19031</v>
      </c>
      <c r="O1598" s="2" t="s">
        <v>1339</v>
      </c>
      <c r="Q1598" s="2" t="s">
        <v>11</v>
      </c>
      <c r="R1598" s="2" t="s">
        <v>426</v>
      </c>
      <c r="T1598" s="2" t="s">
        <v>520</v>
      </c>
      <c r="U1598" s="3">
        <v>51</v>
      </c>
      <c r="V1598" s="3">
        <v>51</v>
      </c>
      <c r="W1598" s="4" t="s">
        <v>19032</v>
      </c>
      <c r="X1598" s="4" t="s">
        <v>19032</v>
      </c>
      <c r="Y1598" s="4" t="s">
        <v>80</v>
      </c>
      <c r="Z1598" s="4" t="s">
        <v>80</v>
      </c>
      <c r="AA1598" s="3">
        <v>217</v>
      </c>
      <c r="AB1598" s="3">
        <v>179</v>
      </c>
      <c r="AC1598" s="3">
        <v>179</v>
      </c>
      <c r="AD1598" s="3">
        <v>1</v>
      </c>
      <c r="AE1598" s="3">
        <v>1</v>
      </c>
      <c r="AF1598" s="3">
        <v>4</v>
      </c>
      <c r="AG1598" s="3">
        <v>4</v>
      </c>
      <c r="AH1598" s="3">
        <v>0</v>
      </c>
      <c r="AI1598" s="3">
        <v>0</v>
      </c>
      <c r="AJ1598" s="3">
        <v>1</v>
      </c>
      <c r="AK1598" s="3">
        <v>1</v>
      </c>
      <c r="AL1598" s="3">
        <v>4</v>
      </c>
      <c r="AM1598" s="3">
        <v>4</v>
      </c>
      <c r="AN1598" s="3">
        <v>0</v>
      </c>
      <c r="AO1598" s="3">
        <v>0</v>
      </c>
      <c r="AP1598" s="3">
        <v>0</v>
      </c>
      <c r="AQ1598" s="3">
        <v>0</v>
      </c>
      <c r="AR1598" s="2" t="s">
        <v>5</v>
      </c>
      <c r="AS1598" s="2" t="s">
        <v>5</v>
      </c>
      <c r="AU1598" s="5" t="str">
        <f>HYPERLINK("https://creighton-primo.hosted.exlibrisgroup.com/primo-explore/search?tab=default_tab&amp;search_scope=EVERYTHING&amp;vid=01CRU&amp;lang=en_US&amp;offset=0&amp;query=any,contains,991001534969702656","Catalog Record")</f>
        <v>Catalog Record</v>
      </c>
      <c r="AV1598" s="5" t="str">
        <f>HYPERLINK("http://www.worldcat.org/oclc/15489194","WorldCat Record")</f>
        <v>WorldCat Record</v>
      </c>
      <c r="AW1598" s="2" t="s">
        <v>19033</v>
      </c>
      <c r="AX1598" s="2" t="s">
        <v>19034</v>
      </c>
      <c r="AY1598" s="2" t="s">
        <v>19035</v>
      </c>
      <c r="AZ1598" s="2" t="s">
        <v>19035</v>
      </c>
      <c r="BA1598" s="2" t="s">
        <v>19036</v>
      </c>
      <c r="BB1598" s="2" t="s">
        <v>21</v>
      </c>
      <c r="BD1598" s="2" t="s">
        <v>19037</v>
      </c>
      <c r="BE1598" s="2" t="s">
        <v>19038</v>
      </c>
      <c r="BF1598" s="2" t="s">
        <v>19039</v>
      </c>
    </row>
    <row r="1599" spans="1:58" ht="41.25" customHeight="1" x14ac:dyDescent="0.25">
      <c r="A1599" s="8" t="s">
        <v>5</v>
      </c>
      <c r="B1599" s="1" t="s">
        <v>0</v>
      </c>
      <c r="C1599" s="1" t="s">
        <v>1</v>
      </c>
      <c r="D1599" s="1" t="s">
        <v>19040</v>
      </c>
      <c r="E1599" s="1" t="s">
        <v>19041</v>
      </c>
      <c r="F1599" s="1" t="s">
        <v>19042</v>
      </c>
      <c r="H1599" s="2" t="s">
        <v>5</v>
      </c>
      <c r="I1599" s="2" t="s">
        <v>6</v>
      </c>
      <c r="J1599" s="2" t="s">
        <v>5</v>
      </c>
      <c r="K1599" s="2" t="s">
        <v>5</v>
      </c>
      <c r="L1599" s="2" t="s">
        <v>7</v>
      </c>
      <c r="M1599" s="1" t="s">
        <v>19043</v>
      </c>
      <c r="N1599" s="1" t="s">
        <v>19044</v>
      </c>
      <c r="O1599" s="2" t="s">
        <v>1391</v>
      </c>
      <c r="Q1599" s="2" t="s">
        <v>11</v>
      </c>
      <c r="R1599" s="2" t="s">
        <v>31</v>
      </c>
      <c r="T1599" s="2" t="s">
        <v>520</v>
      </c>
      <c r="U1599" s="3">
        <v>0</v>
      </c>
      <c r="V1599" s="3">
        <v>0</v>
      </c>
      <c r="W1599" s="4" t="s">
        <v>12573</v>
      </c>
      <c r="X1599" s="4" t="s">
        <v>12573</v>
      </c>
      <c r="Y1599" s="4" t="s">
        <v>12574</v>
      </c>
      <c r="Z1599" s="4" t="s">
        <v>12574</v>
      </c>
      <c r="AA1599" s="3">
        <v>211</v>
      </c>
      <c r="AB1599" s="3">
        <v>153</v>
      </c>
      <c r="AC1599" s="3">
        <v>537</v>
      </c>
      <c r="AD1599" s="3">
        <v>3</v>
      </c>
      <c r="AE1599" s="3">
        <v>5</v>
      </c>
      <c r="AF1599" s="3">
        <v>6</v>
      </c>
      <c r="AG1599" s="3">
        <v>18</v>
      </c>
      <c r="AH1599" s="3">
        <v>0</v>
      </c>
      <c r="AI1599" s="3">
        <v>5</v>
      </c>
      <c r="AJ1599" s="3">
        <v>0</v>
      </c>
      <c r="AK1599" s="3">
        <v>3</v>
      </c>
      <c r="AL1599" s="3">
        <v>4</v>
      </c>
      <c r="AM1599" s="3">
        <v>7</v>
      </c>
      <c r="AN1599" s="3">
        <v>2</v>
      </c>
      <c r="AO1599" s="3">
        <v>4</v>
      </c>
      <c r="AP1599" s="3">
        <v>0</v>
      </c>
      <c r="AQ1599" s="3">
        <v>0</v>
      </c>
      <c r="AR1599" s="2" t="s">
        <v>5</v>
      </c>
      <c r="AS1599" s="2" t="s">
        <v>16</v>
      </c>
      <c r="AT1599" s="5" t="str">
        <f>HYPERLINK("http://catalog.hathitrust.org/Record/004337840","HathiTrust Record")</f>
        <v>HathiTrust Record</v>
      </c>
      <c r="AU1599" s="5" t="str">
        <f>HYPERLINK("https://creighton-primo.hosted.exlibrisgroup.com/primo-explore/search?tab=default_tab&amp;search_scope=EVERYTHING&amp;vid=01CRU&amp;lang=en_US&amp;offset=0&amp;query=any,contains,991000632389702656","Catalog Record")</f>
        <v>Catalog Record</v>
      </c>
      <c r="AV1599" s="5" t="str">
        <f>HYPERLINK("http://www.worldcat.org/oclc/51258530","WorldCat Record")</f>
        <v>WorldCat Record</v>
      </c>
      <c r="AW1599" s="2" t="s">
        <v>19045</v>
      </c>
      <c r="AX1599" s="2" t="s">
        <v>19046</v>
      </c>
      <c r="AY1599" s="2" t="s">
        <v>19047</v>
      </c>
      <c r="AZ1599" s="2" t="s">
        <v>19047</v>
      </c>
      <c r="BA1599" s="2" t="s">
        <v>19048</v>
      </c>
      <c r="BB1599" s="2" t="s">
        <v>21</v>
      </c>
      <c r="BD1599" s="2" t="s">
        <v>19049</v>
      </c>
      <c r="BE1599" s="2" t="s">
        <v>19050</v>
      </c>
      <c r="BF1599" s="2" t="s">
        <v>19051</v>
      </c>
    </row>
    <row r="1600" spans="1:58" ht="41.25" customHeight="1" x14ac:dyDescent="0.25">
      <c r="A1600" s="8" t="s">
        <v>5</v>
      </c>
      <c r="B1600" s="1" t="s">
        <v>0</v>
      </c>
      <c r="C1600" s="1" t="s">
        <v>1</v>
      </c>
      <c r="D1600" s="1" t="s">
        <v>19052</v>
      </c>
      <c r="E1600" s="1" t="s">
        <v>19053</v>
      </c>
      <c r="F1600" s="1" t="s">
        <v>19054</v>
      </c>
      <c r="H1600" s="2" t="s">
        <v>5</v>
      </c>
      <c r="I1600" s="2" t="s">
        <v>6</v>
      </c>
      <c r="J1600" s="2" t="s">
        <v>5</v>
      </c>
      <c r="K1600" s="2" t="s">
        <v>5</v>
      </c>
      <c r="L1600" s="2" t="s">
        <v>7</v>
      </c>
      <c r="M1600" s="1" t="s">
        <v>13074</v>
      </c>
      <c r="N1600" s="1" t="s">
        <v>2115</v>
      </c>
      <c r="O1600" s="2" t="s">
        <v>382</v>
      </c>
      <c r="Q1600" s="2" t="s">
        <v>11</v>
      </c>
      <c r="R1600" s="2" t="s">
        <v>426</v>
      </c>
      <c r="T1600" s="2" t="s">
        <v>520</v>
      </c>
      <c r="U1600" s="3">
        <v>6</v>
      </c>
      <c r="V1600" s="3">
        <v>6</v>
      </c>
      <c r="W1600" s="4" t="s">
        <v>19055</v>
      </c>
      <c r="X1600" s="4" t="s">
        <v>19055</v>
      </c>
      <c r="Y1600" s="4" t="s">
        <v>18753</v>
      </c>
      <c r="Z1600" s="4" t="s">
        <v>18753</v>
      </c>
      <c r="AA1600" s="3">
        <v>237</v>
      </c>
      <c r="AB1600" s="3">
        <v>199</v>
      </c>
      <c r="AC1600" s="3">
        <v>206</v>
      </c>
      <c r="AD1600" s="3">
        <v>3</v>
      </c>
      <c r="AE1600" s="3">
        <v>3</v>
      </c>
      <c r="AF1600" s="3">
        <v>5</v>
      </c>
      <c r="AG1600" s="3">
        <v>5</v>
      </c>
      <c r="AH1600" s="3">
        <v>1</v>
      </c>
      <c r="AI1600" s="3">
        <v>1</v>
      </c>
      <c r="AJ1600" s="3">
        <v>1</v>
      </c>
      <c r="AK1600" s="3">
        <v>1</v>
      </c>
      <c r="AL1600" s="3">
        <v>2</v>
      </c>
      <c r="AM1600" s="3">
        <v>2</v>
      </c>
      <c r="AN1600" s="3">
        <v>1</v>
      </c>
      <c r="AO1600" s="3">
        <v>1</v>
      </c>
      <c r="AP1600" s="3">
        <v>0</v>
      </c>
      <c r="AQ1600" s="3">
        <v>0</v>
      </c>
      <c r="AR1600" s="2" t="s">
        <v>5</v>
      </c>
      <c r="AS1600" s="2" t="s">
        <v>16</v>
      </c>
      <c r="AT1600" s="5" t="str">
        <f>HYPERLINK("http://catalog.hathitrust.org/Record/000410950","HathiTrust Record")</f>
        <v>HathiTrust Record</v>
      </c>
      <c r="AU1600" s="5" t="str">
        <f>HYPERLINK("https://creighton-primo.hosted.exlibrisgroup.com/primo-explore/search?tab=default_tab&amp;search_scope=EVERYTHING&amp;vid=01CRU&amp;lang=en_US&amp;offset=0&amp;query=any,contains,991000921839702656","Catalog Record")</f>
        <v>Catalog Record</v>
      </c>
      <c r="AV1600" s="5" t="str">
        <f>HYPERLINK("http://www.worldcat.org/oclc/11030389","WorldCat Record")</f>
        <v>WorldCat Record</v>
      </c>
      <c r="AW1600" s="2" t="s">
        <v>19056</v>
      </c>
      <c r="AX1600" s="2" t="s">
        <v>19057</v>
      </c>
      <c r="AY1600" s="2" t="s">
        <v>19058</v>
      </c>
      <c r="AZ1600" s="2" t="s">
        <v>19058</v>
      </c>
      <c r="BA1600" s="2" t="s">
        <v>19059</v>
      </c>
      <c r="BB1600" s="2" t="s">
        <v>21</v>
      </c>
      <c r="BD1600" s="2" t="s">
        <v>19060</v>
      </c>
      <c r="BE1600" s="2" t="s">
        <v>19061</v>
      </c>
      <c r="BF1600" s="2" t="s">
        <v>19062</v>
      </c>
    </row>
    <row r="1601" spans="1:58" ht="41.25" customHeight="1" x14ac:dyDescent="0.25">
      <c r="A1601" s="8" t="s">
        <v>5</v>
      </c>
      <c r="B1601" s="1" t="s">
        <v>0</v>
      </c>
      <c r="C1601" s="1" t="s">
        <v>1</v>
      </c>
      <c r="D1601" s="1" t="s">
        <v>19063</v>
      </c>
      <c r="E1601" s="1" t="s">
        <v>19064</v>
      </c>
      <c r="F1601" s="1" t="s">
        <v>19065</v>
      </c>
      <c r="H1601" s="2" t="s">
        <v>5</v>
      </c>
      <c r="I1601" s="2" t="s">
        <v>6</v>
      </c>
      <c r="J1601" s="2" t="s">
        <v>5</v>
      </c>
      <c r="K1601" s="2" t="s">
        <v>5</v>
      </c>
      <c r="L1601" s="2" t="s">
        <v>7</v>
      </c>
      <c r="N1601" s="1" t="s">
        <v>18878</v>
      </c>
      <c r="O1601" s="2" t="s">
        <v>210</v>
      </c>
      <c r="Q1601" s="2" t="s">
        <v>11</v>
      </c>
      <c r="R1601" s="2" t="s">
        <v>78</v>
      </c>
      <c r="T1601" s="2" t="s">
        <v>520</v>
      </c>
      <c r="U1601" s="3">
        <v>3</v>
      </c>
      <c r="V1601" s="3">
        <v>3</v>
      </c>
      <c r="W1601" s="4" t="s">
        <v>19066</v>
      </c>
      <c r="X1601" s="4" t="s">
        <v>19066</v>
      </c>
      <c r="Y1601" s="4" t="s">
        <v>7578</v>
      </c>
      <c r="Z1601" s="4" t="s">
        <v>7578</v>
      </c>
      <c r="AA1601" s="3">
        <v>288</v>
      </c>
      <c r="AB1601" s="3">
        <v>243</v>
      </c>
      <c r="AC1601" s="3">
        <v>250</v>
      </c>
      <c r="AD1601" s="3">
        <v>1</v>
      </c>
      <c r="AE1601" s="3">
        <v>1</v>
      </c>
      <c r="AF1601" s="3">
        <v>10</v>
      </c>
      <c r="AG1601" s="3">
        <v>10</v>
      </c>
      <c r="AH1601" s="3">
        <v>4</v>
      </c>
      <c r="AI1601" s="3">
        <v>4</v>
      </c>
      <c r="AJ1601" s="3">
        <v>1</v>
      </c>
      <c r="AK1601" s="3">
        <v>1</v>
      </c>
      <c r="AL1601" s="3">
        <v>8</v>
      </c>
      <c r="AM1601" s="3">
        <v>8</v>
      </c>
      <c r="AN1601" s="3">
        <v>0</v>
      </c>
      <c r="AO1601" s="3">
        <v>0</v>
      </c>
      <c r="AP1601" s="3">
        <v>0</v>
      </c>
      <c r="AQ1601" s="3">
        <v>0</v>
      </c>
      <c r="AR1601" s="2" t="s">
        <v>5</v>
      </c>
      <c r="AS1601" s="2" t="s">
        <v>16</v>
      </c>
      <c r="AT1601" s="5" t="str">
        <f>HYPERLINK("http://catalog.hathitrust.org/Record/002518722","HathiTrust Record")</f>
        <v>HathiTrust Record</v>
      </c>
      <c r="AU1601" s="5" t="str">
        <f>HYPERLINK("https://creighton-primo.hosted.exlibrisgroup.com/primo-explore/search?tab=default_tab&amp;search_scope=EVERYTHING&amp;vid=01CRU&amp;lang=en_US&amp;offset=0&amp;query=any,contains,991001479049702656","Catalog Record")</f>
        <v>Catalog Record</v>
      </c>
      <c r="AV1601" s="5" t="str">
        <f>HYPERLINK("http://www.worldcat.org/oclc/24793120","WorldCat Record")</f>
        <v>WorldCat Record</v>
      </c>
      <c r="AW1601" s="2" t="s">
        <v>19067</v>
      </c>
      <c r="AX1601" s="2" t="s">
        <v>19068</v>
      </c>
      <c r="AY1601" s="2" t="s">
        <v>19069</v>
      </c>
      <c r="AZ1601" s="2" t="s">
        <v>19069</v>
      </c>
      <c r="BA1601" s="2" t="s">
        <v>19070</v>
      </c>
      <c r="BB1601" s="2" t="s">
        <v>21</v>
      </c>
      <c r="BD1601" s="2" t="s">
        <v>19071</v>
      </c>
      <c r="BE1601" s="2" t="s">
        <v>19072</v>
      </c>
      <c r="BF1601" s="2" t="s">
        <v>19073</v>
      </c>
    </row>
    <row r="1602" spans="1:58" ht="41.25" customHeight="1" x14ac:dyDescent="0.25">
      <c r="A1602" s="8" t="s">
        <v>5</v>
      </c>
      <c r="B1602" s="1" t="s">
        <v>0</v>
      </c>
      <c r="C1602" s="1" t="s">
        <v>1</v>
      </c>
      <c r="D1602" s="1" t="s">
        <v>19074</v>
      </c>
      <c r="E1602" s="1" t="s">
        <v>19075</v>
      </c>
      <c r="F1602" s="1" t="s">
        <v>19076</v>
      </c>
      <c r="H1602" s="2" t="s">
        <v>5</v>
      </c>
      <c r="I1602" s="2" t="s">
        <v>6</v>
      </c>
      <c r="J1602" s="2" t="s">
        <v>5</v>
      </c>
      <c r="K1602" s="2" t="s">
        <v>5</v>
      </c>
      <c r="L1602" s="2" t="s">
        <v>7</v>
      </c>
      <c r="M1602" s="1" t="s">
        <v>19077</v>
      </c>
      <c r="N1602" s="1" t="s">
        <v>19078</v>
      </c>
      <c r="O1602" s="2" t="s">
        <v>1339</v>
      </c>
      <c r="P1602" s="1" t="s">
        <v>63</v>
      </c>
      <c r="Q1602" s="2" t="s">
        <v>11</v>
      </c>
      <c r="R1602" s="2" t="s">
        <v>426</v>
      </c>
      <c r="T1602" s="2" t="s">
        <v>520</v>
      </c>
      <c r="U1602" s="3">
        <v>5</v>
      </c>
      <c r="V1602" s="3">
        <v>5</v>
      </c>
      <c r="W1602" s="4" t="s">
        <v>19079</v>
      </c>
      <c r="X1602" s="4" t="s">
        <v>19079</v>
      </c>
      <c r="Y1602" s="4" t="s">
        <v>18753</v>
      </c>
      <c r="Z1602" s="4" t="s">
        <v>18753</v>
      </c>
      <c r="AA1602" s="3">
        <v>160</v>
      </c>
      <c r="AB1602" s="3">
        <v>122</v>
      </c>
      <c r="AC1602" s="3">
        <v>380</v>
      </c>
      <c r="AD1602" s="3">
        <v>1</v>
      </c>
      <c r="AE1602" s="3">
        <v>6</v>
      </c>
      <c r="AF1602" s="3">
        <v>3</v>
      </c>
      <c r="AG1602" s="3">
        <v>11</v>
      </c>
      <c r="AH1602" s="3">
        <v>0</v>
      </c>
      <c r="AI1602" s="3">
        <v>1</v>
      </c>
      <c r="AJ1602" s="3">
        <v>1</v>
      </c>
      <c r="AK1602" s="3">
        <v>3</v>
      </c>
      <c r="AL1602" s="3">
        <v>3</v>
      </c>
      <c r="AM1602" s="3">
        <v>5</v>
      </c>
      <c r="AN1602" s="3">
        <v>0</v>
      </c>
      <c r="AO1602" s="3">
        <v>3</v>
      </c>
      <c r="AP1602" s="3">
        <v>0</v>
      </c>
      <c r="AQ1602" s="3">
        <v>0</v>
      </c>
      <c r="AR1602" s="2" t="s">
        <v>5</v>
      </c>
      <c r="AS1602" s="2" t="s">
        <v>16</v>
      </c>
      <c r="AT1602" s="5" t="str">
        <f>HYPERLINK("http://catalog.hathitrust.org/Record/000814792","HathiTrust Record")</f>
        <v>HathiTrust Record</v>
      </c>
      <c r="AU1602" s="5" t="str">
        <f>HYPERLINK("https://creighton-primo.hosted.exlibrisgroup.com/primo-explore/search?tab=default_tab&amp;search_scope=EVERYTHING&amp;vid=01CRU&amp;lang=en_US&amp;offset=0&amp;query=any,contains,991001264679702656","Catalog Record")</f>
        <v>Catalog Record</v>
      </c>
      <c r="AV1602" s="5" t="str">
        <f>HYPERLINK("http://www.worldcat.org/oclc/14241703","WorldCat Record")</f>
        <v>WorldCat Record</v>
      </c>
      <c r="AW1602" s="2" t="s">
        <v>19080</v>
      </c>
      <c r="AX1602" s="2" t="s">
        <v>19081</v>
      </c>
      <c r="AY1602" s="2" t="s">
        <v>19082</v>
      </c>
      <c r="AZ1602" s="2" t="s">
        <v>19082</v>
      </c>
      <c r="BA1602" s="2" t="s">
        <v>19083</v>
      </c>
      <c r="BB1602" s="2" t="s">
        <v>21</v>
      </c>
      <c r="BD1602" s="2" t="s">
        <v>19084</v>
      </c>
      <c r="BE1602" s="2" t="s">
        <v>19085</v>
      </c>
      <c r="BF1602" s="2" t="s">
        <v>19086</v>
      </c>
    </row>
    <row r="1603" spans="1:58" ht="41.25" customHeight="1" x14ac:dyDescent="0.25">
      <c r="A1603" s="8" t="s">
        <v>5</v>
      </c>
      <c r="B1603" s="1" t="s">
        <v>0</v>
      </c>
      <c r="C1603" s="1" t="s">
        <v>1</v>
      </c>
      <c r="D1603" s="1" t="s">
        <v>19087</v>
      </c>
      <c r="E1603" s="1" t="s">
        <v>19088</v>
      </c>
      <c r="F1603" s="1" t="s">
        <v>18961</v>
      </c>
      <c r="H1603" s="2" t="s">
        <v>5</v>
      </c>
      <c r="I1603" s="2" t="s">
        <v>6</v>
      </c>
      <c r="J1603" s="2" t="s">
        <v>5</v>
      </c>
      <c r="K1603" s="2" t="s">
        <v>16</v>
      </c>
      <c r="L1603" s="2" t="s">
        <v>7</v>
      </c>
      <c r="M1603" s="1" t="s">
        <v>19089</v>
      </c>
      <c r="N1603" s="1" t="s">
        <v>925</v>
      </c>
      <c r="O1603" s="2" t="s">
        <v>382</v>
      </c>
      <c r="P1603" s="1" t="s">
        <v>19090</v>
      </c>
      <c r="Q1603" s="2" t="s">
        <v>11</v>
      </c>
      <c r="R1603" s="2" t="s">
        <v>426</v>
      </c>
      <c r="T1603" s="2" t="s">
        <v>520</v>
      </c>
      <c r="U1603" s="3">
        <v>7</v>
      </c>
      <c r="V1603" s="3">
        <v>7</v>
      </c>
      <c r="W1603" s="4" t="s">
        <v>19091</v>
      </c>
      <c r="X1603" s="4" t="s">
        <v>19091</v>
      </c>
      <c r="Y1603" s="4" t="s">
        <v>18800</v>
      </c>
      <c r="Z1603" s="4" t="s">
        <v>18800</v>
      </c>
      <c r="AA1603" s="3">
        <v>262</v>
      </c>
      <c r="AB1603" s="3">
        <v>207</v>
      </c>
      <c r="AC1603" s="3">
        <v>516</v>
      </c>
      <c r="AD1603" s="3">
        <v>1</v>
      </c>
      <c r="AE1603" s="3">
        <v>3</v>
      </c>
      <c r="AF1603" s="3">
        <v>5</v>
      </c>
      <c r="AG1603" s="3">
        <v>18</v>
      </c>
      <c r="AH1603" s="3">
        <v>3</v>
      </c>
      <c r="AI1603" s="3">
        <v>9</v>
      </c>
      <c r="AJ1603" s="3">
        <v>1</v>
      </c>
      <c r="AK1603" s="3">
        <v>5</v>
      </c>
      <c r="AL1603" s="3">
        <v>1</v>
      </c>
      <c r="AM1603" s="3">
        <v>7</v>
      </c>
      <c r="AN1603" s="3">
        <v>0</v>
      </c>
      <c r="AO1603" s="3">
        <v>1</v>
      </c>
      <c r="AP1603" s="3">
        <v>0</v>
      </c>
      <c r="AQ1603" s="3">
        <v>0</v>
      </c>
      <c r="AR1603" s="2" t="s">
        <v>5</v>
      </c>
      <c r="AS1603" s="2" t="s">
        <v>5</v>
      </c>
      <c r="AU1603" s="5" t="str">
        <f>HYPERLINK("https://creighton-primo.hosted.exlibrisgroup.com/primo-explore/search?tab=default_tab&amp;search_scope=EVERYTHING&amp;vid=01CRU&amp;lang=en_US&amp;offset=0&amp;query=any,contains,991000732659702656","Catalog Record")</f>
        <v>Catalog Record</v>
      </c>
      <c r="AV1603" s="5" t="str">
        <f>HYPERLINK("http://www.worldcat.org/oclc/11398844","WorldCat Record")</f>
        <v>WorldCat Record</v>
      </c>
      <c r="AW1603" s="2" t="s">
        <v>18964</v>
      </c>
      <c r="AX1603" s="2" t="s">
        <v>19092</v>
      </c>
      <c r="AY1603" s="2" t="s">
        <v>19093</v>
      </c>
      <c r="AZ1603" s="2" t="s">
        <v>19093</v>
      </c>
      <c r="BA1603" s="2" t="s">
        <v>19094</v>
      </c>
      <c r="BB1603" s="2" t="s">
        <v>21</v>
      </c>
      <c r="BD1603" s="2" t="s">
        <v>19095</v>
      </c>
      <c r="BE1603" s="2" t="s">
        <v>19096</v>
      </c>
      <c r="BF1603" s="2" t="s">
        <v>19097</v>
      </c>
    </row>
    <row r="1604" spans="1:58" ht="41.25" customHeight="1" x14ac:dyDescent="0.25">
      <c r="A1604" s="8" t="s">
        <v>5</v>
      </c>
      <c r="B1604" s="1" t="s">
        <v>0</v>
      </c>
      <c r="C1604" s="1" t="s">
        <v>1</v>
      </c>
      <c r="D1604" s="1" t="s">
        <v>19098</v>
      </c>
      <c r="E1604" s="1" t="s">
        <v>19099</v>
      </c>
      <c r="F1604" s="1" t="s">
        <v>19100</v>
      </c>
      <c r="H1604" s="2" t="s">
        <v>5</v>
      </c>
      <c r="I1604" s="2" t="s">
        <v>6</v>
      </c>
      <c r="J1604" s="2" t="s">
        <v>5</v>
      </c>
      <c r="K1604" s="2" t="s">
        <v>5</v>
      </c>
      <c r="L1604" s="2" t="s">
        <v>7</v>
      </c>
      <c r="M1604" s="1" t="s">
        <v>19101</v>
      </c>
      <c r="N1604" s="1" t="s">
        <v>11236</v>
      </c>
      <c r="O1604" s="2" t="s">
        <v>1378</v>
      </c>
      <c r="P1604" s="1" t="s">
        <v>1208</v>
      </c>
      <c r="Q1604" s="2" t="s">
        <v>11</v>
      </c>
      <c r="R1604" s="2" t="s">
        <v>1019</v>
      </c>
      <c r="T1604" s="2" t="s">
        <v>520</v>
      </c>
      <c r="U1604" s="3">
        <v>8</v>
      </c>
      <c r="V1604" s="3">
        <v>8</v>
      </c>
      <c r="W1604" s="4" t="s">
        <v>5018</v>
      </c>
      <c r="X1604" s="4" t="s">
        <v>5018</v>
      </c>
      <c r="Y1604" s="4" t="s">
        <v>17698</v>
      </c>
      <c r="Z1604" s="4" t="s">
        <v>17698</v>
      </c>
      <c r="AA1604" s="3">
        <v>187</v>
      </c>
      <c r="AB1604" s="3">
        <v>149</v>
      </c>
      <c r="AC1604" s="3">
        <v>178</v>
      </c>
      <c r="AD1604" s="3">
        <v>1</v>
      </c>
      <c r="AE1604" s="3">
        <v>1</v>
      </c>
      <c r="AF1604" s="3">
        <v>2</v>
      </c>
      <c r="AG1604" s="3">
        <v>3</v>
      </c>
      <c r="AH1604" s="3">
        <v>1</v>
      </c>
      <c r="AI1604" s="3">
        <v>1</v>
      </c>
      <c r="AJ1604" s="3">
        <v>0</v>
      </c>
      <c r="AK1604" s="3">
        <v>0</v>
      </c>
      <c r="AL1604" s="3">
        <v>1</v>
      </c>
      <c r="AM1604" s="3">
        <v>2</v>
      </c>
      <c r="AN1604" s="3">
        <v>0</v>
      </c>
      <c r="AO1604" s="3">
        <v>0</v>
      </c>
      <c r="AP1604" s="3">
        <v>0</v>
      </c>
      <c r="AQ1604" s="3">
        <v>0</v>
      </c>
      <c r="AR1604" s="2" t="s">
        <v>5</v>
      </c>
      <c r="AS1604" s="2" t="s">
        <v>16</v>
      </c>
      <c r="AT1604" s="5" t="str">
        <f>HYPERLINK("http://catalog.hathitrust.org/Record/003260668","HathiTrust Record")</f>
        <v>HathiTrust Record</v>
      </c>
      <c r="AU1604" s="5" t="str">
        <f>HYPERLINK("https://creighton-primo.hosted.exlibrisgroup.com/primo-explore/search?tab=default_tab&amp;search_scope=EVERYTHING&amp;vid=01CRU&amp;lang=en_US&amp;offset=0&amp;query=any,contains,991001295149702656","Catalog Record")</f>
        <v>Catalog Record</v>
      </c>
      <c r="AV1604" s="5" t="str">
        <f>HYPERLINK("http://www.worldcat.org/oclc/37519671","WorldCat Record")</f>
        <v>WorldCat Record</v>
      </c>
      <c r="AW1604" s="2" t="s">
        <v>19102</v>
      </c>
      <c r="AX1604" s="2" t="s">
        <v>19103</v>
      </c>
      <c r="AY1604" s="2" t="s">
        <v>19104</v>
      </c>
      <c r="AZ1604" s="2" t="s">
        <v>19104</v>
      </c>
      <c r="BA1604" s="2" t="s">
        <v>19105</v>
      </c>
      <c r="BB1604" s="2" t="s">
        <v>21</v>
      </c>
      <c r="BD1604" s="2" t="s">
        <v>19106</v>
      </c>
      <c r="BE1604" s="2" t="s">
        <v>19107</v>
      </c>
      <c r="BF1604" s="2" t="s">
        <v>19108</v>
      </c>
    </row>
    <row r="1605" spans="1:58" ht="41.25" customHeight="1" x14ac:dyDescent="0.25">
      <c r="A1605" s="8" t="s">
        <v>5</v>
      </c>
      <c r="B1605" s="1" t="s">
        <v>0</v>
      </c>
      <c r="C1605" s="1" t="s">
        <v>1</v>
      </c>
      <c r="D1605" s="1" t="s">
        <v>19109</v>
      </c>
      <c r="E1605" s="1" t="s">
        <v>19110</v>
      </c>
      <c r="F1605" s="1" t="s">
        <v>19111</v>
      </c>
      <c r="H1605" s="2" t="s">
        <v>5</v>
      </c>
      <c r="I1605" s="2" t="s">
        <v>6</v>
      </c>
      <c r="J1605" s="2" t="s">
        <v>5</v>
      </c>
      <c r="K1605" s="2" t="s">
        <v>5</v>
      </c>
      <c r="L1605" s="2" t="s">
        <v>7</v>
      </c>
      <c r="N1605" s="1" t="s">
        <v>5068</v>
      </c>
      <c r="O1605" s="2" t="s">
        <v>1046</v>
      </c>
      <c r="Q1605" s="2" t="s">
        <v>11</v>
      </c>
      <c r="R1605" s="2" t="s">
        <v>229</v>
      </c>
      <c r="T1605" s="2" t="s">
        <v>520</v>
      </c>
      <c r="U1605" s="3">
        <v>0</v>
      </c>
      <c r="V1605" s="3">
        <v>0</v>
      </c>
      <c r="W1605" s="4" t="s">
        <v>12708</v>
      </c>
      <c r="X1605" s="4" t="s">
        <v>12708</v>
      </c>
      <c r="Y1605" s="4" t="s">
        <v>12709</v>
      </c>
      <c r="Z1605" s="4" t="s">
        <v>12709</v>
      </c>
      <c r="AA1605" s="3">
        <v>209</v>
      </c>
      <c r="AB1605" s="3">
        <v>145</v>
      </c>
      <c r="AC1605" s="3">
        <v>154</v>
      </c>
      <c r="AD1605" s="3">
        <v>1</v>
      </c>
      <c r="AE1605" s="3">
        <v>1</v>
      </c>
      <c r="AF1605" s="3">
        <v>7</v>
      </c>
      <c r="AG1605" s="3">
        <v>7</v>
      </c>
      <c r="AH1605" s="3">
        <v>3</v>
      </c>
      <c r="AI1605" s="3">
        <v>3</v>
      </c>
      <c r="AJ1605" s="3">
        <v>1</v>
      </c>
      <c r="AK1605" s="3">
        <v>1</v>
      </c>
      <c r="AL1605" s="3">
        <v>4</v>
      </c>
      <c r="AM1605" s="3">
        <v>4</v>
      </c>
      <c r="AN1605" s="3">
        <v>0</v>
      </c>
      <c r="AO1605" s="3">
        <v>0</v>
      </c>
      <c r="AP1605" s="3">
        <v>0</v>
      </c>
      <c r="AQ1605" s="3">
        <v>0</v>
      </c>
      <c r="AR1605" s="2" t="s">
        <v>5</v>
      </c>
      <c r="AS1605" s="2" t="s">
        <v>5</v>
      </c>
      <c r="AU1605" s="5" t="str">
        <f>HYPERLINK("https://creighton-primo.hosted.exlibrisgroup.com/primo-explore/search?tab=default_tab&amp;search_scope=EVERYTHING&amp;vid=01CRU&amp;lang=en_US&amp;offset=0&amp;query=any,contains,991001322319702656","Catalog Record")</f>
        <v>Catalog Record</v>
      </c>
      <c r="AV1605" s="5" t="str">
        <f>HYPERLINK("http://www.worldcat.org/oclc/49936257","WorldCat Record")</f>
        <v>WorldCat Record</v>
      </c>
      <c r="AW1605" s="2" t="s">
        <v>19112</v>
      </c>
      <c r="AX1605" s="2" t="s">
        <v>19113</v>
      </c>
      <c r="AY1605" s="2" t="s">
        <v>19114</v>
      </c>
      <c r="AZ1605" s="2" t="s">
        <v>19114</v>
      </c>
      <c r="BA1605" s="2" t="s">
        <v>19115</v>
      </c>
      <c r="BB1605" s="2" t="s">
        <v>21</v>
      </c>
      <c r="BD1605" s="2" t="s">
        <v>19116</v>
      </c>
      <c r="BE1605" s="2" t="s">
        <v>19117</v>
      </c>
      <c r="BF1605" s="2" t="s">
        <v>19118</v>
      </c>
    </row>
    <row r="1606" spans="1:58" ht="41.25" customHeight="1" x14ac:dyDescent="0.25">
      <c r="A1606" s="8" t="s">
        <v>5</v>
      </c>
      <c r="B1606" s="1" t="s">
        <v>0</v>
      </c>
      <c r="C1606" s="1" t="s">
        <v>1</v>
      </c>
      <c r="D1606" s="1" t="s">
        <v>19119</v>
      </c>
      <c r="E1606" s="1" t="s">
        <v>19120</v>
      </c>
      <c r="F1606" s="1" t="s">
        <v>19121</v>
      </c>
      <c r="H1606" s="2" t="s">
        <v>5</v>
      </c>
      <c r="I1606" s="2" t="s">
        <v>6</v>
      </c>
      <c r="J1606" s="2" t="s">
        <v>5</v>
      </c>
      <c r="K1606" s="2" t="s">
        <v>5</v>
      </c>
      <c r="L1606" s="2" t="s">
        <v>7</v>
      </c>
      <c r="M1606" s="1" t="s">
        <v>19122</v>
      </c>
      <c r="N1606" s="1" t="s">
        <v>12205</v>
      </c>
      <c r="O1606" s="2" t="s">
        <v>1046</v>
      </c>
      <c r="P1606" s="1" t="s">
        <v>1208</v>
      </c>
      <c r="Q1606" s="2" t="s">
        <v>11</v>
      </c>
      <c r="R1606" s="2" t="s">
        <v>78</v>
      </c>
      <c r="T1606" s="2" t="s">
        <v>520</v>
      </c>
      <c r="U1606" s="3">
        <v>1</v>
      </c>
      <c r="V1606" s="3">
        <v>1</v>
      </c>
      <c r="W1606" s="4" t="s">
        <v>6571</v>
      </c>
      <c r="X1606" s="4" t="s">
        <v>6571</v>
      </c>
      <c r="Y1606" s="4" t="s">
        <v>9038</v>
      </c>
      <c r="Z1606" s="4" t="s">
        <v>9038</v>
      </c>
      <c r="AA1606" s="3">
        <v>229</v>
      </c>
      <c r="AB1606" s="3">
        <v>170</v>
      </c>
      <c r="AC1606" s="3">
        <v>554</v>
      </c>
      <c r="AD1606" s="3">
        <v>1</v>
      </c>
      <c r="AE1606" s="3">
        <v>4</v>
      </c>
      <c r="AF1606" s="3">
        <v>5</v>
      </c>
      <c r="AG1606" s="3">
        <v>14</v>
      </c>
      <c r="AH1606" s="3">
        <v>0</v>
      </c>
      <c r="AI1606" s="3">
        <v>3</v>
      </c>
      <c r="AJ1606" s="3">
        <v>2</v>
      </c>
      <c r="AK1606" s="3">
        <v>3</v>
      </c>
      <c r="AL1606" s="3">
        <v>4</v>
      </c>
      <c r="AM1606" s="3">
        <v>7</v>
      </c>
      <c r="AN1606" s="3">
        <v>0</v>
      </c>
      <c r="AO1606" s="3">
        <v>3</v>
      </c>
      <c r="AP1606" s="3">
        <v>0</v>
      </c>
      <c r="AQ1606" s="3">
        <v>0</v>
      </c>
      <c r="AR1606" s="2" t="s">
        <v>5</v>
      </c>
      <c r="AS1606" s="2" t="s">
        <v>16</v>
      </c>
      <c r="AT1606" s="5" t="str">
        <f>HYPERLINK("http://catalog.hathitrust.org/Record/004295660","HathiTrust Record")</f>
        <v>HathiTrust Record</v>
      </c>
      <c r="AU1606" s="5" t="str">
        <f>HYPERLINK("https://creighton-primo.hosted.exlibrisgroup.com/primo-explore/search?tab=default_tab&amp;search_scope=EVERYTHING&amp;vid=01CRU&amp;lang=en_US&amp;offset=0&amp;query=any,contains,991000349509702656","Catalog Record")</f>
        <v>Catalog Record</v>
      </c>
      <c r="AV1606" s="5" t="str">
        <f>HYPERLINK("http://www.worldcat.org/oclc/51239830","WorldCat Record")</f>
        <v>WorldCat Record</v>
      </c>
      <c r="AW1606" s="2" t="s">
        <v>19123</v>
      </c>
      <c r="AX1606" s="2" t="s">
        <v>19124</v>
      </c>
      <c r="AY1606" s="2" t="s">
        <v>19125</v>
      </c>
      <c r="AZ1606" s="2" t="s">
        <v>19125</v>
      </c>
      <c r="BA1606" s="2" t="s">
        <v>19126</v>
      </c>
      <c r="BB1606" s="2" t="s">
        <v>21</v>
      </c>
      <c r="BD1606" s="2" t="s">
        <v>19127</v>
      </c>
      <c r="BE1606" s="2" t="s">
        <v>19128</v>
      </c>
      <c r="BF1606" s="2" t="s">
        <v>19129</v>
      </c>
    </row>
    <row r="1607" spans="1:58" ht="41.25" customHeight="1" x14ac:dyDescent="0.25">
      <c r="A1607" s="8" t="s">
        <v>5</v>
      </c>
      <c r="B1607" s="1" t="s">
        <v>0</v>
      </c>
      <c r="C1607" s="1" t="s">
        <v>1</v>
      </c>
      <c r="D1607" s="1" t="s">
        <v>19130</v>
      </c>
      <c r="E1607" s="1" t="s">
        <v>19131</v>
      </c>
      <c r="F1607" s="1" t="s">
        <v>19132</v>
      </c>
      <c r="H1607" s="2" t="s">
        <v>5</v>
      </c>
      <c r="I1607" s="2" t="s">
        <v>6</v>
      </c>
      <c r="J1607" s="2" t="s">
        <v>5</v>
      </c>
      <c r="K1607" s="2" t="s">
        <v>5</v>
      </c>
      <c r="L1607" s="2" t="s">
        <v>7</v>
      </c>
      <c r="M1607" s="1" t="s">
        <v>19122</v>
      </c>
      <c r="N1607" s="1" t="s">
        <v>19133</v>
      </c>
      <c r="O1607" s="2" t="s">
        <v>1060</v>
      </c>
      <c r="P1607" s="1" t="s">
        <v>1652</v>
      </c>
      <c r="Q1607" s="2" t="s">
        <v>11</v>
      </c>
      <c r="R1607" s="2" t="s">
        <v>31</v>
      </c>
      <c r="T1607" s="2" t="s">
        <v>520</v>
      </c>
      <c r="U1607" s="3">
        <v>0</v>
      </c>
      <c r="V1607" s="3">
        <v>0</v>
      </c>
      <c r="W1607" s="4" t="s">
        <v>16120</v>
      </c>
      <c r="X1607" s="4" t="s">
        <v>16120</v>
      </c>
      <c r="Y1607" s="4" t="s">
        <v>19134</v>
      </c>
      <c r="Z1607" s="4" t="s">
        <v>19134</v>
      </c>
      <c r="AA1607" s="3">
        <v>228</v>
      </c>
      <c r="AB1607" s="3">
        <v>173</v>
      </c>
      <c r="AC1607" s="3">
        <v>334</v>
      </c>
      <c r="AD1607" s="3">
        <v>1</v>
      </c>
      <c r="AE1607" s="3">
        <v>2</v>
      </c>
      <c r="AF1607" s="3">
        <v>4</v>
      </c>
      <c r="AG1607" s="3">
        <v>6</v>
      </c>
      <c r="AH1607" s="3">
        <v>2</v>
      </c>
      <c r="AI1607" s="3">
        <v>2</v>
      </c>
      <c r="AJ1607" s="3">
        <v>0</v>
      </c>
      <c r="AK1607" s="3">
        <v>0</v>
      </c>
      <c r="AL1607" s="3">
        <v>2</v>
      </c>
      <c r="AM1607" s="3">
        <v>3</v>
      </c>
      <c r="AN1607" s="3">
        <v>0</v>
      </c>
      <c r="AO1607" s="3">
        <v>1</v>
      </c>
      <c r="AP1607" s="3">
        <v>0</v>
      </c>
      <c r="AQ1607" s="3">
        <v>0</v>
      </c>
      <c r="AR1607" s="2" t="s">
        <v>5</v>
      </c>
      <c r="AS1607" s="2" t="s">
        <v>16</v>
      </c>
      <c r="AT1607" s="5" t="str">
        <f>HYPERLINK("http://catalog.hathitrust.org/Record/004953883","HathiTrust Record")</f>
        <v>HathiTrust Record</v>
      </c>
      <c r="AU1607" s="5" t="str">
        <f>HYPERLINK("https://creighton-primo.hosted.exlibrisgroup.com/primo-explore/search?tab=default_tab&amp;search_scope=EVERYTHING&amp;vid=01CRU&amp;lang=en_US&amp;offset=0&amp;query=any,contains,991000455319702656","Catalog Record")</f>
        <v>Catalog Record</v>
      </c>
      <c r="AV1607" s="5" t="str">
        <f>HYPERLINK("http://www.worldcat.org/oclc/56614620","WorldCat Record")</f>
        <v>WorldCat Record</v>
      </c>
      <c r="AW1607" s="2" t="s">
        <v>19135</v>
      </c>
      <c r="AX1607" s="2" t="s">
        <v>19136</v>
      </c>
      <c r="AY1607" s="2" t="s">
        <v>19137</v>
      </c>
      <c r="AZ1607" s="2" t="s">
        <v>19137</v>
      </c>
      <c r="BA1607" s="2" t="s">
        <v>19138</v>
      </c>
      <c r="BB1607" s="2" t="s">
        <v>21</v>
      </c>
      <c r="BD1607" s="2" t="s">
        <v>19139</v>
      </c>
      <c r="BE1607" s="2" t="s">
        <v>19140</v>
      </c>
      <c r="BF1607" s="2" t="s">
        <v>19141</v>
      </c>
    </row>
    <row r="1608" spans="1:58" ht="41.25" customHeight="1" x14ac:dyDescent="0.25">
      <c r="A1608" s="8" t="s">
        <v>5</v>
      </c>
      <c r="B1608" s="1" t="s">
        <v>0</v>
      </c>
      <c r="C1608" s="1" t="s">
        <v>1</v>
      </c>
      <c r="D1608" s="1" t="s">
        <v>19142</v>
      </c>
      <c r="E1608" s="1" t="s">
        <v>19143</v>
      </c>
      <c r="F1608" s="1" t="s">
        <v>19144</v>
      </c>
      <c r="H1608" s="2" t="s">
        <v>5</v>
      </c>
      <c r="I1608" s="2" t="s">
        <v>6</v>
      </c>
      <c r="J1608" s="2" t="s">
        <v>5</v>
      </c>
      <c r="K1608" s="2" t="s">
        <v>5</v>
      </c>
      <c r="L1608" s="2" t="s">
        <v>7</v>
      </c>
      <c r="M1608" s="1" t="s">
        <v>19145</v>
      </c>
      <c r="N1608" s="1" t="s">
        <v>19146</v>
      </c>
      <c r="O1608" s="2" t="s">
        <v>4990</v>
      </c>
      <c r="Q1608" s="2" t="s">
        <v>11</v>
      </c>
      <c r="R1608" s="2" t="s">
        <v>10216</v>
      </c>
      <c r="T1608" s="2" t="s">
        <v>520</v>
      </c>
      <c r="U1608" s="3">
        <v>17</v>
      </c>
      <c r="V1608" s="3">
        <v>17</v>
      </c>
      <c r="W1608" s="4" t="s">
        <v>14668</v>
      </c>
      <c r="X1608" s="4" t="s">
        <v>14668</v>
      </c>
      <c r="Y1608" s="4" t="s">
        <v>12807</v>
      </c>
      <c r="Z1608" s="4" t="s">
        <v>12807</v>
      </c>
      <c r="AA1608" s="3">
        <v>261</v>
      </c>
      <c r="AB1608" s="3">
        <v>193</v>
      </c>
      <c r="AC1608" s="3">
        <v>1249</v>
      </c>
      <c r="AD1608" s="3">
        <v>1</v>
      </c>
      <c r="AE1608" s="3">
        <v>27</v>
      </c>
      <c r="AF1608" s="3">
        <v>5</v>
      </c>
      <c r="AG1608" s="3">
        <v>37</v>
      </c>
      <c r="AH1608" s="3">
        <v>4</v>
      </c>
      <c r="AI1608" s="3">
        <v>11</v>
      </c>
      <c r="AJ1608" s="3">
        <v>0</v>
      </c>
      <c r="AK1608" s="3">
        <v>9</v>
      </c>
      <c r="AL1608" s="3">
        <v>2</v>
      </c>
      <c r="AM1608" s="3">
        <v>12</v>
      </c>
      <c r="AN1608" s="3">
        <v>0</v>
      </c>
      <c r="AO1608" s="3">
        <v>12</v>
      </c>
      <c r="AP1608" s="3">
        <v>0</v>
      </c>
      <c r="AQ1608" s="3">
        <v>0</v>
      </c>
      <c r="AR1608" s="2" t="s">
        <v>5</v>
      </c>
      <c r="AS1608" s="2" t="s">
        <v>5</v>
      </c>
      <c r="AU1608" s="5" t="str">
        <f>HYPERLINK("https://creighton-primo.hosted.exlibrisgroup.com/primo-explore/search?tab=default_tab&amp;search_scope=EVERYTHING&amp;vid=01CRU&amp;lang=en_US&amp;offset=0&amp;query=any,contains,991001715689702656","Catalog Record")</f>
        <v>Catalog Record</v>
      </c>
      <c r="AV1608" s="5" t="str">
        <f>HYPERLINK("http://www.worldcat.org/oclc/46937566","WorldCat Record")</f>
        <v>WorldCat Record</v>
      </c>
      <c r="AW1608" s="2" t="s">
        <v>19147</v>
      </c>
      <c r="AX1608" s="2" t="s">
        <v>19148</v>
      </c>
      <c r="AY1608" s="2" t="s">
        <v>19149</v>
      </c>
      <c r="AZ1608" s="2" t="s">
        <v>19149</v>
      </c>
      <c r="BA1608" s="2" t="s">
        <v>19150</v>
      </c>
      <c r="BB1608" s="2" t="s">
        <v>21</v>
      </c>
      <c r="BD1608" s="2" t="s">
        <v>19151</v>
      </c>
      <c r="BE1608" s="2" t="s">
        <v>19152</v>
      </c>
      <c r="BF1608" s="2" t="s">
        <v>19153</v>
      </c>
    </row>
    <row r="1609" spans="1:58" ht="41.25" customHeight="1" x14ac:dyDescent="0.25">
      <c r="A1609" s="8" t="s">
        <v>5</v>
      </c>
      <c r="B1609" s="1" t="s">
        <v>0</v>
      </c>
      <c r="C1609" s="1" t="s">
        <v>1</v>
      </c>
      <c r="D1609" s="1" t="s">
        <v>19154</v>
      </c>
      <c r="E1609" s="1" t="s">
        <v>19155</v>
      </c>
      <c r="F1609" s="1" t="s">
        <v>19156</v>
      </c>
      <c r="H1609" s="2" t="s">
        <v>5</v>
      </c>
      <c r="I1609" s="2" t="s">
        <v>6</v>
      </c>
      <c r="J1609" s="2" t="s">
        <v>5</v>
      </c>
      <c r="K1609" s="2" t="s">
        <v>16</v>
      </c>
      <c r="L1609" s="2" t="s">
        <v>7</v>
      </c>
      <c r="N1609" s="1" t="s">
        <v>19157</v>
      </c>
      <c r="O1609" s="2" t="s">
        <v>1060</v>
      </c>
      <c r="P1609" s="1" t="s">
        <v>211</v>
      </c>
      <c r="Q1609" s="2" t="s">
        <v>11</v>
      </c>
      <c r="R1609" s="2" t="s">
        <v>31</v>
      </c>
      <c r="T1609" s="2" t="s">
        <v>520</v>
      </c>
      <c r="U1609" s="3">
        <v>1</v>
      </c>
      <c r="V1609" s="3">
        <v>1</v>
      </c>
      <c r="W1609" s="4" t="s">
        <v>19158</v>
      </c>
      <c r="X1609" s="4" t="s">
        <v>19158</v>
      </c>
      <c r="Y1609" s="4" t="s">
        <v>12020</v>
      </c>
      <c r="Z1609" s="4" t="s">
        <v>12020</v>
      </c>
      <c r="AA1609" s="3">
        <v>232</v>
      </c>
      <c r="AB1609" s="3">
        <v>168</v>
      </c>
      <c r="AC1609" s="3">
        <v>561</v>
      </c>
      <c r="AD1609" s="3">
        <v>1</v>
      </c>
      <c r="AE1609" s="3">
        <v>3</v>
      </c>
      <c r="AF1609" s="3">
        <v>5</v>
      </c>
      <c r="AG1609" s="3">
        <v>15</v>
      </c>
      <c r="AH1609" s="3">
        <v>1</v>
      </c>
      <c r="AI1609" s="3">
        <v>5</v>
      </c>
      <c r="AJ1609" s="3">
        <v>1</v>
      </c>
      <c r="AK1609" s="3">
        <v>2</v>
      </c>
      <c r="AL1609" s="3">
        <v>4</v>
      </c>
      <c r="AM1609" s="3">
        <v>8</v>
      </c>
      <c r="AN1609" s="3">
        <v>0</v>
      </c>
      <c r="AO1609" s="3">
        <v>2</v>
      </c>
      <c r="AP1609" s="3">
        <v>0</v>
      </c>
      <c r="AQ1609" s="3">
        <v>0</v>
      </c>
      <c r="AR1609" s="2" t="s">
        <v>5</v>
      </c>
      <c r="AS1609" s="2" t="s">
        <v>5</v>
      </c>
      <c r="AU1609" s="5" t="str">
        <f>HYPERLINK("https://creighton-primo.hosted.exlibrisgroup.com/primo-explore/search?tab=default_tab&amp;search_scope=EVERYTHING&amp;vid=01CRU&amp;lang=en_US&amp;offset=0&amp;query=any,contains,991000458499702656","Catalog Record")</f>
        <v>Catalog Record</v>
      </c>
      <c r="AV1609" s="5" t="str">
        <f>HYPERLINK("http://www.worldcat.org/oclc/56369084","WorldCat Record")</f>
        <v>WorldCat Record</v>
      </c>
      <c r="AW1609" s="2" t="s">
        <v>19159</v>
      </c>
      <c r="AX1609" s="2" t="s">
        <v>19160</v>
      </c>
      <c r="AY1609" s="2" t="s">
        <v>19161</v>
      </c>
      <c r="AZ1609" s="2" t="s">
        <v>19161</v>
      </c>
      <c r="BA1609" s="2" t="s">
        <v>19162</v>
      </c>
      <c r="BB1609" s="2" t="s">
        <v>21</v>
      </c>
      <c r="BD1609" s="2" t="s">
        <v>19163</v>
      </c>
      <c r="BE1609" s="2" t="s">
        <v>19164</v>
      </c>
      <c r="BF1609" s="2" t="s">
        <v>19165</v>
      </c>
    </row>
    <row r="1610" spans="1:58" ht="41.25" customHeight="1" x14ac:dyDescent="0.25">
      <c r="A1610" s="8" t="s">
        <v>5</v>
      </c>
      <c r="B1610" s="1" t="s">
        <v>0</v>
      </c>
      <c r="C1610" s="1" t="s">
        <v>1</v>
      </c>
      <c r="D1610" s="1" t="s">
        <v>19166</v>
      </c>
      <c r="E1610" s="1" t="s">
        <v>19167</v>
      </c>
      <c r="F1610" s="1" t="s">
        <v>19168</v>
      </c>
      <c r="H1610" s="2" t="s">
        <v>5</v>
      </c>
      <c r="I1610" s="2" t="s">
        <v>6</v>
      </c>
      <c r="J1610" s="2" t="s">
        <v>5</v>
      </c>
      <c r="K1610" s="2" t="s">
        <v>5</v>
      </c>
      <c r="L1610" s="2" t="s">
        <v>7</v>
      </c>
      <c r="N1610" s="1" t="s">
        <v>7967</v>
      </c>
      <c r="O1610" s="2" t="s">
        <v>107</v>
      </c>
      <c r="P1610" s="1" t="s">
        <v>901</v>
      </c>
      <c r="Q1610" s="2" t="s">
        <v>11</v>
      </c>
      <c r="R1610" s="2" t="s">
        <v>31</v>
      </c>
      <c r="T1610" s="2" t="s">
        <v>520</v>
      </c>
      <c r="U1610" s="3">
        <v>3</v>
      </c>
      <c r="V1610" s="3">
        <v>3</v>
      </c>
      <c r="W1610" s="4" t="s">
        <v>11305</v>
      </c>
      <c r="X1610" s="4" t="s">
        <v>11305</v>
      </c>
      <c r="Y1610" s="4" t="s">
        <v>11306</v>
      </c>
      <c r="Z1610" s="4" t="s">
        <v>11306</v>
      </c>
      <c r="AA1610" s="3">
        <v>328</v>
      </c>
      <c r="AB1610" s="3">
        <v>240</v>
      </c>
      <c r="AC1610" s="3">
        <v>240</v>
      </c>
      <c r="AD1610" s="3">
        <v>1</v>
      </c>
      <c r="AE1610" s="3">
        <v>1</v>
      </c>
      <c r="AF1610" s="3">
        <v>3</v>
      </c>
      <c r="AG1610" s="3">
        <v>3</v>
      </c>
      <c r="AH1610" s="3">
        <v>0</v>
      </c>
      <c r="AI1610" s="3">
        <v>0</v>
      </c>
      <c r="AJ1610" s="3">
        <v>0</v>
      </c>
      <c r="AK1610" s="3">
        <v>0</v>
      </c>
      <c r="AL1610" s="3">
        <v>3</v>
      </c>
      <c r="AM1610" s="3">
        <v>3</v>
      </c>
      <c r="AN1610" s="3">
        <v>0</v>
      </c>
      <c r="AO1610" s="3">
        <v>0</v>
      </c>
      <c r="AP1610" s="3">
        <v>0</v>
      </c>
      <c r="AQ1610" s="3">
        <v>0</v>
      </c>
      <c r="AR1610" s="2" t="s">
        <v>5</v>
      </c>
      <c r="AS1610" s="2" t="s">
        <v>5</v>
      </c>
      <c r="AU1610" s="5" t="str">
        <f>HYPERLINK("https://creighton-primo.hosted.exlibrisgroup.com/primo-explore/search?tab=default_tab&amp;search_scope=EVERYTHING&amp;vid=01CRU&amp;lang=en_US&amp;offset=0&amp;query=any,contains,991001738489702656","Catalog Record")</f>
        <v>Catalog Record</v>
      </c>
      <c r="AV1610" s="5" t="str">
        <f>HYPERLINK("http://www.worldcat.org/oclc/60903175","WorldCat Record")</f>
        <v>WorldCat Record</v>
      </c>
      <c r="AW1610" s="2" t="s">
        <v>19169</v>
      </c>
      <c r="AX1610" s="2" t="s">
        <v>19170</v>
      </c>
      <c r="AY1610" s="2" t="s">
        <v>19171</v>
      </c>
      <c r="AZ1610" s="2" t="s">
        <v>19171</v>
      </c>
      <c r="BA1610" s="2" t="s">
        <v>19172</v>
      </c>
      <c r="BB1610" s="2" t="s">
        <v>21</v>
      </c>
      <c r="BD1610" s="2" t="s">
        <v>19173</v>
      </c>
      <c r="BE1610" s="2" t="s">
        <v>19174</v>
      </c>
      <c r="BF1610" s="2" t="s">
        <v>19175</v>
      </c>
    </row>
    <row r="1611" spans="1:58" ht="41.25" customHeight="1" x14ac:dyDescent="0.25">
      <c r="A1611" s="8" t="s">
        <v>5</v>
      </c>
      <c r="B1611" s="1" t="s">
        <v>0</v>
      </c>
      <c r="C1611" s="1" t="s">
        <v>1</v>
      </c>
      <c r="D1611" s="1" t="s">
        <v>19176</v>
      </c>
      <c r="E1611" s="1" t="s">
        <v>19177</v>
      </c>
      <c r="F1611" s="1" t="s">
        <v>19178</v>
      </c>
      <c r="H1611" s="2" t="s">
        <v>5</v>
      </c>
      <c r="I1611" s="2" t="s">
        <v>6</v>
      </c>
      <c r="J1611" s="2" t="s">
        <v>5</v>
      </c>
      <c r="K1611" s="2" t="s">
        <v>5</v>
      </c>
      <c r="L1611" s="2" t="s">
        <v>7</v>
      </c>
      <c r="M1611" s="1" t="s">
        <v>19179</v>
      </c>
      <c r="N1611" s="1" t="s">
        <v>19180</v>
      </c>
      <c r="O1611" s="2" t="s">
        <v>888</v>
      </c>
      <c r="P1611" s="1" t="s">
        <v>8431</v>
      </c>
      <c r="Q1611" s="2" t="s">
        <v>11</v>
      </c>
      <c r="R1611" s="2" t="s">
        <v>1019</v>
      </c>
      <c r="T1611" s="2" t="s">
        <v>520</v>
      </c>
      <c r="U1611" s="3">
        <v>3</v>
      </c>
      <c r="V1611" s="3">
        <v>3</v>
      </c>
      <c r="W1611" s="4" t="s">
        <v>19181</v>
      </c>
      <c r="X1611" s="4" t="s">
        <v>19181</v>
      </c>
      <c r="Y1611" s="4" t="s">
        <v>18800</v>
      </c>
      <c r="Z1611" s="4" t="s">
        <v>18800</v>
      </c>
      <c r="AA1611" s="3">
        <v>25</v>
      </c>
      <c r="AB1611" s="3">
        <v>20</v>
      </c>
      <c r="AC1611" s="3">
        <v>30</v>
      </c>
      <c r="AD1611" s="3">
        <v>1</v>
      </c>
      <c r="AE1611" s="3">
        <v>2</v>
      </c>
      <c r="AF1611" s="3">
        <v>1</v>
      </c>
      <c r="AG1611" s="3">
        <v>1</v>
      </c>
      <c r="AH1611" s="3">
        <v>0</v>
      </c>
      <c r="AI1611" s="3">
        <v>0</v>
      </c>
      <c r="AJ1611" s="3">
        <v>0</v>
      </c>
      <c r="AK1611" s="3">
        <v>0</v>
      </c>
      <c r="AL1611" s="3">
        <v>1</v>
      </c>
      <c r="AM1611" s="3">
        <v>1</v>
      </c>
      <c r="AN1611" s="3">
        <v>0</v>
      </c>
      <c r="AO1611" s="3">
        <v>0</v>
      </c>
      <c r="AP1611" s="3">
        <v>0</v>
      </c>
      <c r="AQ1611" s="3">
        <v>0</v>
      </c>
      <c r="AR1611" s="2" t="s">
        <v>5</v>
      </c>
      <c r="AS1611" s="2" t="s">
        <v>5</v>
      </c>
      <c r="AU1611" s="5" t="str">
        <f>HYPERLINK("https://creighton-primo.hosted.exlibrisgroup.com/primo-explore/search?tab=default_tab&amp;search_scope=EVERYTHING&amp;vid=01CRU&amp;lang=en_US&amp;offset=0&amp;query=any,contains,991000732479702656","Catalog Record")</f>
        <v>Catalog Record</v>
      </c>
      <c r="AV1611" s="5" t="str">
        <f>HYPERLINK("http://www.worldcat.org/oclc/10598976","WorldCat Record")</f>
        <v>WorldCat Record</v>
      </c>
      <c r="AW1611" s="2" t="s">
        <v>19182</v>
      </c>
      <c r="AX1611" s="2" t="s">
        <v>19183</v>
      </c>
      <c r="AY1611" s="2" t="s">
        <v>19184</v>
      </c>
      <c r="AZ1611" s="2" t="s">
        <v>19184</v>
      </c>
      <c r="BA1611" s="2" t="s">
        <v>19185</v>
      </c>
      <c r="BB1611" s="2" t="s">
        <v>21</v>
      </c>
      <c r="BD1611" s="2" t="s">
        <v>19186</v>
      </c>
      <c r="BE1611" s="2" t="s">
        <v>19187</v>
      </c>
      <c r="BF1611" s="2" t="s">
        <v>19188</v>
      </c>
    </row>
    <row r="1612" spans="1:58" ht="41.25" customHeight="1" x14ac:dyDescent="0.25">
      <c r="A1612" s="8" t="s">
        <v>5</v>
      </c>
      <c r="B1612" s="1" t="s">
        <v>0</v>
      </c>
      <c r="C1612" s="1" t="s">
        <v>1</v>
      </c>
      <c r="D1612" s="1" t="s">
        <v>19189</v>
      </c>
      <c r="E1612" s="1" t="s">
        <v>19190</v>
      </c>
      <c r="F1612" s="1" t="s">
        <v>19191</v>
      </c>
      <c r="H1612" s="2" t="s">
        <v>5</v>
      </c>
      <c r="I1612" s="2" t="s">
        <v>6</v>
      </c>
      <c r="J1612" s="2" t="s">
        <v>5</v>
      </c>
      <c r="K1612" s="2" t="s">
        <v>16</v>
      </c>
      <c r="L1612" s="2" t="s">
        <v>7</v>
      </c>
      <c r="N1612" s="1" t="s">
        <v>8962</v>
      </c>
      <c r="O1612" s="2" t="s">
        <v>1391</v>
      </c>
      <c r="P1612" s="1" t="s">
        <v>771</v>
      </c>
      <c r="Q1612" s="2" t="s">
        <v>11</v>
      </c>
      <c r="R1612" s="2" t="s">
        <v>31</v>
      </c>
      <c r="T1612" s="2" t="s">
        <v>520</v>
      </c>
      <c r="U1612" s="3">
        <v>2</v>
      </c>
      <c r="V1612" s="3">
        <v>2</v>
      </c>
      <c r="W1612" s="4" t="s">
        <v>19192</v>
      </c>
      <c r="X1612" s="4" t="s">
        <v>19192</v>
      </c>
      <c r="Y1612" s="4" t="s">
        <v>19193</v>
      </c>
      <c r="Z1612" s="4" t="s">
        <v>19193</v>
      </c>
      <c r="AA1612" s="3">
        <v>334</v>
      </c>
      <c r="AB1612" s="3">
        <v>264</v>
      </c>
      <c r="AC1612" s="3">
        <v>1022</v>
      </c>
      <c r="AD1612" s="3">
        <v>2</v>
      </c>
      <c r="AE1612" s="3">
        <v>10</v>
      </c>
      <c r="AF1612" s="3">
        <v>8</v>
      </c>
      <c r="AG1612" s="3">
        <v>31</v>
      </c>
      <c r="AH1612" s="3">
        <v>3</v>
      </c>
      <c r="AI1612" s="3">
        <v>11</v>
      </c>
      <c r="AJ1612" s="3">
        <v>1</v>
      </c>
      <c r="AK1612" s="3">
        <v>5</v>
      </c>
      <c r="AL1612" s="3">
        <v>3</v>
      </c>
      <c r="AM1612" s="3">
        <v>11</v>
      </c>
      <c r="AN1612" s="3">
        <v>1</v>
      </c>
      <c r="AO1612" s="3">
        <v>7</v>
      </c>
      <c r="AP1612" s="3">
        <v>0</v>
      </c>
      <c r="AQ1612" s="3">
        <v>0</v>
      </c>
      <c r="AR1612" s="2" t="s">
        <v>5</v>
      </c>
      <c r="AS1612" s="2" t="s">
        <v>5</v>
      </c>
      <c r="AU1612" s="5" t="str">
        <f>HYPERLINK("https://creighton-primo.hosted.exlibrisgroup.com/primo-explore/search?tab=default_tab&amp;search_scope=EVERYTHING&amp;vid=01CRU&amp;lang=en_US&amp;offset=0&amp;query=any,contains,991000423409702656","Catalog Record")</f>
        <v>Catalog Record</v>
      </c>
      <c r="AV1612" s="5" t="str">
        <f>HYPERLINK("http://www.worldcat.org/oclc/51982677","WorldCat Record")</f>
        <v>WorldCat Record</v>
      </c>
      <c r="AW1612" s="2" t="s">
        <v>19194</v>
      </c>
      <c r="AX1612" s="2" t="s">
        <v>19195</v>
      </c>
      <c r="AY1612" s="2" t="s">
        <v>19196</v>
      </c>
      <c r="AZ1612" s="2" t="s">
        <v>19196</v>
      </c>
      <c r="BA1612" s="2" t="s">
        <v>19197</v>
      </c>
      <c r="BB1612" s="2" t="s">
        <v>21</v>
      </c>
      <c r="BD1612" s="2" t="s">
        <v>19198</v>
      </c>
      <c r="BE1612" s="2" t="s">
        <v>19199</v>
      </c>
      <c r="BF1612" s="2" t="s">
        <v>19200</v>
      </c>
    </row>
    <row r="1613" spans="1:58" ht="41.25" customHeight="1" x14ac:dyDescent="0.25">
      <c r="A1613" s="8" t="s">
        <v>5</v>
      </c>
      <c r="B1613" s="1" t="s">
        <v>0</v>
      </c>
      <c r="C1613" s="1" t="s">
        <v>1</v>
      </c>
      <c r="D1613" s="1" t="s">
        <v>19201</v>
      </c>
      <c r="E1613" s="1" t="s">
        <v>19202</v>
      </c>
      <c r="F1613" s="1" t="s">
        <v>19203</v>
      </c>
      <c r="H1613" s="2" t="s">
        <v>5</v>
      </c>
      <c r="I1613" s="2" t="s">
        <v>6</v>
      </c>
      <c r="J1613" s="2" t="s">
        <v>5</v>
      </c>
      <c r="K1613" s="2" t="s">
        <v>16</v>
      </c>
      <c r="L1613" s="2" t="s">
        <v>7</v>
      </c>
      <c r="N1613" s="1" t="s">
        <v>8689</v>
      </c>
      <c r="O1613" s="2" t="s">
        <v>601</v>
      </c>
      <c r="P1613" s="1" t="s">
        <v>1208</v>
      </c>
      <c r="Q1613" s="2" t="s">
        <v>11</v>
      </c>
      <c r="R1613" s="2" t="s">
        <v>31</v>
      </c>
      <c r="T1613" s="2" t="s">
        <v>520</v>
      </c>
      <c r="U1613" s="3">
        <v>4</v>
      </c>
      <c r="V1613" s="3">
        <v>4</v>
      </c>
      <c r="W1613" s="4" t="s">
        <v>19204</v>
      </c>
      <c r="X1613" s="4" t="s">
        <v>19204</v>
      </c>
      <c r="Y1613" s="4" t="s">
        <v>14184</v>
      </c>
      <c r="Z1613" s="4" t="s">
        <v>14184</v>
      </c>
      <c r="AA1613" s="3">
        <v>256</v>
      </c>
      <c r="AB1613" s="3">
        <v>193</v>
      </c>
      <c r="AC1613" s="3">
        <v>772</v>
      </c>
      <c r="AD1613" s="3">
        <v>2</v>
      </c>
      <c r="AE1613" s="3">
        <v>4</v>
      </c>
      <c r="AF1613" s="3">
        <v>5</v>
      </c>
      <c r="AG1613" s="3">
        <v>22</v>
      </c>
      <c r="AH1613" s="3">
        <v>2</v>
      </c>
      <c r="AI1613" s="3">
        <v>9</v>
      </c>
      <c r="AJ1613" s="3">
        <v>0</v>
      </c>
      <c r="AK1613" s="3">
        <v>4</v>
      </c>
      <c r="AL1613" s="3">
        <v>2</v>
      </c>
      <c r="AM1613" s="3">
        <v>8</v>
      </c>
      <c r="AN1613" s="3">
        <v>1</v>
      </c>
      <c r="AO1613" s="3">
        <v>3</v>
      </c>
      <c r="AP1613" s="3">
        <v>0</v>
      </c>
      <c r="AQ1613" s="3">
        <v>0</v>
      </c>
      <c r="AR1613" s="2" t="s">
        <v>5</v>
      </c>
      <c r="AS1613" s="2" t="s">
        <v>16</v>
      </c>
      <c r="AT1613" s="5" t="str">
        <f>HYPERLINK("http://catalog.hathitrust.org/Record/002938561","HathiTrust Record")</f>
        <v>HathiTrust Record</v>
      </c>
      <c r="AU1613" s="5" t="str">
        <f>HYPERLINK("https://creighton-primo.hosted.exlibrisgroup.com/primo-explore/search?tab=default_tab&amp;search_scope=EVERYTHING&amp;vid=01CRU&amp;lang=en_US&amp;offset=0&amp;query=any,contains,991001507439702656","Catalog Record")</f>
        <v>Catalog Record</v>
      </c>
      <c r="AV1613" s="5" t="str">
        <f>HYPERLINK("http://www.worldcat.org/oclc/31131558","WorldCat Record")</f>
        <v>WorldCat Record</v>
      </c>
      <c r="AW1613" s="2" t="s">
        <v>19205</v>
      </c>
      <c r="AX1613" s="2" t="s">
        <v>19206</v>
      </c>
      <c r="AY1613" s="2" t="s">
        <v>19207</v>
      </c>
      <c r="AZ1613" s="2" t="s">
        <v>19207</v>
      </c>
      <c r="BA1613" s="2" t="s">
        <v>19208</v>
      </c>
      <c r="BB1613" s="2" t="s">
        <v>21</v>
      </c>
      <c r="BD1613" s="2" t="s">
        <v>19209</v>
      </c>
      <c r="BE1613" s="2" t="s">
        <v>19210</v>
      </c>
      <c r="BF1613" s="2" t="s">
        <v>19211</v>
      </c>
    </row>
    <row r="1614" spans="1:58" ht="41.25" customHeight="1" x14ac:dyDescent="0.25">
      <c r="A1614" s="8" t="s">
        <v>5</v>
      </c>
      <c r="B1614" s="1" t="s">
        <v>0</v>
      </c>
      <c r="C1614" s="1" t="s">
        <v>1</v>
      </c>
      <c r="D1614" s="1" t="s">
        <v>19212</v>
      </c>
      <c r="E1614" s="1" t="s">
        <v>19213</v>
      </c>
      <c r="F1614" s="1" t="s">
        <v>19214</v>
      </c>
      <c r="H1614" s="2" t="s">
        <v>5</v>
      </c>
      <c r="I1614" s="2" t="s">
        <v>6</v>
      </c>
      <c r="J1614" s="2" t="s">
        <v>5</v>
      </c>
      <c r="K1614" s="2" t="s">
        <v>16</v>
      </c>
      <c r="L1614" s="2" t="s">
        <v>7</v>
      </c>
      <c r="N1614" s="1" t="s">
        <v>8145</v>
      </c>
      <c r="O1614" s="2" t="s">
        <v>1046</v>
      </c>
      <c r="P1614" s="1" t="s">
        <v>63</v>
      </c>
      <c r="Q1614" s="2" t="s">
        <v>11</v>
      </c>
      <c r="R1614" s="2" t="s">
        <v>31</v>
      </c>
      <c r="T1614" s="2" t="s">
        <v>520</v>
      </c>
      <c r="U1614" s="3">
        <v>4</v>
      </c>
      <c r="V1614" s="3">
        <v>4</v>
      </c>
      <c r="W1614" s="4" t="s">
        <v>19215</v>
      </c>
      <c r="X1614" s="4" t="s">
        <v>19215</v>
      </c>
      <c r="Y1614" s="4" t="s">
        <v>18730</v>
      </c>
      <c r="Z1614" s="4" t="s">
        <v>18730</v>
      </c>
      <c r="AA1614" s="3">
        <v>275</v>
      </c>
      <c r="AB1614" s="3">
        <v>219</v>
      </c>
      <c r="AC1614" s="3">
        <v>772</v>
      </c>
      <c r="AD1614" s="3">
        <v>2</v>
      </c>
      <c r="AE1614" s="3">
        <v>4</v>
      </c>
      <c r="AF1614" s="3">
        <v>7</v>
      </c>
      <c r="AG1614" s="3">
        <v>22</v>
      </c>
      <c r="AH1614" s="3">
        <v>3</v>
      </c>
      <c r="AI1614" s="3">
        <v>9</v>
      </c>
      <c r="AJ1614" s="3">
        <v>0</v>
      </c>
      <c r="AK1614" s="3">
        <v>4</v>
      </c>
      <c r="AL1614" s="3">
        <v>3</v>
      </c>
      <c r="AM1614" s="3">
        <v>8</v>
      </c>
      <c r="AN1614" s="3">
        <v>1</v>
      </c>
      <c r="AO1614" s="3">
        <v>3</v>
      </c>
      <c r="AP1614" s="3">
        <v>0</v>
      </c>
      <c r="AQ1614" s="3">
        <v>0</v>
      </c>
      <c r="AR1614" s="2" t="s">
        <v>5</v>
      </c>
      <c r="AS1614" s="2" t="s">
        <v>16</v>
      </c>
      <c r="AT1614" s="5" t="str">
        <f>HYPERLINK("http://catalog.hathitrust.org/Record/003785418","HathiTrust Record")</f>
        <v>HathiTrust Record</v>
      </c>
      <c r="AU1614" s="5" t="str">
        <f>HYPERLINK("https://creighton-primo.hosted.exlibrisgroup.com/primo-explore/search?tab=default_tab&amp;search_scope=EVERYTHING&amp;vid=01CRU&amp;lang=en_US&amp;offset=0&amp;query=any,contains,991000332959702656","Catalog Record")</f>
        <v>Catalog Record</v>
      </c>
      <c r="AV1614" s="5" t="str">
        <f>HYPERLINK("http://www.worldcat.org/oclc/49526892","WorldCat Record")</f>
        <v>WorldCat Record</v>
      </c>
      <c r="AW1614" s="2" t="s">
        <v>19205</v>
      </c>
      <c r="AX1614" s="2" t="s">
        <v>19216</v>
      </c>
      <c r="AY1614" s="2" t="s">
        <v>19217</v>
      </c>
      <c r="AZ1614" s="2" t="s">
        <v>19217</v>
      </c>
      <c r="BA1614" s="2" t="s">
        <v>19218</v>
      </c>
      <c r="BB1614" s="2" t="s">
        <v>21</v>
      </c>
      <c r="BD1614" s="2" t="s">
        <v>19219</v>
      </c>
      <c r="BE1614" s="2" t="s">
        <v>19220</v>
      </c>
      <c r="BF1614" s="2" t="s">
        <v>19221</v>
      </c>
    </row>
    <row r="1615" spans="1:58" ht="41.25" customHeight="1" x14ac:dyDescent="0.25">
      <c r="A1615" s="8" t="s">
        <v>5</v>
      </c>
      <c r="B1615" s="1" t="s">
        <v>0</v>
      </c>
      <c r="C1615" s="1" t="s">
        <v>1</v>
      </c>
      <c r="D1615" s="1" t="s">
        <v>19222</v>
      </c>
      <c r="E1615" s="1" t="s">
        <v>19223</v>
      </c>
      <c r="F1615" s="1" t="s">
        <v>19224</v>
      </c>
      <c r="H1615" s="2" t="s">
        <v>5</v>
      </c>
      <c r="I1615" s="2" t="s">
        <v>6</v>
      </c>
      <c r="J1615" s="2" t="s">
        <v>5</v>
      </c>
      <c r="K1615" s="2" t="s">
        <v>16</v>
      </c>
      <c r="L1615" s="2" t="s">
        <v>7</v>
      </c>
      <c r="N1615" s="1" t="s">
        <v>7967</v>
      </c>
      <c r="O1615" s="2" t="s">
        <v>107</v>
      </c>
      <c r="P1615" s="1" t="s">
        <v>108</v>
      </c>
      <c r="Q1615" s="2" t="s">
        <v>11</v>
      </c>
      <c r="R1615" s="2" t="s">
        <v>31</v>
      </c>
      <c r="T1615" s="2" t="s">
        <v>520</v>
      </c>
      <c r="U1615" s="3">
        <v>1</v>
      </c>
      <c r="V1615" s="3">
        <v>1</v>
      </c>
      <c r="W1615" s="4" t="s">
        <v>19225</v>
      </c>
      <c r="X1615" s="4" t="s">
        <v>19225</v>
      </c>
      <c r="Y1615" s="4" t="s">
        <v>1210</v>
      </c>
      <c r="Z1615" s="4" t="s">
        <v>1210</v>
      </c>
      <c r="AA1615" s="3">
        <v>299</v>
      </c>
      <c r="AB1615" s="3">
        <v>242</v>
      </c>
      <c r="AC1615" s="3">
        <v>772</v>
      </c>
      <c r="AD1615" s="3">
        <v>1</v>
      </c>
      <c r="AE1615" s="3">
        <v>4</v>
      </c>
      <c r="AF1615" s="3">
        <v>7</v>
      </c>
      <c r="AG1615" s="3">
        <v>22</v>
      </c>
      <c r="AH1615" s="3">
        <v>1</v>
      </c>
      <c r="AI1615" s="3">
        <v>9</v>
      </c>
      <c r="AJ1615" s="3">
        <v>1</v>
      </c>
      <c r="AK1615" s="3">
        <v>4</v>
      </c>
      <c r="AL1615" s="3">
        <v>5</v>
      </c>
      <c r="AM1615" s="3">
        <v>8</v>
      </c>
      <c r="AN1615" s="3">
        <v>0</v>
      </c>
      <c r="AO1615" s="3">
        <v>3</v>
      </c>
      <c r="AP1615" s="3">
        <v>0</v>
      </c>
      <c r="AQ1615" s="3">
        <v>0</v>
      </c>
      <c r="AR1615" s="2" t="s">
        <v>5</v>
      </c>
      <c r="AS1615" s="2" t="s">
        <v>16</v>
      </c>
      <c r="AT1615" s="5" t="str">
        <f>HYPERLINK("http://catalog.hathitrust.org/Record/005241980","HathiTrust Record")</f>
        <v>HathiTrust Record</v>
      </c>
      <c r="AU1615" s="5" t="str">
        <f>HYPERLINK("https://creighton-primo.hosted.exlibrisgroup.com/primo-explore/search?tab=default_tab&amp;search_scope=EVERYTHING&amp;vid=01CRU&amp;lang=en_US&amp;offset=0&amp;query=any,contains,991000535859702656","Catalog Record")</f>
        <v>Catalog Record</v>
      </c>
      <c r="AV1615" s="5" t="str">
        <f>HYPERLINK("http://www.worldcat.org/oclc/62759362","WorldCat Record")</f>
        <v>WorldCat Record</v>
      </c>
      <c r="AW1615" s="2" t="s">
        <v>19205</v>
      </c>
      <c r="AX1615" s="2" t="s">
        <v>19226</v>
      </c>
      <c r="AY1615" s="2" t="s">
        <v>19227</v>
      </c>
      <c r="AZ1615" s="2" t="s">
        <v>19227</v>
      </c>
      <c r="BA1615" s="2" t="s">
        <v>19228</v>
      </c>
      <c r="BB1615" s="2" t="s">
        <v>21</v>
      </c>
      <c r="BD1615" s="2" t="s">
        <v>19229</v>
      </c>
      <c r="BE1615" s="2" t="s">
        <v>19230</v>
      </c>
      <c r="BF1615" s="2" t="s">
        <v>19231</v>
      </c>
    </row>
    <row r="1616" spans="1:58" ht="41.25" customHeight="1" x14ac:dyDescent="0.25">
      <c r="A1616" s="8" t="s">
        <v>5</v>
      </c>
      <c r="B1616" s="1" t="s">
        <v>0</v>
      </c>
      <c r="C1616" s="1" t="s">
        <v>1</v>
      </c>
      <c r="D1616" s="1" t="s">
        <v>19232</v>
      </c>
      <c r="E1616" s="1" t="s">
        <v>19233</v>
      </c>
      <c r="F1616" s="1" t="s">
        <v>19234</v>
      </c>
      <c r="H1616" s="2" t="s">
        <v>5</v>
      </c>
      <c r="I1616" s="2" t="s">
        <v>6</v>
      </c>
      <c r="J1616" s="2" t="s">
        <v>5</v>
      </c>
      <c r="K1616" s="2" t="s">
        <v>5</v>
      </c>
      <c r="L1616" s="2" t="s">
        <v>7</v>
      </c>
      <c r="M1616" s="1" t="s">
        <v>19235</v>
      </c>
      <c r="N1616" s="1" t="s">
        <v>19236</v>
      </c>
      <c r="O1616" s="2" t="s">
        <v>107</v>
      </c>
      <c r="P1616" s="1" t="s">
        <v>1208</v>
      </c>
      <c r="Q1616" s="2" t="s">
        <v>11</v>
      </c>
      <c r="R1616" s="2" t="s">
        <v>31</v>
      </c>
      <c r="T1616" s="2" t="s">
        <v>520</v>
      </c>
      <c r="U1616" s="3">
        <v>0</v>
      </c>
      <c r="V1616" s="3">
        <v>0</v>
      </c>
      <c r="W1616" s="4" t="s">
        <v>19237</v>
      </c>
      <c r="X1616" s="4" t="s">
        <v>19237</v>
      </c>
      <c r="Y1616" s="4" t="s">
        <v>19238</v>
      </c>
      <c r="Z1616" s="4" t="s">
        <v>19238</v>
      </c>
      <c r="AA1616" s="3">
        <v>230</v>
      </c>
      <c r="AB1616" s="3">
        <v>153</v>
      </c>
      <c r="AC1616" s="3">
        <v>392</v>
      </c>
      <c r="AD1616" s="3">
        <v>1</v>
      </c>
      <c r="AE1616" s="3">
        <v>2</v>
      </c>
      <c r="AF1616" s="3">
        <v>3</v>
      </c>
      <c r="AG1616" s="3">
        <v>10</v>
      </c>
      <c r="AH1616" s="3">
        <v>1</v>
      </c>
      <c r="AI1616" s="3">
        <v>3</v>
      </c>
      <c r="AJ1616" s="3">
        <v>0</v>
      </c>
      <c r="AK1616" s="3">
        <v>2</v>
      </c>
      <c r="AL1616" s="3">
        <v>2</v>
      </c>
      <c r="AM1616" s="3">
        <v>6</v>
      </c>
      <c r="AN1616" s="3">
        <v>0</v>
      </c>
      <c r="AO1616" s="3">
        <v>0</v>
      </c>
      <c r="AP1616" s="3">
        <v>0</v>
      </c>
      <c r="AQ1616" s="3">
        <v>0</v>
      </c>
      <c r="AR1616" s="2" t="s">
        <v>5</v>
      </c>
      <c r="AS1616" s="2" t="s">
        <v>16</v>
      </c>
      <c r="AT1616" s="5" t="str">
        <f>HYPERLINK("http://catalog.hathitrust.org/Record/005091049","HathiTrust Record")</f>
        <v>HathiTrust Record</v>
      </c>
      <c r="AU1616" s="5" t="str">
        <f>HYPERLINK("https://creighton-primo.hosted.exlibrisgroup.com/primo-explore/search?tab=default_tab&amp;search_scope=EVERYTHING&amp;vid=01CRU&amp;lang=en_US&amp;offset=0&amp;query=any,contains,991000547519702656","Catalog Record")</f>
        <v>Catalog Record</v>
      </c>
      <c r="AV1616" s="5" t="str">
        <f>HYPERLINK("http://www.worldcat.org/oclc/60825596","WorldCat Record")</f>
        <v>WorldCat Record</v>
      </c>
      <c r="AW1616" s="2" t="s">
        <v>19239</v>
      </c>
      <c r="AX1616" s="2" t="s">
        <v>19240</v>
      </c>
      <c r="AY1616" s="2" t="s">
        <v>19241</v>
      </c>
      <c r="AZ1616" s="2" t="s">
        <v>19241</v>
      </c>
      <c r="BA1616" s="2" t="s">
        <v>19242</v>
      </c>
      <c r="BB1616" s="2" t="s">
        <v>21</v>
      </c>
      <c r="BD1616" s="2" t="s">
        <v>19243</v>
      </c>
      <c r="BE1616" s="2" t="s">
        <v>19244</v>
      </c>
      <c r="BF1616" s="2" t="s">
        <v>19245</v>
      </c>
    </row>
    <row r="1617" spans="1:58" ht="41.25" customHeight="1" x14ac:dyDescent="0.25">
      <c r="A1617" s="8" t="s">
        <v>5</v>
      </c>
      <c r="B1617" s="1" t="s">
        <v>0</v>
      </c>
      <c r="C1617" s="1" t="s">
        <v>1</v>
      </c>
      <c r="D1617" s="1" t="s">
        <v>19246</v>
      </c>
      <c r="E1617" s="1" t="s">
        <v>19247</v>
      </c>
      <c r="F1617" s="1" t="s">
        <v>19248</v>
      </c>
      <c r="H1617" s="2" t="s">
        <v>5</v>
      </c>
      <c r="I1617" s="2" t="s">
        <v>6</v>
      </c>
      <c r="J1617" s="2" t="s">
        <v>5</v>
      </c>
      <c r="K1617" s="2" t="s">
        <v>5</v>
      </c>
      <c r="L1617" s="2" t="s">
        <v>7</v>
      </c>
      <c r="N1617" s="1" t="s">
        <v>19249</v>
      </c>
      <c r="O1617" s="2" t="s">
        <v>1195</v>
      </c>
      <c r="Q1617" s="2" t="s">
        <v>11</v>
      </c>
      <c r="R1617" s="2" t="s">
        <v>1427</v>
      </c>
      <c r="T1617" s="2" t="s">
        <v>520</v>
      </c>
      <c r="U1617" s="3">
        <v>9</v>
      </c>
      <c r="V1617" s="3">
        <v>9</v>
      </c>
      <c r="W1617" s="4" t="s">
        <v>18453</v>
      </c>
      <c r="X1617" s="4" t="s">
        <v>18453</v>
      </c>
      <c r="Y1617" s="4" t="s">
        <v>17583</v>
      </c>
      <c r="Z1617" s="4" t="s">
        <v>17583</v>
      </c>
      <c r="AA1617" s="3">
        <v>216</v>
      </c>
      <c r="AB1617" s="3">
        <v>103</v>
      </c>
      <c r="AC1617" s="3">
        <v>574</v>
      </c>
      <c r="AD1617" s="3">
        <v>1</v>
      </c>
      <c r="AE1617" s="3">
        <v>4</v>
      </c>
      <c r="AF1617" s="3">
        <v>3</v>
      </c>
      <c r="AG1617" s="3">
        <v>16</v>
      </c>
      <c r="AH1617" s="3">
        <v>0</v>
      </c>
      <c r="AI1617" s="3">
        <v>6</v>
      </c>
      <c r="AJ1617" s="3">
        <v>1</v>
      </c>
      <c r="AK1617" s="3">
        <v>3</v>
      </c>
      <c r="AL1617" s="3">
        <v>2</v>
      </c>
      <c r="AM1617" s="3">
        <v>7</v>
      </c>
      <c r="AN1617" s="3">
        <v>0</v>
      </c>
      <c r="AO1617" s="3">
        <v>3</v>
      </c>
      <c r="AP1617" s="3">
        <v>0</v>
      </c>
      <c r="AQ1617" s="3">
        <v>0</v>
      </c>
      <c r="AR1617" s="2" t="s">
        <v>5</v>
      </c>
      <c r="AS1617" s="2" t="s">
        <v>5</v>
      </c>
      <c r="AU1617" s="5" t="str">
        <f>HYPERLINK("https://creighton-primo.hosted.exlibrisgroup.com/primo-explore/search?tab=default_tab&amp;search_scope=EVERYTHING&amp;vid=01CRU&amp;lang=en_US&amp;offset=0&amp;query=any,contains,991000318419702656","Catalog Record")</f>
        <v>Catalog Record</v>
      </c>
      <c r="AV1617" s="5" t="str">
        <f>HYPERLINK("http://www.worldcat.org/oclc/42772951","WorldCat Record")</f>
        <v>WorldCat Record</v>
      </c>
      <c r="AW1617" s="2" t="s">
        <v>19250</v>
      </c>
      <c r="AX1617" s="2" t="s">
        <v>19251</v>
      </c>
      <c r="AY1617" s="2" t="s">
        <v>19252</v>
      </c>
      <c r="AZ1617" s="2" t="s">
        <v>19252</v>
      </c>
      <c r="BA1617" s="2" t="s">
        <v>19253</v>
      </c>
      <c r="BB1617" s="2" t="s">
        <v>21</v>
      </c>
      <c r="BD1617" s="2" t="s">
        <v>19254</v>
      </c>
      <c r="BE1617" s="2" t="s">
        <v>19255</v>
      </c>
      <c r="BF1617" s="2" t="s">
        <v>19256</v>
      </c>
    </row>
    <row r="1618" spans="1:58" ht="41.25" customHeight="1" x14ac:dyDescent="0.25">
      <c r="A1618" s="8" t="s">
        <v>5</v>
      </c>
      <c r="B1618" s="1" t="s">
        <v>0</v>
      </c>
      <c r="C1618" s="1" t="s">
        <v>1</v>
      </c>
      <c r="D1618" s="1" t="s">
        <v>19257</v>
      </c>
      <c r="E1618" s="1" t="s">
        <v>19258</v>
      </c>
      <c r="F1618" s="1" t="s">
        <v>19259</v>
      </c>
      <c r="H1618" s="2" t="s">
        <v>5</v>
      </c>
      <c r="I1618" s="2" t="s">
        <v>6</v>
      </c>
      <c r="J1618" s="2" t="s">
        <v>5</v>
      </c>
      <c r="K1618" s="2" t="s">
        <v>5</v>
      </c>
      <c r="L1618" s="2" t="s">
        <v>7</v>
      </c>
      <c r="M1618" s="1" t="s">
        <v>19260</v>
      </c>
      <c r="N1618" s="1" t="s">
        <v>13540</v>
      </c>
      <c r="O1618" s="2" t="s">
        <v>1004</v>
      </c>
      <c r="P1618" s="1" t="s">
        <v>19261</v>
      </c>
      <c r="Q1618" s="2" t="s">
        <v>11</v>
      </c>
      <c r="R1618" s="2" t="s">
        <v>31</v>
      </c>
      <c r="T1618" s="2" t="s">
        <v>520</v>
      </c>
      <c r="U1618" s="3">
        <v>5</v>
      </c>
      <c r="V1618" s="3">
        <v>5</v>
      </c>
      <c r="W1618" s="4" t="s">
        <v>6266</v>
      </c>
      <c r="X1618" s="4" t="s">
        <v>6266</v>
      </c>
      <c r="Y1618" s="4" t="s">
        <v>17525</v>
      </c>
      <c r="Z1618" s="4" t="s">
        <v>17525</v>
      </c>
      <c r="AA1618" s="3">
        <v>251</v>
      </c>
      <c r="AB1618" s="3">
        <v>201</v>
      </c>
      <c r="AC1618" s="3">
        <v>281</v>
      </c>
      <c r="AD1618" s="3">
        <v>3</v>
      </c>
      <c r="AE1618" s="3">
        <v>3</v>
      </c>
      <c r="AF1618" s="3">
        <v>3</v>
      </c>
      <c r="AG1618" s="3">
        <v>4</v>
      </c>
      <c r="AH1618" s="3">
        <v>1</v>
      </c>
      <c r="AI1618" s="3">
        <v>2</v>
      </c>
      <c r="AJ1618" s="3">
        <v>0</v>
      </c>
      <c r="AK1618" s="3">
        <v>0</v>
      </c>
      <c r="AL1618" s="3">
        <v>2</v>
      </c>
      <c r="AM1618" s="3">
        <v>3</v>
      </c>
      <c r="AN1618" s="3">
        <v>0</v>
      </c>
      <c r="AO1618" s="3">
        <v>0</v>
      </c>
      <c r="AP1618" s="3">
        <v>0</v>
      </c>
      <c r="AQ1618" s="3">
        <v>0</v>
      </c>
      <c r="AR1618" s="2" t="s">
        <v>5</v>
      </c>
      <c r="AS1618" s="2" t="s">
        <v>16</v>
      </c>
      <c r="AT1618" s="5" t="str">
        <f>HYPERLINK("http://catalog.hathitrust.org/Record/004027697","HathiTrust Record")</f>
        <v>HathiTrust Record</v>
      </c>
      <c r="AU1618" s="5" t="str">
        <f>HYPERLINK("https://creighton-primo.hosted.exlibrisgroup.com/primo-explore/search?tab=default_tab&amp;search_scope=EVERYTHING&amp;vid=01CRU&amp;lang=en_US&amp;offset=0&amp;query=any,contains,991001561859702656","Catalog Record")</f>
        <v>Catalog Record</v>
      </c>
      <c r="AV1618" s="5" t="str">
        <f>HYPERLINK("http://www.worldcat.org/oclc/40698401","WorldCat Record")</f>
        <v>WorldCat Record</v>
      </c>
      <c r="AW1618" s="2" t="s">
        <v>19262</v>
      </c>
      <c r="AX1618" s="2" t="s">
        <v>19263</v>
      </c>
      <c r="AY1618" s="2" t="s">
        <v>19264</v>
      </c>
      <c r="AZ1618" s="2" t="s">
        <v>19264</v>
      </c>
      <c r="BA1618" s="2" t="s">
        <v>19265</v>
      </c>
      <c r="BB1618" s="2" t="s">
        <v>21</v>
      </c>
      <c r="BD1618" s="2" t="s">
        <v>19266</v>
      </c>
      <c r="BE1618" s="2" t="s">
        <v>19267</v>
      </c>
      <c r="BF1618" s="2" t="s">
        <v>19268</v>
      </c>
    </row>
    <row r="1619" spans="1:58" ht="41.25" customHeight="1" x14ac:dyDescent="0.25">
      <c r="A1619" s="8" t="s">
        <v>5</v>
      </c>
      <c r="B1619" s="1" t="s">
        <v>0</v>
      </c>
      <c r="C1619" s="1" t="s">
        <v>1</v>
      </c>
      <c r="D1619" s="1" t="s">
        <v>19269</v>
      </c>
      <c r="E1619" s="1" t="s">
        <v>19270</v>
      </c>
      <c r="F1619" s="1" t="s">
        <v>19271</v>
      </c>
      <c r="H1619" s="2" t="s">
        <v>5</v>
      </c>
      <c r="I1619" s="2" t="s">
        <v>6</v>
      </c>
      <c r="J1619" s="2" t="s">
        <v>5</v>
      </c>
      <c r="K1619" s="2" t="s">
        <v>5</v>
      </c>
      <c r="L1619" s="2" t="s">
        <v>7</v>
      </c>
      <c r="N1619" s="1" t="s">
        <v>16032</v>
      </c>
      <c r="O1619" s="2" t="s">
        <v>228</v>
      </c>
      <c r="Q1619" s="2" t="s">
        <v>11</v>
      </c>
      <c r="R1619" s="2" t="s">
        <v>426</v>
      </c>
      <c r="T1619" s="2" t="s">
        <v>520</v>
      </c>
      <c r="U1619" s="3">
        <v>2</v>
      </c>
      <c r="V1619" s="3">
        <v>2</v>
      </c>
      <c r="W1619" s="4" t="s">
        <v>1627</v>
      </c>
      <c r="X1619" s="4" t="s">
        <v>1627</v>
      </c>
      <c r="Y1619" s="4" t="s">
        <v>7429</v>
      </c>
      <c r="Z1619" s="4" t="s">
        <v>7429</v>
      </c>
      <c r="AA1619" s="3">
        <v>61</v>
      </c>
      <c r="AB1619" s="3">
        <v>51</v>
      </c>
      <c r="AC1619" s="3">
        <v>57</v>
      </c>
      <c r="AD1619" s="3">
        <v>1</v>
      </c>
      <c r="AE1619" s="3">
        <v>1</v>
      </c>
      <c r="AF1619" s="3">
        <v>1</v>
      </c>
      <c r="AG1619" s="3">
        <v>1</v>
      </c>
      <c r="AH1619" s="3">
        <v>0</v>
      </c>
      <c r="AI1619" s="3">
        <v>0</v>
      </c>
      <c r="AJ1619" s="3">
        <v>0</v>
      </c>
      <c r="AK1619" s="3">
        <v>0</v>
      </c>
      <c r="AL1619" s="3">
        <v>1</v>
      </c>
      <c r="AM1619" s="3">
        <v>1</v>
      </c>
      <c r="AN1619" s="3">
        <v>0</v>
      </c>
      <c r="AO1619" s="3">
        <v>0</v>
      </c>
      <c r="AP1619" s="3">
        <v>0</v>
      </c>
      <c r="AQ1619" s="3">
        <v>0</v>
      </c>
      <c r="AR1619" s="2" t="s">
        <v>5</v>
      </c>
      <c r="AS1619" s="2" t="s">
        <v>5</v>
      </c>
      <c r="AU1619" s="5" t="str">
        <f>HYPERLINK("https://creighton-primo.hosted.exlibrisgroup.com/primo-explore/search?tab=default_tab&amp;search_scope=EVERYTHING&amp;vid=01CRU&amp;lang=en_US&amp;offset=0&amp;query=any,contains,991000921919702656","Catalog Record")</f>
        <v>Catalog Record</v>
      </c>
      <c r="AV1619" s="5" t="str">
        <f>HYPERLINK("http://www.worldcat.org/oclc/7999109","WorldCat Record")</f>
        <v>WorldCat Record</v>
      </c>
      <c r="AW1619" s="2" t="s">
        <v>19272</v>
      </c>
      <c r="AX1619" s="2" t="s">
        <v>19273</v>
      </c>
      <c r="AY1619" s="2" t="s">
        <v>19274</v>
      </c>
      <c r="AZ1619" s="2" t="s">
        <v>19274</v>
      </c>
      <c r="BA1619" s="2" t="s">
        <v>19275</v>
      </c>
      <c r="BB1619" s="2" t="s">
        <v>21</v>
      </c>
      <c r="BD1619" s="2" t="s">
        <v>19276</v>
      </c>
      <c r="BE1619" s="2" t="s">
        <v>19277</v>
      </c>
      <c r="BF1619" s="2" t="s">
        <v>19278</v>
      </c>
    </row>
    <row r="1620" spans="1:58" ht="41.25" customHeight="1" x14ac:dyDescent="0.25">
      <c r="A1620" s="8" t="s">
        <v>5</v>
      </c>
      <c r="B1620" s="1" t="s">
        <v>0</v>
      </c>
      <c r="C1620" s="1" t="s">
        <v>1</v>
      </c>
      <c r="D1620" s="1" t="s">
        <v>19279</v>
      </c>
      <c r="E1620" s="1" t="s">
        <v>19280</v>
      </c>
      <c r="F1620" s="1" t="s">
        <v>19281</v>
      </c>
      <c r="H1620" s="2" t="s">
        <v>5</v>
      </c>
      <c r="I1620" s="2" t="s">
        <v>6</v>
      </c>
      <c r="J1620" s="2" t="s">
        <v>5</v>
      </c>
      <c r="K1620" s="2" t="s">
        <v>16</v>
      </c>
      <c r="L1620" s="2" t="s">
        <v>7</v>
      </c>
      <c r="M1620" s="1" t="s">
        <v>19179</v>
      </c>
      <c r="N1620" s="1" t="s">
        <v>13380</v>
      </c>
      <c r="O1620" s="2" t="s">
        <v>210</v>
      </c>
      <c r="P1620" s="1" t="s">
        <v>1208</v>
      </c>
      <c r="Q1620" s="2" t="s">
        <v>11</v>
      </c>
      <c r="R1620" s="2" t="s">
        <v>1019</v>
      </c>
      <c r="T1620" s="2" t="s">
        <v>520</v>
      </c>
      <c r="U1620" s="3">
        <v>112</v>
      </c>
      <c r="V1620" s="3">
        <v>112</v>
      </c>
      <c r="W1620" s="4" t="s">
        <v>19181</v>
      </c>
      <c r="X1620" s="4" t="s">
        <v>19181</v>
      </c>
      <c r="Y1620" s="4" t="s">
        <v>8505</v>
      </c>
      <c r="Z1620" s="4" t="s">
        <v>8505</v>
      </c>
      <c r="AA1620" s="3">
        <v>324</v>
      </c>
      <c r="AB1620" s="3">
        <v>261</v>
      </c>
      <c r="AC1620" s="3">
        <v>459</v>
      </c>
      <c r="AD1620" s="3">
        <v>1</v>
      </c>
      <c r="AE1620" s="3">
        <v>4</v>
      </c>
      <c r="AF1620" s="3">
        <v>4</v>
      </c>
      <c r="AG1620" s="3">
        <v>11</v>
      </c>
      <c r="AH1620" s="3">
        <v>3</v>
      </c>
      <c r="AI1620" s="3">
        <v>5</v>
      </c>
      <c r="AJ1620" s="3">
        <v>0</v>
      </c>
      <c r="AK1620" s="3">
        <v>1</v>
      </c>
      <c r="AL1620" s="3">
        <v>3</v>
      </c>
      <c r="AM1620" s="3">
        <v>6</v>
      </c>
      <c r="AN1620" s="3">
        <v>0</v>
      </c>
      <c r="AO1620" s="3">
        <v>1</v>
      </c>
      <c r="AP1620" s="3">
        <v>0</v>
      </c>
      <c r="AQ1620" s="3">
        <v>0</v>
      </c>
      <c r="AR1620" s="2" t="s">
        <v>5</v>
      </c>
      <c r="AS1620" s="2" t="s">
        <v>5</v>
      </c>
      <c r="AU1620" s="5" t="str">
        <f>HYPERLINK("https://creighton-primo.hosted.exlibrisgroup.com/primo-explore/search?tab=default_tab&amp;search_scope=EVERYTHING&amp;vid=01CRU&amp;lang=en_US&amp;offset=0&amp;query=any,contains,991001033559702656","Catalog Record")</f>
        <v>Catalog Record</v>
      </c>
      <c r="AV1620" s="5" t="str">
        <f>HYPERLINK("http://www.worldcat.org/oclc/23972283","WorldCat Record")</f>
        <v>WorldCat Record</v>
      </c>
      <c r="AW1620" s="2" t="s">
        <v>19282</v>
      </c>
      <c r="AX1620" s="2" t="s">
        <v>19283</v>
      </c>
      <c r="AY1620" s="2" t="s">
        <v>19284</v>
      </c>
      <c r="AZ1620" s="2" t="s">
        <v>19284</v>
      </c>
      <c r="BA1620" s="2" t="s">
        <v>19285</v>
      </c>
      <c r="BB1620" s="2" t="s">
        <v>21</v>
      </c>
      <c r="BD1620" s="2" t="s">
        <v>19286</v>
      </c>
      <c r="BE1620" s="2" t="s">
        <v>19287</v>
      </c>
      <c r="BF1620" s="2" t="s">
        <v>19288</v>
      </c>
    </row>
    <row r="1621" spans="1:58" ht="41.25" customHeight="1" x14ac:dyDescent="0.25">
      <c r="A1621" s="8" t="s">
        <v>5</v>
      </c>
      <c r="B1621" s="1" t="s">
        <v>0</v>
      </c>
      <c r="C1621" s="1" t="s">
        <v>1</v>
      </c>
      <c r="D1621" s="1" t="s">
        <v>19289</v>
      </c>
      <c r="E1621" s="1" t="s">
        <v>19290</v>
      </c>
      <c r="F1621" s="1" t="s">
        <v>19291</v>
      </c>
      <c r="H1621" s="2" t="s">
        <v>5</v>
      </c>
      <c r="I1621" s="2" t="s">
        <v>6</v>
      </c>
      <c r="J1621" s="2" t="s">
        <v>5</v>
      </c>
      <c r="K1621" s="2" t="s">
        <v>16</v>
      </c>
      <c r="L1621" s="2" t="s">
        <v>7</v>
      </c>
      <c r="M1621" s="1" t="s">
        <v>19179</v>
      </c>
      <c r="N1621" s="1" t="s">
        <v>2410</v>
      </c>
      <c r="O1621" s="2" t="s">
        <v>794</v>
      </c>
      <c r="P1621" s="1" t="s">
        <v>1284</v>
      </c>
      <c r="Q1621" s="2" t="s">
        <v>11</v>
      </c>
      <c r="R1621" s="2" t="s">
        <v>1019</v>
      </c>
      <c r="T1621" s="2" t="s">
        <v>520</v>
      </c>
      <c r="U1621" s="3">
        <v>66</v>
      </c>
      <c r="V1621" s="3">
        <v>66</v>
      </c>
      <c r="W1621" s="4" t="s">
        <v>19292</v>
      </c>
      <c r="X1621" s="4" t="s">
        <v>19292</v>
      </c>
      <c r="Y1621" s="4" t="s">
        <v>19293</v>
      </c>
      <c r="Z1621" s="4" t="s">
        <v>19293</v>
      </c>
      <c r="AA1621" s="3">
        <v>249</v>
      </c>
      <c r="AB1621" s="3">
        <v>186</v>
      </c>
      <c r="AC1621" s="3">
        <v>459</v>
      </c>
      <c r="AD1621" s="3">
        <v>1</v>
      </c>
      <c r="AE1621" s="3">
        <v>4</v>
      </c>
      <c r="AF1621" s="3">
        <v>6</v>
      </c>
      <c r="AG1621" s="3">
        <v>11</v>
      </c>
      <c r="AH1621" s="3">
        <v>3</v>
      </c>
      <c r="AI1621" s="3">
        <v>5</v>
      </c>
      <c r="AJ1621" s="3">
        <v>0</v>
      </c>
      <c r="AK1621" s="3">
        <v>1</v>
      </c>
      <c r="AL1621" s="3">
        <v>3</v>
      </c>
      <c r="AM1621" s="3">
        <v>6</v>
      </c>
      <c r="AN1621" s="3">
        <v>0</v>
      </c>
      <c r="AO1621" s="3">
        <v>1</v>
      </c>
      <c r="AP1621" s="3">
        <v>0</v>
      </c>
      <c r="AQ1621" s="3">
        <v>0</v>
      </c>
      <c r="AR1621" s="2" t="s">
        <v>5</v>
      </c>
      <c r="AS1621" s="2" t="s">
        <v>16</v>
      </c>
      <c r="AT1621" s="5" t="str">
        <f>HYPERLINK("http://catalog.hathitrust.org/Record/004562875","HathiTrust Record")</f>
        <v>HathiTrust Record</v>
      </c>
      <c r="AU1621" s="5" t="str">
        <f>HYPERLINK("https://creighton-primo.hosted.exlibrisgroup.com/primo-explore/search?tab=default_tab&amp;search_scope=EVERYTHING&amp;vid=01CRU&amp;lang=en_US&amp;offset=0&amp;query=any,contains,991001488639702656","Catalog Record")</f>
        <v>Catalog Record</v>
      </c>
      <c r="AV1621" s="5" t="str">
        <f>HYPERLINK("http://www.worldcat.org/oclc/33010146","WorldCat Record")</f>
        <v>WorldCat Record</v>
      </c>
      <c r="AW1621" s="2" t="s">
        <v>19282</v>
      </c>
      <c r="AX1621" s="2" t="s">
        <v>19294</v>
      </c>
      <c r="AY1621" s="2" t="s">
        <v>19295</v>
      </c>
      <c r="AZ1621" s="2" t="s">
        <v>19295</v>
      </c>
      <c r="BA1621" s="2" t="s">
        <v>19296</v>
      </c>
      <c r="BB1621" s="2" t="s">
        <v>21</v>
      </c>
      <c r="BD1621" s="2" t="s">
        <v>19297</v>
      </c>
      <c r="BE1621" s="2" t="s">
        <v>19298</v>
      </c>
      <c r="BF1621" s="2" t="s">
        <v>19299</v>
      </c>
    </row>
    <row r="1622" spans="1:58" ht="41.25" customHeight="1" x14ac:dyDescent="0.25">
      <c r="A1622" s="8" t="s">
        <v>5</v>
      </c>
      <c r="B1622" s="1" t="s">
        <v>0</v>
      </c>
      <c r="C1622" s="1" t="s">
        <v>1</v>
      </c>
      <c r="D1622" s="1" t="s">
        <v>19300</v>
      </c>
      <c r="E1622" s="1" t="s">
        <v>19301</v>
      </c>
      <c r="F1622" s="1" t="s">
        <v>19302</v>
      </c>
      <c r="H1622" s="2" t="s">
        <v>5</v>
      </c>
      <c r="I1622" s="2" t="s">
        <v>6</v>
      </c>
      <c r="J1622" s="2" t="s">
        <v>5</v>
      </c>
      <c r="K1622" s="2" t="s">
        <v>5</v>
      </c>
      <c r="L1622" s="2" t="s">
        <v>7</v>
      </c>
      <c r="N1622" s="1" t="s">
        <v>19303</v>
      </c>
      <c r="O1622" s="2" t="s">
        <v>1102</v>
      </c>
      <c r="Q1622" s="2" t="s">
        <v>11</v>
      </c>
      <c r="R1622" s="2" t="s">
        <v>426</v>
      </c>
      <c r="T1622" s="2" t="s">
        <v>520</v>
      </c>
      <c r="U1622" s="3">
        <v>4</v>
      </c>
      <c r="V1622" s="3">
        <v>4</v>
      </c>
      <c r="W1622" s="4" t="s">
        <v>19304</v>
      </c>
      <c r="X1622" s="4" t="s">
        <v>19304</v>
      </c>
      <c r="Y1622" s="4" t="s">
        <v>18753</v>
      </c>
      <c r="Z1622" s="4" t="s">
        <v>18753</v>
      </c>
      <c r="AA1622" s="3">
        <v>181</v>
      </c>
      <c r="AB1622" s="3">
        <v>149</v>
      </c>
      <c r="AC1622" s="3">
        <v>154</v>
      </c>
      <c r="AD1622" s="3">
        <v>2</v>
      </c>
      <c r="AE1622" s="3">
        <v>2</v>
      </c>
      <c r="AF1622" s="3">
        <v>5</v>
      </c>
      <c r="AG1622" s="3">
        <v>5</v>
      </c>
      <c r="AH1622" s="3">
        <v>1</v>
      </c>
      <c r="AI1622" s="3">
        <v>1</v>
      </c>
      <c r="AJ1622" s="3">
        <v>1</v>
      </c>
      <c r="AK1622" s="3">
        <v>1</v>
      </c>
      <c r="AL1622" s="3">
        <v>3</v>
      </c>
      <c r="AM1622" s="3">
        <v>3</v>
      </c>
      <c r="AN1622" s="3">
        <v>0</v>
      </c>
      <c r="AO1622" s="3">
        <v>0</v>
      </c>
      <c r="AP1622" s="3">
        <v>0</v>
      </c>
      <c r="AQ1622" s="3">
        <v>0</v>
      </c>
      <c r="AR1622" s="2" t="s">
        <v>5</v>
      </c>
      <c r="AS1622" s="2" t="s">
        <v>5</v>
      </c>
      <c r="AU1622" s="5" t="str">
        <f>HYPERLINK("https://creighton-primo.hosted.exlibrisgroup.com/primo-explore/search?tab=default_tab&amp;search_scope=EVERYTHING&amp;vid=01CRU&amp;lang=en_US&amp;offset=0&amp;query=any,contains,991000921869702656","Catalog Record")</f>
        <v>Catalog Record</v>
      </c>
      <c r="AV1622" s="5" t="str">
        <f>HYPERLINK("http://www.worldcat.org/oclc/12132514","WorldCat Record")</f>
        <v>WorldCat Record</v>
      </c>
      <c r="AW1622" s="2" t="s">
        <v>19305</v>
      </c>
      <c r="AX1622" s="2" t="s">
        <v>19306</v>
      </c>
      <c r="AY1622" s="2" t="s">
        <v>19307</v>
      </c>
      <c r="AZ1622" s="2" t="s">
        <v>19307</v>
      </c>
      <c r="BA1622" s="2" t="s">
        <v>19308</v>
      </c>
      <c r="BB1622" s="2" t="s">
        <v>21</v>
      </c>
      <c r="BD1622" s="2" t="s">
        <v>19309</v>
      </c>
      <c r="BE1622" s="2" t="s">
        <v>19310</v>
      </c>
      <c r="BF1622" s="2" t="s">
        <v>19311</v>
      </c>
    </row>
    <row r="1623" spans="1:58" ht="41.25" customHeight="1" x14ac:dyDescent="0.25">
      <c r="A1623" s="8" t="s">
        <v>5</v>
      </c>
      <c r="B1623" s="1" t="s">
        <v>0</v>
      </c>
      <c r="C1623" s="1" t="s">
        <v>1</v>
      </c>
      <c r="D1623" s="1" t="s">
        <v>19312</v>
      </c>
      <c r="E1623" s="1" t="s">
        <v>19313</v>
      </c>
      <c r="F1623" s="1" t="s">
        <v>19314</v>
      </c>
      <c r="H1623" s="2" t="s">
        <v>5</v>
      </c>
      <c r="I1623" s="2" t="s">
        <v>6</v>
      </c>
      <c r="J1623" s="2" t="s">
        <v>5</v>
      </c>
      <c r="K1623" s="2" t="s">
        <v>16</v>
      </c>
      <c r="L1623" s="2" t="s">
        <v>7</v>
      </c>
      <c r="M1623" s="1" t="s">
        <v>19315</v>
      </c>
      <c r="N1623" s="1" t="s">
        <v>18878</v>
      </c>
      <c r="O1623" s="2" t="s">
        <v>210</v>
      </c>
      <c r="Q1623" s="2" t="s">
        <v>11</v>
      </c>
      <c r="R1623" s="2" t="s">
        <v>78</v>
      </c>
      <c r="T1623" s="2" t="s">
        <v>520</v>
      </c>
      <c r="U1623" s="3">
        <v>14</v>
      </c>
      <c r="V1623" s="3">
        <v>14</v>
      </c>
      <c r="W1623" s="4" t="s">
        <v>19316</v>
      </c>
      <c r="X1623" s="4" t="s">
        <v>19316</v>
      </c>
      <c r="Y1623" s="4" t="s">
        <v>1143</v>
      </c>
      <c r="Z1623" s="4" t="s">
        <v>1143</v>
      </c>
      <c r="AA1623" s="3">
        <v>242</v>
      </c>
      <c r="AB1623" s="3">
        <v>195</v>
      </c>
      <c r="AC1623" s="3">
        <v>962</v>
      </c>
      <c r="AD1623" s="3">
        <v>1</v>
      </c>
      <c r="AE1623" s="3">
        <v>4</v>
      </c>
      <c r="AF1623" s="3">
        <v>3</v>
      </c>
      <c r="AG1623" s="3">
        <v>21</v>
      </c>
      <c r="AH1623" s="3">
        <v>1</v>
      </c>
      <c r="AI1623" s="3">
        <v>8</v>
      </c>
      <c r="AJ1623" s="3">
        <v>1</v>
      </c>
      <c r="AK1623" s="3">
        <v>4</v>
      </c>
      <c r="AL1623" s="3">
        <v>2</v>
      </c>
      <c r="AM1623" s="3">
        <v>10</v>
      </c>
      <c r="AN1623" s="3">
        <v>0</v>
      </c>
      <c r="AO1623" s="3">
        <v>2</v>
      </c>
      <c r="AP1623" s="3">
        <v>0</v>
      </c>
      <c r="AQ1623" s="3">
        <v>0</v>
      </c>
      <c r="AR1623" s="2" t="s">
        <v>5</v>
      </c>
      <c r="AS1623" s="2" t="s">
        <v>5</v>
      </c>
      <c r="AU1623" s="5" t="str">
        <f>HYPERLINK("https://creighton-primo.hosted.exlibrisgroup.com/primo-explore/search?tab=default_tab&amp;search_scope=EVERYTHING&amp;vid=01CRU&amp;lang=en_US&amp;offset=0&amp;query=any,contains,991001476519702656","Catalog Record")</f>
        <v>Catalog Record</v>
      </c>
      <c r="AV1623" s="5" t="str">
        <f>HYPERLINK("http://www.worldcat.org/oclc/24319430","WorldCat Record")</f>
        <v>WorldCat Record</v>
      </c>
      <c r="AW1623" s="2" t="s">
        <v>19317</v>
      </c>
      <c r="AX1623" s="2" t="s">
        <v>19318</v>
      </c>
      <c r="AY1623" s="2" t="s">
        <v>19319</v>
      </c>
      <c r="AZ1623" s="2" t="s">
        <v>19319</v>
      </c>
      <c r="BA1623" s="2" t="s">
        <v>19320</v>
      </c>
      <c r="BB1623" s="2" t="s">
        <v>21</v>
      </c>
      <c r="BD1623" s="2" t="s">
        <v>19321</v>
      </c>
      <c r="BE1623" s="2" t="s">
        <v>19322</v>
      </c>
      <c r="BF1623" s="2" t="s">
        <v>19323</v>
      </c>
    </row>
    <row r="1624" spans="1:58" ht="41.25" customHeight="1" x14ac:dyDescent="0.25">
      <c r="A1624" s="8" t="s">
        <v>5</v>
      </c>
      <c r="B1624" s="1" t="s">
        <v>0</v>
      </c>
      <c r="C1624" s="1" t="s">
        <v>1</v>
      </c>
      <c r="D1624" s="1" t="s">
        <v>19324</v>
      </c>
      <c r="E1624" s="1" t="s">
        <v>19325</v>
      </c>
      <c r="F1624" s="1" t="s">
        <v>19326</v>
      </c>
      <c r="H1624" s="2" t="s">
        <v>5</v>
      </c>
      <c r="I1624" s="2" t="s">
        <v>6</v>
      </c>
      <c r="J1624" s="2" t="s">
        <v>5</v>
      </c>
      <c r="K1624" s="2" t="s">
        <v>16</v>
      </c>
      <c r="L1624" s="2" t="s">
        <v>7</v>
      </c>
      <c r="M1624" s="1" t="s">
        <v>19315</v>
      </c>
      <c r="N1624" s="1" t="s">
        <v>1365</v>
      </c>
      <c r="O1624" s="2" t="s">
        <v>601</v>
      </c>
      <c r="P1624" s="1" t="s">
        <v>211</v>
      </c>
      <c r="Q1624" s="2" t="s">
        <v>11</v>
      </c>
      <c r="R1624" s="2" t="s">
        <v>78</v>
      </c>
      <c r="T1624" s="2" t="s">
        <v>520</v>
      </c>
      <c r="U1624" s="3">
        <v>3</v>
      </c>
      <c r="V1624" s="3">
        <v>3</v>
      </c>
      <c r="W1624" s="4" t="s">
        <v>18685</v>
      </c>
      <c r="X1624" s="4" t="s">
        <v>18685</v>
      </c>
      <c r="Y1624" s="4" t="s">
        <v>14184</v>
      </c>
      <c r="Z1624" s="4" t="s">
        <v>14184</v>
      </c>
      <c r="AA1624" s="3">
        <v>243</v>
      </c>
      <c r="AB1624" s="3">
        <v>190</v>
      </c>
      <c r="AC1624" s="3">
        <v>962</v>
      </c>
      <c r="AD1624" s="3">
        <v>2</v>
      </c>
      <c r="AE1624" s="3">
        <v>4</v>
      </c>
      <c r="AF1624" s="3">
        <v>5</v>
      </c>
      <c r="AG1624" s="3">
        <v>21</v>
      </c>
      <c r="AH1624" s="3">
        <v>3</v>
      </c>
      <c r="AI1624" s="3">
        <v>8</v>
      </c>
      <c r="AJ1624" s="3">
        <v>0</v>
      </c>
      <c r="AK1624" s="3">
        <v>4</v>
      </c>
      <c r="AL1624" s="3">
        <v>3</v>
      </c>
      <c r="AM1624" s="3">
        <v>10</v>
      </c>
      <c r="AN1624" s="3">
        <v>0</v>
      </c>
      <c r="AO1624" s="3">
        <v>2</v>
      </c>
      <c r="AP1624" s="3">
        <v>0</v>
      </c>
      <c r="AQ1624" s="3">
        <v>0</v>
      </c>
      <c r="AR1624" s="2" t="s">
        <v>5</v>
      </c>
      <c r="AS1624" s="2" t="s">
        <v>5</v>
      </c>
      <c r="AU1624" s="5" t="str">
        <f>HYPERLINK("https://creighton-primo.hosted.exlibrisgroup.com/primo-explore/search?tab=default_tab&amp;search_scope=EVERYTHING&amp;vid=01CRU&amp;lang=en_US&amp;offset=0&amp;query=any,contains,991001507859702656","Catalog Record")</f>
        <v>Catalog Record</v>
      </c>
      <c r="AV1624" s="5" t="str">
        <f>HYPERLINK("http://www.worldcat.org/oclc/30400828","WorldCat Record")</f>
        <v>WorldCat Record</v>
      </c>
      <c r="AW1624" s="2" t="s">
        <v>19317</v>
      </c>
      <c r="AX1624" s="2" t="s">
        <v>19327</v>
      </c>
      <c r="AY1624" s="2" t="s">
        <v>19328</v>
      </c>
      <c r="AZ1624" s="2" t="s">
        <v>19328</v>
      </c>
      <c r="BA1624" s="2" t="s">
        <v>19329</v>
      </c>
      <c r="BB1624" s="2" t="s">
        <v>21</v>
      </c>
      <c r="BD1624" s="2" t="s">
        <v>19330</v>
      </c>
      <c r="BE1624" s="2" t="s">
        <v>19331</v>
      </c>
      <c r="BF1624" s="2" t="s">
        <v>19332</v>
      </c>
    </row>
    <row r="1625" spans="1:58" ht="41.25" customHeight="1" x14ac:dyDescent="0.25">
      <c r="A1625" s="8" t="s">
        <v>5</v>
      </c>
      <c r="B1625" s="1" t="s">
        <v>0</v>
      </c>
      <c r="C1625" s="1" t="s">
        <v>1</v>
      </c>
      <c r="D1625" s="1" t="s">
        <v>19333</v>
      </c>
      <c r="E1625" s="1" t="s">
        <v>19334</v>
      </c>
      <c r="F1625" s="1" t="s">
        <v>19335</v>
      </c>
      <c r="H1625" s="2" t="s">
        <v>5</v>
      </c>
      <c r="I1625" s="2" t="s">
        <v>6</v>
      </c>
      <c r="J1625" s="2" t="s">
        <v>5</v>
      </c>
      <c r="K1625" s="2" t="s">
        <v>16</v>
      </c>
      <c r="L1625" s="2" t="s">
        <v>7</v>
      </c>
      <c r="M1625" s="1" t="s">
        <v>19315</v>
      </c>
      <c r="N1625" s="1" t="s">
        <v>6893</v>
      </c>
      <c r="O1625" s="2" t="s">
        <v>1046</v>
      </c>
      <c r="P1625" s="1" t="s">
        <v>1208</v>
      </c>
      <c r="Q1625" s="2" t="s">
        <v>11</v>
      </c>
      <c r="R1625" s="2" t="s">
        <v>78</v>
      </c>
      <c r="T1625" s="2" t="s">
        <v>520</v>
      </c>
      <c r="U1625" s="3">
        <v>1</v>
      </c>
      <c r="V1625" s="3">
        <v>1</v>
      </c>
      <c r="W1625" s="4" t="s">
        <v>5081</v>
      </c>
      <c r="X1625" s="4" t="s">
        <v>5081</v>
      </c>
      <c r="Y1625" s="4" t="s">
        <v>11269</v>
      </c>
      <c r="Z1625" s="4" t="s">
        <v>11269</v>
      </c>
      <c r="AA1625" s="3">
        <v>354</v>
      </c>
      <c r="AB1625" s="3">
        <v>279</v>
      </c>
      <c r="AC1625" s="3">
        <v>962</v>
      </c>
      <c r="AD1625" s="3">
        <v>1</v>
      </c>
      <c r="AE1625" s="3">
        <v>4</v>
      </c>
      <c r="AF1625" s="3">
        <v>6</v>
      </c>
      <c r="AG1625" s="3">
        <v>21</v>
      </c>
      <c r="AH1625" s="3">
        <v>3</v>
      </c>
      <c r="AI1625" s="3">
        <v>8</v>
      </c>
      <c r="AJ1625" s="3">
        <v>1</v>
      </c>
      <c r="AK1625" s="3">
        <v>4</v>
      </c>
      <c r="AL1625" s="3">
        <v>3</v>
      </c>
      <c r="AM1625" s="3">
        <v>10</v>
      </c>
      <c r="AN1625" s="3">
        <v>0</v>
      </c>
      <c r="AO1625" s="3">
        <v>2</v>
      </c>
      <c r="AP1625" s="3">
        <v>0</v>
      </c>
      <c r="AQ1625" s="3">
        <v>0</v>
      </c>
      <c r="AR1625" s="2" t="s">
        <v>5</v>
      </c>
      <c r="AS1625" s="2" t="s">
        <v>5</v>
      </c>
      <c r="AU1625" s="5" t="str">
        <f>HYPERLINK("https://creighton-primo.hosted.exlibrisgroup.com/primo-explore/search?tab=default_tab&amp;search_scope=EVERYTHING&amp;vid=01CRU&amp;lang=en_US&amp;offset=0&amp;query=any,contains,991000331869702656","Catalog Record")</f>
        <v>Catalog Record</v>
      </c>
      <c r="AV1625" s="5" t="str">
        <f>HYPERLINK("http://www.worldcat.org/oclc/49649700","WorldCat Record")</f>
        <v>WorldCat Record</v>
      </c>
      <c r="AW1625" s="2" t="s">
        <v>19317</v>
      </c>
      <c r="AX1625" s="2" t="s">
        <v>19336</v>
      </c>
      <c r="AY1625" s="2" t="s">
        <v>19337</v>
      </c>
      <c r="AZ1625" s="2" t="s">
        <v>19337</v>
      </c>
      <c r="BA1625" s="2" t="s">
        <v>19338</v>
      </c>
      <c r="BB1625" s="2" t="s">
        <v>21</v>
      </c>
      <c r="BD1625" s="2" t="s">
        <v>19339</v>
      </c>
      <c r="BE1625" s="2" t="s">
        <v>19340</v>
      </c>
      <c r="BF1625" s="2" t="s">
        <v>19341</v>
      </c>
    </row>
    <row r="1626" spans="1:58" ht="41.25" customHeight="1" x14ac:dyDescent="0.25">
      <c r="A1626" s="8" t="s">
        <v>5</v>
      </c>
      <c r="B1626" s="1" t="s">
        <v>0</v>
      </c>
      <c r="C1626" s="1" t="s">
        <v>1</v>
      </c>
      <c r="D1626" s="1" t="s">
        <v>19342</v>
      </c>
      <c r="E1626" s="1" t="s">
        <v>19343</v>
      </c>
      <c r="F1626" s="1" t="s">
        <v>19335</v>
      </c>
      <c r="H1626" s="2" t="s">
        <v>5</v>
      </c>
      <c r="I1626" s="2" t="s">
        <v>6</v>
      </c>
      <c r="J1626" s="2" t="s">
        <v>5</v>
      </c>
      <c r="K1626" s="2" t="s">
        <v>16</v>
      </c>
      <c r="L1626" s="2" t="s">
        <v>7</v>
      </c>
      <c r="M1626" s="1" t="s">
        <v>19315</v>
      </c>
      <c r="N1626" s="1" t="s">
        <v>19344</v>
      </c>
      <c r="O1626" s="2" t="s">
        <v>3465</v>
      </c>
      <c r="P1626" s="1" t="s">
        <v>1284</v>
      </c>
      <c r="Q1626" s="2" t="s">
        <v>11</v>
      </c>
      <c r="R1626" s="2" t="s">
        <v>78</v>
      </c>
      <c r="T1626" s="2" t="s">
        <v>520</v>
      </c>
      <c r="U1626" s="3">
        <v>0</v>
      </c>
      <c r="V1626" s="3">
        <v>0</v>
      </c>
      <c r="W1626" s="4" t="s">
        <v>11280</v>
      </c>
      <c r="X1626" s="4" t="s">
        <v>11280</v>
      </c>
      <c r="Y1626" s="4" t="s">
        <v>9049</v>
      </c>
      <c r="Z1626" s="4" t="s">
        <v>9049</v>
      </c>
      <c r="AA1626" s="3">
        <v>426</v>
      </c>
      <c r="AB1626" s="3">
        <v>312</v>
      </c>
      <c r="AC1626" s="3">
        <v>962</v>
      </c>
      <c r="AD1626" s="3">
        <v>3</v>
      </c>
      <c r="AE1626" s="3">
        <v>4</v>
      </c>
      <c r="AF1626" s="3">
        <v>6</v>
      </c>
      <c r="AG1626" s="3">
        <v>21</v>
      </c>
      <c r="AH1626" s="3">
        <v>2</v>
      </c>
      <c r="AI1626" s="3">
        <v>8</v>
      </c>
      <c r="AJ1626" s="3">
        <v>0</v>
      </c>
      <c r="AK1626" s="3">
        <v>4</v>
      </c>
      <c r="AL1626" s="3">
        <v>2</v>
      </c>
      <c r="AM1626" s="3">
        <v>10</v>
      </c>
      <c r="AN1626" s="3">
        <v>2</v>
      </c>
      <c r="AO1626" s="3">
        <v>2</v>
      </c>
      <c r="AP1626" s="3">
        <v>0</v>
      </c>
      <c r="AQ1626" s="3">
        <v>0</v>
      </c>
      <c r="AR1626" s="2" t="s">
        <v>5</v>
      </c>
      <c r="AS1626" s="2" t="s">
        <v>5</v>
      </c>
      <c r="AU1626" s="5" t="str">
        <f>HYPERLINK("https://creighton-primo.hosted.exlibrisgroup.com/primo-explore/search?tab=default_tab&amp;search_scope=EVERYTHING&amp;vid=01CRU&amp;lang=en_US&amp;offset=0&amp;query=any,contains,991001738099702656","Catalog Record")</f>
        <v>Catalog Record</v>
      </c>
      <c r="AV1626" s="5" t="str">
        <f>HYPERLINK("http://www.worldcat.org/oclc/62078266","WorldCat Record")</f>
        <v>WorldCat Record</v>
      </c>
      <c r="AW1626" s="2" t="s">
        <v>19317</v>
      </c>
      <c r="AX1626" s="2" t="s">
        <v>19345</v>
      </c>
      <c r="AY1626" s="2" t="s">
        <v>19346</v>
      </c>
      <c r="AZ1626" s="2" t="s">
        <v>19346</v>
      </c>
      <c r="BA1626" s="2" t="s">
        <v>19347</v>
      </c>
      <c r="BB1626" s="2" t="s">
        <v>21</v>
      </c>
      <c r="BD1626" s="2" t="s">
        <v>19348</v>
      </c>
      <c r="BE1626" s="2" t="s">
        <v>19349</v>
      </c>
      <c r="BF1626" s="2" t="s">
        <v>19350</v>
      </c>
    </row>
    <row r="1627" spans="1:58" ht="41.25" customHeight="1" x14ac:dyDescent="0.25">
      <c r="A1627" s="8" t="s">
        <v>5</v>
      </c>
      <c r="B1627" s="1" t="s">
        <v>0</v>
      </c>
      <c r="C1627" s="1" t="s">
        <v>1</v>
      </c>
      <c r="D1627" s="1" t="s">
        <v>19351</v>
      </c>
      <c r="E1627" s="1" t="s">
        <v>19352</v>
      </c>
      <c r="F1627" s="1" t="s">
        <v>19353</v>
      </c>
      <c r="H1627" s="2" t="s">
        <v>5</v>
      </c>
      <c r="I1627" s="2" t="s">
        <v>6</v>
      </c>
      <c r="J1627" s="2" t="s">
        <v>5</v>
      </c>
      <c r="K1627" s="2" t="s">
        <v>5</v>
      </c>
      <c r="L1627" s="2" t="s">
        <v>7</v>
      </c>
      <c r="N1627" s="1" t="s">
        <v>14796</v>
      </c>
      <c r="O1627" s="2" t="s">
        <v>734</v>
      </c>
      <c r="Q1627" s="2" t="s">
        <v>11</v>
      </c>
      <c r="R1627" s="2" t="s">
        <v>426</v>
      </c>
      <c r="S1627" s="1" t="s">
        <v>19354</v>
      </c>
      <c r="T1627" s="2" t="s">
        <v>520</v>
      </c>
      <c r="U1627" s="3">
        <v>2</v>
      </c>
      <c r="V1627" s="3">
        <v>2</v>
      </c>
      <c r="W1627" s="4" t="s">
        <v>19355</v>
      </c>
      <c r="X1627" s="4" t="s">
        <v>19355</v>
      </c>
      <c r="Y1627" s="4" t="s">
        <v>19356</v>
      </c>
      <c r="Z1627" s="4" t="s">
        <v>19356</v>
      </c>
      <c r="AA1627" s="3">
        <v>163</v>
      </c>
      <c r="AB1627" s="3">
        <v>152</v>
      </c>
      <c r="AC1627" s="3">
        <v>167</v>
      </c>
      <c r="AD1627" s="3">
        <v>2</v>
      </c>
      <c r="AE1627" s="3">
        <v>2</v>
      </c>
      <c r="AF1627" s="3">
        <v>7</v>
      </c>
      <c r="AG1627" s="3">
        <v>7</v>
      </c>
      <c r="AH1627" s="3">
        <v>2</v>
      </c>
      <c r="AI1627" s="3">
        <v>2</v>
      </c>
      <c r="AJ1627" s="3">
        <v>1</v>
      </c>
      <c r="AK1627" s="3">
        <v>1</v>
      </c>
      <c r="AL1627" s="3">
        <v>4</v>
      </c>
      <c r="AM1627" s="3">
        <v>4</v>
      </c>
      <c r="AN1627" s="3">
        <v>0</v>
      </c>
      <c r="AO1627" s="3">
        <v>0</v>
      </c>
      <c r="AP1627" s="3">
        <v>0</v>
      </c>
      <c r="AQ1627" s="3">
        <v>0</v>
      </c>
      <c r="AR1627" s="2" t="s">
        <v>5</v>
      </c>
      <c r="AS1627" s="2" t="s">
        <v>16</v>
      </c>
      <c r="AT1627" s="5" t="str">
        <f>HYPERLINK("http://catalog.hathitrust.org/Record/000325165","HathiTrust Record")</f>
        <v>HathiTrust Record</v>
      </c>
      <c r="AU1627" s="5" t="str">
        <f>HYPERLINK("https://creighton-primo.hosted.exlibrisgroup.com/primo-explore/search?tab=default_tab&amp;search_scope=EVERYTHING&amp;vid=01CRU&amp;lang=en_US&amp;offset=0&amp;query=any,contains,991001179839702656","Catalog Record")</f>
        <v>Catalog Record</v>
      </c>
      <c r="AV1627" s="5" t="str">
        <f>HYPERLINK("http://www.worldcat.org/oclc/10479378","WorldCat Record")</f>
        <v>WorldCat Record</v>
      </c>
      <c r="AW1627" s="2" t="s">
        <v>19357</v>
      </c>
      <c r="AX1627" s="2" t="s">
        <v>19358</v>
      </c>
      <c r="AY1627" s="2" t="s">
        <v>19359</v>
      </c>
      <c r="AZ1627" s="2" t="s">
        <v>19359</v>
      </c>
      <c r="BA1627" s="2" t="s">
        <v>19360</v>
      </c>
      <c r="BB1627" s="2" t="s">
        <v>21</v>
      </c>
      <c r="BE1627" s="2" t="s">
        <v>19361</v>
      </c>
      <c r="BF1627" s="2" t="s">
        <v>19362</v>
      </c>
    </row>
    <row r="1628" spans="1:58" ht="41.25" customHeight="1" x14ac:dyDescent="0.25">
      <c r="A1628" s="8" t="s">
        <v>5</v>
      </c>
      <c r="B1628" s="1" t="s">
        <v>0</v>
      </c>
      <c r="C1628" s="1" t="s">
        <v>1</v>
      </c>
      <c r="D1628" s="1" t="s">
        <v>19363</v>
      </c>
      <c r="E1628" s="1" t="s">
        <v>19364</v>
      </c>
      <c r="F1628" s="1" t="s">
        <v>19365</v>
      </c>
      <c r="H1628" s="2" t="s">
        <v>5</v>
      </c>
      <c r="I1628" s="2" t="s">
        <v>6</v>
      </c>
      <c r="J1628" s="2" t="s">
        <v>5</v>
      </c>
      <c r="K1628" s="2" t="s">
        <v>5</v>
      </c>
      <c r="L1628" s="2" t="s">
        <v>7</v>
      </c>
      <c r="M1628" s="1" t="s">
        <v>19366</v>
      </c>
      <c r="N1628" s="1" t="s">
        <v>1602</v>
      </c>
      <c r="O1628" s="2" t="s">
        <v>1378</v>
      </c>
      <c r="Q1628" s="2" t="s">
        <v>11</v>
      </c>
      <c r="R1628" s="2" t="s">
        <v>31</v>
      </c>
      <c r="T1628" s="2" t="s">
        <v>520</v>
      </c>
      <c r="U1628" s="3">
        <v>68</v>
      </c>
      <c r="V1628" s="3">
        <v>68</v>
      </c>
      <c r="W1628" s="4" t="s">
        <v>19367</v>
      </c>
      <c r="X1628" s="4" t="s">
        <v>19367</v>
      </c>
      <c r="Y1628" s="4" t="s">
        <v>1604</v>
      </c>
      <c r="Z1628" s="4" t="s">
        <v>1604</v>
      </c>
      <c r="AA1628" s="3">
        <v>196</v>
      </c>
      <c r="AB1628" s="3">
        <v>160</v>
      </c>
      <c r="AC1628" s="3">
        <v>486</v>
      </c>
      <c r="AD1628" s="3">
        <v>1</v>
      </c>
      <c r="AE1628" s="3">
        <v>5</v>
      </c>
      <c r="AF1628" s="3">
        <v>4</v>
      </c>
      <c r="AG1628" s="3">
        <v>13</v>
      </c>
      <c r="AH1628" s="3">
        <v>1</v>
      </c>
      <c r="AI1628" s="3">
        <v>3</v>
      </c>
      <c r="AJ1628" s="3">
        <v>1</v>
      </c>
      <c r="AK1628" s="3">
        <v>4</v>
      </c>
      <c r="AL1628" s="3">
        <v>2</v>
      </c>
      <c r="AM1628" s="3">
        <v>6</v>
      </c>
      <c r="AN1628" s="3">
        <v>0</v>
      </c>
      <c r="AO1628" s="3">
        <v>2</v>
      </c>
      <c r="AP1628" s="3">
        <v>0</v>
      </c>
      <c r="AQ1628" s="3">
        <v>0</v>
      </c>
      <c r="AR1628" s="2" t="s">
        <v>5</v>
      </c>
      <c r="AS1628" s="2" t="s">
        <v>5</v>
      </c>
      <c r="AU1628" s="5" t="str">
        <f>HYPERLINK("https://creighton-primo.hosted.exlibrisgroup.com/primo-explore/search?tab=default_tab&amp;search_scope=EVERYTHING&amp;vid=01CRU&amp;lang=en_US&amp;offset=0&amp;query=any,contains,991000901149702656","Catalog Record")</f>
        <v>Catalog Record</v>
      </c>
      <c r="AV1628" s="5" t="str">
        <f>HYPERLINK("http://www.worldcat.org/oclc/36729031","WorldCat Record")</f>
        <v>WorldCat Record</v>
      </c>
      <c r="AW1628" s="2" t="s">
        <v>19368</v>
      </c>
      <c r="AX1628" s="2" t="s">
        <v>19369</v>
      </c>
      <c r="AY1628" s="2" t="s">
        <v>19370</v>
      </c>
      <c r="AZ1628" s="2" t="s">
        <v>19370</v>
      </c>
      <c r="BA1628" s="2" t="s">
        <v>19371</v>
      </c>
      <c r="BB1628" s="2" t="s">
        <v>21</v>
      </c>
      <c r="BD1628" s="2" t="s">
        <v>19372</v>
      </c>
      <c r="BE1628" s="2" t="s">
        <v>19373</v>
      </c>
      <c r="BF1628" s="2" t="s">
        <v>19374</v>
      </c>
    </row>
    <row r="1629" spans="1:58" ht="41.25" customHeight="1" x14ac:dyDescent="0.25">
      <c r="A1629" s="8" t="s">
        <v>5</v>
      </c>
      <c r="B1629" s="1" t="s">
        <v>0</v>
      </c>
      <c r="C1629" s="1" t="s">
        <v>1</v>
      </c>
      <c r="D1629" s="1" t="s">
        <v>19375</v>
      </c>
      <c r="E1629" s="1" t="s">
        <v>19376</v>
      </c>
      <c r="F1629" s="1" t="s">
        <v>19377</v>
      </c>
      <c r="G1629" s="2" t="s">
        <v>2942</v>
      </c>
      <c r="H1629" s="2" t="s">
        <v>5</v>
      </c>
      <c r="I1629" s="2" t="s">
        <v>6</v>
      </c>
      <c r="J1629" s="2" t="s">
        <v>5</v>
      </c>
      <c r="K1629" s="2" t="s">
        <v>5</v>
      </c>
      <c r="L1629" s="2" t="s">
        <v>7</v>
      </c>
      <c r="M1629" s="1" t="s">
        <v>19366</v>
      </c>
      <c r="N1629" s="1" t="s">
        <v>106</v>
      </c>
      <c r="O1629" s="2" t="s">
        <v>107</v>
      </c>
      <c r="P1629" s="1" t="s">
        <v>19378</v>
      </c>
      <c r="Q1629" s="2" t="s">
        <v>11</v>
      </c>
      <c r="R1629" s="2" t="s">
        <v>31</v>
      </c>
      <c r="T1629" s="2" t="s">
        <v>520</v>
      </c>
      <c r="U1629" s="3">
        <v>0</v>
      </c>
      <c r="V1629" s="3">
        <v>0</v>
      </c>
      <c r="W1629" s="4" t="s">
        <v>12573</v>
      </c>
      <c r="X1629" s="4" t="s">
        <v>12573</v>
      </c>
      <c r="Y1629" s="4" t="s">
        <v>19379</v>
      </c>
      <c r="Z1629" s="4" t="s">
        <v>19379</v>
      </c>
      <c r="AA1629" s="3">
        <v>5</v>
      </c>
      <c r="AB1629" s="3">
        <v>4</v>
      </c>
      <c r="AC1629" s="3">
        <v>22</v>
      </c>
      <c r="AD1629" s="3">
        <v>1</v>
      </c>
      <c r="AE1629" s="3">
        <v>1</v>
      </c>
      <c r="AF1629" s="3">
        <v>0</v>
      </c>
      <c r="AG1629" s="3">
        <v>1</v>
      </c>
      <c r="AH1629" s="3">
        <v>0</v>
      </c>
      <c r="AI1629" s="3">
        <v>0</v>
      </c>
      <c r="AJ1629" s="3">
        <v>0</v>
      </c>
      <c r="AK1629" s="3">
        <v>0</v>
      </c>
      <c r="AL1629" s="3">
        <v>0</v>
      </c>
      <c r="AM1629" s="3">
        <v>1</v>
      </c>
      <c r="AN1629" s="3">
        <v>0</v>
      </c>
      <c r="AO1629" s="3">
        <v>0</v>
      </c>
      <c r="AP1629" s="3">
        <v>0</v>
      </c>
      <c r="AQ1629" s="3">
        <v>0</v>
      </c>
      <c r="AR1629" s="2" t="s">
        <v>5</v>
      </c>
      <c r="AS1629" s="2" t="s">
        <v>5</v>
      </c>
      <c r="AU1629" s="5" t="str">
        <f>HYPERLINK("https://creighton-primo.hosted.exlibrisgroup.com/primo-explore/search?tab=default_tab&amp;search_scope=EVERYTHING&amp;vid=01CRU&amp;lang=en_US&amp;offset=0&amp;query=any,contains,991000631449702656","Catalog Record")</f>
        <v>Catalog Record</v>
      </c>
      <c r="AV1629" s="5" t="str">
        <f>HYPERLINK("http://www.worldcat.org/oclc/70845449","WorldCat Record")</f>
        <v>WorldCat Record</v>
      </c>
      <c r="AW1629" s="2" t="s">
        <v>19380</v>
      </c>
      <c r="AX1629" s="2" t="s">
        <v>19381</v>
      </c>
      <c r="AY1629" s="2" t="s">
        <v>19382</v>
      </c>
      <c r="AZ1629" s="2" t="s">
        <v>19382</v>
      </c>
      <c r="BA1629" s="2" t="s">
        <v>19383</v>
      </c>
      <c r="BB1629" s="2" t="s">
        <v>21</v>
      </c>
      <c r="BD1629" s="2" t="s">
        <v>19384</v>
      </c>
      <c r="BE1629" s="2" t="s">
        <v>19385</v>
      </c>
      <c r="BF1629" s="2" t="s">
        <v>19386</v>
      </c>
    </row>
    <row r="1630" spans="1:58" ht="41.25" customHeight="1" x14ac:dyDescent="0.25">
      <c r="A1630" s="8" t="s">
        <v>5</v>
      </c>
      <c r="B1630" s="1" t="s">
        <v>0</v>
      </c>
      <c r="C1630" s="1" t="s">
        <v>1</v>
      </c>
      <c r="D1630" s="1" t="s">
        <v>19387</v>
      </c>
      <c r="E1630" s="1" t="s">
        <v>19388</v>
      </c>
      <c r="F1630" s="1" t="s">
        <v>19389</v>
      </c>
      <c r="H1630" s="2" t="s">
        <v>5</v>
      </c>
      <c r="I1630" s="2" t="s">
        <v>6</v>
      </c>
      <c r="J1630" s="2" t="s">
        <v>5</v>
      </c>
      <c r="K1630" s="2" t="s">
        <v>5</v>
      </c>
      <c r="L1630" s="2" t="s">
        <v>7</v>
      </c>
      <c r="M1630" s="1" t="s">
        <v>19390</v>
      </c>
      <c r="N1630" s="1" t="s">
        <v>3585</v>
      </c>
      <c r="O1630" s="2" t="s">
        <v>354</v>
      </c>
      <c r="Q1630" s="2" t="s">
        <v>11</v>
      </c>
      <c r="R1630" s="2" t="s">
        <v>31</v>
      </c>
      <c r="T1630" s="2" t="s">
        <v>520</v>
      </c>
      <c r="U1630" s="3">
        <v>7</v>
      </c>
      <c r="V1630" s="3">
        <v>7</v>
      </c>
      <c r="W1630" s="4" t="s">
        <v>19391</v>
      </c>
      <c r="X1630" s="4" t="s">
        <v>19391</v>
      </c>
      <c r="Y1630" s="4" t="s">
        <v>18800</v>
      </c>
      <c r="Z1630" s="4" t="s">
        <v>18800</v>
      </c>
      <c r="AA1630" s="3">
        <v>323</v>
      </c>
      <c r="AB1630" s="3">
        <v>268</v>
      </c>
      <c r="AC1630" s="3">
        <v>277</v>
      </c>
      <c r="AD1630" s="3">
        <v>2</v>
      </c>
      <c r="AE1630" s="3">
        <v>2</v>
      </c>
      <c r="AF1630" s="3">
        <v>8</v>
      </c>
      <c r="AG1630" s="3">
        <v>8</v>
      </c>
      <c r="AH1630" s="3">
        <v>4</v>
      </c>
      <c r="AI1630" s="3">
        <v>4</v>
      </c>
      <c r="AJ1630" s="3">
        <v>1</v>
      </c>
      <c r="AK1630" s="3">
        <v>1</v>
      </c>
      <c r="AL1630" s="3">
        <v>5</v>
      </c>
      <c r="AM1630" s="3">
        <v>5</v>
      </c>
      <c r="AN1630" s="3">
        <v>1</v>
      </c>
      <c r="AO1630" s="3">
        <v>1</v>
      </c>
      <c r="AP1630" s="3">
        <v>0</v>
      </c>
      <c r="AQ1630" s="3">
        <v>0</v>
      </c>
      <c r="AR1630" s="2" t="s">
        <v>5</v>
      </c>
      <c r="AS1630" s="2" t="s">
        <v>16</v>
      </c>
      <c r="AT1630" s="5" t="str">
        <f>HYPERLINK("http://catalog.hathitrust.org/Record/000742686","HathiTrust Record")</f>
        <v>HathiTrust Record</v>
      </c>
      <c r="AU1630" s="5" t="str">
        <f>HYPERLINK("https://creighton-primo.hosted.exlibrisgroup.com/primo-explore/search?tab=default_tab&amp;search_scope=EVERYTHING&amp;vid=01CRU&amp;lang=en_US&amp;offset=0&amp;query=any,contains,991000732519702656","Catalog Record")</f>
        <v>Catalog Record</v>
      </c>
      <c r="AV1630" s="5" t="str">
        <f>HYPERLINK("http://www.worldcat.org/oclc/4570425","WorldCat Record")</f>
        <v>WorldCat Record</v>
      </c>
      <c r="AW1630" s="2" t="s">
        <v>19392</v>
      </c>
      <c r="AX1630" s="2" t="s">
        <v>19393</v>
      </c>
      <c r="AY1630" s="2" t="s">
        <v>19394</v>
      </c>
      <c r="AZ1630" s="2" t="s">
        <v>19394</v>
      </c>
      <c r="BA1630" s="2" t="s">
        <v>19395</v>
      </c>
      <c r="BB1630" s="2" t="s">
        <v>21</v>
      </c>
      <c r="BD1630" s="2" t="s">
        <v>19396</v>
      </c>
      <c r="BE1630" s="2" t="s">
        <v>19397</v>
      </c>
      <c r="BF1630" s="2" t="s">
        <v>19398</v>
      </c>
    </row>
    <row r="1631" spans="1:58" ht="41.25" customHeight="1" x14ac:dyDescent="0.25">
      <c r="A1631" s="8" t="s">
        <v>5</v>
      </c>
      <c r="B1631" s="1" t="s">
        <v>0</v>
      </c>
      <c r="C1631" s="1" t="s">
        <v>1</v>
      </c>
      <c r="D1631" s="1" t="s">
        <v>19399</v>
      </c>
      <c r="E1631" s="1" t="s">
        <v>19400</v>
      </c>
      <c r="F1631" s="1" t="s">
        <v>19401</v>
      </c>
      <c r="H1631" s="2" t="s">
        <v>5</v>
      </c>
      <c r="I1631" s="2" t="s">
        <v>6</v>
      </c>
      <c r="J1631" s="2" t="s">
        <v>5</v>
      </c>
      <c r="K1631" s="2" t="s">
        <v>5</v>
      </c>
      <c r="L1631" s="2" t="s">
        <v>7</v>
      </c>
      <c r="M1631" s="1" t="s">
        <v>19402</v>
      </c>
      <c r="N1631" s="1" t="s">
        <v>19403</v>
      </c>
      <c r="O1631" s="2" t="s">
        <v>228</v>
      </c>
      <c r="Q1631" s="2" t="s">
        <v>11</v>
      </c>
      <c r="R1631" s="2" t="s">
        <v>93</v>
      </c>
      <c r="T1631" s="2" t="s">
        <v>520</v>
      </c>
      <c r="U1631" s="3">
        <v>3</v>
      </c>
      <c r="V1631" s="3">
        <v>3</v>
      </c>
      <c r="W1631" s="4" t="s">
        <v>3253</v>
      </c>
      <c r="X1631" s="4" t="s">
        <v>3253</v>
      </c>
      <c r="Y1631" s="4" t="s">
        <v>18753</v>
      </c>
      <c r="Z1631" s="4" t="s">
        <v>18753</v>
      </c>
      <c r="AA1631" s="3">
        <v>98</v>
      </c>
      <c r="AB1631" s="3">
        <v>74</v>
      </c>
      <c r="AC1631" s="3">
        <v>74</v>
      </c>
      <c r="AD1631" s="3">
        <v>1</v>
      </c>
      <c r="AE1631" s="3">
        <v>1</v>
      </c>
      <c r="AF1631" s="3">
        <v>0</v>
      </c>
      <c r="AG1631" s="3">
        <v>0</v>
      </c>
      <c r="AH1631" s="3">
        <v>0</v>
      </c>
      <c r="AI1631" s="3">
        <v>0</v>
      </c>
      <c r="AJ1631" s="3">
        <v>0</v>
      </c>
      <c r="AK1631" s="3">
        <v>0</v>
      </c>
      <c r="AL1631" s="3">
        <v>0</v>
      </c>
      <c r="AM1631" s="3">
        <v>0</v>
      </c>
      <c r="AN1631" s="3">
        <v>0</v>
      </c>
      <c r="AO1631" s="3">
        <v>0</v>
      </c>
      <c r="AP1631" s="3">
        <v>0</v>
      </c>
      <c r="AQ1631" s="3">
        <v>0</v>
      </c>
      <c r="AR1631" s="2" t="s">
        <v>5</v>
      </c>
      <c r="AS1631" s="2" t="s">
        <v>5</v>
      </c>
      <c r="AU1631" s="5" t="str">
        <f>HYPERLINK("https://creighton-primo.hosted.exlibrisgroup.com/primo-explore/search?tab=default_tab&amp;search_scope=EVERYTHING&amp;vid=01CRU&amp;lang=en_US&amp;offset=0&amp;query=any,contains,991000922009702656","Catalog Record")</f>
        <v>Catalog Record</v>
      </c>
      <c r="AV1631" s="5" t="str">
        <f>HYPERLINK("http://www.worldcat.org/oclc/7835240","WorldCat Record")</f>
        <v>WorldCat Record</v>
      </c>
      <c r="AW1631" s="2" t="s">
        <v>19404</v>
      </c>
      <c r="AX1631" s="2" t="s">
        <v>19405</v>
      </c>
      <c r="AY1631" s="2" t="s">
        <v>19406</v>
      </c>
      <c r="AZ1631" s="2" t="s">
        <v>19406</v>
      </c>
      <c r="BA1631" s="2" t="s">
        <v>19407</v>
      </c>
      <c r="BB1631" s="2" t="s">
        <v>21</v>
      </c>
      <c r="BD1631" s="2" t="s">
        <v>19408</v>
      </c>
      <c r="BE1631" s="2" t="s">
        <v>19409</v>
      </c>
      <c r="BF1631" s="2" t="s">
        <v>19410</v>
      </c>
    </row>
    <row r="1632" spans="1:58" ht="41.25" customHeight="1" x14ac:dyDescent="0.25">
      <c r="A1632" s="8" t="s">
        <v>5</v>
      </c>
      <c r="B1632" s="1" t="s">
        <v>0</v>
      </c>
      <c r="C1632" s="1" t="s">
        <v>1</v>
      </c>
      <c r="D1632" s="1" t="s">
        <v>19411</v>
      </c>
      <c r="E1632" s="1" t="s">
        <v>19412</v>
      </c>
      <c r="F1632" s="1" t="s">
        <v>19413</v>
      </c>
      <c r="H1632" s="2" t="s">
        <v>5</v>
      </c>
      <c r="I1632" s="2" t="s">
        <v>6</v>
      </c>
      <c r="J1632" s="2" t="s">
        <v>5</v>
      </c>
      <c r="K1632" s="2" t="s">
        <v>5</v>
      </c>
      <c r="L1632" s="2" t="s">
        <v>7</v>
      </c>
      <c r="M1632" s="1" t="s">
        <v>19414</v>
      </c>
      <c r="N1632" s="1" t="s">
        <v>2643</v>
      </c>
      <c r="O1632" s="2" t="s">
        <v>354</v>
      </c>
      <c r="Q1632" s="2" t="s">
        <v>11</v>
      </c>
      <c r="R1632" s="2" t="s">
        <v>12</v>
      </c>
      <c r="S1632" s="1" t="s">
        <v>3264</v>
      </c>
      <c r="T1632" s="2" t="s">
        <v>520</v>
      </c>
      <c r="U1632" s="3">
        <v>4</v>
      </c>
      <c r="V1632" s="3">
        <v>4</v>
      </c>
      <c r="W1632" s="4" t="s">
        <v>19415</v>
      </c>
      <c r="X1632" s="4" t="s">
        <v>19415</v>
      </c>
      <c r="Y1632" s="4" t="s">
        <v>18753</v>
      </c>
      <c r="Z1632" s="4" t="s">
        <v>18753</v>
      </c>
      <c r="AA1632" s="3">
        <v>242</v>
      </c>
      <c r="AB1632" s="3">
        <v>197</v>
      </c>
      <c r="AC1632" s="3">
        <v>204</v>
      </c>
      <c r="AD1632" s="3">
        <v>1</v>
      </c>
      <c r="AE1632" s="3">
        <v>1</v>
      </c>
      <c r="AF1632" s="3">
        <v>4</v>
      </c>
      <c r="AG1632" s="3">
        <v>4</v>
      </c>
      <c r="AH1632" s="3">
        <v>0</v>
      </c>
      <c r="AI1632" s="3">
        <v>0</v>
      </c>
      <c r="AJ1632" s="3">
        <v>1</v>
      </c>
      <c r="AK1632" s="3">
        <v>1</v>
      </c>
      <c r="AL1632" s="3">
        <v>4</v>
      </c>
      <c r="AM1632" s="3">
        <v>4</v>
      </c>
      <c r="AN1632" s="3">
        <v>0</v>
      </c>
      <c r="AO1632" s="3">
        <v>0</v>
      </c>
      <c r="AP1632" s="3">
        <v>0</v>
      </c>
      <c r="AQ1632" s="3">
        <v>0</v>
      </c>
      <c r="AR1632" s="2" t="s">
        <v>5</v>
      </c>
      <c r="AS1632" s="2" t="s">
        <v>16</v>
      </c>
      <c r="AT1632" s="5" t="str">
        <f>HYPERLINK("http://catalog.hathitrust.org/Record/000023595","HathiTrust Record")</f>
        <v>HathiTrust Record</v>
      </c>
      <c r="AU1632" s="5" t="str">
        <f>HYPERLINK("https://creighton-primo.hosted.exlibrisgroup.com/primo-explore/search?tab=default_tab&amp;search_scope=EVERYTHING&amp;vid=01CRU&amp;lang=en_US&amp;offset=0&amp;query=any,contains,991000922049702656","Catalog Record")</f>
        <v>Catalog Record</v>
      </c>
      <c r="AV1632" s="5" t="str">
        <f>HYPERLINK("http://www.worldcat.org/oclc/5677021","WorldCat Record")</f>
        <v>WorldCat Record</v>
      </c>
      <c r="AW1632" s="2" t="s">
        <v>19416</v>
      </c>
      <c r="AX1632" s="2" t="s">
        <v>19417</v>
      </c>
      <c r="AY1632" s="2" t="s">
        <v>19418</v>
      </c>
      <c r="AZ1632" s="2" t="s">
        <v>19418</v>
      </c>
      <c r="BA1632" s="2" t="s">
        <v>19419</v>
      </c>
      <c r="BB1632" s="2" t="s">
        <v>21</v>
      </c>
      <c r="BD1632" s="2" t="s">
        <v>19420</v>
      </c>
      <c r="BE1632" s="2" t="s">
        <v>19421</v>
      </c>
      <c r="BF1632" s="2" t="s">
        <v>19422</v>
      </c>
    </row>
    <row r="1633" spans="1:58" ht="41.25" customHeight="1" x14ac:dyDescent="0.25">
      <c r="A1633" s="8" t="s">
        <v>5</v>
      </c>
      <c r="B1633" s="1" t="s">
        <v>0</v>
      </c>
      <c r="C1633" s="1" t="s">
        <v>1</v>
      </c>
      <c r="D1633" s="1" t="s">
        <v>19423</v>
      </c>
      <c r="E1633" s="1" t="s">
        <v>19424</v>
      </c>
      <c r="F1633" s="1" t="s">
        <v>19425</v>
      </c>
      <c r="H1633" s="2" t="s">
        <v>5</v>
      </c>
      <c r="I1633" s="2" t="s">
        <v>6</v>
      </c>
      <c r="J1633" s="2" t="s">
        <v>5</v>
      </c>
      <c r="K1633" s="2" t="s">
        <v>5</v>
      </c>
      <c r="L1633" s="2" t="s">
        <v>7</v>
      </c>
      <c r="M1633" s="1" t="s">
        <v>19414</v>
      </c>
      <c r="N1633" s="1" t="s">
        <v>10200</v>
      </c>
      <c r="O1633" s="2" t="s">
        <v>939</v>
      </c>
      <c r="P1633" s="1" t="s">
        <v>211</v>
      </c>
      <c r="Q1633" s="2" t="s">
        <v>11</v>
      </c>
      <c r="R1633" s="2" t="s">
        <v>426</v>
      </c>
      <c r="S1633" s="1" t="s">
        <v>7334</v>
      </c>
      <c r="T1633" s="2" t="s">
        <v>520</v>
      </c>
      <c r="U1633" s="3">
        <v>7</v>
      </c>
      <c r="V1633" s="3">
        <v>7</v>
      </c>
      <c r="W1633" s="4" t="s">
        <v>3253</v>
      </c>
      <c r="X1633" s="4" t="s">
        <v>3253</v>
      </c>
      <c r="Y1633" s="4" t="s">
        <v>19426</v>
      </c>
      <c r="Z1633" s="4" t="s">
        <v>19426</v>
      </c>
      <c r="AA1633" s="3">
        <v>259</v>
      </c>
      <c r="AB1633" s="3">
        <v>223</v>
      </c>
      <c r="AC1633" s="3">
        <v>379</v>
      </c>
      <c r="AD1633" s="3">
        <v>3</v>
      </c>
      <c r="AE1633" s="3">
        <v>3</v>
      </c>
      <c r="AF1633" s="3">
        <v>7</v>
      </c>
      <c r="AG1633" s="3">
        <v>13</v>
      </c>
      <c r="AH1633" s="3">
        <v>1</v>
      </c>
      <c r="AI1633" s="3">
        <v>4</v>
      </c>
      <c r="AJ1633" s="3">
        <v>3</v>
      </c>
      <c r="AK1633" s="3">
        <v>4</v>
      </c>
      <c r="AL1633" s="3">
        <v>4</v>
      </c>
      <c r="AM1633" s="3">
        <v>7</v>
      </c>
      <c r="AN1633" s="3">
        <v>1</v>
      </c>
      <c r="AO1633" s="3">
        <v>1</v>
      </c>
      <c r="AP1633" s="3">
        <v>0</v>
      </c>
      <c r="AQ1633" s="3">
        <v>0</v>
      </c>
      <c r="AR1633" s="2" t="s">
        <v>5</v>
      </c>
      <c r="AS1633" s="2" t="s">
        <v>16</v>
      </c>
      <c r="AT1633" s="5" t="str">
        <f>HYPERLINK("http://catalog.hathitrust.org/Record/000941841","HathiTrust Record")</f>
        <v>HathiTrust Record</v>
      </c>
      <c r="AU1633" s="5" t="str">
        <f>HYPERLINK("https://creighton-primo.hosted.exlibrisgroup.com/primo-explore/search?tab=default_tab&amp;search_scope=EVERYTHING&amp;vid=01CRU&amp;lang=en_US&amp;offset=0&amp;query=any,contains,991001309059702656","Catalog Record")</f>
        <v>Catalog Record</v>
      </c>
      <c r="AV1633" s="5" t="str">
        <f>HYPERLINK("http://www.worldcat.org/oclc/17385912","WorldCat Record")</f>
        <v>WorldCat Record</v>
      </c>
      <c r="AW1633" s="2" t="s">
        <v>19427</v>
      </c>
      <c r="AX1633" s="2" t="s">
        <v>19428</v>
      </c>
      <c r="AY1633" s="2" t="s">
        <v>19429</v>
      </c>
      <c r="AZ1633" s="2" t="s">
        <v>19429</v>
      </c>
      <c r="BA1633" s="2" t="s">
        <v>19430</v>
      </c>
      <c r="BB1633" s="2" t="s">
        <v>21</v>
      </c>
      <c r="BD1633" s="2" t="s">
        <v>19431</v>
      </c>
      <c r="BE1633" s="2" t="s">
        <v>19432</v>
      </c>
      <c r="BF1633" s="2" t="s">
        <v>19433</v>
      </c>
    </row>
    <row r="1634" spans="1:58" ht="41.25" customHeight="1" x14ac:dyDescent="0.25">
      <c r="A1634" s="8" t="s">
        <v>5</v>
      </c>
      <c r="B1634" s="1" t="s">
        <v>0</v>
      </c>
      <c r="C1634" s="1" t="s">
        <v>1</v>
      </c>
      <c r="D1634" s="1" t="s">
        <v>19434</v>
      </c>
      <c r="E1634" s="1" t="s">
        <v>19435</v>
      </c>
      <c r="F1634" s="1" t="s">
        <v>19436</v>
      </c>
      <c r="H1634" s="2" t="s">
        <v>5</v>
      </c>
      <c r="I1634" s="2" t="s">
        <v>6</v>
      </c>
      <c r="J1634" s="2" t="s">
        <v>5</v>
      </c>
      <c r="K1634" s="2" t="s">
        <v>5</v>
      </c>
      <c r="L1634" s="2" t="s">
        <v>7</v>
      </c>
      <c r="M1634" s="1" t="s">
        <v>19414</v>
      </c>
      <c r="N1634" s="1" t="s">
        <v>14517</v>
      </c>
      <c r="O1634" s="2" t="s">
        <v>136</v>
      </c>
      <c r="Q1634" s="2" t="s">
        <v>11</v>
      </c>
      <c r="R1634" s="2" t="s">
        <v>31</v>
      </c>
      <c r="S1634" s="1" t="s">
        <v>17181</v>
      </c>
      <c r="T1634" s="2" t="s">
        <v>520</v>
      </c>
      <c r="U1634" s="3">
        <v>11</v>
      </c>
      <c r="V1634" s="3">
        <v>11</v>
      </c>
      <c r="W1634" s="4" t="s">
        <v>11832</v>
      </c>
      <c r="X1634" s="4" t="s">
        <v>11832</v>
      </c>
      <c r="Y1634" s="4" t="s">
        <v>17236</v>
      </c>
      <c r="Z1634" s="4" t="s">
        <v>17236</v>
      </c>
      <c r="AA1634" s="3">
        <v>432</v>
      </c>
      <c r="AB1634" s="3">
        <v>347</v>
      </c>
      <c r="AC1634" s="3">
        <v>355</v>
      </c>
      <c r="AD1634" s="3">
        <v>2</v>
      </c>
      <c r="AE1634" s="3">
        <v>2</v>
      </c>
      <c r="AF1634" s="3">
        <v>10</v>
      </c>
      <c r="AG1634" s="3">
        <v>10</v>
      </c>
      <c r="AH1634" s="3">
        <v>3</v>
      </c>
      <c r="AI1634" s="3">
        <v>3</v>
      </c>
      <c r="AJ1634" s="3">
        <v>2</v>
      </c>
      <c r="AK1634" s="3">
        <v>2</v>
      </c>
      <c r="AL1634" s="3">
        <v>8</v>
      </c>
      <c r="AM1634" s="3">
        <v>8</v>
      </c>
      <c r="AN1634" s="3">
        <v>1</v>
      </c>
      <c r="AO1634" s="3">
        <v>1</v>
      </c>
      <c r="AP1634" s="3">
        <v>0</v>
      </c>
      <c r="AQ1634" s="3">
        <v>0</v>
      </c>
      <c r="AR1634" s="2" t="s">
        <v>5</v>
      </c>
      <c r="AS1634" s="2" t="s">
        <v>16</v>
      </c>
      <c r="AT1634" s="5" t="str">
        <f>HYPERLINK("http://catalog.hathitrust.org/Record/002474064","HathiTrust Record")</f>
        <v>HathiTrust Record</v>
      </c>
      <c r="AU1634" s="5" t="str">
        <f>HYPERLINK("https://creighton-primo.hosted.exlibrisgroup.com/primo-explore/search?tab=default_tab&amp;search_scope=EVERYTHING&amp;vid=01CRU&amp;lang=en_US&amp;offset=0&amp;query=any,contains,991001780269702656","Catalog Record")</f>
        <v>Catalog Record</v>
      </c>
      <c r="AV1634" s="5" t="str">
        <f>HYPERLINK("http://www.worldcat.org/oclc/23766882","WorldCat Record")</f>
        <v>WorldCat Record</v>
      </c>
      <c r="AW1634" s="2" t="s">
        <v>19437</v>
      </c>
      <c r="AX1634" s="2" t="s">
        <v>19438</v>
      </c>
      <c r="AY1634" s="2" t="s">
        <v>19439</v>
      </c>
      <c r="AZ1634" s="2" t="s">
        <v>19439</v>
      </c>
      <c r="BA1634" s="2" t="s">
        <v>19440</v>
      </c>
      <c r="BB1634" s="2" t="s">
        <v>21</v>
      </c>
      <c r="BD1634" s="2" t="s">
        <v>19441</v>
      </c>
      <c r="BE1634" s="2" t="s">
        <v>19442</v>
      </c>
      <c r="BF1634" s="2" t="s">
        <v>19443</v>
      </c>
    </row>
    <row r="1635" spans="1:58" ht="41.25" customHeight="1" x14ac:dyDescent="0.25">
      <c r="A1635" s="8" t="s">
        <v>5</v>
      </c>
      <c r="B1635" s="1" t="s">
        <v>0</v>
      </c>
      <c r="C1635" s="1" t="s">
        <v>1</v>
      </c>
      <c r="D1635" s="1" t="s">
        <v>19444</v>
      </c>
      <c r="E1635" s="1" t="s">
        <v>19445</v>
      </c>
      <c r="F1635" s="1" t="s">
        <v>19446</v>
      </c>
      <c r="H1635" s="2" t="s">
        <v>5</v>
      </c>
      <c r="I1635" s="2" t="s">
        <v>6</v>
      </c>
      <c r="J1635" s="2" t="s">
        <v>5</v>
      </c>
      <c r="K1635" s="2" t="s">
        <v>16</v>
      </c>
      <c r="L1635" s="2" t="s">
        <v>7</v>
      </c>
      <c r="N1635" s="1" t="s">
        <v>2617</v>
      </c>
      <c r="O1635" s="2" t="s">
        <v>1378</v>
      </c>
      <c r="P1635" s="1" t="s">
        <v>211</v>
      </c>
      <c r="Q1635" s="2" t="s">
        <v>11</v>
      </c>
      <c r="R1635" s="2" t="s">
        <v>78</v>
      </c>
      <c r="T1635" s="2" t="s">
        <v>520</v>
      </c>
      <c r="U1635" s="3">
        <v>4</v>
      </c>
      <c r="V1635" s="3">
        <v>4</v>
      </c>
      <c r="W1635" s="4" t="s">
        <v>11832</v>
      </c>
      <c r="X1635" s="4" t="s">
        <v>11832</v>
      </c>
      <c r="Y1635" s="4" t="s">
        <v>8914</v>
      </c>
      <c r="Z1635" s="4" t="s">
        <v>8914</v>
      </c>
      <c r="AA1635" s="3">
        <v>335</v>
      </c>
      <c r="AB1635" s="3">
        <v>267</v>
      </c>
      <c r="AC1635" s="3">
        <v>661</v>
      </c>
      <c r="AD1635" s="3">
        <v>2</v>
      </c>
      <c r="AE1635" s="3">
        <v>2</v>
      </c>
      <c r="AF1635" s="3">
        <v>8</v>
      </c>
      <c r="AG1635" s="3">
        <v>22</v>
      </c>
      <c r="AH1635" s="3">
        <v>5</v>
      </c>
      <c r="AI1635" s="3">
        <v>9</v>
      </c>
      <c r="AJ1635" s="3">
        <v>1</v>
      </c>
      <c r="AK1635" s="3">
        <v>5</v>
      </c>
      <c r="AL1635" s="3">
        <v>3</v>
      </c>
      <c r="AM1635" s="3">
        <v>12</v>
      </c>
      <c r="AN1635" s="3">
        <v>0</v>
      </c>
      <c r="AO1635" s="3">
        <v>0</v>
      </c>
      <c r="AP1635" s="3">
        <v>0</v>
      </c>
      <c r="AQ1635" s="3">
        <v>0</v>
      </c>
      <c r="AR1635" s="2" t="s">
        <v>5</v>
      </c>
      <c r="AS1635" s="2" t="s">
        <v>16</v>
      </c>
      <c r="AT1635" s="5" t="str">
        <f>HYPERLINK("http://catalog.hathitrust.org/Record/003248877","HathiTrust Record")</f>
        <v>HathiTrust Record</v>
      </c>
      <c r="AU1635" s="5" t="str">
        <f>HYPERLINK("https://creighton-primo.hosted.exlibrisgroup.com/primo-explore/search?tab=default_tab&amp;search_scope=EVERYTHING&amp;vid=01CRU&amp;lang=en_US&amp;offset=0&amp;query=any,contains,991001427259702656","Catalog Record")</f>
        <v>Catalog Record</v>
      </c>
      <c r="AV1635" s="5" t="str">
        <f>HYPERLINK("http://www.worldcat.org/oclc/37553721","WorldCat Record")</f>
        <v>WorldCat Record</v>
      </c>
      <c r="AW1635" s="2" t="s">
        <v>19447</v>
      </c>
      <c r="AX1635" s="2" t="s">
        <v>19448</v>
      </c>
      <c r="AY1635" s="2" t="s">
        <v>19449</v>
      </c>
      <c r="AZ1635" s="2" t="s">
        <v>19449</v>
      </c>
      <c r="BA1635" s="2" t="s">
        <v>19450</v>
      </c>
      <c r="BB1635" s="2" t="s">
        <v>21</v>
      </c>
      <c r="BD1635" s="2" t="s">
        <v>19451</v>
      </c>
      <c r="BE1635" s="2" t="s">
        <v>19452</v>
      </c>
      <c r="BF1635" s="2" t="s">
        <v>19453</v>
      </c>
    </row>
    <row r="1636" spans="1:58" ht="41.25" customHeight="1" x14ac:dyDescent="0.25">
      <c r="A1636" s="8" t="s">
        <v>5</v>
      </c>
      <c r="B1636" s="1" t="s">
        <v>0</v>
      </c>
      <c r="C1636" s="1" t="s">
        <v>1</v>
      </c>
      <c r="D1636" s="1" t="s">
        <v>19454</v>
      </c>
      <c r="E1636" s="1" t="s">
        <v>19455</v>
      </c>
      <c r="F1636" s="1" t="s">
        <v>19446</v>
      </c>
      <c r="H1636" s="2" t="s">
        <v>5</v>
      </c>
      <c r="I1636" s="2" t="s">
        <v>6</v>
      </c>
      <c r="J1636" s="2" t="s">
        <v>5</v>
      </c>
      <c r="K1636" s="2" t="s">
        <v>16</v>
      </c>
      <c r="L1636" s="2" t="s">
        <v>7</v>
      </c>
      <c r="N1636" s="1" t="s">
        <v>18452</v>
      </c>
      <c r="O1636" s="2" t="s">
        <v>4990</v>
      </c>
      <c r="P1636" s="1" t="s">
        <v>901</v>
      </c>
      <c r="Q1636" s="2" t="s">
        <v>11</v>
      </c>
      <c r="R1636" s="2" t="s">
        <v>78</v>
      </c>
      <c r="T1636" s="2" t="s">
        <v>520</v>
      </c>
      <c r="U1636" s="3">
        <v>1</v>
      </c>
      <c r="V1636" s="3">
        <v>1</v>
      </c>
      <c r="W1636" s="4" t="s">
        <v>19456</v>
      </c>
      <c r="X1636" s="4" t="s">
        <v>19456</v>
      </c>
      <c r="Y1636" s="4" t="s">
        <v>19457</v>
      </c>
      <c r="Z1636" s="4" t="s">
        <v>19457</v>
      </c>
      <c r="AA1636" s="3">
        <v>520</v>
      </c>
      <c r="AB1636" s="3">
        <v>391</v>
      </c>
      <c r="AC1636" s="3">
        <v>661</v>
      </c>
      <c r="AD1636" s="3">
        <v>0</v>
      </c>
      <c r="AE1636" s="3">
        <v>2</v>
      </c>
      <c r="AF1636" s="3">
        <v>18</v>
      </c>
      <c r="AG1636" s="3">
        <v>22</v>
      </c>
      <c r="AH1636" s="3">
        <v>7</v>
      </c>
      <c r="AI1636" s="3">
        <v>9</v>
      </c>
      <c r="AJ1636" s="3">
        <v>5</v>
      </c>
      <c r="AK1636" s="3">
        <v>5</v>
      </c>
      <c r="AL1636" s="3">
        <v>10</v>
      </c>
      <c r="AM1636" s="3">
        <v>12</v>
      </c>
      <c r="AN1636" s="3">
        <v>0</v>
      </c>
      <c r="AO1636" s="3">
        <v>0</v>
      </c>
      <c r="AP1636" s="3">
        <v>0</v>
      </c>
      <c r="AQ1636" s="3">
        <v>0</v>
      </c>
      <c r="AR1636" s="2" t="s">
        <v>5</v>
      </c>
      <c r="AS1636" s="2" t="s">
        <v>16</v>
      </c>
      <c r="AT1636" s="5" t="str">
        <f>HYPERLINK("http://catalog.hathitrust.org/Record/004229931","HathiTrust Record")</f>
        <v>HathiTrust Record</v>
      </c>
      <c r="AU1636" s="5" t="str">
        <f>HYPERLINK("https://creighton-primo.hosted.exlibrisgroup.com/primo-explore/search?tab=default_tab&amp;search_scope=EVERYTHING&amp;vid=01CRU&amp;lang=en_US&amp;offset=0&amp;query=any,contains,991001717499702656","Catalog Record")</f>
        <v>Catalog Record</v>
      </c>
      <c r="AV1636" s="5" t="str">
        <f>HYPERLINK("http://www.worldcat.org/oclc/47706110","WorldCat Record")</f>
        <v>WorldCat Record</v>
      </c>
      <c r="AW1636" s="2" t="s">
        <v>19447</v>
      </c>
      <c r="AX1636" s="2" t="s">
        <v>19458</v>
      </c>
      <c r="AY1636" s="2" t="s">
        <v>19459</v>
      </c>
      <c r="AZ1636" s="2" t="s">
        <v>19459</v>
      </c>
      <c r="BA1636" s="2" t="s">
        <v>19460</v>
      </c>
      <c r="BB1636" s="2" t="s">
        <v>21</v>
      </c>
      <c r="BD1636" s="2" t="s">
        <v>19461</v>
      </c>
      <c r="BE1636" s="2" t="s">
        <v>19462</v>
      </c>
      <c r="BF1636" s="2" t="s">
        <v>19463</v>
      </c>
    </row>
    <row r="1637" spans="1:58" ht="41.25" customHeight="1" x14ac:dyDescent="0.25">
      <c r="A1637" s="8" t="s">
        <v>5</v>
      </c>
      <c r="B1637" s="1" t="s">
        <v>0</v>
      </c>
      <c r="C1637" s="1" t="s">
        <v>1</v>
      </c>
      <c r="D1637" s="1" t="s">
        <v>19464</v>
      </c>
      <c r="E1637" s="1" t="s">
        <v>19465</v>
      </c>
      <c r="F1637" s="1" t="s">
        <v>19466</v>
      </c>
      <c r="H1637" s="2" t="s">
        <v>5</v>
      </c>
      <c r="I1637" s="2" t="s">
        <v>6</v>
      </c>
      <c r="J1637" s="2" t="s">
        <v>5</v>
      </c>
      <c r="K1637" s="2" t="s">
        <v>5</v>
      </c>
      <c r="L1637" s="2" t="s">
        <v>7</v>
      </c>
      <c r="M1637" s="1" t="s">
        <v>19467</v>
      </c>
      <c r="N1637" s="1" t="s">
        <v>19468</v>
      </c>
      <c r="O1637" s="2" t="s">
        <v>2738</v>
      </c>
      <c r="Q1637" s="2" t="s">
        <v>11</v>
      </c>
      <c r="R1637" s="2" t="s">
        <v>93</v>
      </c>
      <c r="T1637" s="2" t="s">
        <v>520</v>
      </c>
      <c r="U1637" s="3">
        <v>2</v>
      </c>
      <c r="V1637" s="3">
        <v>2</v>
      </c>
      <c r="W1637" s="4" t="s">
        <v>371</v>
      </c>
      <c r="X1637" s="4" t="s">
        <v>371</v>
      </c>
      <c r="Y1637" s="4" t="s">
        <v>695</v>
      </c>
      <c r="Z1637" s="4" t="s">
        <v>695</v>
      </c>
      <c r="AA1637" s="3">
        <v>41</v>
      </c>
      <c r="AB1637" s="3">
        <v>38</v>
      </c>
      <c r="AC1637" s="3">
        <v>171</v>
      </c>
      <c r="AD1637" s="3">
        <v>1</v>
      </c>
      <c r="AE1637" s="3">
        <v>1</v>
      </c>
      <c r="AF1637" s="3">
        <v>1</v>
      </c>
      <c r="AG1637" s="3">
        <v>5</v>
      </c>
      <c r="AH1637" s="3">
        <v>0</v>
      </c>
      <c r="AI1637" s="3">
        <v>1</v>
      </c>
      <c r="AJ1637" s="3">
        <v>0</v>
      </c>
      <c r="AK1637" s="3">
        <v>0</v>
      </c>
      <c r="AL1637" s="3">
        <v>1</v>
      </c>
      <c r="AM1637" s="3">
        <v>4</v>
      </c>
      <c r="AN1637" s="3">
        <v>0</v>
      </c>
      <c r="AO1637" s="3">
        <v>0</v>
      </c>
      <c r="AP1637" s="3">
        <v>0</v>
      </c>
      <c r="AQ1637" s="3">
        <v>0</v>
      </c>
      <c r="AR1637" s="2" t="s">
        <v>5</v>
      </c>
      <c r="AS1637" s="2" t="s">
        <v>16</v>
      </c>
      <c r="AT1637" s="5" t="str">
        <f>HYPERLINK("http://catalog.hathitrust.org/Record/001568754","HathiTrust Record")</f>
        <v>HathiTrust Record</v>
      </c>
      <c r="AU1637" s="5" t="str">
        <f>HYPERLINK("https://creighton-primo.hosted.exlibrisgroup.com/primo-explore/search?tab=default_tab&amp;search_scope=EVERYTHING&amp;vid=01CRU&amp;lang=en_US&amp;offset=0&amp;query=any,contains,991001034509702656","Catalog Record")</f>
        <v>Catalog Record</v>
      </c>
      <c r="AV1637" s="5" t="str">
        <f>HYPERLINK("http://www.worldcat.org/oclc/136748","WorldCat Record")</f>
        <v>WorldCat Record</v>
      </c>
      <c r="AW1637" s="2" t="s">
        <v>19469</v>
      </c>
      <c r="AX1637" s="2" t="s">
        <v>19470</v>
      </c>
      <c r="AY1637" s="2" t="s">
        <v>19471</v>
      </c>
      <c r="AZ1637" s="2" t="s">
        <v>19471</v>
      </c>
      <c r="BA1637" s="2" t="s">
        <v>19472</v>
      </c>
      <c r="BB1637" s="2" t="s">
        <v>21</v>
      </c>
      <c r="BE1637" s="2" t="s">
        <v>19473</v>
      </c>
      <c r="BF1637" s="2" t="s">
        <v>19474</v>
      </c>
    </row>
    <row r="1638" spans="1:58" ht="41.25" customHeight="1" x14ac:dyDescent="0.25">
      <c r="A1638" s="8" t="s">
        <v>5</v>
      </c>
      <c r="B1638" s="1" t="s">
        <v>0</v>
      </c>
      <c r="C1638" s="1" t="s">
        <v>1</v>
      </c>
      <c r="D1638" s="1" t="s">
        <v>19475</v>
      </c>
      <c r="E1638" s="1" t="s">
        <v>19476</v>
      </c>
      <c r="F1638" s="1" t="s">
        <v>19477</v>
      </c>
      <c r="H1638" s="2" t="s">
        <v>5</v>
      </c>
      <c r="I1638" s="2" t="s">
        <v>6</v>
      </c>
      <c r="J1638" s="2" t="s">
        <v>5</v>
      </c>
      <c r="K1638" s="2" t="s">
        <v>5</v>
      </c>
      <c r="L1638" s="2" t="s">
        <v>7</v>
      </c>
      <c r="N1638" s="1" t="s">
        <v>10604</v>
      </c>
      <c r="O1638" s="2" t="s">
        <v>228</v>
      </c>
      <c r="Q1638" s="2" t="s">
        <v>11</v>
      </c>
      <c r="R1638" s="2" t="s">
        <v>426</v>
      </c>
      <c r="S1638" s="1" t="s">
        <v>10593</v>
      </c>
      <c r="T1638" s="2" t="s">
        <v>520</v>
      </c>
      <c r="U1638" s="3">
        <v>5</v>
      </c>
      <c r="V1638" s="3">
        <v>5</v>
      </c>
      <c r="W1638" s="4" t="s">
        <v>19478</v>
      </c>
      <c r="X1638" s="4" t="s">
        <v>19478</v>
      </c>
      <c r="Y1638" s="4" t="s">
        <v>18753</v>
      </c>
      <c r="Z1638" s="4" t="s">
        <v>18753</v>
      </c>
      <c r="AA1638" s="3">
        <v>264</v>
      </c>
      <c r="AB1638" s="3">
        <v>233</v>
      </c>
      <c r="AC1638" s="3">
        <v>235</v>
      </c>
      <c r="AD1638" s="3">
        <v>2</v>
      </c>
      <c r="AE1638" s="3">
        <v>2</v>
      </c>
      <c r="AF1638" s="3">
        <v>5</v>
      </c>
      <c r="AG1638" s="3">
        <v>5</v>
      </c>
      <c r="AH1638" s="3">
        <v>2</v>
      </c>
      <c r="AI1638" s="3">
        <v>2</v>
      </c>
      <c r="AJ1638" s="3">
        <v>0</v>
      </c>
      <c r="AK1638" s="3">
        <v>0</v>
      </c>
      <c r="AL1638" s="3">
        <v>3</v>
      </c>
      <c r="AM1638" s="3">
        <v>3</v>
      </c>
      <c r="AN1638" s="3">
        <v>0</v>
      </c>
      <c r="AO1638" s="3">
        <v>0</v>
      </c>
      <c r="AP1638" s="3">
        <v>0</v>
      </c>
      <c r="AQ1638" s="3">
        <v>0</v>
      </c>
      <c r="AR1638" s="2" t="s">
        <v>5</v>
      </c>
      <c r="AS1638" s="2" t="s">
        <v>16</v>
      </c>
      <c r="AT1638" s="5" t="str">
        <f>HYPERLINK("http://catalog.hathitrust.org/Record/000190928","HathiTrust Record")</f>
        <v>HathiTrust Record</v>
      </c>
      <c r="AU1638" s="5" t="str">
        <f>HYPERLINK("https://creighton-primo.hosted.exlibrisgroup.com/primo-explore/search?tab=default_tab&amp;search_scope=EVERYTHING&amp;vid=01CRU&amp;lang=en_US&amp;offset=0&amp;query=any,contains,991000922069702656","Catalog Record")</f>
        <v>Catalog Record</v>
      </c>
      <c r="AV1638" s="5" t="str">
        <f>HYPERLINK("http://www.worldcat.org/oclc/8283386","WorldCat Record")</f>
        <v>WorldCat Record</v>
      </c>
      <c r="AW1638" s="2" t="s">
        <v>19479</v>
      </c>
      <c r="AX1638" s="2" t="s">
        <v>19480</v>
      </c>
      <c r="AY1638" s="2" t="s">
        <v>19481</v>
      </c>
      <c r="AZ1638" s="2" t="s">
        <v>19481</v>
      </c>
      <c r="BA1638" s="2" t="s">
        <v>19482</v>
      </c>
      <c r="BB1638" s="2" t="s">
        <v>21</v>
      </c>
      <c r="BD1638" s="2" t="s">
        <v>19483</v>
      </c>
      <c r="BE1638" s="2" t="s">
        <v>19484</v>
      </c>
      <c r="BF1638" s="2" t="s">
        <v>19485</v>
      </c>
    </row>
    <row r="1639" spans="1:58" ht="41.25" customHeight="1" x14ac:dyDescent="0.25">
      <c r="A1639" s="8" t="s">
        <v>5</v>
      </c>
      <c r="B1639" s="1" t="s">
        <v>0</v>
      </c>
      <c r="C1639" s="1" t="s">
        <v>1</v>
      </c>
      <c r="D1639" s="1" t="s">
        <v>19486</v>
      </c>
      <c r="E1639" s="1" t="s">
        <v>19487</v>
      </c>
      <c r="F1639" s="1" t="s">
        <v>19488</v>
      </c>
      <c r="H1639" s="2" t="s">
        <v>5</v>
      </c>
      <c r="I1639" s="2" t="s">
        <v>6</v>
      </c>
      <c r="J1639" s="2" t="s">
        <v>5</v>
      </c>
      <c r="K1639" s="2" t="s">
        <v>5</v>
      </c>
      <c r="L1639" s="2" t="s">
        <v>7</v>
      </c>
      <c r="M1639" s="1" t="s">
        <v>19489</v>
      </c>
      <c r="N1639" s="1" t="s">
        <v>19490</v>
      </c>
      <c r="O1639" s="2" t="s">
        <v>989</v>
      </c>
      <c r="Q1639" s="2" t="s">
        <v>11</v>
      </c>
      <c r="R1639" s="2" t="s">
        <v>229</v>
      </c>
      <c r="S1639" s="1" t="s">
        <v>19491</v>
      </c>
      <c r="T1639" s="2" t="s">
        <v>520</v>
      </c>
      <c r="U1639" s="3">
        <v>5</v>
      </c>
      <c r="V1639" s="3">
        <v>5</v>
      </c>
      <c r="W1639" s="4" t="s">
        <v>3452</v>
      </c>
      <c r="X1639" s="4" t="s">
        <v>3452</v>
      </c>
      <c r="Y1639" s="4" t="s">
        <v>7742</v>
      </c>
      <c r="Z1639" s="4" t="s">
        <v>7742</v>
      </c>
      <c r="AA1639" s="3">
        <v>33</v>
      </c>
      <c r="AB1639" s="3">
        <v>31</v>
      </c>
      <c r="AC1639" s="3">
        <v>41</v>
      </c>
      <c r="AD1639" s="3">
        <v>2</v>
      </c>
      <c r="AE1639" s="3">
        <v>2</v>
      </c>
      <c r="AF1639" s="3">
        <v>1</v>
      </c>
      <c r="AG1639" s="3">
        <v>1</v>
      </c>
      <c r="AH1639" s="3">
        <v>0</v>
      </c>
      <c r="AI1639" s="3">
        <v>0</v>
      </c>
      <c r="AJ1639" s="3">
        <v>0</v>
      </c>
      <c r="AK1639" s="3">
        <v>0</v>
      </c>
      <c r="AL1639" s="3">
        <v>0</v>
      </c>
      <c r="AM1639" s="3">
        <v>0</v>
      </c>
      <c r="AN1639" s="3">
        <v>1</v>
      </c>
      <c r="AO1639" s="3">
        <v>1</v>
      </c>
      <c r="AP1639" s="3">
        <v>0</v>
      </c>
      <c r="AQ1639" s="3">
        <v>0</v>
      </c>
      <c r="AR1639" s="2" t="s">
        <v>5</v>
      </c>
      <c r="AS1639" s="2" t="s">
        <v>16</v>
      </c>
      <c r="AT1639" s="5" t="str">
        <f>HYPERLINK("http://catalog.hathitrust.org/Record/002476817","HathiTrust Record")</f>
        <v>HathiTrust Record</v>
      </c>
      <c r="AU1639" s="5" t="str">
        <f>HYPERLINK("https://creighton-primo.hosted.exlibrisgroup.com/primo-explore/search?tab=default_tab&amp;search_scope=EVERYTHING&amp;vid=01CRU&amp;lang=en_US&amp;offset=0&amp;query=any,contains,991001322029702656","Catalog Record")</f>
        <v>Catalog Record</v>
      </c>
      <c r="AV1639" s="5" t="str">
        <f>HYPERLINK("http://www.worldcat.org/oclc/20569805","WorldCat Record")</f>
        <v>WorldCat Record</v>
      </c>
      <c r="AW1639" s="2" t="s">
        <v>19492</v>
      </c>
      <c r="AX1639" s="2" t="s">
        <v>19493</v>
      </c>
      <c r="AY1639" s="2" t="s">
        <v>19494</v>
      </c>
      <c r="AZ1639" s="2" t="s">
        <v>19494</v>
      </c>
      <c r="BA1639" s="2" t="s">
        <v>19495</v>
      </c>
      <c r="BB1639" s="2" t="s">
        <v>21</v>
      </c>
      <c r="BD1639" s="2" t="s">
        <v>19496</v>
      </c>
      <c r="BE1639" s="2" t="s">
        <v>19497</v>
      </c>
      <c r="BF1639" s="2" t="s">
        <v>19498</v>
      </c>
    </row>
    <row r="1640" spans="1:58" ht="41.25" customHeight="1" x14ac:dyDescent="0.25">
      <c r="A1640" s="8" t="s">
        <v>5</v>
      </c>
      <c r="B1640" s="1" t="s">
        <v>0</v>
      </c>
      <c r="C1640" s="1" t="s">
        <v>1</v>
      </c>
      <c r="D1640" s="1" t="s">
        <v>19499</v>
      </c>
      <c r="E1640" s="1" t="s">
        <v>19500</v>
      </c>
      <c r="F1640" s="1" t="s">
        <v>19501</v>
      </c>
      <c r="H1640" s="2" t="s">
        <v>5</v>
      </c>
      <c r="I1640" s="2" t="s">
        <v>6</v>
      </c>
      <c r="J1640" s="2" t="s">
        <v>5</v>
      </c>
      <c r="K1640" s="2" t="s">
        <v>5</v>
      </c>
      <c r="L1640" s="2" t="s">
        <v>7</v>
      </c>
      <c r="M1640" s="1" t="s">
        <v>19502</v>
      </c>
      <c r="N1640" s="1" t="s">
        <v>1338</v>
      </c>
      <c r="O1640" s="2" t="s">
        <v>1339</v>
      </c>
      <c r="Q1640" s="2" t="s">
        <v>11</v>
      </c>
      <c r="R1640" s="2" t="s">
        <v>426</v>
      </c>
      <c r="T1640" s="2" t="s">
        <v>520</v>
      </c>
      <c r="U1640" s="3">
        <v>1</v>
      </c>
      <c r="V1640" s="3">
        <v>1</v>
      </c>
      <c r="W1640" s="4" t="s">
        <v>19503</v>
      </c>
      <c r="X1640" s="4" t="s">
        <v>19503</v>
      </c>
      <c r="Y1640" s="4" t="s">
        <v>19504</v>
      </c>
      <c r="Z1640" s="4" t="s">
        <v>19504</v>
      </c>
      <c r="AA1640" s="3">
        <v>254</v>
      </c>
      <c r="AB1640" s="3">
        <v>217</v>
      </c>
      <c r="AC1640" s="3">
        <v>219</v>
      </c>
      <c r="AD1640" s="3">
        <v>2</v>
      </c>
      <c r="AE1640" s="3">
        <v>2</v>
      </c>
      <c r="AF1640" s="3">
        <v>6</v>
      </c>
      <c r="AG1640" s="3">
        <v>6</v>
      </c>
      <c r="AH1640" s="3">
        <v>2</v>
      </c>
      <c r="AI1640" s="3">
        <v>2</v>
      </c>
      <c r="AJ1640" s="3">
        <v>2</v>
      </c>
      <c r="AK1640" s="3">
        <v>2</v>
      </c>
      <c r="AL1640" s="3">
        <v>5</v>
      </c>
      <c r="AM1640" s="3">
        <v>5</v>
      </c>
      <c r="AN1640" s="3">
        <v>0</v>
      </c>
      <c r="AO1640" s="3">
        <v>0</v>
      </c>
      <c r="AP1640" s="3">
        <v>0</v>
      </c>
      <c r="AQ1640" s="3">
        <v>0</v>
      </c>
      <c r="AR1640" s="2" t="s">
        <v>5</v>
      </c>
      <c r="AS1640" s="2" t="s">
        <v>16</v>
      </c>
      <c r="AT1640" s="5" t="str">
        <f>HYPERLINK("http://catalog.hathitrust.org/Record/000911473","HathiTrust Record")</f>
        <v>HathiTrust Record</v>
      </c>
      <c r="AU1640" s="5" t="str">
        <f>HYPERLINK("https://creighton-primo.hosted.exlibrisgroup.com/primo-explore/search?tab=default_tab&amp;search_scope=EVERYTHING&amp;vid=01CRU&amp;lang=en_US&amp;offset=0&amp;query=any,contains,991001535159702656","Catalog Record")</f>
        <v>Catalog Record</v>
      </c>
      <c r="AV1640" s="5" t="str">
        <f>HYPERLINK("http://www.worldcat.org/oclc/15630901","WorldCat Record")</f>
        <v>WorldCat Record</v>
      </c>
      <c r="AW1640" s="2" t="s">
        <v>19505</v>
      </c>
      <c r="AX1640" s="2" t="s">
        <v>19506</v>
      </c>
      <c r="AY1640" s="2" t="s">
        <v>19507</v>
      </c>
      <c r="AZ1640" s="2" t="s">
        <v>19507</v>
      </c>
      <c r="BA1640" s="2" t="s">
        <v>19508</v>
      </c>
      <c r="BB1640" s="2" t="s">
        <v>21</v>
      </c>
      <c r="BD1640" s="2" t="s">
        <v>19509</v>
      </c>
      <c r="BE1640" s="2" t="s">
        <v>19510</v>
      </c>
      <c r="BF1640" s="2" t="s">
        <v>19511</v>
      </c>
    </row>
    <row r="1641" spans="1:58" ht="41.25" customHeight="1" x14ac:dyDescent="0.25">
      <c r="A1641" s="8" t="s">
        <v>5</v>
      </c>
      <c r="B1641" s="1" t="s">
        <v>0</v>
      </c>
      <c r="C1641" s="1" t="s">
        <v>1</v>
      </c>
      <c r="D1641" s="1" t="s">
        <v>19512</v>
      </c>
      <c r="E1641" s="1" t="s">
        <v>19513</v>
      </c>
      <c r="F1641" s="1" t="s">
        <v>19514</v>
      </c>
      <c r="H1641" s="2" t="s">
        <v>5</v>
      </c>
      <c r="I1641" s="2" t="s">
        <v>6</v>
      </c>
      <c r="J1641" s="2" t="s">
        <v>5</v>
      </c>
      <c r="K1641" s="2" t="s">
        <v>5</v>
      </c>
      <c r="L1641" s="2" t="s">
        <v>7</v>
      </c>
      <c r="M1641" s="1" t="s">
        <v>19515</v>
      </c>
      <c r="N1641" s="1" t="s">
        <v>19516</v>
      </c>
      <c r="O1641" s="2" t="s">
        <v>136</v>
      </c>
      <c r="P1641" s="1" t="s">
        <v>8431</v>
      </c>
      <c r="Q1641" s="2" t="s">
        <v>11</v>
      </c>
      <c r="R1641" s="2" t="s">
        <v>229</v>
      </c>
      <c r="S1641" s="1" t="s">
        <v>19517</v>
      </c>
      <c r="T1641" s="2" t="s">
        <v>520</v>
      </c>
      <c r="U1641" s="3">
        <v>5</v>
      </c>
      <c r="V1641" s="3">
        <v>5</v>
      </c>
      <c r="W1641" s="4" t="s">
        <v>19518</v>
      </c>
      <c r="X1641" s="4" t="s">
        <v>19518</v>
      </c>
      <c r="Y1641" s="4" t="s">
        <v>2945</v>
      </c>
      <c r="Z1641" s="4" t="s">
        <v>2945</v>
      </c>
      <c r="AA1641" s="3">
        <v>23</v>
      </c>
      <c r="AB1641" s="3">
        <v>21</v>
      </c>
      <c r="AC1641" s="3">
        <v>40</v>
      </c>
      <c r="AD1641" s="3">
        <v>1</v>
      </c>
      <c r="AE1641" s="3">
        <v>1</v>
      </c>
      <c r="AF1641" s="3">
        <v>0</v>
      </c>
      <c r="AG1641" s="3">
        <v>0</v>
      </c>
      <c r="AH1641" s="3">
        <v>0</v>
      </c>
      <c r="AI1641" s="3">
        <v>0</v>
      </c>
      <c r="AJ1641" s="3">
        <v>0</v>
      </c>
      <c r="AK1641" s="3">
        <v>0</v>
      </c>
      <c r="AL1641" s="3">
        <v>0</v>
      </c>
      <c r="AM1641" s="3">
        <v>0</v>
      </c>
      <c r="AN1641" s="3">
        <v>0</v>
      </c>
      <c r="AO1641" s="3">
        <v>0</v>
      </c>
      <c r="AP1641" s="3">
        <v>0</v>
      </c>
      <c r="AQ1641" s="3">
        <v>0</v>
      </c>
      <c r="AR1641" s="2" t="s">
        <v>5</v>
      </c>
      <c r="AS1641" s="2" t="s">
        <v>5</v>
      </c>
      <c r="AU1641" s="5" t="str">
        <f>HYPERLINK("https://creighton-primo.hosted.exlibrisgroup.com/primo-explore/search?tab=default_tab&amp;search_scope=EVERYTHING&amp;vid=01CRU&amp;lang=en_US&amp;offset=0&amp;query=any,contains,991001030879702656","Catalog Record")</f>
        <v>Catalog Record</v>
      </c>
      <c r="AV1641" s="5" t="str">
        <f>HYPERLINK("http://www.worldcat.org/oclc/23210460","WorldCat Record")</f>
        <v>WorldCat Record</v>
      </c>
      <c r="AW1641" s="2" t="s">
        <v>19519</v>
      </c>
      <c r="AX1641" s="2" t="s">
        <v>19520</v>
      </c>
      <c r="AY1641" s="2" t="s">
        <v>19521</v>
      </c>
      <c r="AZ1641" s="2" t="s">
        <v>19521</v>
      </c>
      <c r="BA1641" s="2" t="s">
        <v>19522</v>
      </c>
      <c r="BB1641" s="2" t="s">
        <v>21</v>
      </c>
      <c r="BD1641" s="2" t="s">
        <v>19523</v>
      </c>
      <c r="BE1641" s="2" t="s">
        <v>19524</v>
      </c>
      <c r="BF1641" s="2" t="s">
        <v>19525</v>
      </c>
    </row>
    <row r="1642" spans="1:58" ht="41.25" customHeight="1" x14ac:dyDescent="0.25">
      <c r="A1642" s="8" t="s">
        <v>5</v>
      </c>
      <c r="B1642" s="1" t="s">
        <v>0</v>
      </c>
      <c r="C1642" s="1" t="s">
        <v>1</v>
      </c>
      <c r="D1642" s="1" t="s">
        <v>19526</v>
      </c>
      <c r="E1642" s="1" t="s">
        <v>19527</v>
      </c>
      <c r="F1642" s="1" t="s">
        <v>19528</v>
      </c>
      <c r="H1642" s="2" t="s">
        <v>5</v>
      </c>
      <c r="I1642" s="2" t="s">
        <v>6</v>
      </c>
      <c r="J1642" s="2" t="s">
        <v>5</v>
      </c>
      <c r="K1642" s="2" t="s">
        <v>5</v>
      </c>
      <c r="L1642" s="2" t="s">
        <v>7</v>
      </c>
      <c r="M1642" s="1" t="s">
        <v>19529</v>
      </c>
      <c r="N1642" s="1" t="s">
        <v>19530</v>
      </c>
      <c r="O1642" s="2" t="s">
        <v>989</v>
      </c>
      <c r="Q1642" s="2" t="s">
        <v>11</v>
      </c>
      <c r="R1642" s="2" t="s">
        <v>229</v>
      </c>
      <c r="S1642" s="1" t="s">
        <v>19491</v>
      </c>
      <c r="T1642" s="2" t="s">
        <v>520</v>
      </c>
      <c r="U1642" s="3">
        <v>6</v>
      </c>
      <c r="V1642" s="3">
        <v>6</v>
      </c>
      <c r="W1642" s="4" t="s">
        <v>19531</v>
      </c>
      <c r="X1642" s="4" t="s">
        <v>19531</v>
      </c>
      <c r="Y1642" s="4" t="s">
        <v>2945</v>
      </c>
      <c r="Z1642" s="4" t="s">
        <v>2945</v>
      </c>
      <c r="AA1642" s="3">
        <v>44</v>
      </c>
      <c r="AB1642" s="3">
        <v>31</v>
      </c>
      <c r="AC1642" s="3">
        <v>31</v>
      </c>
      <c r="AD1642" s="3">
        <v>1</v>
      </c>
      <c r="AE1642" s="3">
        <v>1</v>
      </c>
      <c r="AF1642" s="3">
        <v>0</v>
      </c>
      <c r="AG1642" s="3">
        <v>0</v>
      </c>
      <c r="AH1642" s="3">
        <v>0</v>
      </c>
      <c r="AI1642" s="3">
        <v>0</v>
      </c>
      <c r="AJ1642" s="3">
        <v>0</v>
      </c>
      <c r="AK1642" s="3">
        <v>0</v>
      </c>
      <c r="AL1642" s="3">
        <v>0</v>
      </c>
      <c r="AM1642" s="3">
        <v>0</v>
      </c>
      <c r="AN1642" s="3">
        <v>0</v>
      </c>
      <c r="AO1642" s="3">
        <v>0</v>
      </c>
      <c r="AP1642" s="3">
        <v>0</v>
      </c>
      <c r="AQ1642" s="3">
        <v>0</v>
      </c>
      <c r="AR1642" s="2" t="s">
        <v>5</v>
      </c>
      <c r="AS1642" s="2" t="s">
        <v>5</v>
      </c>
      <c r="AU1642" s="5" t="str">
        <f>HYPERLINK("https://creighton-primo.hosted.exlibrisgroup.com/primo-explore/search?tab=default_tab&amp;search_scope=EVERYTHING&amp;vid=01CRU&amp;lang=en_US&amp;offset=0&amp;query=any,contains,991001030559702656","Catalog Record")</f>
        <v>Catalog Record</v>
      </c>
      <c r="AV1642" s="5" t="str">
        <f>HYPERLINK("http://www.worldcat.org/oclc/23096366","WorldCat Record")</f>
        <v>WorldCat Record</v>
      </c>
      <c r="AW1642" s="2" t="s">
        <v>19532</v>
      </c>
      <c r="AX1642" s="2" t="s">
        <v>19533</v>
      </c>
      <c r="AY1642" s="2" t="s">
        <v>19534</v>
      </c>
      <c r="AZ1642" s="2" t="s">
        <v>19534</v>
      </c>
      <c r="BA1642" s="2" t="s">
        <v>19535</v>
      </c>
      <c r="BB1642" s="2" t="s">
        <v>21</v>
      </c>
      <c r="BD1642" s="2" t="s">
        <v>19536</v>
      </c>
      <c r="BE1642" s="2" t="s">
        <v>19537</v>
      </c>
      <c r="BF1642" s="2" t="s">
        <v>19538</v>
      </c>
    </row>
    <row r="1643" spans="1:58" ht="41.25" customHeight="1" x14ac:dyDescent="0.25">
      <c r="A1643" s="8" t="s">
        <v>5</v>
      </c>
      <c r="B1643" s="1" t="s">
        <v>0</v>
      </c>
      <c r="C1643" s="1" t="s">
        <v>1</v>
      </c>
      <c r="D1643" s="1" t="s">
        <v>19539</v>
      </c>
      <c r="E1643" s="1" t="s">
        <v>19540</v>
      </c>
      <c r="F1643" s="1" t="s">
        <v>19541</v>
      </c>
      <c r="H1643" s="2" t="s">
        <v>5</v>
      </c>
      <c r="I1643" s="2" t="s">
        <v>6</v>
      </c>
      <c r="J1643" s="2" t="s">
        <v>5</v>
      </c>
      <c r="K1643" s="2" t="s">
        <v>5</v>
      </c>
      <c r="L1643" s="2" t="s">
        <v>7</v>
      </c>
      <c r="M1643" s="1" t="s">
        <v>19542</v>
      </c>
      <c r="N1643" s="1" t="s">
        <v>19543</v>
      </c>
      <c r="O1643" s="2" t="s">
        <v>210</v>
      </c>
      <c r="Q1643" s="2" t="s">
        <v>11</v>
      </c>
      <c r="R1643" s="2" t="s">
        <v>229</v>
      </c>
      <c r="S1643" s="1" t="s">
        <v>19491</v>
      </c>
      <c r="T1643" s="2" t="s">
        <v>520</v>
      </c>
      <c r="U1643" s="3">
        <v>8</v>
      </c>
      <c r="V1643" s="3">
        <v>8</v>
      </c>
      <c r="W1643" s="4" t="s">
        <v>19531</v>
      </c>
      <c r="X1643" s="4" t="s">
        <v>19531</v>
      </c>
      <c r="Y1643" s="4" t="s">
        <v>2945</v>
      </c>
      <c r="Z1643" s="4" t="s">
        <v>2945</v>
      </c>
      <c r="AA1643" s="3">
        <v>19</v>
      </c>
      <c r="AB1643" s="3">
        <v>16</v>
      </c>
      <c r="AC1643" s="3">
        <v>16</v>
      </c>
      <c r="AD1643" s="3">
        <v>1</v>
      </c>
      <c r="AE1643" s="3">
        <v>1</v>
      </c>
      <c r="AF1643" s="3">
        <v>0</v>
      </c>
      <c r="AG1643" s="3">
        <v>0</v>
      </c>
      <c r="AH1643" s="3">
        <v>0</v>
      </c>
      <c r="AI1643" s="3">
        <v>0</v>
      </c>
      <c r="AJ1643" s="3">
        <v>0</v>
      </c>
      <c r="AK1643" s="3">
        <v>0</v>
      </c>
      <c r="AL1643" s="3">
        <v>0</v>
      </c>
      <c r="AM1643" s="3">
        <v>0</v>
      </c>
      <c r="AN1643" s="3">
        <v>0</v>
      </c>
      <c r="AO1643" s="3">
        <v>0</v>
      </c>
      <c r="AP1643" s="3">
        <v>0</v>
      </c>
      <c r="AQ1643" s="3">
        <v>0</v>
      </c>
      <c r="AR1643" s="2" t="s">
        <v>5</v>
      </c>
      <c r="AS1643" s="2" t="s">
        <v>5</v>
      </c>
      <c r="AU1643" s="5" t="str">
        <f>HYPERLINK("https://creighton-primo.hosted.exlibrisgroup.com/primo-explore/search?tab=default_tab&amp;search_scope=EVERYTHING&amp;vid=01CRU&amp;lang=en_US&amp;offset=0&amp;query=any,contains,991001030599702656","Catalog Record")</f>
        <v>Catalog Record</v>
      </c>
      <c r="AV1643" s="5" t="str">
        <f>HYPERLINK("http://www.worldcat.org/oclc/24515121","WorldCat Record")</f>
        <v>WorldCat Record</v>
      </c>
      <c r="AW1643" s="2" t="s">
        <v>19544</v>
      </c>
      <c r="AX1643" s="2" t="s">
        <v>19545</v>
      </c>
      <c r="AY1643" s="2" t="s">
        <v>19546</v>
      </c>
      <c r="AZ1643" s="2" t="s">
        <v>19546</v>
      </c>
      <c r="BA1643" s="2" t="s">
        <v>19547</v>
      </c>
      <c r="BB1643" s="2" t="s">
        <v>21</v>
      </c>
      <c r="BD1643" s="2" t="s">
        <v>19548</v>
      </c>
      <c r="BE1643" s="2" t="s">
        <v>19549</v>
      </c>
      <c r="BF1643" s="2" t="s">
        <v>19550</v>
      </c>
    </row>
    <row r="1644" spans="1:58" ht="41.25" customHeight="1" x14ac:dyDescent="0.25">
      <c r="A1644" s="8" t="s">
        <v>5</v>
      </c>
      <c r="B1644" s="1" t="s">
        <v>0</v>
      </c>
      <c r="C1644" s="1" t="s">
        <v>1</v>
      </c>
      <c r="D1644" s="1" t="s">
        <v>19551</v>
      </c>
      <c r="E1644" s="1" t="s">
        <v>19552</v>
      </c>
      <c r="F1644" s="1" t="s">
        <v>19553</v>
      </c>
      <c r="H1644" s="2" t="s">
        <v>5</v>
      </c>
      <c r="I1644" s="2" t="s">
        <v>6</v>
      </c>
      <c r="J1644" s="2" t="s">
        <v>5</v>
      </c>
      <c r="K1644" s="2" t="s">
        <v>5</v>
      </c>
      <c r="L1644" s="2" t="s">
        <v>7</v>
      </c>
      <c r="N1644" s="1" t="s">
        <v>19554</v>
      </c>
      <c r="O1644" s="2" t="s">
        <v>734</v>
      </c>
      <c r="Q1644" s="2" t="s">
        <v>11</v>
      </c>
      <c r="R1644" s="2" t="s">
        <v>426</v>
      </c>
      <c r="T1644" s="2" t="s">
        <v>520</v>
      </c>
      <c r="U1644" s="3">
        <v>1</v>
      </c>
      <c r="V1644" s="3">
        <v>1</v>
      </c>
      <c r="W1644" s="4" t="s">
        <v>19555</v>
      </c>
      <c r="X1644" s="4" t="s">
        <v>19555</v>
      </c>
      <c r="Y1644" s="4" t="s">
        <v>18753</v>
      </c>
      <c r="Z1644" s="4" t="s">
        <v>18753</v>
      </c>
      <c r="AA1644" s="3">
        <v>299</v>
      </c>
      <c r="AB1644" s="3">
        <v>254</v>
      </c>
      <c r="AC1644" s="3">
        <v>256</v>
      </c>
      <c r="AD1644" s="3">
        <v>2</v>
      </c>
      <c r="AE1644" s="3">
        <v>2</v>
      </c>
      <c r="AF1644" s="3">
        <v>12</v>
      </c>
      <c r="AG1644" s="3">
        <v>12</v>
      </c>
      <c r="AH1644" s="3">
        <v>6</v>
      </c>
      <c r="AI1644" s="3">
        <v>6</v>
      </c>
      <c r="AJ1644" s="3">
        <v>2</v>
      </c>
      <c r="AK1644" s="3">
        <v>2</v>
      </c>
      <c r="AL1644" s="3">
        <v>7</v>
      </c>
      <c r="AM1644" s="3">
        <v>7</v>
      </c>
      <c r="AN1644" s="3">
        <v>1</v>
      </c>
      <c r="AO1644" s="3">
        <v>1</v>
      </c>
      <c r="AP1644" s="3">
        <v>0</v>
      </c>
      <c r="AQ1644" s="3">
        <v>0</v>
      </c>
      <c r="AR1644" s="2" t="s">
        <v>5</v>
      </c>
      <c r="AS1644" s="2" t="s">
        <v>16</v>
      </c>
      <c r="AT1644" s="5" t="str">
        <f>HYPERLINK("http://catalog.hathitrust.org/Record/000321920","HathiTrust Record")</f>
        <v>HathiTrust Record</v>
      </c>
      <c r="AU1644" s="5" t="str">
        <f>HYPERLINK("https://creighton-primo.hosted.exlibrisgroup.com/primo-explore/search?tab=default_tab&amp;search_scope=EVERYTHING&amp;vid=01CRU&amp;lang=en_US&amp;offset=0&amp;query=any,contains,991000922199702656","Catalog Record")</f>
        <v>Catalog Record</v>
      </c>
      <c r="AV1644" s="5" t="str">
        <f>HYPERLINK("http://www.worldcat.org/oclc/9197139","WorldCat Record")</f>
        <v>WorldCat Record</v>
      </c>
      <c r="AW1644" s="2" t="s">
        <v>19556</v>
      </c>
      <c r="AX1644" s="2" t="s">
        <v>19557</v>
      </c>
      <c r="AY1644" s="2" t="s">
        <v>19558</v>
      </c>
      <c r="AZ1644" s="2" t="s">
        <v>19558</v>
      </c>
      <c r="BA1644" s="2" t="s">
        <v>19559</v>
      </c>
      <c r="BB1644" s="2" t="s">
        <v>21</v>
      </c>
      <c r="BD1644" s="2" t="s">
        <v>19560</v>
      </c>
      <c r="BE1644" s="2" t="s">
        <v>19561</v>
      </c>
      <c r="BF1644" s="2" t="s">
        <v>19562</v>
      </c>
    </row>
    <row r="1645" spans="1:58" ht="41.25" customHeight="1" x14ac:dyDescent="0.25">
      <c r="A1645" s="8" t="s">
        <v>5</v>
      </c>
      <c r="B1645" s="1" t="s">
        <v>0</v>
      </c>
      <c r="C1645" s="1" t="s">
        <v>1</v>
      </c>
      <c r="D1645" s="1" t="s">
        <v>19563</v>
      </c>
      <c r="E1645" s="1" t="s">
        <v>19564</v>
      </c>
      <c r="F1645" s="1" t="s">
        <v>19565</v>
      </c>
      <c r="H1645" s="2" t="s">
        <v>5</v>
      </c>
      <c r="I1645" s="2" t="s">
        <v>6</v>
      </c>
      <c r="J1645" s="2" t="s">
        <v>5</v>
      </c>
      <c r="K1645" s="2" t="s">
        <v>5</v>
      </c>
      <c r="L1645" s="2" t="s">
        <v>7</v>
      </c>
      <c r="M1645" s="1" t="s">
        <v>19566</v>
      </c>
      <c r="N1645" s="1" t="s">
        <v>19567</v>
      </c>
      <c r="O1645" s="2" t="s">
        <v>734</v>
      </c>
      <c r="P1645" s="1" t="s">
        <v>1208</v>
      </c>
      <c r="Q1645" s="2" t="s">
        <v>11</v>
      </c>
      <c r="R1645" s="2" t="s">
        <v>426</v>
      </c>
      <c r="T1645" s="2" t="s">
        <v>520</v>
      </c>
      <c r="U1645" s="3">
        <v>1</v>
      </c>
      <c r="V1645" s="3">
        <v>1</v>
      </c>
      <c r="W1645" s="4" t="s">
        <v>2336</v>
      </c>
      <c r="X1645" s="4" t="s">
        <v>2336</v>
      </c>
      <c r="Y1645" s="4" t="s">
        <v>7429</v>
      </c>
      <c r="Z1645" s="4" t="s">
        <v>7429</v>
      </c>
      <c r="AA1645" s="3">
        <v>97</v>
      </c>
      <c r="AB1645" s="3">
        <v>70</v>
      </c>
      <c r="AC1645" s="3">
        <v>173</v>
      </c>
      <c r="AD1645" s="3">
        <v>1</v>
      </c>
      <c r="AE1645" s="3">
        <v>2</v>
      </c>
      <c r="AF1645" s="3">
        <v>1</v>
      </c>
      <c r="AG1645" s="3">
        <v>2</v>
      </c>
      <c r="AH1645" s="3">
        <v>0</v>
      </c>
      <c r="AI1645" s="3">
        <v>0</v>
      </c>
      <c r="AJ1645" s="3">
        <v>0</v>
      </c>
      <c r="AK1645" s="3">
        <v>0</v>
      </c>
      <c r="AL1645" s="3">
        <v>1</v>
      </c>
      <c r="AM1645" s="3">
        <v>1</v>
      </c>
      <c r="AN1645" s="3">
        <v>0</v>
      </c>
      <c r="AO1645" s="3">
        <v>1</v>
      </c>
      <c r="AP1645" s="3">
        <v>0</v>
      </c>
      <c r="AQ1645" s="3">
        <v>0</v>
      </c>
      <c r="AR1645" s="2" t="s">
        <v>5</v>
      </c>
      <c r="AS1645" s="2" t="s">
        <v>16</v>
      </c>
      <c r="AT1645" s="5" t="str">
        <f>HYPERLINK("http://catalog.hathitrust.org/Record/000318934","HathiTrust Record")</f>
        <v>HathiTrust Record</v>
      </c>
      <c r="AU1645" s="5" t="str">
        <f>HYPERLINK("https://creighton-primo.hosted.exlibrisgroup.com/primo-explore/search?tab=default_tab&amp;search_scope=EVERYTHING&amp;vid=01CRU&amp;lang=en_US&amp;offset=0&amp;query=any,contains,991000922269702656","Catalog Record")</f>
        <v>Catalog Record</v>
      </c>
      <c r="AV1645" s="5" t="str">
        <f>HYPERLINK("http://www.worldcat.org/oclc/8221732","WorldCat Record")</f>
        <v>WorldCat Record</v>
      </c>
      <c r="AW1645" s="2" t="s">
        <v>19568</v>
      </c>
      <c r="AX1645" s="2" t="s">
        <v>19569</v>
      </c>
      <c r="AY1645" s="2" t="s">
        <v>19570</v>
      </c>
      <c r="AZ1645" s="2" t="s">
        <v>19570</v>
      </c>
      <c r="BA1645" s="2" t="s">
        <v>19571</v>
      </c>
      <c r="BB1645" s="2" t="s">
        <v>21</v>
      </c>
      <c r="BD1645" s="2" t="s">
        <v>19572</v>
      </c>
      <c r="BE1645" s="2" t="s">
        <v>19573</v>
      </c>
      <c r="BF1645" s="2" t="s">
        <v>19574</v>
      </c>
    </row>
    <row r="1646" spans="1:58" ht="41.25" customHeight="1" x14ac:dyDescent="0.25">
      <c r="A1646" s="8" t="s">
        <v>5</v>
      </c>
      <c r="B1646" s="1" t="s">
        <v>0</v>
      </c>
      <c r="C1646" s="1" t="s">
        <v>1</v>
      </c>
      <c r="D1646" s="1" t="s">
        <v>19575</v>
      </c>
      <c r="E1646" s="1" t="s">
        <v>19576</v>
      </c>
      <c r="F1646" s="1" t="s">
        <v>19577</v>
      </c>
      <c r="H1646" s="2" t="s">
        <v>5</v>
      </c>
      <c r="I1646" s="2" t="s">
        <v>6</v>
      </c>
      <c r="J1646" s="2" t="s">
        <v>5</v>
      </c>
      <c r="K1646" s="2" t="s">
        <v>5</v>
      </c>
      <c r="L1646" s="2" t="s">
        <v>7</v>
      </c>
      <c r="M1646" s="1" t="s">
        <v>19578</v>
      </c>
      <c r="N1646" s="1" t="s">
        <v>19579</v>
      </c>
      <c r="O1646" s="2" t="s">
        <v>285</v>
      </c>
      <c r="P1646" s="1" t="s">
        <v>19580</v>
      </c>
      <c r="Q1646" s="2" t="s">
        <v>11</v>
      </c>
      <c r="R1646" s="2" t="s">
        <v>12</v>
      </c>
      <c r="T1646" s="2" t="s">
        <v>520</v>
      </c>
      <c r="U1646" s="3">
        <v>2</v>
      </c>
      <c r="V1646" s="3">
        <v>2</v>
      </c>
      <c r="W1646" s="4" t="s">
        <v>7669</v>
      </c>
      <c r="X1646" s="4" t="s">
        <v>7669</v>
      </c>
      <c r="Y1646" s="4" t="s">
        <v>18800</v>
      </c>
      <c r="Z1646" s="4" t="s">
        <v>18800</v>
      </c>
      <c r="AA1646" s="3">
        <v>217</v>
      </c>
      <c r="AB1646" s="3">
        <v>183</v>
      </c>
      <c r="AC1646" s="3">
        <v>185</v>
      </c>
      <c r="AD1646" s="3">
        <v>2</v>
      </c>
      <c r="AE1646" s="3">
        <v>2</v>
      </c>
      <c r="AF1646" s="3">
        <v>6</v>
      </c>
      <c r="AG1646" s="3">
        <v>6</v>
      </c>
      <c r="AH1646" s="3">
        <v>1</v>
      </c>
      <c r="AI1646" s="3">
        <v>1</v>
      </c>
      <c r="AJ1646" s="3">
        <v>1</v>
      </c>
      <c r="AK1646" s="3">
        <v>1</v>
      </c>
      <c r="AL1646" s="3">
        <v>3</v>
      </c>
      <c r="AM1646" s="3">
        <v>3</v>
      </c>
      <c r="AN1646" s="3">
        <v>1</v>
      </c>
      <c r="AO1646" s="3">
        <v>1</v>
      </c>
      <c r="AP1646" s="3">
        <v>0</v>
      </c>
      <c r="AQ1646" s="3">
        <v>0</v>
      </c>
      <c r="AR1646" s="2" t="s">
        <v>5</v>
      </c>
      <c r="AS1646" s="2" t="s">
        <v>16</v>
      </c>
      <c r="AT1646" s="5" t="str">
        <f>HYPERLINK("http://catalog.hathitrust.org/Record/000173973","HathiTrust Record")</f>
        <v>HathiTrust Record</v>
      </c>
      <c r="AU1646" s="5" t="str">
        <f>HYPERLINK("https://creighton-primo.hosted.exlibrisgroup.com/primo-explore/search?tab=default_tab&amp;search_scope=EVERYTHING&amp;vid=01CRU&amp;lang=en_US&amp;offset=0&amp;query=any,contains,991000732439702656","Catalog Record")</f>
        <v>Catalog Record</v>
      </c>
      <c r="AV1646" s="5" t="str">
        <f>HYPERLINK("http://www.worldcat.org/oclc/3912698","WorldCat Record")</f>
        <v>WorldCat Record</v>
      </c>
      <c r="AW1646" s="2" t="s">
        <v>19581</v>
      </c>
      <c r="AX1646" s="2" t="s">
        <v>19582</v>
      </c>
      <c r="AY1646" s="2" t="s">
        <v>19583</v>
      </c>
      <c r="AZ1646" s="2" t="s">
        <v>19583</v>
      </c>
      <c r="BA1646" s="2" t="s">
        <v>19584</v>
      </c>
      <c r="BB1646" s="2" t="s">
        <v>21</v>
      </c>
      <c r="BD1646" s="2" t="s">
        <v>19585</v>
      </c>
      <c r="BE1646" s="2" t="s">
        <v>19586</v>
      </c>
      <c r="BF1646" s="2" t="s">
        <v>19587</v>
      </c>
    </row>
    <row r="1647" spans="1:58" ht="41.25" customHeight="1" x14ac:dyDescent="0.25">
      <c r="A1647" s="8" t="s">
        <v>5</v>
      </c>
      <c r="B1647" s="1" t="s">
        <v>0</v>
      </c>
      <c r="C1647" s="1" t="s">
        <v>1</v>
      </c>
      <c r="D1647" s="1" t="s">
        <v>19588</v>
      </c>
      <c r="E1647" s="1" t="s">
        <v>19589</v>
      </c>
      <c r="F1647" s="1" t="s">
        <v>19590</v>
      </c>
      <c r="H1647" s="2" t="s">
        <v>5</v>
      </c>
      <c r="I1647" s="2" t="s">
        <v>6</v>
      </c>
      <c r="J1647" s="2" t="s">
        <v>5</v>
      </c>
      <c r="K1647" s="2" t="s">
        <v>5</v>
      </c>
      <c r="L1647" s="2" t="s">
        <v>7</v>
      </c>
      <c r="M1647" s="1" t="s">
        <v>19591</v>
      </c>
      <c r="N1647" s="1" t="s">
        <v>19592</v>
      </c>
      <c r="O1647" s="2" t="s">
        <v>1378</v>
      </c>
      <c r="Q1647" s="2" t="s">
        <v>11</v>
      </c>
      <c r="R1647" s="2" t="s">
        <v>78</v>
      </c>
      <c r="T1647" s="2" t="s">
        <v>520</v>
      </c>
      <c r="U1647" s="3">
        <v>3</v>
      </c>
      <c r="V1647" s="3">
        <v>3</v>
      </c>
      <c r="W1647" s="4" t="s">
        <v>79</v>
      </c>
      <c r="X1647" s="4" t="s">
        <v>79</v>
      </c>
      <c r="Y1647" s="4" t="s">
        <v>79</v>
      </c>
      <c r="Z1647" s="4" t="s">
        <v>79</v>
      </c>
      <c r="AA1647" s="3">
        <v>256</v>
      </c>
      <c r="AB1647" s="3">
        <v>199</v>
      </c>
      <c r="AC1647" s="3">
        <v>307</v>
      </c>
      <c r="AD1647" s="3">
        <v>1</v>
      </c>
      <c r="AE1647" s="3">
        <v>2</v>
      </c>
      <c r="AF1647" s="3">
        <v>4</v>
      </c>
      <c r="AG1647" s="3">
        <v>7</v>
      </c>
      <c r="AH1647" s="3">
        <v>2</v>
      </c>
      <c r="AI1647" s="3">
        <v>2</v>
      </c>
      <c r="AJ1647" s="3">
        <v>0</v>
      </c>
      <c r="AK1647" s="3">
        <v>2</v>
      </c>
      <c r="AL1647" s="3">
        <v>3</v>
      </c>
      <c r="AM1647" s="3">
        <v>4</v>
      </c>
      <c r="AN1647" s="3">
        <v>0</v>
      </c>
      <c r="AO1647" s="3">
        <v>1</v>
      </c>
      <c r="AP1647" s="3">
        <v>0</v>
      </c>
      <c r="AQ1647" s="3">
        <v>0</v>
      </c>
      <c r="AR1647" s="2" t="s">
        <v>5</v>
      </c>
      <c r="AS1647" s="2" t="s">
        <v>5</v>
      </c>
      <c r="AU1647" s="5" t="str">
        <f>HYPERLINK("https://creighton-primo.hosted.exlibrisgroup.com/primo-explore/search?tab=default_tab&amp;search_scope=EVERYTHING&amp;vid=01CRU&amp;lang=en_US&amp;offset=0&amp;query=any,contains,991000597899702656","Catalog Record")</f>
        <v>Catalog Record</v>
      </c>
      <c r="AV1647" s="5" t="str">
        <f>HYPERLINK("http://www.worldcat.org/oclc/36597762","WorldCat Record")</f>
        <v>WorldCat Record</v>
      </c>
      <c r="AW1647" s="2" t="s">
        <v>19593</v>
      </c>
      <c r="AX1647" s="2" t="s">
        <v>19594</v>
      </c>
      <c r="AY1647" s="2" t="s">
        <v>19595</v>
      </c>
      <c r="AZ1647" s="2" t="s">
        <v>19595</v>
      </c>
      <c r="BA1647" s="2" t="s">
        <v>19596</v>
      </c>
      <c r="BB1647" s="2" t="s">
        <v>21</v>
      </c>
      <c r="BD1647" s="2" t="s">
        <v>19597</v>
      </c>
      <c r="BE1647" s="2" t="s">
        <v>19598</v>
      </c>
      <c r="BF1647" s="2" t="s">
        <v>19599</v>
      </c>
    </row>
    <row r="1648" spans="1:58" ht="41.25" customHeight="1" x14ac:dyDescent="0.25">
      <c r="A1648" s="8" t="s">
        <v>5</v>
      </c>
      <c r="B1648" s="1" t="s">
        <v>0</v>
      </c>
      <c r="C1648" s="1" t="s">
        <v>1</v>
      </c>
      <c r="D1648" s="1" t="s">
        <v>19600</v>
      </c>
      <c r="E1648" s="1" t="s">
        <v>19601</v>
      </c>
      <c r="F1648" s="1" t="s">
        <v>19602</v>
      </c>
      <c r="H1648" s="2" t="s">
        <v>5</v>
      </c>
      <c r="I1648" s="2" t="s">
        <v>6</v>
      </c>
      <c r="J1648" s="2" t="s">
        <v>5</v>
      </c>
      <c r="K1648" s="2" t="s">
        <v>5</v>
      </c>
      <c r="L1648" s="2" t="s">
        <v>7</v>
      </c>
      <c r="M1648" s="1" t="s">
        <v>19603</v>
      </c>
      <c r="N1648" s="1" t="s">
        <v>15998</v>
      </c>
      <c r="O1648" s="2" t="s">
        <v>734</v>
      </c>
      <c r="Q1648" s="2" t="s">
        <v>11</v>
      </c>
      <c r="R1648" s="2" t="s">
        <v>426</v>
      </c>
      <c r="T1648" s="2" t="s">
        <v>520</v>
      </c>
      <c r="U1648" s="3">
        <v>2</v>
      </c>
      <c r="V1648" s="3">
        <v>2</v>
      </c>
      <c r="W1648" s="4" t="s">
        <v>12634</v>
      </c>
      <c r="X1648" s="4" t="s">
        <v>12634</v>
      </c>
      <c r="Y1648" s="4" t="s">
        <v>18753</v>
      </c>
      <c r="Z1648" s="4" t="s">
        <v>18753</v>
      </c>
      <c r="AA1648" s="3">
        <v>16</v>
      </c>
      <c r="AB1648" s="3">
        <v>16</v>
      </c>
      <c r="AC1648" s="3">
        <v>97</v>
      </c>
      <c r="AD1648" s="3">
        <v>1</v>
      </c>
      <c r="AE1648" s="3">
        <v>1</v>
      </c>
      <c r="AF1648" s="3">
        <v>0</v>
      </c>
      <c r="AG1648" s="3">
        <v>1</v>
      </c>
      <c r="AH1648" s="3">
        <v>0</v>
      </c>
      <c r="AI1648" s="3">
        <v>1</v>
      </c>
      <c r="AJ1648" s="3">
        <v>0</v>
      </c>
      <c r="AK1648" s="3">
        <v>0</v>
      </c>
      <c r="AL1648" s="3">
        <v>0</v>
      </c>
      <c r="AM1648" s="3">
        <v>0</v>
      </c>
      <c r="AN1648" s="3">
        <v>0</v>
      </c>
      <c r="AO1648" s="3">
        <v>0</v>
      </c>
      <c r="AP1648" s="3">
        <v>0</v>
      </c>
      <c r="AQ1648" s="3">
        <v>0</v>
      </c>
      <c r="AR1648" s="2" t="s">
        <v>5</v>
      </c>
      <c r="AS1648" s="2" t="s">
        <v>5</v>
      </c>
      <c r="AU1648" s="5" t="str">
        <f>HYPERLINK("https://creighton-primo.hosted.exlibrisgroup.com/primo-explore/search?tab=default_tab&amp;search_scope=EVERYTHING&amp;vid=01CRU&amp;lang=en_US&amp;offset=0&amp;query=any,contains,991000922519702656","Catalog Record")</f>
        <v>Catalog Record</v>
      </c>
      <c r="AV1648" s="5" t="str">
        <f>HYPERLINK("http://www.worldcat.org/oclc/8051304","WorldCat Record")</f>
        <v>WorldCat Record</v>
      </c>
      <c r="AW1648" s="2" t="s">
        <v>19604</v>
      </c>
      <c r="AX1648" s="2" t="s">
        <v>19605</v>
      </c>
      <c r="AY1648" s="2" t="s">
        <v>19606</v>
      </c>
      <c r="AZ1648" s="2" t="s">
        <v>19606</v>
      </c>
      <c r="BA1648" s="2" t="s">
        <v>19607</v>
      </c>
      <c r="BB1648" s="2" t="s">
        <v>21</v>
      </c>
      <c r="BD1648" s="2" t="s">
        <v>19608</v>
      </c>
      <c r="BE1648" s="2" t="s">
        <v>19609</v>
      </c>
      <c r="BF1648" s="2" t="s">
        <v>19610</v>
      </c>
    </row>
    <row r="1649" spans="1:58" ht="41.25" customHeight="1" x14ac:dyDescent="0.25">
      <c r="A1649" s="8" t="s">
        <v>5</v>
      </c>
      <c r="B1649" s="1" t="s">
        <v>0</v>
      </c>
      <c r="C1649" s="1" t="s">
        <v>1</v>
      </c>
      <c r="D1649" s="1" t="s">
        <v>19611</v>
      </c>
      <c r="E1649" s="1" t="s">
        <v>19612</v>
      </c>
      <c r="F1649" s="1" t="s">
        <v>19613</v>
      </c>
      <c r="H1649" s="2" t="s">
        <v>5</v>
      </c>
      <c r="I1649" s="2" t="s">
        <v>6</v>
      </c>
      <c r="J1649" s="2" t="s">
        <v>5</v>
      </c>
      <c r="K1649" s="2" t="s">
        <v>5</v>
      </c>
      <c r="L1649" s="2" t="s">
        <v>7</v>
      </c>
      <c r="M1649" s="1" t="s">
        <v>19614</v>
      </c>
      <c r="N1649" s="1" t="s">
        <v>10544</v>
      </c>
      <c r="O1649" s="2" t="s">
        <v>1378</v>
      </c>
      <c r="Q1649" s="2" t="s">
        <v>11</v>
      </c>
      <c r="R1649" s="2" t="s">
        <v>78</v>
      </c>
      <c r="T1649" s="2" t="s">
        <v>520</v>
      </c>
      <c r="U1649" s="3">
        <v>3</v>
      </c>
      <c r="V1649" s="3">
        <v>3</v>
      </c>
      <c r="W1649" s="4" t="s">
        <v>19615</v>
      </c>
      <c r="X1649" s="4" t="s">
        <v>19615</v>
      </c>
      <c r="Y1649" s="4" t="s">
        <v>5219</v>
      </c>
      <c r="Z1649" s="4" t="s">
        <v>5219</v>
      </c>
      <c r="AA1649" s="3">
        <v>148</v>
      </c>
      <c r="AB1649" s="3">
        <v>120</v>
      </c>
      <c r="AC1649" s="3">
        <v>120</v>
      </c>
      <c r="AD1649" s="3">
        <v>1</v>
      </c>
      <c r="AE1649" s="3">
        <v>1</v>
      </c>
      <c r="AF1649" s="3">
        <v>3</v>
      </c>
      <c r="AG1649" s="3">
        <v>3</v>
      </c>
      <c r="AH1649" s="3">
        <v>2</v>
      </c>
      <c r="AI1649" s="3">
        <v>2</v>
      </c>
      <c r="AJ1649" s="3">
        <v>0</v>
      </c>
      <c r="AK1649" s="3">
        <v>0</v>
      </c>
      <c r="AL1649" s="3">
        <v>2</v>
      </c>
      <c r="AM1649" s="3">
        <v>2</v>
      </c>
      <c r="AN1649" s="3">
        <v>0</v>
      </c>
      <c r="AO1649" s="3">
        <v>0</v>
      </c>
      <c r="AP1649" s="3">
        <v>0</v>
      </c>
      <c r="AQ1649" s="3">
        <v>0</v>
      </c>
      <c r="AR1649" s="2" t="s">
        <v>5</v>
      </c>
      <c r="AS1649" s="2" t="s">
        <v>5</v>
      </c>
      <c r="AU1649" s="5" t="str">
        <f>HYPERLINK("https://creighton-primo.hosted.exlibrisgroup.com/primo-explore/search?tab=default_tab&amp;search_scope=EVERYTHING&amp;vid=01CRU&amp;lang=en_US&amp;offset=0&amp;query=any,contains,991000784009702656","Catalog Record")</f>
        <v>Catalog Record</v>
      </c>
      <c r="AV1649" s="5" t="str">
        <f>HYPERLINK("http://www.worldcat.org/oclc/37116427","WorldCat Record")</f>
        <v>WorldCat Record</v>
      </c>
      <c r="AW1649" s="2" t="s">
        <v>19616</v>
      </c>
      <c r="AX1649" s="2" t="s">
        <v>19617</v>
      </c>
      <c r="AY1649" s="2" t="s">
        <v>19618</v>
      </c>
      <c r="AZ1649" s="2" t="s">
        <v>19618</v>
      </c>
      <c r="BA1649" s="2" t="s">
        <v>19619</v>
      </c>
      <c r="BB1649" s="2" t="s">
        <v>21</v>
      </c>
      <c r="BD1649" s="2" t="s">
        <v>19620</v>
      </c>
      <c r="BE1649" s="2" t="s">
        <v>19621</v>
      </c>
      <c r="BF1649" s="2" t="s">
        <v>19622</v>
      </c>
    </row>
    <row r="1650" spans="1:58" ht="41.25" customHeight="1" x14ac:dyDescent="0.25">
      <c r="A1650" s="8" t="s">
        <v>5</v>
      </c>
      <c r="B1650" s="1" t="s">
        <v>0</v>
      </c>
      <c r="C1650" s="1" t="s">
        <v>1</v>
      </c>
      <c r="D1650" s="1" t="s">
        <v>19623</v>
      </c>
      <c r="E1650" s="1" t="s">
        <v>19624</v>
      </c>
      <c r="F1650" s="1" t="s">
        <v>19625</v>
      </c>
      <c r="H1650" s="2" t="s">
        <v>5</v>
      </c>
      <c r="I1650" s="2" t="s">
        <v>6</v>
      </c>
      <c r="J1650" s="2" t="s">
        <v>5</v>
      </c>
      <c r="K1650" s="2" t="s">
        <v>5</v>
      </c>
      <c r="L1650" s="2" t="s">
        <v>7</v>
      </c>
      <c r="N1650" s="1" t="s">
        <v>5929</v>
      </c>
      <c r="O1650" s="2" t="s">
        <v>393</v>
      </c>
      <c r="Q1650" s="2" t="s">
        <v>11</v>
      </c>
      <c r="R1650" s="2" t="s">
        <v>426</v>
      </c>
      <c r="T1650" s="2" t="s">
        <v>520</v>
      </c>
      <c r="U1650" s="3">
        <v>6</v>
      </c>
      <c r="V1650" s="3">
        <v>6</v>
      </c>
      <c r="W1650" s="4" t="s">
        <v>4784</v>
      </c>
      <c r="X1650" s="4" t="s">
        <v>4784</v>
      </c>
      <c r="Y1650" s="4" t="s">
        <v>18753</v>
      </c>
      <c r="Z1650" s="4" t="s">
        <v>18753</v>
      </c>
      <c r="AA1650" s="3">
        <v>234</v>
      </c>
      <c r="AB1650" s="3">
        <v>180</v>
      </c>
      <c r="AC1650" s="3">
        <v>187</v>
      </c>
      <c r="AD1650" s="3">
        <v>2</v>
      </c>
      <c r="AE1650" s="3">
        <v>2</v>
      </c>
      <c r="AF1650" s="3">
        <v>3</v>
      </c>
      <c r="AG1650" s="3">
        <v>3</v>
      </c>
      <c r="AH1650" s="3">
        <v>2</v>
      </c>
      <c r="AI1650" s="3">
        <v>2</v>
      </c>
      <c r="AJ1650" s="3">
        <v>0</v>
      </c>
      <c r="AK1650" s="3">
        <v>0</v>
      </c>
      <c r="AL1650" s="3">
        <v>2</v>
      </c>
      <c r="AM1650" s="3">
        <v>2</v>
      </c>
      <c r="AN1650" s="3">
        <v>0</v>
      </c>
      <c r="AO1650" s="3">
        <v>0</v>
      </c>
      <c r="AP1650" s="3">
        <v>0</v>
      </c>
      <c r="AQ1650" s="3">
        <v>0</v>
      </c>
      <c r="AR1650" s="2" t="s">
        <v>5</v>
      </c>
      <c r="AS1650" s="2" t="s">
        <v>16</v>
      </c>
      <c r="AT1650" s="5" t="str">
        <f>HYPERLINK("http://catalog.hathitrust.org/Record/000582914","HathiTrust Record")</f>
        <v>HathiTrust Record</v>
      </c>
      <c r="AU1650" s="5" t="str">
        <f>HYPERLINK("https://creighton-primo.hosted.exlibrisgroup.com/primo-explore/search?tab=default_tab&amp;search_scope=EVERYTHING&amp;vid=01CRU&amp;lang=en_US&amp;offset=0&amp;query=any,contains,991000922669702656","Catalog Record")</f>
        <v>Catalog Record</v>
      </c>
      <c r="AV1650" s="5" t="str">
        <f>HYPERLINK("http://www.worldcat.org/oclc/6251811","WorldCat Record")</f>
        <v>WorldCat Record</v>
      </c>
      <c r="AW1650" s="2" t="s">
        <v>19626</v>
      </c>
      <c r="AX1650" s="2" t="s">
        <v>19627</v>
      </c>
      <c r="AY1650" s="2" t="s">
        <v>19628</v>
      </c>
      <c r="AZ1650" s="2" t="s">
        <v>19628</v>
      </c>
      <c r="BA1650" s="2" t="s">
        <v>19629</v>
      </c>
      <c r="BB1650" s="2" t="s">
        <v>21</v>
      </c>
      <c r="BD1650" s="2" t="s">
        <v>19630</v>
      </c>
      <c r="BE1650" s="2" t="s">
        <v>19631</v>
      </c>
      <c r="BF1650" s="2" t="s">
        <v>19632</v>
      </c>
    </row>
    <row r="1651" spans="1:58" ht="41.25" customHeight="1" x14ac:dyDescent="0.25">
      <c r="A1651" s="8" t="s">
        <v>5</v>
      </c>
      <c r="B1651" s="1" t="s">
        <v>0</v>
      </c>
      <c r="C1651" s="1" t="s">
        <v>1</v>
      </c>
      <c r="D1651" s="1" t="s">
        <v>19633</v>
      </c>
      <c r="E1651" s="1" t="s">
        <v>19634</v>
      </c>
      <c r="F1651" s="1" t="s">
        <v>19635</v>
      </c>
      <c r="H1651" s="2" t="s">
        <v>5</v>
      </c>
      <c r="I1651" s="2" t="s">
        <v>6</v>
      </c>
      <c r="J1651" s="2" t="s">
        <v>5</v>
      </c>
      <c r="K1651" s="2" t="s">
        <v>5</v>
      </c>
      <c r="L1651" s="2" t="s">
        <v>7</v>
      </c>
      <c r="N1651" s="1" t="s">
        <v>19636</v>
      </c>
      <c r="O1651" s="2" t="s">
        <v>151</v>
      </c>
      <c r="Q1651" s="2" t="s">
        <v>11</v>
      </c>
      <c r="R1651" s="2" t="s">
        <v>575</v>
      </c>
      <c r="S1651" s="1" t="s">
        <v>19637</v>
      </c>
      <c r="T1651" s="2" t="s">
        <v>520</v>
      </c>
      <c r="U1651" s="3">
        <v>9</v>
      </c>
      <c r="V1651" s="3">
        <v>9</v>
      </c>
      <c r="W1651" s="4" t="s">
        <v>19638</v>
      </c>
      <c r="X1651" s="4" t="s">
        <v>19638</v>
      </c>
      <c r="Y1651" s="4" t="s">
        <v>18753</v>
      </c>
      <c r="Z1651" s="4" t="s">
        <v>18753</v>
      </c>
      <c r="AA1651" s="3">
        <v>22</v>
      </c>
      <c r="AB1651" s="3">
        <v>22</v>
      </c>
      <c r="AC1651" s="3">
        <v>27</v>
      </c>
      <c r="AD1651" s="3">
        <v>1</v>
      </c>
      <c r="AE1651" s="3">
        <v>1</v>
      </c>
      <c r="AF1651" s="3">
        <v>1</v>
      </c>
      <c r="AG1651" s="3">
        <v>1</v>
      </c>
      <c r="AH1651" s="3">
        <v>0</v>
      </c>
      <c r="AI1651" s="3">
        <v>0</v>
      </c>
      <c r="AJ1651" s="3">
        <v>0</v>
      </c>
      <c r="AK1651" s="3">
        <v>0</v>
      </c>
      <c r="AL1651" s="3">
        <v>1</v>
      </c>
      <c r="AM1651" s="3">
        <v>1</v>
      </c>
      <c r="AN1651" s="3">
        <v>0</v>
      </c>
      <c r="AO1651" s="3">
        <v>0</v>
      </c>
      <c r="AP1651" s="3">
        <v>0</v>
      </c>
      <c r="AQ1651" s="3">
        <v>0</v>
      </c>
      <c r="AR1651" s="2" t="s">
        <v>16</v>
      </c>
      <c r="AS1651" s="2" t="s">
        <v>5</v>
      </c>
      <c r="AT1651" s="5" t="str">
        <f>HYPERLINK("http://catalog.hathitrust.org/Record/102058885","HathiTrust Record")</f>
        <v>HathiTrust Record</v>
      </c>
      <c r="AU1651" s="5" t="str">
        <f>HYPERLINK("https://creighton-primo.hosted.exlibrisgroup.com/primo-explore/search?tab=default_tab&amp;search_scope=EVERYTHING&amp;vid=01CRU&amp;lang=en_US&amp;offset=0&amp;query=any,contains,991000922579702656","Catalog Record")</f>
        <v>Catalog Record</v>
      </c>
      <c r="AV1651" s="5" t="str">
        <f>HYPERLINK("http://www.worldcat.org/oclc/1394234","WorldCat Record")</f>
        <v>WorldCat Record</v>
      </c>
      <c r="AW1651" s="2" t="s">
        <v>19639</v>
      </c>
      <c r="AX1651" s="2" t="s">
        <v>19640</v>
      </c>
      <c r="AY1651" s="2" t="s">
        <v>19641</v>
      </c>
      <c r="AZ1651" s="2" t="s">
        <v>19641</v>
      </c>
      <c r="BA1651" s="2" t="s">
        <v>19642</v>
      </c>
      <c r="BB1651" s="2" t="s">
        <v>21</v>
      </c>
      <c r="BE1651" s="2" t="s">
        <v>19643</v>
      </c>
      <c r="BF1651" s="2" t="s">
        <v>19644</v>
      </c>
    </row>
    <row r="1652" spans="1:58" ht="41.25" customHeight="1" x14ac:dyDescent="0.25">
      <c r="A1652" s="8" t="s">
        <v>5</v>
      </c>
      <c r="B1652" s="1" t="s">
        <v>0</v>
      </c>
      <c r="C1652" s="1" t="s">
        <v>1</v>
      </c>
      <c r="D1652" s="1" t="s">
        <v>19645</v>
      </c>
      <c r="E1652" s="1" t="s">
        <v>19646</v>
      </c>
      <c r="F1652" s="1" t="s">
        <v>19647</v>
      </c>
      <c r="H1652" s="2" t="s">
        <v>5</v>
      </c>
      <c r="I1652" s="2" t="s">
        <v>6</v>
      </c>
      <c r="J1652" s="2" t="s">
        <v>5</v>
      </c>
      <c r="K1652" s="2" t="s">
        <v>5</v>
      </c>
      <c r="L1652" s="2" t="s">
        <v>7</v>
      </c>
      <c r="N1652" s="1" t="s">
        <v>1233</v>
      </c>
      <c r="O1652" s="2" t="s">
        <v>136</v>
      </c>
      <c r="Q1652" s="2" t="s">
        <v>11</v>
      </c>
      <c r="R1652" s="2" t="s">
        <v>31</v>
      </c>
      <c r="T1652" s="2" t="s">
        <v>520</v>
      </c>
      <c r="U1652" s="3">
        <v>2</v>
      </c>
      <c r="V1652" s="3">
        <v>2</v>
      </c>
      <c r="W1652" s="4" t="s">
        <v>11547</v>
      </c>
      <c r="X1652" s="4" t="s">
        <v>11547</v>
      </c>
      <c r="Y1652" s="4" t="s">
        <v>1143</v>
      </c>
      <c r="Z1652" s="4" t="s">
        <v>1143</v>
      </c>
      <c r="AA1652" s="3">
        <v>285</v>
      </c>
      <c r="AB1652" s="3">
        <v>203</v>
      </c>
      <c r="AC1652" s="3">
        <v>210</v>
      </c>
      <c r="AD1652" s="3">
        <v>1</v>
      </c>
      <c r="AE1652" s="3">
        <v>1</v>
      </c>
      <c r="AF1652" s="3">
        <v>5</v>
      </c>
      <c r="AG1652" s="3">
        <v>5</v>
      </c>
      <c r="AH1652" s="3">
        <v>1</v>
      </c>
      <c r="AI1652" s="3">
        <v>1</v>
      </c>
      <c r="AJ1652" s="3">
        <v>1</v>
      </c>
      <c r="AK1652" s="3">
        <v>1</v>
      </c>
      <c r="AL1652" s="3">
        <v>5</v>
      </c>
      <c r="AM1652" s="3">
        <v>5</v>
      </c>
      <c r="AN1652" s="3">
        <v>0</v>
      </c>
      <c r="AO1652" s="3">
        <v>0</v>
      </c>
      <c r="AP1652" s="3">
        <v>0</v>
      </c>
      <c r="AQ1652" s="3">
        <v>0</v>
      </c>
      <c r="AR1652" s="2" t="s">
        <v>5</v>
      </c>
      <c r="AS1652" s="2" t="s">
        <v>16</v>
      </c>
      <c r="AT1652" s="5" t="str">
        <f>HYPERLINK("http://catalog.hathitrust.org/Record/002526775","HathiTrust Record")</f>
        <v>HathiTrust Record</v>
      </c>
      <c r="AU1652" s="5" t="str">
        <f>HYPERLINK("https://creighton-primo.hosted.exlibrisgroup.com/primo-explore/search?tab=default_tab&amp;search_scope=EVERYTHING&amp;vid=01CRU&amp;lang=en_US&amp;offset=0&amp;query=any,contains,991001476649702656","Catalog Record")</f>
        <v>Catalog Record</v>
      </c>
      <c r="AV1652" s="5" t="str">
        <f>HYPERLINK("http://www.worldcat.org/oclc/22764254","WorldCat Record")</f>
        <v>WorldCat Record</v>
      </c>
      <c r="AW1652" s="2" t="s">
        <v>19648</v>
      </c>
      <c r="AX1652" s="2" t="s">
        <v>19649</v>
      </c>
      <c r="AY1652" s="2" t="s">
        <v>19650</v>
      </c>
      <c r="AZ1652" s="2" t="s">
        <v>19650</v>
      </c>
      <c r="BA1652" s="2" t="s">
        <v>19651</v>
      </c>
      <c r="BB1652" s="2" t="s">
        <v>21</v>
      </c>
      <c r="BD1652" s="2" t="s">
        <v>19652</v>
      </c>
      <c r="BE1652" s="2" t="s">
        <v>19653</v>
      </c>
      <c r="BF1652" s="2" t="s">
        <v>19654</v>
      </c>
    </row>
    <row r="1653" spans="1:58" ht="41.25" customHeight="1" x14ac:dyDescent="0.25">
      <c r="A1653" s="8" t="s">
        <v>5</v>
      </c>
      <c r="B1653" s="1" t="s">
        <v>0</v>
      </c>
      <c r="C1653" s="1" t="s">
        <v>1</v>
      </c>
      <c r="D1653" s="1" t="s">
        <v>19655</v>
      </c>
      <c r="E1653" s="1" t="s">
        <v>19656</v>
      </c>
      <c r="F1653" s="1" t="s">
        <v>19657</v>
      </c>
      <c r="H1653" s="2" t="s">
        <v>5</v>
      </c>
      <c r="I1653" s="2" t="s">
        <v>6</v>
      </c>
      <c r="J1653" s="2" t="s">
        <v>5</v>
      </c>
      <c r="K1653" s="2" t="s">
        <v>5</v>
      </c>
      <c r="L1653" s="2" t="s">
        <v>7</v>
      </c>
      <c r="N1653" s="1" t="s">
        <v>19658</v>
      </c>
      <c r="O1653" s="2" t="s">
        <v>10</v>
      </c>
      <c r="Q1653" s="2" t="s">
        <v>11</v>
      </c>
      <c r="R1653" s="2" t="s">
        <v>1140</v>
      </c>
      <c r="T1653" s="2" t="s">
        <v>520</v>
      </c>
      <c r="U1653" s="3">
        <v>1</v>
      </c>
      <c r="V1653" s="3">
        <v>1</v>
      </c>
      <c r="W1653" s="4" t="s">
        <v>12634</v>
      </c>
      <c r="X1653" s="4" t="s">
        <v>12634</v>
      </c>
      <c r="Y1653" s="4" t="s">
        <v>18753</v>
      </c>
      <c r="Z1653" s="4" t="s">
        <v>18753</v>
      </c>
      <c r="AA1653" s="3">
        <v>314</v>
      </c>
      <c r="AB1653" s="3">
        <v>255</v>
      </c>
      <c r="AC1653" s="3">
        <v>268</v>
      </c>
      <c r="AD1653" s="3">
        <v>5</v>
      </c>
      <c r="AE1653" s="3">
        <v>5</v>
      </c>
      <c r="AF1653" s="3">
        <v>11</v>
      </c>
      <c r="AG1653" s="3">
        <v>11</v>
      </c>
      <c r="AH1653" s="3">
        <v>2</v>
      </c>
      <c r="AI1653" s="3">
        <v>2</v>
      </c>
      <c r="AJ1653" s="3">
        <v>3</v>
      </c>
      <c r="AK1653" s="3">
        <v>3</v>
      </c>
      <c r="AL1653" s="3">
        <v>3</v>
      </c>
      <c r="AM1653" s="3">
        <v>3</v>
      </c>
      <c r="AN1653" s="3">
        <v>4</v>
      </c>
      <c r="AO1653" s="3">
        <v>4</v>
      </c>
      <c r="AP1653" s="3">
        <v>0</v>
      </c>
      <c r="AQ1653" s="3">
        <v>0</v>
      </c>
      <c r="AR1653" s="2" t="s">
        <v>5</v>
      </c>
      <c r="AS1653" s="2" t="s">
        <v>16</v>
      </c>
      <c r="AT1653" s="5" t="str">
        <f>HYPERLINK("http://catalog.hathitrust.org/Record/000732026","HathiTrust Record")</f>
        <v>HathiTrust Record</v>
      </c>
      <c r="AU1653" s="5" t="str">
        <f>HYPERLINK("https://creighton-primo.hosted.exlibrisgroup.com/primo-explore/search?tab=default_tab&amp;search_scope=EVERYTHING&amp;vid=01CRU&amp;lang=en_US&amp;offset=0&amp;query=any,contains,991000922859702656","Catalog Record")</f>
        <v>Catalog Record</v>
      </c>
      <c r="AV1653" s="5" t="str">
        <f>HYPERLINK("http://www.worldcat.org/oclc/2542581","WorldCat Record")</f>
        <v>WorldCat Record</v>
      </c>
      <c r="AW1653" s="2" t="s">
        <v>19659</v>
      </c>
      <c r="AX1653" s="2" t="s">
        <v>19660</v>
      </c>
      <c r="AY1653" s="2" t="s">
        <v>19661</v>
      </c>
      <c r="AZ1653" s="2" t="s">
        <v>19661</v>
      </c>
      <c r="BA1653" s="2" t="s">
        <v>19662</v>
      </c>
      <c r="BB1653" s="2" t="s">
        <v>21</v>
      </c>
      <c r="BD1653" s="2" t="s">
        <v>19663</v>
      </c>
      <c r="BE1653" s="2" t="s">
        <v>19664</v>
      </c>
      <c r="BF1653" s="2" t="s">
        <v>19665</v>
      </c>
    </row>
    <row r="1654" spans="1:58" ht="41.25" customHeight="1" x14ac:dyDescent="0.25">
      <c r="A1654" s="8" t="s">
        <v>5</v>
      </c>
      <c r="B1654" s="1" t="s">
        <v>0</v>
      </c>
      <c r="C1654" s="1" t="s">
        <v>1</v>
      </c>
      <c r="D1654" s="1" t="s">
        <v>19666</v>
      </c>
      <c r="E1654" s="1" t="s">
        <v>19667</v>
      </c>
      <c r="F1654" s="1" t="s">
        <v>19668</v>
      </c>
      <c r="H1654" s="2" t="s">
        <v>5</v>
      </c>
      <c r="I1654" s="2" t="s">
        <v>6</v>
      </c>
      <c r="J1654" s="2" t="s">
        <v>5</v>
      </c>
      <c r="K1654" s="2" t="s">
        <v>5</v>
      </c>
      <c r="L1654" s="2" t="s">
        <v>7</v>
      </c>
      <c r="M1654" s="1" t="s">
        <v>3354</v>
      </c>
      <c r="N1654" s="1" t="s">
        <v>19669</v>
      </c>
      <c r="O1654" s="2" t="s">
        <v>354</v>
      </c>
      <c r="Q1654" s="2" t="s">
        <v>11</v>
      </c>
      <c r="R1654" s="2" t="s">
        <v>93</v>
      </c>
      <c r="T1654" s="2" t="s">
        <v>520</v>
      </c>
      <c r="U1654" s="3">
        <v>1</v>
      </c>
      <c r="V1654" s="3">
        <v>1</v>
      </c>
      <c r="W1654" s="4" t="s">
        <v>12634</v>
      </c>
      <c r="X1654" s="4" t="s">
        <v>12634</v>
      </c>
      <c r="Y1654" s="4" t="s">
        <v>18753</v>
      </c>
      <c r="Z1654" s="4" t="s">
        <v>18753</v>
      </c>
      <c r="AA1654" s="3">
        <v>193</v>
      </c>
      <c r="AB1654" s="3">
        <v>163</v>
      </c>
      <c r="AC1654" s="3">
        <v>163</v>
      </c>
      <c r="AD1654" s="3">
        <v>2</v>
      </c>
      <c r="AE1654" s="3">
        <v>2</v>
      </c>
      <c r="AF1654" s="3">
        <v>4</v>
      </c>
      <c r="AG1654" s="3">
        <v>4</v>
      </c>
      <c r="AH1654" s="3">
        <v>1</v>
      </c>
      <c r="AI1654" s="3">
        <v>1</v>
      </c>
      <c r="AJ1654" s="3">
        <v>0</v>
      </c>
      <c r="AK1654" s="3">
        <v>0</v>
      </c>
      <c r="AL1654" s="3">
        <v>2</v>
      </c>
      <c r="AM1654" s="3">
        <v>2</v>
      </c>
      <c r="AN1654" s="3">
        <v>1</v>
      </c>
      <c r="AO1654" s="3">
        <v>1</v>
      </c>
      <c r="AP1654" s="3">
        <v>0</v>
      </c>
      <c r="AQ1654" s="3">
        <v>0</v>
      </c>
      <c r="AR1654" s="2" t="s">
        <v>5</v>
      </c>
      <c r="AS1654" s="2" t="s">
        <v>5</v>
      </c>
      <c r="AU1654" s="5" t="str">
        <f>HYPERLINK("https://creighton-primo.hosted.exlibrisgroup.com/primo-explore/search?tab=default_tab&amp;search_scope=EVERYTHING&amp;vid=01CRU&amp;lang=en_US&amp;offset=0&amp;query=any,contains,991000923069702656","Catalog Record")</f>
        <v>Catalog Record</v>
      </c>
      <c r="AV1654" s="5" t="str">
        <f>HYPERLINK("http://www.worldcat.org/oclc/5892750","WorldCat Record")</f>
        <v>WorldCat Record</v>
      </c>
      <c r="AW1654" s="2" t="s">
        <v>19670</v>
      </c>
      <c r="AX1654" s="2" t="s">
        <v>19671</v>
      </c>
      <c r="AY1654" s="2" t="s">
        <v>19672</v>
      </c>
      <c r="AZ1654" s="2" t="s">
        <v>19672</v>
      </c>
      <c r="BA1654" s="2" t="s">
        <v>19673</v>
      </c>
      <c r="BB1654" s="2" t="s">
        <v>21</v>
      </c>
      <c r="BD1654" s="2" t="s">
        <v>19674</v>
      </c>
      <c r="BE1654" s="2" t="s">
        <v>19675</v>
      </c>
      <c r="BF1654" s="2" t="s">
        <v>19676</v>
      </c>
    </row>
    <row r="1655" spans="1:58" ht="41.25" customHeight="1" x14ac:dyDescent="0.25">
      <c r="A1655" s="8" t="s">
        <v>5</v>
      </c>
      <c r="B1655" s="1" t="s">
        <v>0</v>
      </c>
      <c r="C1655" s="1" t="s">
        <v>1</v>
      </c>
      <c r="D1655" s="1" t="s">
        <v>19677</v>
      </c>
      <c r="E1655" s="1" t="s">
        <v>19678</v>
      </c>
      <c r="F1655" s="1" t="s">
        <v>19679</v>
      </c>
      <c r="H1655" s="2" t="s">
        <v>5</v>
      </c>
      <c r="I1655" s="2" t="s">
        <v>6</v>
      </c>
      <c r="J1655" s="2" t="s">
        <v>5</v>
      </c>
      <c r="K1655" s="2" t="s">
        <v>5</v>
      </c>
      <c r="L1655" s="2" t="s">
        <v>7</v>
      </c>
      <c r="M1655" s="1" t="s">
        <v>19680</v>
      </c>
      <c r="N1655" s="1" t="s">
        <v>19681</v>
      </c>
      <c r="O1655" s="2" t="s">
        <v>546</v>
      </c>
      <c r="Q1655" s="2" t="s">
        <v>11</v>
      </c>
      <c r="R1655" s="2" t="s">
        <v>1140</v>
      </c>
      <c r="S1655" s="1" t="s">
        <v>19682</v>
      </c>
      <c r="T1655" s="2" t="s">
        <v>520</v>
      </c>
      <c r="U1655" s="3">
        <v>3</v>
      </c>
      <c r="V1655" s="3">
        <v>3</v>
      </c>
      <c r="W1655" s="4" t="s">
        <v>15670</v>
      </c>
      <c r="X1655" s="4" t="s">
        <v>15670</v>
      </c>
      <c r="Y1655" s="4" t="s">
        <v>19683</v>
      </c>
      <c r="Z1655" s="4" t="s">
        <v>19683</v>
      </c>
      <c r="AA1655" s="3">
        <v>135</v>
      </c>
      <c r="AB1655" s="3">
        <v>112</v>
      </c>
      <c r="AC1655" s="3">
        <v>114</v>
      </c>
      <c r="AD1655" s="3">
        <v>1</v>
      </c>
      <c r="AE1655" s="3">
        <v>1</v>
      </c>
      <c r="AF1655" s="3">
        <v>2</v>
      </c>
      <c r="AG1655" s="3">
        <v>2</v>
      </c>
      <c r="AH1655" s="3">
        <v>1</v>
      </c>
      <c r="AI1655" s="3">
        <v>1</v>
      </c>
      <c r="AJ1655" s="3">
        <v>0</v>
      </c>
      <c r="AK1655" s="3">
        <v>0</v>
      </c>
      <c r="AL1655" s="3">
        <v>2</v>
      </c>
      <c r="AM1655" s="3">
        <v>2</v>
      </c>
      <c r="AN1655" s="3">
        <v>0</v>
      </c>
      <c r="AO1655" s="3">
        <v>0</v>
      </c>
      <c r="AP1655" s="3">
        <v>0</v>
      </c>
      <c r="AQ1655" s="3">
        <v>0</v>
      </c>
      <c r="AR1655" s="2" t="s">
        <v>5</v>
      </c>
      <c r="AS1655" s="2" t="s">
        <v>16</v>
      </c>
      <c r="AT1655" s="5" t="str">
        <f>HYPERLINK("http://catalog.hathitrust.org/Record/002753722","HathiTrust Record")</f>
        <v>HathiTrust Record</v>
      </c>
      <c r="AU1655" s="5" t="str">
        <f>HYPERLINK("https://creighton-primo.hosted.exlibrisgroup.com/primo-explore/search?tab=default_tab&amp;search_scope=EVERYTHING&amp;vid=01CRU&amp;lang=en_US&amp;offset=0&amp;query=any,contains,991001160829702656","Catalog Record")</f>
        <v>Catalog Record</v>
      </c>
      <c r="AV1655" s="5" t="str">
        <f>HYPERLINK("http://www.worldcat.org/oclc/28853801","WorldCat Record")</f>
        <v>WorldCat Record</v>
      </c>
      <c r="AW1655" s="2" t="s">
        <v>19684</v>
      </c>
      <c r="AX1655" s="2" t="s">
        <v>19685</v>
      </c>
      <c r="AY1655" s="2" t="s">
        <v>19686</v>
      </c>
      <c r="AZ1655" s="2" t="s">
        <v>19686</v>
      </c>
      <c r="BA1655" s="2" t="s">
        <v>19687</v>
      </c>
      <c r="BB1655" s="2" t="s">
        <v>21</v>
      </c>
      <c r="BD1655" s="2" t="s">
        <v>19688</v>
      </c>
      <c r="BE1655" s="2" t="s">
        <v>19689</v>
      </c>
      <c r="BF1655" s="2" t="s">
        <v>19690</v>
      </c>
    </row>
    <row r="1656" spans="1:58" ht="41.25" customHeight="1" x14ac:dyDescent="0.25">
      <c r="A1656" s="8" t="s">
        <v>5</v>
      </c>
      <c r="B1656" s="1" t="s">
        <v>0</v>
      </c>
      <c r="C1656" s="1" t="s">
        <v>1</v>
      </c>
      <c r="D1656" s="1" t="s">
        <v>19691</v>
      </c>
      <c r="E1656" s="1" t="s">
        <v>19692</v>
      </c>
      <c r="F1656" s="1" t="s">
        <v>19693</v>
      </c>
      <c r="H1656" s="2" t="s">
        <v>5</v>
      </c>
      <c r="I1656" s="2" t="s">
        <v>6</v>
      </c>
      <c r="J1656" s="2" t="s">
        <v>5</v>
      </c>
      <c r="K1656" s="2" t="s">
        <v>5</v>
      </c>
      <c r="L1656" s="2" t="s">
        <v>7</v>
      </c>
      <c r="N1656" s="1" t="s">
        <v>19694</v>
      </c>
      <c r="O1656" s="2" t="s">
        <v>285</v>
      </c>
      <c r="Q1656" s="2" t="s">
        <v>11</v>
      </c>
      <c r="R1656" s="2" t="s">
        <v>93</v>
      </c>
      <c r="T1656" s="2" t="s">
        <v>520</v>
      </c>
      <c r="U1656" s="3">
        <v>3</v>
      </c>
      <c r="V1656" s="3">
        <v>3</v>
      </c>
      <c r="W1656" s="4" t="s">
        <v>19695</v>
      </c>
      <c r="X1656" s="4" t="s">
        <v>19695</v>
      </c>
      <c r="Y1656" s="4" t="s">
        <v>18753</v>
      </c>
      <c r="Z1656" s="4" t="s">
        <v>18753</v>
      </c>
      <c r="AA1656" s="3">
        <v>230</v>
      </c>
      <c r="AB1656" s="3">
        <v>195</v>
      </c>
      <c r="AC1656" s="3">
        <v>197</v>
      </c>
      <c r="AD1656" s="3">
        <v>4</v>
      </c>
      <c r="AE1656" s="3">
        <v>4</v>
      </c>
      <c r="AF1656" s="3">
        <v>9</v>
      </c>
      <c r="AG1656" s="3">
        <v>9</v>
      </c>
      <c r="AH1656" s="3">
        <v>3</v>
      </c>
      <c r="AI1656" s="3">
        <v>3</v>
      </c>
      <c r="AJ1656" s="3">
        <v>2</v>
      </c>
      <c r="AK1656" s="3">
        <v>2</v>
      </c>
      <c r="AL1656" s="3">
        <v>4</v>
      </c>
      <c r="AM1656" s="3">
        <v>4</v>
      </c>
      <c r="AN1656" s="3">
        <v>2</v>
      </c>
      <c r="AO1656" s="3">
        <v>2</v>
      </c>
      <c r="AP1656" s="3">
        <v>0</v>
      </c>
      <c r="AQ1656" s="3">
        <v>0</v>
      </c>
      <c r="AR1656" s="2" t="s">
        <v>5</v>
      </c>
      <c r="AS1656" s="2" t="s">
        <v>16</v>
      </c>
      <c r="AT1656" s="5" t="str">
        <f>HYPERLINK("http://catalog.hathitrust.org/Record/003911459","HathiTrust Record")</f>
        <v>HathiTrust Record</v>
      </c>
      <c r="AU1656" s="5" t="str">
        <f>HYPERLINK("https://creighton-primo.hosted.exlibrisgroup.com/primo-explore/search?tab=default_tab&amp;search_scope=EVERYTHING&amp;vid=01CRU&amp;lang=en_US&amp;offset=0&amp;query=any,contains,991000923219702656","Catalog Record")</f>
        <v>Catalog Record</v>
      </c>
      <c r="AV1656" s="5" t="str">
        <f>HYPERLINK("http://www.worldcat.org/oclc/4883638","WorldCat Record")</f>
        <v>WorldCat Record</v>
      </c>
      <c r="AW1656" s="2" t="s">
        <v>19696</v>
      </c>
      <c r="AX1656" s="2" t="s">
        <v>19697</v>
      </c>
      <c r="AY1656" s="2" t="s">
        <v>19698</v>
      </c>
      <c r="AZ1656" s="2" t="s">
        <v>19698</v>
      </c>
      <c r="BA1656" s="2" t="s">
        <v>19699</v>
      </c>
      <c r="BB1656" s="2" t="s">
        <v>21</v>
      </c>
      <c r="BD1656" s="2" t="s">
        <v>19700</v>
      </c>
      <c r="BE1656" s="2" t="s">
        <v>19701</v>
      </c>
      <c r="BF1656" s="2" t="s">
        <v>19702</v>
      </c>
    </row>
    <row r="1657" spans="1:58" ht="41.25" customHeight="1" x14ac:dyDescent="0.25">
      <c r="A1657" s="8" t="s">
        <v>5</v>
      </c>
      <c r="B1657" s="1" t="s">
        <v>0</v>
      </c>
      <c r="C1657" s="1" t="s">
        <v>1</v>
      </c>
      <c r="D1657" s="1" t="s">
        <v>19703</v>
      </c>
      <c r="E1657" s="1" t="s">
        <v>19704</v>
      </c>
      <c r="F1657" s="1" t="s">
        <v>19705</v>
      </c>
      <c r="H1657" s="2" t="s">
        <v>5</v>
      </c>
      <c r="I1657" s="2" t="s">
        <v>974</v>
      </c>
      <c r="J1657" s="2" t="s">
        <v>5</v>
      </c>
      <c r="K1657" s="2" t="s">
        <v>5</v>
      </c>
      <c r="L1657" s="2" t="s">
        <v>7</v>
      </c>
      <c r="M1657" s="1" t="s">
        <v>19706</v>
      </c>
      <c r="N1657" s="1" t="s">
        <v>6129</v>
      </c>
      <c r="O1657" s="2" t="s">
        <v>1004</v>
      </c>
      <c r="Q1657" s="2" t="s">
        <v>11</v>
      </c>
      <c r="R1657" s="2" t="s">
        <v>78</v>
      </c>
      <c r="T1657" s="2" t="s">
        <v>520</v>
      </c>
      <c r="U1657" s="3">
        <v>2</v>
      </c>
      <c r="V1657" s="3">
        <v>2</v>
      </c>
      <c r="W1657" s="4" t="s">
        <v>19707</v>
      </c>
      <c r="X1657" s="4" t="s">
        <v>19707</v>
      </c>
      <c r="Y1657" s="4" t="s">
        <v>19707</v>
      </c>
      <c r="Z1657" s="4" t="s">
        <v>19707</v>
      </c>
      <c r="AA1657" s="3">
        <v>160</v>
      </c>
      <c r="AB1657" s="3">
        <v>136</v>
      </c>
      <c r="AC1657" s="3">
        <v>136</v>
      </c>
      <c r="AD1657" s="3">
        <v>1</v>
      </c>
      <c r="AE1657" s="3">
        <v>1</v>
      </c>
      <c r="AF1657" s="3">
        <v>4</v>
      </c>
      <c r="AG1657" s="3">
        <v>4</v>
      </c>
      <c r="AH1657" s="3">
        <v>1</v>
      </c>
      <c r="AI1657" s="3">
        <v>1</v>
      </c>
      <c r="AJ1657" s="3">
        <v>1</v>
      </c>
      <c r="AK1657" s="3">
        <v>1</v>
      </c>
      <c r="AL1657" s="3">
        <v>3</v>
      </c>
      <c r="AM1657" s="3">
        <v>3</v>
      </c>
      <c r="AN1657" s="3">
        <v>0</v>
      </c>
      <c r="AO1657" s="3">
        <v>0</v>
      </c>
      <c r="AP1657" s="3">
        <v>0</v>
      </c>
      <c r="AQ1657" s="3">
        <v>0</v>
      </c>
      <c r="AR1657" s="2" t="s">
        <v>5</v>
      </c>
      <c r="AS1657" s="2" t="s">
        <v>5</v>
      </c>
      <c r="AU1657" s="5" t="str">
        <f>HYPERLINK("https://creighton-primo.hosted.exlibrisgroup.com/primo-explore/search?tab=default_tab&amp;search_scope=EVERYTHING&amp;vid=01CRU&amp;lang=en_US&amp;offset=0&amp;query=any,contains,991001411569702656","Catalog Record")</f>
        <v>Catalog Record</v>
      </c>
      <c r="AV1657" s="5" t="str">
        <f>HYPERLINK("http://www.worldcat.org/oclc/38528401","WorldCat Record")</f>
        <v>WorldCat Record</v>
      </c>
      <c r="AW1657" s="2" t="s">
        <v>19708</v>
      </c>
      <c r="AX1657" s="2" t="s">
        <v>19709</v>
      </c>
      <c r="AY1657" s="2" t="s">
        <v>19710</v>
      </c>
      <c r="AZ1657" s="2" t="s">
        <v>19710</v>
      </c>
      <c r="BA1657" s="2" t="s">
        <v>19711</v>
      </c>
      <c r="BB1657" s="2" t="s">
        <v>21</v>
      </c>
      <c r="BD1657" s="2" t="s">
        <v>19712</v>
      </c>
      <c r="BE1657" s="2" t="s">
        <v>19713</v>
      </c>
      <c r="BF1657" s="2" t="s">
        <v>19714</v>
      </c>
    </row>
    <row r="1658" spans="1:58" ht="41.25" customHeight="1" x14ac:dyDescent="0.25">
      <c r="A1658" s="8" t="s">
        <v>5</v>
      </c>
      <c r="B1658" s="1" t="s">
        <v>0</v>
      </c>
      <c r="C1658" s="1" t="s">
        <v>1</v>
      </c>
      <c r="D1658" s="1" t="s">
        <v>19715</v>
      </c>
      <c r="E1658" s="1" t="s">
        <v>19716</v>
      </c>
      <c r="F1658" s="1" t="s">
        <v>19717</v>
      </c>
      <c r="H1658" s="2" t="s">
        <v>5</v>
      </c>
      <c r="I1658" s="2" t="s">
        <v>6</v>
      </c>
      <c r="J1658" s="2" t="s">
        <v>5</v>
      </c>
      <c r="K1658" s="2" t="s">
        <v>5</v>
      </c>
      <c r="L1658" s="2" t="s">
        <v>7</v>
      </c>
      <c r="M1658" s="1" t="s">
        <v>7604</v>
      </c>
      <c r="N1658" s="1" t="s">
        <v>19718</v>
      </c>
      <c r="O1658" s="2" t="s">
        <v>1378</v>
      </c>
      <c r="P1658" s="1" t="s">
        <v>19719</v>
      </c>
      <c r="Q1658" s="2" t="s">
        <v>11</v>
      </c>
      <c r="R1658" s="2" t="s">
        <v>369</v>
      </c>
      <c r="T1658" s="2" t="s">
        <v>520</v>
      </c>
      <c r="U1658" s="3">
        <v>11</v>
      </c>
      <c r="V1658" s="3">
        <v>11</v>
      </c>
      <c r="W1658" s="4" t="s">
        <v>19720</v>
      </c>
      <c r="X1658" s="4" t="s">
        <v>19720</v>
      </c>
      <c r="Y1658" s="4" t="s">
        <v>19721</v>
      </c>
      <c r="Z1658" s="4" t="s">
        <v>19721</v>
      </c>
      <c r="AA1658" s="3">
        <v>173</v>
      </c>
      <c r="AB1658" s="3">
        <v>149</v>
      </c>
      <c r="AC1658" s="3">
        <v>249</v>
      </c>
      <c r="AD1658" s="3">
        <v>1</v>
      </c>
      <c r="AE1658" s="3">
        <v>2</v>
      </c>
      <c r="AF1658" s="3">
        <v>3</v>
      </c>
      <c r="AG1658" s="3">
        <v>5</v>
      </c>
      <c r="AH1658" s="3">
        <v>2</v>
      </c>
      <c r="AI1658" s="3">
        <v>2</v>
      </c>
      <c r="AJ1658" s="3">
        <v>0</v>
      </c>
      <c r="AK1658" s="3">
        <v>1</v>
      </c>
      <c r="AL1658" s="3">
        <v>1</v>
      </c>
      <c r="AM1658" s="3">
        <v>3</v>
      </c>
      <c r="AN1658" s="3">
        <v>0</v>
      </c>
      <c r="AO1658" s="3">
        <v>0</v>
      </c>
      <c r="AP1658" s="3">
        <v>0</v>
      </c>
      <c r="AQ1658" s="3">
        <v>0</v>
      </c>
      <c r="AR1658" s="2" t="s">
        <v>5</v>
      </c>
      <c r="AS1658" s="2" t="s">
        <v>16</v>
      </c>
      <c r="AT1658" s="5" t="str">
        <f>HYPERLINK("http://catalog.hathitrust.org/Record/003975419","HathiTrust Record")</f>
        <v>HathiTrust Record</v>
      </c>
      <c r="AU1658" s="5" t="str">
        <f>HYPERLINK("https://creighton-primo.hosted.exlibrisgroup.com/primo-explore/search?tab=default_tab&amp;search_scope=EVERYTHING&amp;vid=01CRU&amp;lang=en_US&amp;offset=0&amp;query=any,contains,991001566959702656","Catalog Record")</f>
        <v>Catalog Record</v>
      </c>
      <c r="AV1658" s="5" t="str">
        <f>HYPERLINK("http://www.worldcat.org/oclc/38976539","WorldCat Record")</f>
        <v>WorldCat Record</v>
      </c>
      <c r="AW1658" s="2" t="s">
        <v>19722</v>
      </c>
      <c r="AX1658" s="2" t="s">
        <v>19723</v>
      </c>
      <c r="AY1658" s="2" t="s">
        <v>19724</v>
      </c>
      <c r="AZ1658" s="2" t="s">
        <v>19724</v>
      </c>
      <c r="BA1658" s="2" t="s">
        <v>19725</v>
      </c>
      <c r="BB1658" s="2" t="s">
        <v>21</v>
      </c>
      <c r="BD1658" s="2" t="s">
        <v>19726</v>
      </c>
      <c r="BE1658" s="2" t="s">
        <v>19727</v>
      </c>
      <c r="BF1658" s="2" t="s">
        <v>19728</v>
      </c>
    </row>
    <row r="1659" spans="1:58" ht="41.25" customHeight="1" x14ac:dyDescent="0.25">
      <c r="A1659" s="8" t="s">
        <v>5</v>
      </c>
      <c r="B1659" s="1" t="s">
        <v>0</v>
      </c>
      <c r="C1659" s="1" t="s">
        <v>1</v>
      </c>
      <c r="D1659" s="1" t="s">
        <v>19729</v>
      </c>
      <c r="E1659" s="1" t="s">
        <v>19730</v>
      </c>
      <c r="F1659" s="1" t="s">
        <v>19731</v>
      </c>
      <c r="H1659" s="2" t="s">
        <v>5</v>
      </c>
      <c r="I1659" s="2" t="s">
        <v>6</v>
      </c>
      <c r="J1659" s="2" t="s">
        <v>5</v>
      </c>
      <c r="K1659" s="2" t="s">
        <v>5</v>
      </c>
      <c r="L1659" s="2" t="s">
        <v>7</v>
      </c>
      <c r="M1659" s="1" t="s">
        <v>19732</v>
      </c>
      <c r="N1659" s="1" t="s">
        <v>19733</v>
      </c>
      <c r="O1659" s="2" t="s">
        <v>46</v>
      </c>
      <c r="P1659" s="1" t="s">
        <v>1208</v>
      </c>
      <c r="Q1659" s="2" t="s">
        <v>11</v>
      </c>
      <c r="R1659" s="2" t="s">
        <v>93</v>
      </c>
      <c r="T1659" s="2" t="s">
        <v>520</v>
      </c>
      <c r="U1659" s="3">
        <v>1</v>
      </c>
      <c r="V1659" s="3">
        <v>1</v>
      </c>
      <c r="W1659" s="4" t="s">
        <v>19734</v>
      </c>
      <c r="X1659" s="4" t="s">
        <v>19734</v>
      </c>
      <c r="Y1659" s="4" t="s">
        <v>3755</v>
      </c>
      <c r="Z1659" s="4" t="s">
        <v>3755</v>
      </c>
      <c r="AA1659" s="3">
        <v>85</v>
      </c>
      <c r="AB1659" s="3">
        <v>74</v>
      </c>
      <c r="AC1659" s="3">
        <v>173</v>
      </c>
      <c r="AD1659" s="3">
        <v>1</v>
      </c>
      <c r="AE1659" s="3">
        <v>1</v>
      </c>
      <c r="AF1659" s="3">
        <v>2</v>
      </c>
      <c r="AG1659" s="3">
        <v>3</v>
      </c>
      <c r="AH1659" s="3">
        <v>1</v>
      </c>
      <c r="AI1659" s="3">
        <v>1</v>
      </c>
      <c r="AJ1659" s="3">
        <v>0</v>
      </c>
      <c r="AK1659" s="3">
        <v>1</v>
      </c>
      <c r="AL1659" s="3">
        <v>1</v>
      </c>
      <c r="AM1659" s="3">
        <v>1</v>
      </c>
      <c r="AN1659" s="3">
        <v>0</v>
      </c>
      <c r="AO1659" s="3">
        <v>0</v>
      </c>
      <c r="AP1659" s="3">
        <v>0</v>
      </c>
      <c r="AQ1659" s="3">
        <v>0</v>
      </c>
      <c r="AR1659" s="2" t="s">
        <v>5</v>
      </c>
      <c r="AS1659" s="2" t="s">
        <v>16</v>
      </c>
      <c r="AT1659" s="5" t="str">
        <f>HYPERLINK("http://catalog.hathitrust.org/Record/001570107","HathiTrust Record")</f>
        <v>HathiTrust Record</v>
      </c>
      <c r="AU1659" s="5" t="str">
        <f>HYPERLINK("https://creighton-primo.hosted.exlibrisgroup.com/primo-explore/search?tab=default_tab&amp;search_scope=EVERYTHING&amp;vid=01CRU&amp;lang=en_US&amp;offset=0&amp;query=any,contains,991000923319702656","Catalog Record")</f>
        <v>Catalog Record</v>
      </c>
      <c r="AV1659" s="5" t="str">
        <f>HYPERLINK("http://www.worldcat.org/oclc/1599732","WorldCat Record")</f>
        <v>WorldCat Record</v>
      </c>
      <c r="AW1659" s="2" t="s">
        <v>19735</v>
      </c>
      <c r="AX1659" s="2" t="s">
        <v>19736</v>
      </c>
      <c r="AY1659" s="2" t="s">
        <v>19737</v>
      </c>
      <c r="AZ1659" s="2" t="s">
        <v>19737</v>
      </c>
      <c r="BA1659" s="2" t="s">
        <v>19738</v>
      </c>
      <c r="BB1659" s="2" t="s">
        <v>21</v>
      </c>
      <c r="BE1659" s="2" t="s">
        <v>19739</v>
      </c>
      <c r="BF1659" s="2" t="s">
        <v>19740</v>
      </c>
    </row>
    <row r="1660" spans="1:58" ht="41.25" customHeight="1" x14ac:dyDescent="0.25">
      <c r="A1660" s="8" t="s">
        <v>5</v>
      </c>
      <c r="B1660" s="1" t="s">
        <v>0</v>
      </c>
      <c r="C1660" s="1" t="s">
        <v>1</v>
      </c>
      <c r="D1660" s="1" t="s">
        <v>19741</v>
      </c>
      <c r="E1660" s="1" t="s">
        <v>19742</v>
      </c>
      <c r="F1660" s="1" t="s">
        <v>19743</v>
      </c>
      <c r="H1660" s="2" t="s">
        <v>5</v>
      </c>
      <c r="I1660" s="2" t="s">
        <v>6</v>
      </c>
      <c r="J1660" s="2" t="s">
        <v>5</v>
      </c>
      <c r="K1660" s="2" t="s">
        <v>16</v>
      </c>
      <c r="L1660" s="2" t="s">
        <v>7</v>
      </c>
      <c r="M1660" s="1" t="s">
        <v>19744</v>
      </c>
      <c r="N1660" s="1" t="s">
        <v>9221</v>
      </c>
      <c r="O1660" s="2" t="s">
        <v>1102</v>
      </c>
      <c r="P1660" s="1" t="s">
        <v>1208</v>
      </c>
      <c r="Q1660" s="2" t="s">
        <v>11</v>
      </c>
      <c r="R1660" s="2" t="s">
        <v>31</v>
      </c>
      <c r="T1660" s="2" t="s">
        <v>520</v>
      </c>
      <c r="U1660" s="3">
        <v>2</v>
      </c>
      <c r="V1660" s="3">
        <v>2</v>
      </c>
      <c r="W1660" s="4" t="s">
        <v>19745</v>
      </c>
      <c r="X1660" s="4" t="s">
        <v>19745</v>
      </c>
      <c r="Y1660" s="4" t="s">
        <v>18800</v>
      </c>
      <c r="Z1660" s="4" t="s">
        <v>18800</v>
      </c>
      <c r="AA1660" s="3">
        <v>349</v>
      </c>
      <c r="AB1660" s="3">
        <v>283</v>
      </c>
      <c r="AC1660" s="3">
        <v>509</v>
      </c>
      <c r="AD1660" s="3">
        <v>2</v>
      </c>
      <c r="AE1660" s="3">
        <v>4</v>
      </c>
      <c r="AF1660" s="3">
        <v>6</v>
      </c>
      <c r="AG1660" s="3">
        <v>13</v>
      </c>
      <c r="AH1660" s="3">
        <v>2</v>
      </c>
      <c r="AI1660" s="3">
        <v>3</v>
      </c>
      <c r="AJ1660" s="3">
        <v>1</v>
      </c>
      <c r="AK1660" s="3">
        <v>3</v>
      </c>
      <c r="AL1660" s="3">
        <v>3</v>
      </c>
      <c r="AM1660" s="3">
        <v>6</v>
      </c>
      <c r="AN1660" s="3">
        <v>0</v>
      </c>
      <c r="AO1660" s="3">
        <v>2</v>
      </c>
      <c r="AP1660" s="3">
        <v>0</v>
      </c>
      <c r="AQ1660" s="3">
        <v>1</v>
      </c>
      <c r="AR1660" s="2" t="s">
        <v>5</v>
      </c>
      <c r="AS1660" s="2" t="s">
        <v>16</v>
      </c>
      <c r="AT1660" s="5" t="str">
        <f>HYPERLINK("http://catalog.hathitrust.org/Record/000588278","HathiTrust Record")</f>
        <v>HathiTrust Record</v>
      </c>
      <c r="AU1660" s="5" t="str">
        <f>HYPERLINK("https://creighton-primo.hosted.exlibrisgroup.com/primo-explore/search?tab=default_tab&amp;search_scope=EVERYTHING&amp;vid=01CRU&amp;lang=en_US&amp;offset=0&amp;query=any,contains,991000732239702656","Catalog Record")</f>
        <v>Catalog Record</v>
      </c>
      <c r="AV1660" s="5" t="str">
        <f>HYPERLINK("http://www.worldcat.org/oclc/13214910","WorldCat Record")</f>
        <v>WorldCat Record</v>
      </c>
      <c r="AW1660" s="2" t="s">
        <v>19746</v>
      </c>
      <c r="AX1660" s="2" t="s">
        <v>19747</v>
      </c>
      <c r="AY1660" s="2" t="s">
        <v>19748</v>
      </c>
      <c r="AZ1660" s="2" t="s">
        <v>19748</v>
      </c>
      <c r="BA1660" s="2" t="s">
        <v>19749</v>
      </c>
      <c r="BB1660" s="2" t="s">
        <v>21</v>
      </c>
      <c r="BD1660" s="2" t="s">
        <v>19750</v>
      </c>
      <c r="BE1660" s="2" t="s">
        <v>19751</v>
      </c>
      <c r="BF1660" s="2" t="s">
        <v>19752</v>
      </c>
    </row>
    <row r="1661" spans="1:58" ht="41.25" customHeight="1" x14ac:dyDescent="0.25">
      <c r="A1661" s="8" t="s">
        <v>5</v>
      </c>
      <c r="B1661" s="1" t="s">
        <v>0</v>
      </c>
      <c r="C1661" s="1" t="s">
        <v>1</v>
      </c>
      <c r="D1661" s="1" t="s">
        <v>19753</v>
      </c>
      <c r="E1661" s="1" t="s">
        <v>19754</v>
      </c>
      <c r="F1661" s="1" t="s">
        <v>19755</v>
      </c>
      <c r="H1661" s="2" t="s">
        <v>5</v>
      </c>
      <c r="I1661" s="2" t="s">
        <v>6</v>
      </c>
      <c r="J1661" s="2" t="s">
        <v>5</v>
      </c>
      <c r="K1661" s="2" t="s">
        <v>5</v>
      </c>
      <c r="L1661" s="2" t="s">
        <v>7</v>
      </c>
      <c r="M1661" s="1" t="s">
        <v>19756</v>
      </c>
      <c r="N1661" s="1" t="s">
        <v>19757</v>
      </c>
      <c r="O1661" s="2" t="s">
        <v>989</v>
      </c>
      <c r="P1661" s="1" t="s">
        <v>211</v>
      </c>
      <c r="Q1661" s="2" t="s">
        <v>11</v>
      </c>
      <c r="R1661" s="2" t="s">
        <v>426</v>
      </c>
      <c r="T1661" s="2" t="s">
        <v>520</v>
      </c>
      <c r="U1661" s="3">
        <v>13</v>
      </c>
      <c r="V1661" s="3">
        <v>13</v>
      </c>
      <c r="W1661" s="4" t="s">
        <v>11973</v>
      </c>
      <c r="X1661" s="4" t="s">
        <v>11973</v>
      </c>
      <c r="Y1661" s="4" t="s">
        <v>6241</v>
      </c>
      <c r="Z1661" s="4" t="s">
        <v>6241</v>
      </c>
      <c r="AA1661" s="3">
        <v>355</v>
      </c>
      <c r="AB1661" s="3">
        <v>291</v>
      </c>
      <c r="AC1661" s="3">
        <v>398</v>
      </c>
      <c r="AD1661" s="3">
        <v>2</v>
      </c>
      <c r="AE1661" s="3">
        <v>2</v>
      </c>
      <c r="AF1661" s="3">
        <v>6</v>
      </c>
      <c r="AG1661" s="3">
        <v>7</v>
      </c>
      <c r="AH1661" s="3">
        <v>2</v>
      </c>
      <c r="AI1661" s="3">
        <v>2</v>
      </c>
      <c r="AJ1661" s="3">
        <v>2</v>
      </c>
      <c r="AK1661" s="3">
        <v>2</v>
      </c>
      <c r="AL1661" s="3">
        <v>4</v>
      </c>
      <c r="AM1661" s="3">
        <v>5</v>
      </c>
      <c r="AN1661" s="3">
        <v>0</v>
      </c>
      <c r="AO1661" s="3">
        <v>0</v>
      </c>
      <c r="AP1661" s="3">
        <v>0</v>
      </c>
      <c r="AQ1661" s="3">
        <v>0</v>
      </c>
      <c r="AR1661" s="2" t="s">
        <v>5</v>
      </c>
      <c r="AS1661" s="2" t="s">
        <v>5</v>
      </c>
      <c r="AU1661" s="5" t="str">
        <f>HYPERLINK("https://creighton-primo.hosted.exlibrisgroup.com/primo-explore/search?tab=default_tab&amp;search_scope=EVERYTHING&amp;vid=01CRU&amp;lang=en_US&amp;offset=0&amp;query=any,contains,991001453859702656","Catalog Record")</f>
        <v>Catalog Record</v>
      </c>
      <c r="AV1661" s="5" t="str">
        <f>HYPERLINK("http://www.worldcat.org/oclc/20670239","WorldCat Record")</f>
        <v>WorldCat Record</v>
      </c>
      <c r="AW1661" s="2" t="s">
        <v>19758</v>
      </c>
      <c r="AX1661" s="2" t="s">
        <v>19759</v>
      </c>
      <c r="AY1661" s="2" t="s">
        <v>19760</v>
      </c>
      <c r="AZ1661" s="2" t="s">
        <v>19760</v>
      </c>
      <c r="BA1661" s="2" t="s">
        <v>19761</v>
      </c>
      <c r="BB1661" s="2" t="s">
        <v>21</v>
      </c>
      <c r="BD1661" s="2" t="s">
        <v>19762</v>
      </c>
      <c r="BE1661" s="2" t="s">
        <v>19763</v>
      </c>
      <c r="BF1661" s="2" t="s">
        <v>19764</v>
      </c>
    </row>
    <row r="1662" spans="1:58" ht="41.25" customHeight="1" x14ac:dyDescent="0.25">
      <c r="A1662" s="8" t="s">
        <v>5</v>
      </c>
      <c r="B1662" s="1" t="s">
        <v>0</v>
      </c>
      <c r="C1662" s="1" t="s">
        <v>1</v>
      </c>
      <c r="D1662" s="1" t="s">
        <v>19765</v>
      </c>
      <c r="E1662" s="1" t="s">
        <v>19766</v>
      </c>
      <c r="F1662" s="1" t="s">
        <v>19767</v>
      </c>
      <c r="H1662" s="2" t="s">
        <v>5</v>
      </c>
      <c r="I1662" s="2" t="s">
        <v>6</v>
      </c>
      <c r="J1662" s="2" t="s">
        <v>5</v>
      </c>
      <c r="K1662" s="2" t="s">
        <v>5</v>
      </c>
      <c r="L1662" s="2" t="s">
        <v>7</v>
      </c>
      <c r="N1662" s="1" t="s">
        <v>19768</v>
      </c>
      <c r="O1662" s="2" t="s">
        <v>382</v>
      </c>
      <c r="Q1662" s="2" t="s">
        <v>11</v>
      </c>
      <c r="R1662" s="2" t="s">
        <v>426</v>
      </c>
      <c r="T1662" s="2" t="s">
        <v>520</v>
      </c>
      <c r="U1662" s="3">
        <v>7</v>
      </c>
      <c r="V1662" s="3">
        <v>7</v>
      </c>
      <c r="W1662" s="4" t="s">
        <v>992</v>
      </c>
      <c r="X1662" s="4" t="s">
        <v>992</v>
      </c>
      <c r="Y1662" s="4" t="s">
        <v>168</v>
      </c>
      <c r="Z1662" s="4" t="s">
        <v>168</v>
      </c>
      <c r="AA1662" s="3">
        <v>145</v>
      </c>
      <c r="AB1662" s="3">
        <v>134</v>
      </c>
      <c r="AC1662" s="3">
        <v>150</v>
      </c>
      <c r="AD1662" s="3">
        <v>2</v>
      </c>
      <c r="AE1662" s="3">
        <v>2</v>
      </c>
      <c r="AF1662" s="3">
        <v>3</v>
      </c>
      <c r="AG1662" s="3">
        <v>3</v>
      </c>
      <c r="AH1662" s="3">
        <v>0</v>
      </c>
      <c r="AI1662" s="3">
        <v>0</v>
      </c>
      <c r="AJ1662" s="3">
        <v>0</v>
      </c>
      <c r="AK1662" s="3">
        <v>0</v>
      </c>
      <c r="AL1662" s="3">
        <v>3</v>
      </c>
      <c r="AM1662" s="3">
        <v>3</v>
      </c>
      <c r="AN1662" s="3">
        <v>0</v>
      </c>
      <c r="AO1662" s="3">
        <v>0</v>
      </c>
      <c r="AP1662" s="3">
        <v>0</v>
      </c>
      <c r="AQ1662" s="3">
        <v>0</v>
      </c>
      <c r="AR1662" s="2" t="s">
        <v>5</v>
      </c>
      <c r="AS1662" s="2" t="s">
        <v>16</v>
      </c>
      <c r="AT1662" s="5" t="str">
        <f>HYPERLINK("http://catalog.hathitrust.org/Record/000605425","HathiTrust Record")</f>
        <v>HathiTrust Record</v>
      </c>
      <c r="AU1662" s="5" t="str">
        <f>HYPERLINK("https://creighton-primo.hosted.exlibrisgroup.com/primo-explore/search?tab=default_tab&amp;search_scope=EVERYTHING&amp;vid=01CRU&amp;lang=en_US&amp;offset=0&amp;query=any,contains,991000924199702656","Catalog Record")</f>
        <v>Catalog Record</v>
      </c>
      <c r="AV1662" s="5" t="str">
        <f>HYPERLINK("http://www.worldcat.org/oclc/11088879","WorldCat Record")</f>
        <v>WorldCat Record</v>
      </c>
      <c r="AW1662" s="2" t="s">
        <v>19769</v>
      </c>
      <c r="AX1662" s="2" t="s">
        <v>19770</v>
      </c>
      <c r="AY1662" s="2" t="s">
        <v>19771</v>
      </c>
      <c r="AZ1662" s="2" t="s">
        <v>19771</v>
      </c>
      <c r="BA1662" s="2" t="s">
        <v>19772</v>
      </c>
      <c r="BB1662" s="2" t="s">
        <v>21</v>
      </c>
      <c r="BD1662" s="2" t="s">
        <v>19773</v>
      </c>
      <c r="BE1662" s="2" t="s">
        <v>19774</v>
      </c>
      <c r="BF1662" s="2" t="s">
        <v>19775</v>
      </c>
    </row>
    <row r="1663" spans="1:58" ht="41.25" customHeight="1" x14ac:dyDescent="0.25">
      <c r="A1663" s="8" t="s">
        <v>5</v>
      </c>
      <c r="B1663" s="1" t="s">
        <v>0</v>
      </c>
      <c r="C1663" s="1" t="s">
        <v>1</v>
      </c>
      <c r="D1663" s="1" t="s">
        <v>19776</v>
      </c>
      <c r="E1663" s="1" t="s">
        <v>19777</v>
      </c>
      <c r="F1663" s="1" t="s">
        <v>19778</v>
      </c>
      <c r="H1663" s="2" t="s">
        <v>5</v>
      </c>
      <c r="I1663" s="2" t="s">
        <v>6</v>
      </c>
      <c r="J1663" s="2" t="s">
        <v>5</v>
      </c>
      <c r="K1663" s="2" t="s">
        <v>5</v>
      </c>
      <c r="L1663" s="2" t="s">
        <v>7</v>
      </c>
      <c r="N1663" s="1" t="s">
        <v>7103</v>
      </c>
      <c r="O1663" s="2" t="s">
        <v>734</v>
      </c>
      <c r="P1663" s="1" t="s">
        <v>211</v>
      </c>
      <c r="Q1663" s="2" t="s">
        <v>11</v>
      </c>
      <c r="R1663" s="2" t="s">
        <v>426</v>
      </c>
      <c r="T1663" s="2" t="s">
        <v>520</v>
      </c>
      <c r="U1663" s="3">
        <v>8</v>
      </c>
      <c r="V1663" s="3">
        <v>8</v>
      </c>
      <c r="W1663" s="4" t="s">
        <v>3807</v>
      </c>
      <c r="X1663" s="4" t="s">
        <v>3807</v>
      </c>
      <c r="Y1663" s="4" t="s">
        <v>18800</v>
      </c>
      <c r="Z1663" s="4" t="s">
        <v>18800</v>
      </c>
      <c r="AA1663" s="3">
        <v>235</v>
      </c>
      <c r="AB1663" s="3">
        <v>193</v>
      </c>
      <c r="AC1663" s="3">
        <v>557</v>
      </c>
      <c r="AD1663" s="3">
        <v>1</v>
      </c>
      <c r="AE1663" s="3">
        <v>4</v>
      </c>
      <c r="AF1663" s="3">
        <v>4</v>
      </c>
      <c r="AG1663" s="3">
        <v>11</v>
      </c>
      <c r="AH1663" s="3">
        <v>1</v>
      </c>
      <c r="AI1663" s="3">
        <v>3</v>
      </c>
      <c r="AJ1663" s="3">
        <v>0</v>
      </c>
      <c r="AK1663" s="3">
        <v>2</v>
      </c>
      <c r="AL1663" s="3">
        <v>3</v>
      </c>
      <c r="AM1663" s="3">
        <v>7</v>
      </c>
      <c r="AN1663" s="3">
        <v>0</v>
      </c>
      <c r="AO1663" s="3">
        <v>1</v>
      </c>
      <c r="AP1663" s="3">
        <v>0</v>
      </c>
      <c r="AQ1663" s="3">
        <v>0</v>
      </c>
      <c r="AR1663" s="2" t="s">
        <v>5</v>
      </c>
      <c r="AS1663" s="2" t="s">
        <v>5</v>
      </c>
      <c r="AU1663" s="5" t="str">
        <f>HYPERLINK("https://creighton-primo.hosted.exlibrisgroup.com/primo-explore/search?tab=default_tab&amp;search_scope=EVERYTHING&amp;vid=01CRU&amp;lang=en_US&amp;offset=0&amp;query=any,contains,991000732119702656","Catalog Record")</f>
        <v>Catalog Record</v>
      </c>
      <c r="AV1663" s="5" t="str">
        <f>HYPERLINK("http://www.worldcat.org/oclc/8475294","WorldCat Record")</f>
        <v>WorldCat Record</v>
      </c>
      <c r="AW1663" s="2" t="s">
        <v>19779</v>
      </c>
      <c r="AX1663" s="2" t="s">
        <v>19780</v>
      </c>
      <c r="AY1663" s="2" t="s">
        <v>19781</v>
      </c>
      <c r="AZ1663" s="2" t="s">
        <v>19781</v>
      </c>
      <c r="BA1663" s="2" t="s">
        <v>19782</v>
      </c>
      <c r="BB1663" s="2" t="s">
        <v>21</v>
      </c>
      <c r="BD1663" s="2" t="s">
        <v>19783</v>
      </c>
      <c r="BE1663" s="2" t="s">
        <v>19784</v>
      </c>
      <c r="BF1663" s="2" t="s">
        <v>19785</v>
      </c>
    </row>
    <row r="1664" spans="1:58" ht="41.25" customHeight="1" x14ac:dyDescent="0.25">
      <c r="A1664" s="8" t="s">
        <v>5</v>
      </c>
      <c r="B1664" s="1" t="s">
        <v>0</v>
      </c>
      <c r="C1664" s="1" t="s">
        <v>1</v>
      </c>
      <c r="D1664" s="1" t="s">
        <v>19786</v>
      </c>
      <c r="E1664" s="1" t="s">
        <v>19787</v>
      </c>
      <c r="F1664" s="1" t="s">
        <v>19788</v>
      </c>
      <c r="H1664" s="2" t="s">
        <v>5</v>
      </c>
      <c r="I1664" s="2" t="s">
        <v>6</v>
      </c>
      <c r="J1664" s="2" t="s">
        <v>5</v>
      </c>
      <c r="K1664" s="2" t="s">
        <v>5</v>
      </c>
      <c r="L1664" s="2" t="s">
        <v>7</v>
      </c>
      <c r="N1664" s="1" t="s">
        <v>19789</v>
      </c>
      <c r="O1664" s="2" t="s">
        <v>734</v>
      </c>
      <c r="Q1664" s="2" t="s">
        <v>11</v>
      </c>
      <c r="R1664" s="2" t="s">
        <v>426</v>
      </c>
      <c r="T1664" s="2" t="s">
        <v>520</v>
      </c>
      <c r="U1664" s="3">
        <v>2</v>
      </c>
      <c r="V1664" s="3">
        <v>2</v>
      </c>
      <c r="W1664" s="4" t="s">
        <v>19790</v>
      </c>
      <c r="X1664" s="4" t="s">
        <v>19790</v>
      </c>
      <c r="Y1664" s="4" t="s">
        <v>168</v>
      </c>
      <c r="Z1664" s="4" t="s">
        <v>168</v>
      </c>
      <c r="AA1664" s="3">
        <v>270</v>
      </c>
      <c r="AB1664" s="3">
        <v>236</v>
      </c>
      <c r="AC1664" s="3">
        <v>243</v>
      </c>
      <c r="AD1664" s="3">
        <v>3</v>
      </c>
      <c r="AE1664" s="3">
        <v>3</v>
      </c>
      <c r="AF1664" s="3">
        <v>13</v>
      </c>
      <c r="AG1664" s="3">
        <v>13</v>
      </c>
      <c r="AH1664" s="3">
        <v>5</v>
      </c>
      <c r="AI1664" s="3">
        <v>5</v>
      </c>
      <c r="AJ1664" s="3">
        <v>2</v>
      </c>
      <c r="AK1664" s="3">
        <v>2</v>
      </c>
      <c r="AL1664" s="3">
        <v>7</v>
      </c>
      <c r="AM1664" s="3">
        <v>7</v>
      </c>
      <c r="AN1664" s="3">
        <v>2</v>
      </c>
      <c r="AO1664" s="3">
        <v>2</v>
      </c>
      <c r="AP1664" s="3">
        <v>0</v>
      </c>
      <c r="AQ1664" s="3">
        <v>0</v>
      </c>
      <c r="AR1664" s="2" t="s">
        <v>5</v>
      </c>
      <c r="AS1664" s="2" t="s">
        <v>16</v>
      </c>
      <c r="AT1664" s="5" t="str">
        <f>HYPERLINK("http://catalog.hathitrust.org/Record/000206893","HathiTrust Record")</f>
        <v>HathiTrust Record</v>
      </c>
      <c r="AU1664" s="5" t="str">
        <f>HYPERLINK("https://creighton-primo.hosted.exlibrisgroup.com/primo-explore/search?tab=default_tab&amp;search_scope=EVERYTHING&amp;vid=01CRU&amp;lang=en_US&amp;offset=0&amp;query=any,contains,991000924399702656","Catalog Record")</f>
        <v>Catalog Record</v>
      </c>
      <c r="AV1664" s="5" t="str">
        <f>HYPERLINK("http://www.worldcat.org/oclc/9197330","WorldCat Record")</f>
        <v>WorldCat Record</v>
      </c>
      <c r="AW1664" s="2" t="s">
        <v>19791</v>
      </c>
      <c r="AX1664" s="2" t="s">
        <v>19792</v>
      </c>
      <c r="AY1664" s="2" t="s">
        <v>19793</v>
      </c>
      <c r="AZ1664" s="2" t="s">
        <v>19793</v>
      </c>
      <c r="BA1664" s="2" t="s">
        <v>19794</v>
      </c>
      <c r="BB1664" s="2" t="s">
        <v>21</v>
      </c>
      <c r="BD1664" s="2" t="s">
        <v>19795</v>
      </c>
      <c r="BE1664" s="2" t="s">
        <v>19796</v>
      </c>
      <c r="BF1664" s="2" t="s">
        <v>19797</v>
      </c>
    </row>
    <row r="1665" spans="1:58" ht="41.25" customHeight="1" x14ac:dyDescent="0.25">
      <c r="A1665" s="8" t="s">
        <v>5</v>
      </c>
      <c r="B1665" s="1" t="s">
        <v>0</v>
      </c>
      <c r="C1665" s="1" t="s">
        <v>1</v>
      </c>
      <c r="D1665" s="1" t="s">
        <v>19798</v>
      </c>
      <c r="E1665" s="1" t="s">
        <v>19799</v>
      </c>
      <c r="F1665" s="1" t="s">
        <v>19800</v>
      </c>
      <c r="H1665" s="2" t="s">
        <v>5</v>
      </c>
      <c r="I1665" s="2" t="s">
        <v>6</v>
      </c>
      <c r="J1665" s="2" t="s">
        <v>5</v>
      </c>
      <c r="K1665" s="2" t="s">
        <v>5</v>
      </c>
      <c r="L1665" s="2" t="s">
        <v>7</v>
      </c>
      <c r="N1665" s="1" t="s">
        <v>3693</v>
      </c>
      <c r="O1665" s="2" t="s">
        <v>1102</v>
      </c>
      <c r="P1665" s="1" t="s">
        <v>211</v>
      </c>
      <c r="Q1665" s="2" t="s">
        <v>11</v>
      </c>
      <c r="R1665" s="2" t="s">
        <v>426</v>
      </c>
      <c r="T1665" s="2" t="s">
        <v>520</v>
      </c>
      <c r="U1665" s="3">
        <v>9</v>
      </c>
      <c r="V1665" s="3">
        <v>9</v>
      </c>
      <c r="W1665" s="4" t="s">
        <v>19801</v>
      </c>
      <c r="X1665" s="4" t="s">
        <v>19801</v>
      </c>
      <c r="Y1665" s="4" t="s">
        <v>168</v>
      </c>
      <c r="Z1665" s="4" t="s">
        <v>168</v>
      </c>
      <c r="AA1665" s="3">
        <v>233</v>
      </c>
      <c r="AB1665" s="3">
        <v>186</v>
      </c>
      <c r="AC1665" s="3">
        <v>188</v>
      </c>
      <c r="AD1665" s="3">
        <v>2</v>
      </c>
      <c r="AE1665" s="3">
        <v>2</v>
      </c>
      <c r="AF1665" s="3">
        <v>7</v>
      </c>
      <c r="AG1665" s="3">
        <v>7</v>
      </c>
      <c r="AH1665" s="3">
        <v>3</v>
      </c>
      <c r="AI1665" s="3">
        <v>3</v>
      </c>
      <c r="AJ1665" s="3">
        <v>1</v>
      </c>
      <c r="AK1665" s="3">
        <v>1</v>
      </c>
      <c r="AL1665" s="3">
        <v>4</v>
      </c>
      <c r="AM1665" s="3">
        <v>4</v>
      </c>
      <c r="AN1665" s="3">
        <v>1</v>
      </c>
      <c r="AO1665" s="3">
        <v>1</v>
      </c>
      <c r="AP1665" s="3">
        <v>0</v>
      </c>
      <c r="AQ1665" s="3">
        <v>0</v>
      </c>
      <c r="AR1665" s="2" t="s">
        <v>5</v>
      </c>
      <c r="AS1665" s="2" t="s">
        <v>16</v>
      </c>
      <c r="AT1665" s="5" t="str">
        <f>HYPERLINK("http://catalog.hathitrust.org/Record/000433344","HathiTrust Record")</f>
        <v>HathiTrust Record</v>
      </c>
      <c r="AU1665" s="5" t="str">
        <f>HYPERLINK("https://creighton-primo.hosted.exlibrisgroup.com/primo-explore/search?tab=default_tab&amp;search_scope=EVERYTHING&amp;vid=01CRU&amp;lang=en_US&amp;offset=0&amp;query=any,contains,991000924559702656","Catalog Record")</f>
        <v>Catalog Record</v>
      </c>
      <c r="AV1665" s="5" t="str">
        <f>HYPERLINK("http://www.worldcat.org/oclc/12344220","WorldCat Record")</f>
        <v>WorldCat Record</v>
      </c>
      <c r="AW1665" s="2" t="s">
        <v>19802</v>
      </c>
      <c r="AX1665" s="2" t="s">
        <v>19803</v>
      </c>
      <c r="AY1665" s="2" t="s">
        <v>19804</v>
      </c>
      <c r="AZ1665" s="2" t="s">
        <v>19804</v>
      </c>
      <c r="BA1665" s="2" t="s">
        <v>19805</v>
      </c>
      <c r="BB1665" s="2" t="s">
        <v>21</v>
      </c>
      <c r="BD1665" s="2" t="s">
        <v>19806</v>
      </c>
      <c r="BE1665" s="2" t="s">
        <v>19807</v>
      </c>
      <c r="BF1665" s="2" t="s">
        <v>19808</v>
      </c>
    </row>
    <row r="1666" spans="1:58" ht="41.25" customHeight="1" x14ac:dyDescent="0.25">
      <c r="A1666" s="8" t="s">
        <v>5</v>
      </c>
      <c r="B1666" s="1" t="s">
        <v>0</v>
      </c>
      <c r="C1666" s="1" t="s">
        <v>1</v>
      </c>
      <c r="D1666" s="1" t="s">
        <v>19809</v>
      </c>
      <c r="E1666" s="1" t="s">
        <v>19810</v>
      </c>
      <c r="F1666" s="1" t="s">
        <v>19811</v>
      </c>
      <c r="H1666" s="2" t="s">
        <v>5</v>
      </c>
      <c r="I1666" s="2" t="s">
        <v>6</v>
      </c>
      <c r="J1666" s="2" t="s">
        <v>5</v>
      </c>
      <c r="K1666" s="2" t="s">
        <v>5</v>
      </c>
      <c r="L1666" s="2" t="s">
        <v>7</v>
      </c>
      <c r="N1666" s="1" t="s">
        <v>19812</v>
      </c>
      <c r="O1666" s="2" t="s">
        <v>939</v>
      </c>
      <c r="Q1666" s="2" t="s">
        <v>11</v>
      </c>
      <c r="R1666" s="2" t="s">
        <v>426</v>
      </c>
      <c r="T1666" s="2" t="s">
        <v>520</v>
      </c>
      <c r="U1666" s="3">
        <v>7</v>
      </c>
      <c r="V1666" s="3">
        <v>7</v>
      </c>
      <c r="W1666" s="4" t="s">
        <v>15561</v>
      </c>
      <c r="X1666" s="4" t="s">
        <v>15561</v>
      </c>
      <c r="Y1666" s="4" t="s">
        <v>19813</v>
      </c>
      <c r="Z1666" s="4" t="s">
        <v>19813</v>
      </c>
      <c r="AA1666" s="3">
        <v>140</v>
      </c>
      <c r="AB1666" s="3">
        <v>108</v>
      </c>
      <c r="AC1666" s="3">
        <v>110</v>
      </c>
      <c r="AD1666" s="3">
        <v>1</v>
      </c>
      <c r="AE1666" s="3">
        <v>1</v>
      </c>
      <c r="AF1666" s="3">
        <v>3</v>
      </c>
      <c r="AG1666" s="3">
        <v>3</v>
      </c>
      <c r="AH1666" s="3">
        <v>0</v>
      </c>
      <c r="AI1666" s="3">
        <v>0</v>
      </c>
      <c r="AJ1666" s="3">
        <v>2</v>
      </c>
      <c r="AK1666" s="3">
        <v>2</v>
      </c>
      <c r="AL1666" s="3">
        <v>2</v>
      </c>
      <c r="AM1666" s="3">
        <v>2</v>
      </c>
      <c r="AN1666" s="3">
        <v>0</v>
      </c>
      <c r="AO1666" s="3">
        <v>0</v>
      </c>
      <c r="AP1666" s="3">
        <v>0</v>
      </c>
      <c r="AQ1666" s="3">
        <v>0</v>
      </c>
      <c r="AR1666" s="2" t="s">
        <v>5</v>
      </c>
      <c r="AS1666" s="2" t="s">
        <v>16</v>
      </c>
      <c r="AT1666" s="5" t="str">
        <f>HYPERLINK("http://catalog.hathitrust.org/Record/001303679","HathiTrust Record")</f>
        <v>HathiTrust Record</v>
      </c>
      <c r="AU1666" s="5" t="str">
        <f>HYPERLINK("https://creighton-primo.hosted.exlibrisgroup.com/primo-explore/search?tab=default_tab&amp;search_scope=EVERYTHING&amp;vid=01CRU&amp;lang=en_US&amp;offset=0&amp;query=any,contains,991001116889702656","Catalog Record")</f>
        <v>Catalog Record</v>
      </c>
      <c r="AV1666" s="5" t="str">
        <f>HYPERLINK("http://www.worldcat.org/oclc/17953849","WorldCat Record")</f>
        <v>WorldCat Record</v>
      </c>
      <c r="AW1666" s="2" t="s">
        <v>19814</v>
      </c>
      <c r="AX1666" s="2" t="s">
        <v>19815</v>
      </c>
      <c r="AY1666" s="2" t="s">
        <v>19816</v>
      </c>
      <c r="AZ1666" s="2" t="s">
        <v>19816</v>
      </c>
      <c r="BA1666" s="2" t="s">
        <v>19817</v>
      </c>
      <c r="BB1666" s="2" t="s">
        <v>21</v>
      </c>
      <c r="BD1666" s="2" t="s">
        <v>19818</v>
      </c>
      <c r="BE1666" s="2" t="s">
        <v>19819</v>
      </c>
      <c r="BF1666" s="2" t="s">
        <v>19820</v>
      </c>
    </row>
    <row r="1667" spans="1:58" ht="41.25" customHeight="1" x14ac:dyDescent="0.25">
      <c r="A1667" s="8" t="s">
        <v>5</v>
      </c>
      <c r="B1667" s="1" t="s">
        <v>0</v>
      </c>
      <c r="C1667" s="1" t="s">
        <v>1</v>
      </c>
      <c r="D1667" s="1" t="s">
        <v>19821</v>
      </c>
      <c r="E1667" s="1" t="s">
        <v>19822</v>
      </c>
      <c r="F1667" s="1" t="s">
        <v>19823</v>
      </c>
      <c r="H1667" s="2" t="s">
        <v>5</v>
      </c>
      <c r="I1667" s="2" t="s">
        <v>6</v>
      </c>
      <c r="J1667" s="2" t="s">
        <v>5</v>
      </c>
      <c r="K1667" s="2" t="s">
        <v>5</v>
      </c>
      <c r="L1667" s="2" t="s">
        <v>7</v>
      </c>
      <c r="N1667" s="1" t="s">
        <v>5622</v>
      </c>
      <c r="O1667" s="2" t="s">
        <v>1339</v>
      </c>
      <c r="P1667" s="1" t="s">
        <v>355</v>
      </c>
      <c r="Q1667" s="2" t="s">
        <v>11</v>
      </c>
      <c r="R1667" s="2" t="s">
        <v>31</v>
      </c>
      <c r="T1667" s="2" t="s">
        <v>520</v>
      </c>
      <c r="U1667" s="3">
        <v>11</v>
      </c>
      <c r="V1667" s="3">
        <v>11</v>
      </c>
      <c r="W1667" s="4" t="s">
        <v>18916</v>
      </c>
      <c r="X1667" s="4" t="s">
        <v>18916</v>
      </c>
      <c r="Y1667" s="4" t="s">
        <v>18800</v>
      </c>
      <c r="Z1667" s="4" t="s">
        <v>18800</v>
      </c>
      <c r="AA1667" s="3">
        <v>217</v>
      </c>
      <c r="AB1667" s="3">
        <v>175</v>
      </c>
      <c r="AC1667" s="3">
        <v>202</v>
      </c>
      <c r="AD1667" s="3">
        <v>2</v>
      </c>
      <c r="AE1667" s="3">
        <v>3</v>
      </c>
      <c r="AF1667" s="3">
        <v>5</v>
      </c>
      <c r="AG1667" s="3">
        <v>6</v>
      </c>
      <c r="AH1667" s="3">
        <v>1</v>
      </c>
      <c r="AI1667" s="3">
        <v>1</v>
      </c>
      <c r="AJ1667" s="3">
        <v>2</v>
      </c>
      <c r="AK1667" s="3">
        <v>2</v>
      </c>
      <c r="AL1667" s="3">
        <v>3</v>
      </c>
      <c r="AM1667" s="3">
        <v>3</v>
      </c>
      <c r="AN1667" s="3">
        <v>0</v>
      </c>
      <c r="AO1667" s="3">
        <v>1</v>
      </c>
      <c r="AP1667" s="3">
        <v>0</v>
      </c>
      <c r="AQ1667" s="3">
        <v>0</v>
      </c>
      <c r="AR1667" s="2" t="s">
        <v>5</v>
      </c>
      <c r="AS1667" s="2" t="s">
        <v>16</v>
      </c>
      <c r="AT1667" s="5" t="str">
        <f>HYPERLINK("http://catalog.hathitrust.org/Record/000812355","HathiTrust Record")</f>
        <v>HathiTrust Record</v>
      </c>
      <c r="AU1667" s="5" t="str">
        <f>HYPERLINK("https://creighton-primo.hosted.exlibrisgroup.com/primo-explore/search?tab=default_tab&amp;search_scope=EVERYTHING&amp;vid=01CRU&amp;lang=en_US&amp;offset=0&amp;query=any,contains,991000902699702656","Catalog Record")</f>
        <v>Catalog Record</v>
      </c>
      <c r="AV1667" s="5" t="str">
        <f>HYPERLINK("http://www.worldcat.org/oclc/15055342","WorldCat Record")</f>
        <v>WorldCat Record</v>
      </c>
      <c r="AW1667" s="2" t="s">
        <v>19824</v>
      </c>
      <c r="AX1667" s="2" t="s">
        <v>19825</v>
      </c>
      <c r="AY1667" s="2" t="s">
        <v>19826</v>
      </c>
      <c r="AZ1667" s="2" t="s">
        <v>19826</v>
      </c>
      <c r="BA1667" s="2" t="s">
        <v>19827</v>
      </c>
      <c r="BB1667" s="2" t="s">
        <v>21</v>
      </c>
      <c r="BE1667" s="2" t="s">
        <v>19828</v>
      </c>
      <c r="BF1667" s="2" t="s">
        <v>19829</v>
      </c>
    </row>
    <row r="1668" spans="1:58" ht="41.25" customHeight="1" x14ac:dyDescent="0.25">
      <c r="A1668" s="8" t="s">
        <v>5</v>
      </c>
      <c r="B1668" s="1" t="s">
        <v>0</v>
      </c>
      <c r="C1668" s="1" t="s">
        <v>1</v>
      </c>
      <c r="D1668" s="1" t="s">
        <v>19830</v>
      </c>
      <c r="E1668" s="1" t="s">
        <v>19831</v>
      </c>
      <c r="F1668" s="1" t="s">
        <v>19832</v>
      </c>
      <c r="H1668" s="2" t="s">
        <v>5</v>
      </c>
      <c r="I1668" s="2" t="s">
        <v>6</v>
      </c>
      <c r="J1668" s="2" t="s">
        <v>5</v>
      </c>
      <c r="K1668" s="2" t="s">
        <v>5</v>
      </c>
      <c r="L1668" s="2" t="s">
        <v>7</v>
      </c>
      <c r="N1668" s="1" t="s">
        <v>3819</v>
      </c>
      <c r="O1668" s="2" t="s">
        <v>989</v>
      </c>
      <c r="Q1668" s="2" t="s">
        <v>11</v>
      </c>
      <c r="R1668" s="2" t="s">
        <v>426</v>
      </c>
      <c r="T1668" s="2" t="s">
        <v>520</v>
      </c>
      <c r="U1668" s="3">
        <v>8</v>
      </c>
      <c r="V1668" s="3">
        <v>8</v>
      </c>
      <c r="W1668" s="4" t="s">
        <v>19833</v>
      </c>
      <c r="X1668" s="4" t="s">
        <v>19833</v>
      </c>
      <c r="Y1668" s="4" t="s">
        <v>19834</v>
      </c>
      <c r="Z1668" s="4" t="s">
        <v>19834</v>
      </c>
      <c r="AA1668" s="3">
        <v>267</v>
      </c>
      <c r="AB1668" s="3">
        <v>205</v>
      </c>
      <c r="AC1668" s="3">
        <v>207</v>
      </c>
      <c r="AD1668" s="3">
        <v>1</v>
      </c>
      <c r="AE1668" s="3">
        <v>1</v>
      </c>
      <c r="AF1668" s="3">
        <v>9</v>
      </c>
      <c r="AG1668" s="3">
        <v>9</v>
      </c>
      <c r="AH1668" s="3">
        <v>2</v>
      </c>
      <c r="AI1668" s="3">
        <v>2</v>
      </c>
      <c r="AJ1668" s="3">
        <v>2</v>
      </c>
      <c r="AK1668" s="3">
        <v>2</v>
      </c>
      <c r="AL1668" s="3">
        <v>7</v>
      </c>
      <c r="AM1668" s="3">
        <v>7</v>
      </c>
      <c r="AN1668" s="3">
        <v>0</v>
      </c>
      <c r="AO1668" s="3">
        <v>0</v>
      </c>
      <c r="AP1668" s="3">
        <v>0</v>
      </c>
      <c r="AQ1668" s="3">
        <v>0</v>
      </c>
      <c r="AR1668" s="2" t="s">
        <v>5</v>
      </c>
      <c r="AS1668" s="2" t="s">
        <v>16</v>
      </c>
      <c r="AT1668" s="5" t="str">
        <f>HYPERLINK("http://catalog.hathitrust.org/Record/001827402","HathiTrust Record")</f>
        <v>HathiTrust Record</v>
      </c>
      <c r="AU1668" s="5" t="str">
        <f>HYPERLINK("https://creighton-primo.hosted.exlibrisgroup.com/primo-explore/search?tab=default_tab&amp;search_scope=EVERYTHING&amp;vid=01CRU&amp;lang=en_US&amp;offset=0&amp;query=any,contains,991000824929702656","Catalog Record")</f>
        <v>Catalog Record</v>
      </c>
      <c r="AV1668" s="5" t="str">
        <f>HYPERLINK("http://www.worldcat.org/oclc/19981709","WorldCat Record")</f>
        <v>WorldCat Record</v>
      </c>
      <c r="AW1668" s="2" t="s">
        <v>19835</v>
      </c>
      <c r="AX1668" s="2" t="s">
        <v>19836</v>
      </c>
      <c r="AY1668" s="2" t="s">
        <v>19837</v>
      </c>
      <c r="AZ1668" s="2" t="s">
        <v>19837</v>
      </c>
      <c r="BA1668" s="2" t="s">
        <v>19838</v>
      </c>
      <c r="BB1668" s="2" t="s">
        <v>21</v>
      </c>
      <c r="BD1668" s="2" t="s">
        <v>19839</v>
      </c>
      <c r="BE1668" s="2" t="s">
        <v>19840</v>
      </c>
      <c r="BF1668" s="2" t="s">
        <v>19841</v>
      </c>
    </row>
    <row r="1669" spans="1:58" ht="41.25" customHeight="1" x14ac:dyDescent="0.25">
      <c r="A1669" s="8" t="s">
        <v>5</v>
      </c>
      <c r="B1669" s="1" t="s">
        <v>0</v>
      </c>
      <c r="C1669" s="1" t="s">
        <v>1</v>
      </c>
      <c r="D1669" s="1" t="s">
        <v>19842</v>
      </c>
      <c r="E1669" s="1" t="s">
        <v>19843</v>
      </c>
      <c r="F1669" s="1" t="s">
        <v>19844</v>
      </c>
      <c r="H1669" s="2" t="s">
        <v>5</v>
      </c>
      <c r="I1669" s="2" t="s">
        <v>6</v>
      </c>
      <c r="J1669" s="2" t="s">
        <v>5</v>
      </c>
      <c r="K1669" s="2" t="s">
        <v>5</v>
      </c>
      <c r="L1669" s="2" t="s">
        <v>7</v>
      </c>
      <c r="N1669" s="1" t="s">
        <v>19845</v>
      </c>
      <c r="O1669" s="2" t="s">
        <v>1283</v>
      </c>
      <c r="P1669" s="1" t="s">
        <v>211</v>
      </c>
      <c r="Q1669" s="2" t="s">
        <v>11</v>
      </c>
      <c r="R1669" s="2" t="s">
        <v>1140</v>
      </c>
      <c r="T1669" s="2" t="s">
        <v>520</v>
      </c>
      <c r="U1669" s="3">
        <v>2</v>
      </c>
      <c r="V1669" s="3">
        <v>2</v>
      </c>
      <c r="W1669" s="4" t="s">
        <v>12901</v>
      </c>
      <c r="X1669" s="4" t="s">
        <v>12901</v>
      </c>
      <c r="Y1669" s="4" t="s">
        <v>12902</v>
      </c>
      <c r="Z1669" s="4" t="s">
        <v>12902</v>
      </c>
      <c r="AA1669" s="3">
        <v>171</v>
      </c>
      <c r="AB1669" s="3">
        <v>142</v>
      </c>
      <c r="AC1669" s="3">
        <v>223</v>
      </c>
      <c r="AD1669" s="3">
        <v>1</v>
      </c>
      <c r="AE1669" s="3">
        <v>2</v>
      </c>
      <c r="AF1669" s="3">
        <v>6</v>
      </c>
      <c r="AG1669" s="3">
        <v>9</v>
      </c>
      <c r="AH1669" s="3">
        <v>3</v>
      </c>
      <c r="AI1669" s="3">
        <v>5</v>
      </c>
      <c r="AJ1669" s="3">
        <v>1</v>
      </c>
      <c r="AK1669" s="3">
        <v>2</v>
      </c>
      <c r="AL1669" s="3">
        <v>2</v>
      </c>
      <c r="AM1669" s="3">
        <v>4</v>
      </c>
      <c r="AN1669" s="3">
        <v>0</v>
      </c>
      <c r="AO1669" s="3">
        <v>0</v>
      </c>
      <c r="AP1669" s="3">
        <v>0</v>
      </c>
      <c r="AQ1669" s="3">
        <v>0</v>
      </c>
      <c r="AR1669" s="2" t="s">
        <v>5</v>
      </c>
      <c r="AS1669" s="2" t="s">
        <v>16</v>
      </c>
      <c r="AT1669" s="5" t="str">
        <f>HYPERLINK("http://catalog.hathitrust.org/Record/003188333","HathiTrust Record")</f>
        <v>HathiTrust Record</v>
      </c>
      <c r="AU1669" s="5" t="str">
        <f>HYPERLINK("https://creighton-primo.hosted.exlibrisgroup.com/primo-explore/search?tab=default_tab&amp;search_scope=EVERYTHING&amp;vid=01CRU&amp;lang=en_US&amp;offset=0&amp;query=any,contains,991001572739702656","Catalog Record")</f>
        <v>Catalog Record</v>
      </c>
      <c r="AV1669" s="5" t="str">
        <f>HYPERLINK("http://www.worldcat.org/oclc/36768448","WorldCat Record")</f>
        <v>WorldCat Record</v>
      </c>
      <c r="AW1669" s="2" t="s">
        <v>19846</v>
      </c>
      <c r="AX1669" s="2" t="s">
        <v>19847</v>
      </c>
      <c r="AY1669" s="2" t="s">
        <v>19848</v>
      </c>
      <c r="AZ1669" s="2" t="s">
        <v>19848</v>
      </c>
      <c r="BA1669" s="2" t="s">
        <v>19849</v>
      </c>
      <c r="BB1669" s="2" t="s">
        <v>21</v>
      </c>
      <c r="BD1669" s="2" t="s">
        <v>19850</v>
      </c>
      <c r="BE1669" s="2" t="s">
        <v>19851</v>
      </c>
      <c r="BF1669" s="2" t="s">
        <v>19852</v>
      </c>
    </row>
    <row r="1670" spans="1:58" ht="41.25" customHeight="1" x14ac:dyDescent="0.25">
      <c r="A1670" s="8" t="s">
        <v>5</v>
      </c>
      <c r="B1670" s="1" t="s">
        <v>0</v>
      </c>
      <c r="C1670" s="1" t="s">
        <v>1</v>
      </c>
      <c r="D1670" s="1" t="s">
        <v>19853</v>
      </c>
      <c r="E1670" s="1" t="s">
        <v>19854</v>
      </c>
      <c r="F1670" s="1" t="s">
        <v>19855</v>
      </c>
      <c r="H1670" s="2" t="s">
        <v>5</v>
      </c>
      <c r="I1670" s="2" t="s">
        <v>6</v>
      </c>
      <c r="J1670" s="2" t="s">
        <v>5</v>
      </c>
      <c r="K1670" s="2" t="s">
        <v>5</v>
      </c>
      <c r="L1670" s="2" t="s">
        <v>7</v>
      </c>
      <c r="N1670" s="1" t="s">
        <v>11451</v>
      </c>
      <c r="O1670" s="2" t="s">
        <v>734</v>
      </c>
      <c r="Q1670" s="2" t="s">
        <v>11</v>
      </c>
      <c r="R1670" s="2" t="s">
        <v>3356</v>
      </c>
      <c r="S1670" s="1" t="s">
        <v>19856</v>
      </c>
      <c r="T1670" s="2" t="s">
        <v>520</v>
      </c>
      <c r="U1670" s="3">
        <v>4</v>
      </c>
      <c r="V1670" s="3">
        <v>4</v>
      </c>
      <c r="W1670" s="4" t="s">
        <v>19857</v>
      </c>
      <c r="X1670" s="4" t="s">
        <v>19857</v>
      </c>
      <c r="Y1670" s="4" t="s">
        <v>168</v>
      </c>
      <c r="Z1670" s="4" t="s">
        <v>168</v>
      </c>
      <c r="AA1670" s="3">
        <v>114</v>
      </c>
      <c r="AB1670" s="3">
        <v>85</v>
      </c>
      <c r="AC1670" s="3">
        <v>87</v>
      </c>
      <c r="AD1670" s="3">
        <v>1</v>
      </c>
      <c r="AE1670" s="3">
        <v>1</v>
      </c>
      <c r="AF1670" s="3">
        <v>3</v>
      </c>
      <c r="AG1670" s="3">
        <v>3</v>
      </c>
      <c r="AH1670" s="3">
        <v>1</v>
      </c>
      <c r="AI1670" s="3">
        <v>1</v>
      </c>
      <c r="AJ1670" s="3">
        <v>0</v>
      </c>
      <c r="AK1670" s="3">
        <v>0</v>
      </c>
      <c r="AL1670" s="3">
        <v>2</v>
      </c>
      <c r="AM1670" s="3">
        <v>2</v>
      </c>
      <c r="AN1670" s="3">
        <v>0</v>
      </c>
      <c r="AO1670" s="3">
        <v>0</v>
      </c>
      <c r="AP1670" s="3">
        <v>0</v>
      </c>
      <c r="AQ1670" s="3">
        <v>0</v>
      </c>
      <c r="AR1670" s="2" t="s">
        <v>5</v>
      </c>
      <c r="AS1670" s="2" t="s">
        <v>16</v>
      </c>
      <c r="AT1670" s="5" t="str">
        <f>HYPERLINK("http://catalog.hathitrust.org/Record/000203945","HathiTrust Record")</f>
        <v>HathiTrust Record</v>
      </c>
      <c r="AU1670" s="5" t="str">
        <f>HYPERLINK("https://creighton-primo.hosted.exlibrisgroup.com/primo-explore/search?tab=default_tab&amp;search_scope=EVERYTHING&amp;vid=01CRU&amp;lang=en_US&amp;offset=0&amp;query=any,contains,991000924739702656","Catalog Record")</f>
        <v>Catalog Record</v>
      </c>
      <c r="AV1670" s="5" t="str">
        <f>HYPERLINK("http://www.worldcat.org/oclc/8626519","WorldCat Record")</f>
        <v>WorldCat Record</v>
      </c>
      <c r="AW1670" s="2" t="s">
        <v>19858</v>
      </c>
      <c r="AX1670" s="2" t="s">
        <v>19859</v>
      </c>
      <c r="AY1670" s="2" t="s">
        <v>19860</v>
      </c>
      <c r="AZ1670" s="2" t="s">
        <v>19860</v>
      </c>
      <c r="BA1670" s="2" t="s">
        <v>19861</v>
      </c>
      <c r="BB1670" s="2" t="s">
        <v>21</v>
      </c>
      <c r="BE1670" s="2" t="s">
        <v>19862</v>
      </c>
      <c r="BF1670" s="2" t="s">
        <v>19863</v>
      </c>
    </row>
    <row r="1671" spans="1:58" ht="41.25" customHeight="1" x14ac:dyDescent="0.25">
      <c r="A1671" s="8" t="s">
        <v>5</v>
      </c>
      <c r="B1671" s="1" t="s">
        <v>0</v>
      </c>
      <c r="C1671" s="1" t="s">
        <v>1</v>
      </c>
      <c r="D1671" s="1" t="s">
        <v>19864</v>
      </c>
      <c r="E1671" s="1" t="s">
        <v>19865</v>
      </c>
      <c r="F1671" s="1" t="s">
        <v>19866</v>
      </c>
      <c r="H1671" s="2" t="s">
        <v>5</v>
      </c>
      <c r="I1671" s="2" t="s">
        <v>6</v>
      </c>
      <c r="J1671" s="2" t="s">
        <v>5</v>
      </c>
      <c r="K1671" s="2" t="s">
        <v>16</v>
      </c>
      <c r="L1671" s="2" t="s">
        <v>7</v>
      </c>
      <c r="N1671" s="1" t="s">
        <v>11208</v>
      </c>
      <c r="O1671" s="2" t="s">
        <v>1004</v>
      </c>
      <c r="P1671" s="1" t="s">
        <v>211</v>
      </c>
      <c r="Q1671" s="2" t="s">
        <v>11</v>
      </c>
      <c r="R1671" s="2" t="s">
        <v>3356</v>
      </c>
      <c r="T1671" s="2" t="s">
        <v>520</v>
      </c>
      <c r="U1671" s="3">
        <v>2</v>
      </c>
      <c r="V1671" s="3">
        <v>2</v>
      </c>
      <c r="W1671" s="4" t="s">
        <v>19867</v>
      </c>
      <c r="X1671" s="4" t="s">
        <v>19867</v>
      </c>
      <c r="Y1671" s="4" t="s">
        <v>19867</v>
      </c>
      <c r="Z1671" s="4" t="s">
        <v>19867</v>
      </c>
      <c r="AA1671" s="3">
        <v>267</v>
      </c>
      <c r="AB1671" s="3">
        <v>225</v>
      </c>
      <c r="AC1671" s="3">
        <v>552</v>
      </c>
      <c r="AD1671" s="3">
        <v>1</v>
      </c>
      <c r="AE1671" s="3">
        <v>3</v>
      </c>
      <c r="AF1671" s="3">
        <v>3</v>
      </c>
      <c r="AG1671" s="3">
        <v>13</v>
      </c>
      <c r="AH1671" s="3">
        <v>2</v>
      </c>
      <c r="AI1671" s="3">
        <v>3</v>
      </c>
      <c r="AJ1671" s="3">
        <v>0</v>
      </c>
      <c r="AK1671" s="3">
        <v>2</v>
      </c>
      <c r="AL1671" s="3">
        <v>2</v>
      </c>
      <c r="AM1671" s="3">
        <v>8</v>
      </c>
      <c r="AN1671" s="3">
        <v>0</v>
      </c>
      <c r="AO1671" s="3">
        <v>2</v>
      </c>
      <c r="AP1671" s="3">
        <v>0</v>
      </c>
      <c r="AQ1671" s="3">
        <v>0</v>
      </c>
      <c r="AR1671" s="2" t="s">
        <v>5</v>
      </c>
      <c r="AS1671" s="2" t="s">
        <v>16</v>
      </c>
      <c r="AT1671" s="5" t="str">
        <f>HYPERLINK("http://catalog.hathitrust.org/Record/004015900","HathiTrust Record")</f>
        <v>HathiTrust Record</v>
      </c>
      <c r="AU1671" s="5" t="str">
        <f>HYPERLINK("https://creighton-primo.hosted.exlibrisgroup.com/primo-explore/search?tab=default_tab&amp;search_scope=EVERYTHING&amp;vid=01CRU&amp;lang=en_US&amp;offset=0&amp;query=any,contains,991001553429702656","Catalog Record")</f>
        <v>Catalog Record</v>
      </c>
      <c r="AV1671" s="5" t="str">
        <f>HYPERLINK("http://www.worldcat.org/oclc/39236350","WorldCat Record")</f>
        <v>WorldCat Record</v>
      </c>
      <c r="AW1671" s="2" t="s">
        <v>19868</v>
      </c>
      <c r="AX1671" s="2" t="s">
        <v>19869</v>
      </c>
      <c r="AY1671" s="2" t="s">
        <v>19870</v>
      </c>
      <c r="AZ1671" s="2" t="s">
        <v>19870</v>
      </c>
      <c r="BA1671" s="2" t="s">
        <v>19871</v>
      </c>
      <c r="BB1671" s="2" t="s">
        <v>21</v>
      </c>
      <c r="BD1671" s="2" t="s">
        <v>19872</v>
      </c>
      <c r="BE1671" s="2" t="s">
        <v>19873</v>
      </c>
      <c r="BF1671" s="2" t="s">
        <v>19874</v>
      </c>
    </row>
    <row r="1672" spans="1:58" ht="41.25" customHeight="1" x14ac:dyDescent="0.25">
      <c r="A1672" s="8" t="s">
        <v>5</v>
      </c>
      <c r="B1672" s="1" t="s">
        <v>0</v>
      </c>
      <c r="C1672" s="1" t="s">
        <v>1</v>
      </c>
      <c r="D1672" s="1" t="s">
        <v>19875</v>
      </c>
      <c r="E1672" s="1" t="s">
        <v>19876</v>
      </c>
      <c r="F1672" s="1" t="s">
        <v>19877</v>
      </c>
      <c r="H1672" s="2" t="s">
        <v>5</v>
      </c>
      <c r="I1672" s="2" t="s">
        <v>6</v>
      </c>
      <c r="J1672" s="2" t="s">
        <v>5</v>
      </c>
      <c r="K1672" s="2" t="s">
        <v>16</v>
      </c>
      <c r="L1672" s="2" t="s">
        <v>7</v>
      </c>
      <c r="N1672" s="1" t="s">
        <v>5068</v>
      </c>
      <c r="O1672" s="2" t="s">
        <v>1046</v>
      </c>
      <c r="P1672" s="1" t="s">
        <v>901</v>
      </c>
      <c r="Q1672" s="2" t="s">
        <v>11</v>
      </c>
      <c r="R1672" s="2" t="s">
        <v>229</v>
      </c>
      <c r="T1672" s="2" t="s">
        <v>520</v>
      </c>
      <c r="U1672" s="3">
        <v>3</v>
      </c>
      <c r="V1672" s="3">
        <v>3</v>
      </c>
      <c r="W1672" s="4" t="s">
        <v>8004</v>
      </c>
      <c r="X1672" s="4" t="s">
        <v>8004</v>
      </c>
      <c r="Y1672" s="4" t="s">
        <v>11269</v>
      </c>
      <c r="Z1672" s="4" t="s">
        <v>11269</v>
      </c>
      <c r="AA1672" s="3">
        <v>251</v>
      </c>
      <c r="AB1672" s="3">
        <v>184</v>
      </c>
      <c r="AC1672" s="3">
        <v>552</v>
      </c>
      <c r="AD1672" s="3">
        <v>1</v>
      </c>
      <c r="AE1672" s="3">
        <v>3</v>
      </c>
      <c r="AF1672" s="3">
        <v>4</v>
      </c>
      <c r="AG1672" s="3">
        <v>13</v>
      </c>
      <c r="AH1672" s="3">
        <v>0</v>
      </c>
      <c r="AI1672" s="3">
        <v>3</v>
      </c>
      <c r="AJ1672" s="3">
        <v>1</v>
      </c>
      <c r="AK1672" s="3">
        <v>2</v>
      </c>
      <c r="AL1672" s="3">
        <v>4</v>
      </c>
      <c r="AM1672" s="3">
        <v>8</v>
      </c>
      <c r="AN1672" s="3">
        <v>0</v>
      </c>
      <c r="AO1672" s="3">
        <v>2</v>
      </c>
      <c r="AP1672" s="3">
        <v>0</v>
      </c>
      <c r="AQ1672" s="3">
        <v>0</v>
      </c>
      <c r="AR1672" s="2" t="s">
        <v>5</v>
      </c>
      <c r="AS1672" s="2" t="s">
        <v>16</v>
      </c>
      <c r="AT1672" s="5" t="str">
        <f>HYPERLINK("http://catalog.hathitrust.org/Record/004278540","HathiTrust Record")</f>
        <v>HathiTrust Record</v>
      </c>
      <c r="AU1672" s="5" t="str">
        <f>HYPERLINK("https://creighton-primo.hosted.exlibrisgroup.com/primo-explore/search?tab=default_tab&amp;search_scope=EVERYTHING&amp;vid=01CRU&amp;lang=en_US&amp;offset=0&amp;query=any,contains,991000331819702656","Catalog Record")</f>
        <v>Catalog Record</v>
      </c>
      <c r="AV1672" s="5" t="str">
        <f>HYPERLINK("http://www.worldcat.org/oclc/49527014","WorldCat Record")</f>
        <v>WorldCat Record</v>
      </c>
      <c r="AW1672" s="2" t="s">
        <v>19868</v>
      </c>
      <c r="AX1672" s="2" t="s">
        <v>19878</v>
      </c>
      <c r="AY1672" s="2" t="s">
        <v>19879</v>
      </c>
      <c r="AZ1672" s="2" t="s">
        <v>19879</v>
      </c>
      <c r="BA1672" s="2" t="s">
        <v>19880</v>
      </c>
      <c r="BB1672" s="2" t="s">
        <v>21</v>
      </c>
      <c r="BD1672" s="2" t="s">
        <v>19881</v>
      </c>
      <c r="BE1672" s="2" t="s">
        <v>19882</v>
      </c>
      <c r="BF1672" s="2" t="s">
        <v>19883</v>
      </c>
    </row>
    <row r="1673" spans="1:58" ht="41.25" customHeight="1" x14ac:dyDescent="0.25">
      <c r="A1673" s="8" t="s">
        <v>5</v>
      </c>
      <c r="B1673" s="1" t="s">
        <v>0</v>
      </c>
      <c r="C1673" s="1" t="s">
        <v>1</v>
      </c>
      <c r="D1673" s="1" t="s">
        <v>19884</v>
      </c>
      <c r="E1673" s="1" t="s">
        <v>19885</v>
      </c>
      <c r="F1673" s="1" t="s">
        <v>19886</v>
      </c>
      <c r="H1673" s="2" t="s">
        <v>5</v>
      </c>
      <c r="I1673" s="2" t="s">
        <v>6</v>
      </c>
      <c r="J1673" s="2" t="s">
        <v>5</v>
      </c>
      <c r="K1673" s="2" t="s">
        <v>5</v>
      </c>
      <c r="L1673" s="2" t="s">
        <v>7</v>
      </c>
      <c r="M1673" s="1" t="s">
        <v>19887</v>
      </c>
      <c r="N1673" s="1" t="s">
        <v>11208</v>
      </c>
      <c r="O1673" s="2" t="s">
        <v>1004</v>
      </c>
      <c r="Q1673" s="2" t="s">
        <v>11</v>
      </c>
      <c r="R1673" s="2" t="s">
        <v>3356</v>
      </c>
      <c r="T1673" s="2" t="s">
        <v>520</v>
      </c>
      <c r="U1673" s="3">
        <v>1</v>
      </c>
      <c r="V1673" s="3">
        <v>1</v>
      </c>
      <c r="W1673" s="4" t="s">
        <v>19867</v>
      </c>
      <c r="X1673" s="4" t="s">
        <v>19867</v>
      </c>
      <c r="Y1673" s="4" t="s">
        <v>19867</v>
      </c>
      <c r="Z1673" s="4" t="s">
        <v>19867</v>
      </c>
      <c r="AA1673" s="3">
        <v>106</v>
      </c>
      <c r="AB1673" s="3">
        <v>90</v>
      </c>
      <c r="AC1673" s="3">
        <v>90</v>
      </c>
      <c r="AD1673" s="3">
        <v>1</v>
      </c>
      <c r="AE1673" s="3">
        <v>1</v>
      </c>
      <c r="AF1673" s="3">
        <v>1</v>
      </c>
      <c r="AG1673" s="3">
        <v>1</v>
      </c>
      <c r="AH1673" s="3">
        <v>1</v>
      </c>
      <c r="AI1673" s="3">
        <v>1</v>
      </c>
      <c r="AJ1673" s="3">
        <v>0</v>
      </c>
      <c r="AK1673" s="3">
        <v>0</v>
      </c>
      <c r="AL1673" s="3">
        <v>0</v>
      </c>
      <c r="AM1673" s="3">
        <v>0</v>
      </c>
      <c r="AN1673" s="3">
        <v>0</v>
      </c>
      <c r="AO1673" s="3">
        <v>0</v>
      </c>
      <c r="AP1673" s="3">
        <v>0</v>
      </c>
      <c r="AQ1673" s="3">
        <v>0</v>
      </c>
      <c r="AR1673" s="2" t="s">
        <v>5</v>
      </c>
      <c r="AS1673" s="2" t="s">
        <v>5</v>
      </c>
      <c r="AU1673" s="5" t="str">
        <f>HYPERLINK("https://creighton-primo.hosted.exlibrisgroup.com/primo-explore/search?tab=default_tab&amp;search_scope=EVERYTHING&amp;vid=01CRU&amp;lang=en_US&amp;offset=0&amp;query=any,contains,991001561389702656","Catalog Record")</f>
        <v>Catalog Record</v>
      </c>
      <c r="AV1673" s="5" t="str">
        <f>HYPERLINK("http://www.worldcat.org/oclc/40789842","WorldCat Record")</f>
        <v>WorldCat Record</v>
      </c>
      <c r="AW1673" s="2" t="s">
        <v>19888</v>
      </c>
      <c r="AX1673" s="2" t="s">
        <v>19889</v>
      </c>
      <c r="AY1673" s="2" t="s">
        <v>19890</v>
      </c>
      <c r="AZ1673" s="2" t="s">
        <v>19890</v>
      </c>
      <c r="BA1673" s="2" t="s">
        <v>19891</v>
      </c>
      <c r="BB1673" s="2" t="s">
        <v>21</v>
      </c>
      <c r="BD1673" s="2" t="s">
        <v>19872</v>
      </c>
      <c r="BE1673" s="2" t="s">
        <v>19892</v>
      </c>
      <c r="BF1673" s="2" t="s">
        <v>19893</v>
      </c>
    </row>
    <row r="1674" spans="1:58" ht="41.25" customHeight="1" x14ac:dyDescent="0.25">
      <c r="A1674" s="8" t="s">
        <v>5</v>
      </c>
      <c r="B1674" s="1" t="s">
        <v>0</v>
      </c>
      <c r="C1674" s="1" t="s">
        <v>1</v>
      </c>
      <c r="D1674" s="1" t="s">
        <v>19894</v>
      </c>
      <c r="E1674" s="1" t="s">
        <v>19895</v>
      </c>
      <c r="F1674" s="1" t="s">
        <v>19896</v>
      </c>
      <c r="H1674" s="2" t="s">
        <v>5</v>
      </c>
      <c r="I1674" s="2" t="s">
        <v>6</v>
      </c>
      <c r="J1674" s="2" t="s">
        <v>5</v>
      </c>
      <c r="K1674" s="2" t="s">
        <v>5</v>
      </c>
      <c r="L1674" s="2" t="s">
        <v>7</v>
      </c>
      <c r="N1674" s="1" t="s">
        <v>7668</v>
      </c>
      <c r="O1674" s="2" t="s">
        <v>989</v>
      </c>
      <c r="Q1674" s="2" t="s">
        <v>11</v>
      </c>
      <c r="R1674" s="2" t="s">
        <v>31</v>
      </c>
      <c r="T1674" s="2" t="s">
        <v>520</v>
      </c>
      <c r="U1674" s="3">
        <v>12</v>
      </c>
      <c r="V1674" s="3">
        <v>12</v>
      </c>
      <c r="W1674" s="4" t="s">
        <v>19897</v>
      </c>
      <c r="X1674" s="4" t="s">
        <v>19897</v>
      </c>
      <c r="Y1674" s="4" t="s">
        <v>1143</v>
      </c>
      <c r="Z1674" s="4" t="s">
        <v>1143</v>
      </c>
      <c r="AA1674" s="3">
        <v>315</v>
      </c>
      <c r="AB1674" s="3">
        <v>257</v>
      </c>
      <c r="AC1674" s="3">
        <v>264</v>
      </c>
      <c r="AD1674" s="3">
        <v>2</v>
      </c>
      <c r="AE1674" s="3">
        <v>2</v>
      </c>
      <c r="AF1674" s="3">
        <v>6</v>
      </c>
      <c r="AG1674" s="3">
        <v>6</v>
      </c>
      <c r="AH1674" s="3">
        <v>2</v>
      </c>
      <c r="AI1674" s="3">
        <v>2</v>
      </c>
      <c r="AJ1674" s="3">
        <v>1</v>
      </c>
      <c r="AK1674" s="3">
        <v>1</v>
      </c>
      <c r="AL1674" s="3">
        <v>3</v>
      </c>
      <c r="AM1674" s="3">
        <v>3</v>
      </c>
      <c r="AN1674" s="3">
        <v>1</v>
      </c>
      <c r="AO1674" s="3">
        <v>1</v>
      </c>
      <c r="AP1674" s="3">
        <v>0</v>
      </c>
      <c r="AQ1674" s="3">
        <v>0</v>
      </c>
      <c r="AR1674" s="2" t="s">
        <v>5</v>
      </c>
      <c r="AS1674" s="2" t="s">
        <v>16</v>
      </c>
      <c r="AT1674" s="5" t="str">
        <f>HYPERLINK("http://catalog.hathitrust.org/Record/001831731","HathiTrust Record")</f>
        <v>HathiTrust Record</v>
      </c>
      <c r="AU1674" s="5" t="str">
        <f>HYPERLINK("https://creighton-primo.hosted.exlibrisgroup.com/primo-explore/search?tab=default_tab&amp;search_scope=EVERYTHING&amp;vid=01CRU&amp;lang=en_US&amp;offset=0&amp;query=any,contains,991001476599702656","Catalog Record")</f>
        <v>Catalog Record</v>
      </c>
      <c r="AV1674" s="5" t="str">
        <f>HYPERLINK("http://www.worldcat.org/oclc/18716219","WorldCat Record")</f>
        <v>WorldCat Record</v>
      </c>
      <c r="AW1674" s="2" t="s">
        <v>19898</v>
      </c>
      <c r="AX1674" s="2" t="s">
        <v>19899</v>
      </c>
      <c r="AY1674" s="2" t="s">
        <v>19900</v>
      </c>
      <c r="AZ1674" s="2" t="s">
        <v>19900</v>
      </c>
      <c r="BA1674" s="2" t="s">
        <v>19901</v>
      </c>
      <c r="BB1674" s="2" t="s">
        <v>21</v>
      </c>
      <c r="BD1674" s="2" t="s">
        <v>19902</v>
      </c>
      <c r="BE1674" s="2" t="s">
        <v>19903</v>
      </c>
      <c r="BF1674" s="2" t="s">
        <v>19904</v>
      </c>
    </row>
    <row r="1675" spans="1:58" ht="41.25" customHeight="1" x14ac:dyDescent="0.25">
      <c r="A1675" s="8" t="s">
        <v>5</v>
      </c>
      <c r="B1675" s="1" t="s">
        <v>0</v>
      </c>
      <c r="C1675" s="1" t="s">
        <v>1</v>
      </c>
      <c r="D1675" s="1" t="s">
        <v>19905</v>
      </c>
      <c r="E1675" s="1" t="s">
        <v>19906</v>
      </c>
      <c r="F1675" s="1" t="s">
        <v>19907</v>
      </c>
      <c r="H1675" s="2" t="s">
        <v>5</v>
      </c>
      <c r="I1675" s="2" t="s">
        <v>6</v>
      </c>
      <c r="J1675" s="2" t="s">
        <v>5</v>
      </c>
      <c r="K1675" s="2" t="s">
        <v>5</v>
      </c>
      <c r="L1675" s="2" t="s">
        <v>7</v>
      </c>
      <c r="M1675" s="1" t="s">
        <v>19315</v>
      </c>
      <c r="N1675" s="1" t="s">
        <v>3804</v>
      </c>
      <c r="O1675" s="2" t="s">
        <v>1339</v>
      </c>
      <c r="P1675" s="1" t="s">
        <v>901</v>
      </c>
      <c r="Q1675" s="2" t="s">
        <v>11</v>
      </c>
      <c r="R1675" s="2" t="s">
        <v>426</v>
      </c>
      <c r="T1675" s="2" t="s">
        <v>520</v>
      </c>
      <c r="U1675" s="3">
        <v>3</v>
      </c>
      <c r="V1675" s="3">
        <v>3</v>
      </c>
      <c r="W1675" s="4" t="s">
        <v>19908</v>
      </c>
      <c r="X1675" s="4" t="s">
        <v>19908</v>
      </c>
      <c r="Y1675" s="4" t="s">
        <v>18800</v>
      </c>
      <c r="Z1675" s="4" t="s">
        <v>18800</v>
      </c>
      <c r="AA1675" s="3">
        <v>220</v>
      </c>
      <c r="AB1675" s="3">
        <v>183</v>
      </c>
      <c r="AC1675" s="3">
        <v>198</v>
      </c>
      <c r="AD1675" s="3">
        <v>1</v>
      </c>
      <c r="AE1675" s="3">
        <v>1</v>
      </c>
      <c r="AF1675" s="3">
        <v>6</v>
      </c>
      <c r="AG1675" s="3">
        <v>6</v>
      </c>
      <c r="AH1675" s="3">
        <v>3</v>
      </c>
      <c r="AI1675" s="3">
        <v>3</v>
      </c>
      <c r="AJ1675" s="3">
        <v>1</v>
      </c>
      <c r="AK1675" s="3">
        <v>1</v>
      </c>
      <c r="AL1675" s="3">
        <v>5</v>
      </c>
      <c r="AM1675" s="3">
        <v>5</v>
      </c>
      <c r="AN1675" s="3">
        <v>0</v>
      </c>
      <c r="AO1675" s="3">
        <v>0</v>
      </c>
      <c r="AP1675" s="3">
        <v>0</v>
      </c>
      <c r="AQ1675" s="3">
        <v>0</v>
      </c>
      <c r="AR1675" s="2" t="s">
        <v>5</v>
      </c>
      <c r="AS1675" s="2" t="s">
        <v>16</v>
      </c>
      <c r="AT1675" s="5" t="str">
        <f>HYPERLINK("http://catalog.hathitrust.org/Record/004414528","HathiTrust Record")</f>
        <v>HathiTrust Record</v>
      </c>
      <c r="AU1675" s="5" t="str">
        <f>HYPERLINK("https://creighton-primo.hosted.exlibrisgroup.com/primo-explore/search?tab=default_tab&amp;search_scope=EVERYTHING&amp;vid=01CRU&amp;lang=en_US&amp;offset=0&amp;query=any,contains,991000763959702656","Catalog Record")</f>
        <v>Catalog Record</v>
      </c>
      <c r="AV1675" s="5" t="str">
        <f>HYPERLINK("http://www.worldcat.org/oclc/14719679","WorldCat Record")</f>
        <v>WorldCat Record</v>
      </c>
      <c r="AW1675" s="2" t="s">
        <v>19909</v>
      </c>
      <c r="AX1675" s="2" t="s">
        <v>19910</v>
      </c>
      <c r="AY1675" s="2" t="s">
        <v>19911</v>
      </c>
      <c r="AZ1675" s="2" t="s">
        <v>19911</v>
      </c>
      <c r="BA1675" s="2" t="s">
        <v>19912</v>
      </c>
      <c r="BB1675" s="2" t="s">
        <v>21</v>
      </c>
      <c r="BD1675" s="2" t="s">
        <v>19913</v>
      </c>
      <c r="BE1675" s="2" t="s">
        <v>19914</v>
      </c>
      <c r="BF1675" s="2" t="s">
        <v>19915</v>
      </c>
    </row>
    <row r="1676" spans="1:58" ht="41.25" customHeight="1" x14ac:dyDescent="0.25">
      <c r="A1676" s="8" t="s">
        <v>5</v>
      </c>
      <c r="B1676" s="1" t="s">
        <v>0</v>
      </c>
      <c r="C1676" s="1" t="s">
        <v>1</v>
      </c>
      <c r="D1676" s="1" t="s">
        <v>19916</v>
      </c>
      <c r="E1676" s="1" t="s">
        <v>19917</v>
      </c>
      <c r="F1676" s="1" t="s">
        <v>19918</v>
      </c>
      <c r="H1676" s="2" t="s">
        <v>5</v>
      </c>
      <c r="I1676" s="2" t="s">
        <v>6</v>
      </c>
      <c r="J1676" s="2" t="s">
        <v>5</v>
      </c>
      <c r="K1676" s="2" t="s">
        <v>5</v>
      </c>
      <c r="L1676" s="2" t="s">
        <v>7</v>
      </c>
      <c r="M1676" s="1" t="s">
        <v>19919</v>
      </c>
      <c r="N1676" s="1" t="s">
        <v>2250</v>
      </c>
      <c r="O1676" s="2" t="s">
        <v>228</v>
      </c>
      <c r="Q1676" s="2" t="s">
        <v>11</v>
      </c>
      <c r="R1676" s="2" t="s">
        <v>426</v>
      </c>
      <c r="T1676" s="2" t="s">
        <v>520</v>
      </c>
      <c r="U1676" s="3">
        <v>2</v>
      </c>
      <c r="V1676" s="3">
        <v>2</v>
      </c>
      <c r="W1676" s="4" t="s">
        <v>8004</v>
      </c>
      <c r="X1676" s="4" t="s">
        <v>8004</v>
      </c>
      <c r="Y1676" s="4" t="s">
        <v>15242</v>
      </c>
      <c r="Z1676" s="4" t="s">
        <v>15242</v>
      </c>
      <c r="AA1676" s="3">
        <v>183</v>
      </c>
      <c r="AB1676" s="3">
        <v>134</v>
      </c>
      <c r="AC1676" s="3">
        <v>136</v>
      </c>
      <c r="AD1676" s="3">
        <v>2</v>
      </c>
      <c r="AE1676" s="3">
        <v>2</v>
      </c>
      <c r="AF1676" s="3">
        <v>4</v>
      </c>
      <c r="AG1676" s="3">
        <v>4</v>
      </c>
      <c r="AH1676" s="3">
        <v>2</v>
      </c>
      <c r="AI1676" s="3">
        <v>2</v>
      </c>
      <c r="AJ1676" s="3">
        <v>1</v>
      </c>
      <c r="AK1676" s="3">
        <v>1</v>
      </c>
      <c r="AL1676" s="3">
        <v>1</v>
      </c>
      <c r="AM1676" s="3">
        <v>1</v>
      </c>
      <c r="AN1676" s="3">
        <v>1</v>
      </c>
      <c r="AO1676" s="3">
        <v>1</v>
      </c>
      <c r="AP1676" s="3">
        <v>0</v>
      </c>
      <c r="AQ1676" s="3">
        <v>0</v>
      </c>
      <c r="AR1676" s="2" t="s">
        <v>5</v>
      </c>
      <c r="AS1676" s="2" t="s">
        <v>16</v>
      </c>
      <c r="AT1676" s="5" t="str">
        <f>HYPERLINK("http://catalog.hathitrust.org/Record/000279050","HathiTrust Record")</f>
        <v>HathiTrust Record</v>
      </c>
      <c r="AU1676" s="5" t="str">
        <f>HYPERLINK("https://creighton-primo.hosted.exlibrisgroup.com/primo-explore/search?tab=default_tab&amp;search_scope=EVERYTHING&amp;vid=01CRU&amp;lang=en_US&amp;offset=0&amp;query=any,contains,991001532059702656","Catalog Record")</f>
        <v>Catalog Record</v>
      </c>
      <c r="AV1676" s="5" t="str">
        <f>HYPERLINK("http://www.worldcat.org/oclc/7735106","WorldCat Record")</f>
        <v>WorldCat Record</v>
      </c>
      <c r="AW1676" s="2" t="s">
        <v>19920</v>
      </c>
      <c r="AX1676" s="2" t="s">
        <v>19921</v>
      </c>
      <c r="AY1676" s="2" t="s">
        <v>19922</v>
      </c>
      <c r="AZ1676" s="2" t="s">
        <v>19922</v>
      </c>
      <c r="BA1676" s="2" t="s">
        <v>19923</v>
      </c>
      <c r="BB1676" s="2" t="s">
        <v>21</v>
      </c>
      <c r="BD1676" s="2" t="s">
        <v>19924</v>
      </c>
      <c r="BE1676" s="2" t="s">
        <v>19925</v>
      </c>
      <c r="BF1676" s="2" t="s">
        <v>19926</v>
      </c>
    </row>
    <row r="1677" spans="1:58" ht="41.25" customHeight="1" x14ac:dyDescent="0.25">
      <c r="A1677" s="8" t="s">
        <v>5</v>
      </c>
      <c r="B1677" s="1" t="s">
        <v>0</v>
      </c>
      <c r="C1677" s="1" t="s">
        <v>1</v>
      </c>
      <c r="D1677" s="1" t="s">
        <v>19927</v>
      </c>
      <c r="E1677" s="1" t="s">
        <v>19928</v>
      </c>
      <c r="F1677" s="1" t="s">
        <v>19929</v>
      </c>
      <c r="H1677" s="2" t="s">
        <v>5</v>
      </c>
      <c r="I1677" s="2" t="s">
        <v>6</v>
      </c>
      <c r="J1677" s="2" t="s">
        <v>5</v>
      </c>
      <c r="K1677" s="2" t="s">
        <v>5</v>
      </c>
      <c r="L1677" s="2" t="s">
        <v>7</v>
      </c>
      <c r="M1677" s="1" t="s">
        <v>19930</v>
      </c>
      <c r="N1677" s="1" t="s">
        <v>19931</v>
      </c>
      <c r="O1677" s="2" t="s">
        <v>1339</v>
      </c>
      <c r="Q1677" s="2" t="s">
        <v>11</v>
      </c>
      <c r="R1677" s="2" t="s">
        <v>426</v>
      </c>
      <c r="T1677" s="2" t="s">
        <v>520</v>
      </c>
      <c r="U1677" s="3">
        <v>10</v>
      </c>
      <c r="V1677" s="3">
        <v>10</v>
      </c>
      <c r="W1677" s="4" t="s">
        <v>12170</v>
      </c>
      <c r="X1677" s="4" t="s">
        <v>12170</v>
      </c>
      <c r="Y1677" s="4" t="s">
        <v>18800</v>
      </c>
      <c r="Z1677" s="4" t="s">
        <v>18800</v>
      </c>
      <c r="AA1677" s="3">
        <v>184</v>
      </c>
      <c r="AB1677" s="3">
        <v>155</v>
      </c>
      <c r="AC1677" s="3">
        <v>160</v>
      </c>
      <c r="AD1677" s="3">
        <v>1</v>
      </c>
      <c r="AE1677" s="3">
        <v>1</v>
      </c>
      <c r="AF1677" s="3">
        <v>3</v>
      </c>
      <c r="AG1677" s="3">
        <v>3</v>
      </c>
      <c r="AH1677" s="3">
        <v>1</v>
      </c>
      <c r="AI1677" s="3">
        <v>1</v>
      </c>
      <c r="AJ1677" s="3">
        <v>0</v>
      </c>
      <c r="AK1677" s="3">
        <v>0</v>
      </c>
      <c r="AL1677" s="3">
        <v>2</v>
      </c>
      <c r="AM1677" s="3">
        <v>2</v>
      </c>
      <c r="AN1677" s="3">
        <v>0</v>
      </c>
      <c r="AO1677" s="3">
        <v>0</v>
      </c>
      <c r="AP1677" s="3">
        <v>0</v>
      </c>
      <c r="AQ1677" s="3">
        <v>0</v>
      </c>
      <c r="AR1677" s="2" t="s">
        <v>5</v>
      </c>
      <c r="AS1677" s="2" t="s">
        <v>5</v>
      </c>
      <c r="AU1677" s="5" t="str">
        <f>HYPERLINK("https://creighton-primo.hosted.exlibrisgroup.com/primo-explore/search?tab=default_tab&amp;search_scope=EVERYTHING&amp;vid=01CRU&amp;lang=en_US&amp;offset=0&amp;query=any,contains,991000766309702656","Catalog Record")</f>
        <v>Catalog Record</v>
      </c>
      <c r="AV1677" s="5" t="str">
        <f>HYPERLINK("http://www.worldcat.org/oclc/14520141","WorldCat Record")</f>
        <v>WorldCat Record</v>
      </c>
      <c r="AW1677" s="2" t="s">
        <v>19932</v>
      </c>
      <c r="AX1677" s="2" t="s">
        <v>19933</v>
      </c>
      <c r="AY1677" s="2" t="s">
        <v>19934</v>
      </c>
      <c r="AZ1677" s="2" t="s">
        <v>19934</v>
      </c>
      <c r="BA1677" s="2" t="s">
        <v>19935</v>
      </c>
      <c r="BB1677" s="2" t="s">
        <v>21</v>
      </c>
      <c r="BD1677" s="2" t="s">
        <v>19936</v>
      </c>
      <c r="BE1677" s="2" t="s">
        <v>19937</v>
      </c>
      <c r="BF1677" s="2" t="s">
        <v>19938</v>
      </c>
    </row>
    <row r="1678" spans="1:58" ht="41.25" customHeight="1" x14ac:dyDescent="0.25">
      <c r="A1678" s="8" t="s">
        <v>5</v>
      </c>
      <c r="B1678" s="1" t="s">
        <v>0</v>
      </c>
      <c r="C1678" s="1" t="s">
        <v>1</v>
      </c>
      <c r="D1678" s="1" t="s">
        <v>19939</v>
      </c>
      <c r="E1678" s="1" t="s">
        <v>19940</v>
      </c>
      <c r="F1678" s="1" t="s">
        <v>19941</v>
      </c>
      <c r="H1678" s="2" t="s">
        <v>5</v>
      </c>
      <c r="I1678" s="2" t="s">
        <v>6</v>
      </c>
      <c r="J1678" s="2" t="s">
        <v>5</v>
      </c>
      <c r="K1678" s="2" t="s">
        <v>5</v>
      </c>
      <c r="L1678" s="2" t="s">
        <v>7</v>
      </c>
      <c r="M1678" s="1" t="s">
        <v>19942</v>
      </c>
      <c r="N1678" s="1" t="s">
        <v>14892</v>
      </c>
      <c r="O1678" s="2" t="s">
        <v>989</v>
      </c>
      <c r="Q1678" s="2" t="s">
        <v>11</v>
      </c>
      <c r="R1678" s="2" t="s">
        <v>78</v>
      </c>
      <c r="T1678" s="2" t="s">
        <v>520</v>
      </c>
      <c r="U1678" s="3">
        <v>22</v>
      </c>
      <c r="V1678" s="3">
        <v>22</v>
      </c>
      <c r="W1678" s="4" t="s">
        <v>19943</v>
      </c>
      <c r="X1678" s="4" t="s">
        <v>19943</v>
      </c>
      <c r="Y1678" s="4" t="s">
        <v>1717</v>
      </c>
      <c r="Z1678" s="4" t="s">
        <v>1717</v>
      </c>
      <c r="AA1678" s="3">
        <v>148</v>
      </c>
      <c r="AB1678" s="3">
        <v>111</v>
      </c>
      <c r="AC1678" s="3">
        <v>113</v>
      </c>
      <c r="AD1678" s="3">
        <v>1</v>
      </c>
      <c r="AE1678" s="3">
        <v>1</v>
      </c>
      <c r="AF1678" s="3">
        <v>1</v>
      </c>
      <c r="AG1678" s="3">
        <v>1</v>
      </c>
      <c r="AH1678" s="3">
        <v>1</v>
      </c>
      <c r="AI1678" s="3">
        <v>1</v>
      </c>
      <c r="AJ1678" s="3">
        <v>0</v>
      </c>
      <c r="AK1678" s="3">
        <v>0</v>
      </c>
      <c r="AL1678" s="3">
        <v>1</v>
      </c>
      <c r="AM1678" s="3">
        <v>1</v>
      </c>
      <c r="AN1678" s="3">
        <v>0</v>
      </c>
      <c r="AO1678" s="3">
        <v>0</v>
      </c>
      <c r="AP1678" s="3">
        <v>0</v>
      </c>
      <c r="AQ1678" s="3">
        <v>0</v>
      </c>
      <c r="AR1678" s="2" t="s">
        <v>5</v>
      </c>
      <c r="AS1678" s="2" t="s">
        <v>16</v>
      </c>
      <c r="AT1678" s="5" t="str">
        <f>HYPERLINK("http://catalog.hathitrust.org/Record/002453105","HathiTrust Record")</f>
        <v>HathiTrust Record</v>
      </c>
      <c r="AU1678" s="5" t="str">
        <f>HYPERLINK("https://creighton-primo.hosted.exlibrisgroup.com/primo-explore/search?tab=default_tab&amp;search_scope=EVERYTHING&amp;vid=01CRU&amp;lang=en_US&amp;offset=0&amp;query=any,contains,991001454189702656","Catalog Record")</f>
        <v>Catalog Record</v>
      </c>
      <c r="AV1678" s="5" t="str">
        <f>HYPERLINK("http://www.worldcat.org/oclc/20262453","WorldCat Record")</f>
        <v>WorldCat Record</v>
      </c>
      <c r="AW1678" s="2" t="s">
        <v>19944</v>
      </c>
      <c r="AX1678" s="2" t="s">
        <v>19945</v>
      </c>
      <c r="AY1678" s="2" t="s">
        <v>19946</v>
      </c>
      <c r="AZ1678" s="2" t="s">
        <v>19946</v>
      </c>
      <c r="BA1678" s="2" t="s">
        <v>19947</v>
      </c>
      <c r="BB1678" s="2" t="s">
        <v>21</v>
      </c>
      <c r="BD1678" s="2" t="s">
        <v>19948</v>
      </c>
      <c r="BE1678" s="2" t="s">
        <v>19949</v>
      </c>
      <c r="BF1678" s="2" t="s">
        <v>19950</v>
      </c>
    </row>
    <row r="1679" spans="1:58" ht="41.25" customHeight="1" x14ac:dyDescent="0.25">
      <c r="A1679" s="8" t="s">
        <v>5</v>
      </c>
      <c r="B1679" s="1" t="s">
        <v>0</v>
      </c>
      <c r="C1679" s="1" t="s">
        <v>1</v>
      </c>
      <c r="D1679" s="1" t="s">
        <v>19951</v>
      </c>
      <c r="E1679" s="1" t="s">
        <v>19952</v>
      </c>
      <c r="F1679" s="1" t="s">
        <v>19953</v>
      </c>
      <c r="H1679" s="2" t="s">
        <v>5</v>
      </c>
      <c r="I1679" s="2" t="s">
        <v>6</v>
      </c>
      <c r="J1679" s="2" t="s">
        <v>5</v>
      </c>
      <c r="K1679" s="2" t="s">
        <v>5</v>
      </c>
      <c r="L1679" s="2" t="s">
        <v>7</v>
      </c>
      <c r="M1679" s="1" t="s">
        <v>4769</v>
      </c>
      <c r="N1679" s="1" t="s">
        <v>19954</v>
      </c>
      <c r="O1679" s="2" t="s">
        <v>382</v>
      </c>
      <c r="Q1679" s="2" t="s">
        <v>11</v>
      </c>
      <c r="R1679" s="2" t="s">
        <v>93</v>
      </c>
      <c r="T1679" s="2" t="s">
        <v>520</v>
      </c>
      <c r="U1679" s="3">
        <v>3</v>
      </c>
      <c r="V1679" s="3">
        <v>3</v>
      </c>
      <c r="W1679" s="4" t="s">
        <v>19833</v>
      </c>
      <c r="X1679" s="4" t="s">
        <v>19833</v>
      </c>
      <c r="Y1679" s="4" t="s">
        <v>6154</v>
      </c>
      <c r="Z1679" s="4" t="s">
        <v>6154</v>
      </c>
      <c r="AA1679" s="3">
        <v>3</v>
      </c>
      <c r="AB1679" s="3">
        <v>3</v>
      </c>
      <c r="AC1679" s="3">
        <v>3</v>
      </c>
      <c r="AD1679" s="3">
        <v>1</v>
      </c>
      <c r="AE1679" s="3">
        <v>1</v>
      </c>
      <c r="AF1679" s="3">
        <v>0</v>
      </c>
      <c r="AG1679" s="3">
        <v>0</v>
      </c>
      <c r="AH1679" s="3">
        <v>0</v>
      </c>
      <c r="AI1679" s="3">
        <v>0</v>
      </c>
      <c r="AJ1679" s="3">
        <v>0</v>
      </c>
      <c r="AK1679" s="3">
        <v>0</v>
      </c>
      <c r="AL1679" s="3">
        <v>0</v>
      </c>
      <c r="AM1679" s="3">
        <v>0</v>
      </c>
      <c r="AN1679" s="3">
        <v>0</v>
      </c>
      <c r="AO1679" s="3">
        <v>0</v>
      </c>
      <c r="AP1679" s="3">
        <v>0</v>
      </c>
      <c r="AQ1679" s="3">
        <v>0</v>
      </c>
      <c r="AR1679" s="2" t="s">
        <v>5</v>
      </c>
      <c r="AS1679" s="2" t="s">
        <v>5</v>
      </c>
      <c r="AU1679" s="5" t="str">
        <f>HYPERLINK("https://creighton-primo.hosted.exlibrisgroup.com/primo-explore/search?tab=default_tab&amp;search_scope=EVERYTHING&amp;vid=01CRU&amp;lang=en_US&amp;offset=0&amp;query=any,contains,991000629879702656","Catalog Record")</f>
        <v>Catalog Record</v>
      </c>
      <c r="AV1679" s="5" t="str">
        <f>HYPERLINK("http://www.worldcat.org/oclc/18232390","WorldCat Record")</f>
        <v>WorldCat Record</v>
      </c>
      <c r="AW1679" s="2" t="s">
        <v>19955</v>
      </c>
      <c r="AX1679" s="2" t="s">
        <v>19956</v>
      </c>
      <c r="AY1679" s="2" t="s">
        <v>19957</v>
      </c>
      <c r="AZ1679" s="2" t="s">
        <v>19957</v>
      </c>
      <c r="BA1679" s="2" t="s">
        <v>19958</v>
      </c>
      <c r="BB1679" s="2" t="s">
        <v>21</v>
      </c>
      <c r="BE1679" s="2" t="s">
        <v>19959</v>
      </c>
      <c r="BF1679" s="2" t="s">
        <v>19960</v>
      </c>
    </row>
    <row r="1680" spans="1:58" ht="41.25" customHeight="1" x14ac:dyDescent="0.25">
      <c r="A1680" s="8" t="s">
        <v>5</v>
      </c>
      <c r="B1680" s="1" t="s">
        <v>0</v>
      </c>
      <c r="C1680" s="1" t="s">
        <v>1</v>
      </c>
      <c r="D1680" s="1" t="s">
        <v>19961</v>
      </c>
      <c r="E1680" s="1" t="s">
        <v>19962</v>
      </c>
      <c r="F1680" s="1" t="s">
        <v>19963</v>
      </c>
      <c r="H1680" s="2" t="s">
        <v>5</v>
      </c>
      <c r="I1680" s="2" t="s">
        <v>6</v>
      </c>
      <c r="J1680" s="2" t="s">
        <v>5</v>
      </c>
      <c r="K1680" s="2" t="s">
        <v>5</v>
      </c>
      <c r="L1680" s="2" t="s">
        <v>7</v>
      </c>
      <c r="N1680" s="1" t="s">
        <v>19964</v>
      </c>
      <c r="O1680" s="2" t="s">
        <v>19965</v>
      </c>
      <c r="Q1680" s="2" t="s">
        <v>11</v>
      </c>
      <c r="R1680" s="2" t="s">
        <v>12</v>
      </c>
      <c r="T1680" s="2" t="s">
        <v>520</v>
      </c>
      <c r="U1680" s="3">
        <v>3</v>
      </c>
      <c r="V1680" s="3">
        <v>3</v>
      </c>
      <c r="W1680" s="4" t="s">
        <v>1975</v>
      </c>
      <c r="X1680" s="4" t="s">
        <v>1975</v>
      </c>
      <c r="Y1680" s="4" t="s">
        <v>2226</v>
      </c>
      <c r="Z1680" s="4" t="s">
        <v>2226</v>
      </c>
      <c r="AA1680" s="3">
        <v>38</v>
      </c>
      <c r="AB1680" s="3">
        <v>36</v>
      </c>
      <c r="AC1680" s="3">
        <v>43</v>
      </c>
      <c r="AD1680" s="3">
        <v>1</v>
      </c>
      <c r="AE1680" s="3">
        <v>1</v>
      </c>
      <c r="AF1680" s="3">
        <v>2</v>
      </c>
      <c r="AG1680" s="3">
        <v>2</v>
      </c>
      <c r="AH1680" s="3">
        <v>0</v>
      </c>
      <c r="AI1680" s="3">
        <v>0</v>
      </c>
      <c r="AJ1680" s="3">
        <v>0</v>
      </c>
      <c r="AK1680" s="3">
        <v>0</v>
      </c>
      <c r="AL1680" s="3">
        <v>2</v>
      </c>
      <c r="AM1680" s="3">
        <v>2</v>
      </c>
      <c r="AN1680" s="3">
        <v>0</v>
      </c>
      <c r="AO1680" s="3">
        <v>0</v>
      </c>
      <c r="AP1680" s="3">
        <v>0</v>
      </c>
      <c r="AQ1680" s="3">
        <v>0</v>
      </c>
      <c r="AR1680" s="2" t="s">
        <v>16</v>
      </c>
      <c r="AS1680" s="2" t="s">
        <v>5</v>
      </c>
      <c r="AT1680" s="5" t="str">
        <f>HYPERLINK("http://catalog.hathitrust.org/Record/001574836","HathiTrust Record")</f>
        <v>HathiTrust Record</v>
      </c>
      <c r="AU1680" s="5" t="str">
        <f>HYPERLINK("https://creighton-primo.hosted.exlibrisgroup.com/primo-explore/search?tab=default_tab&amp;search_scope=EVERYTHING&amp;vid=01CRU&amp;lang=en_US&amp;offset=0&amp;query=any,contains,991001518429702656","Catalog Record")</f>
        <v>Catalog Record</v>
      </c>
      <c r="AV1680" s="5" t="str">
        <f>HYPERLINK("http://www.worldcat.org/oclc/3727726","WorldCat Record")</f>
        <v>WorldCat Record</v>
      </c>
      <c r="AW1680" s="2" t="s">
        <v>19966</v>
      </c>
      <c r="AX1680" s="2" t="s">
        <v>19967</v>
      </c>
      <c r="AY1680" s="2" t="s">
        <v>19968</v>
      </c>
      <c r="AZ1680" s="2" t="s">
        <v>19968</v>
      </c>
      <c r="BA1680" s="2" t="s">
        <v>19969</v>
      </c>
      <c r="BB1680" s="2" t="s">
        <v>21</v>
      </c>
      <c r="BE1680" s="2" t="s">
        <v>19970</v>
      </c>
      <c r="BF1680" s="2" t="s">
        <v>19971</v>
      </c>
    </row>
    <row r="1681" spans="1:58" ht="41.25" customHeight="1" x14ac:dyDescent="0.25">
      <c r="A1681" s="8" t="s">
        <v>5</v>
      </c>
      <c r="B1681" s="1" t="s">
        <v>0</v>
      </c>
      <c r="C1681" s="1" t="s">
        <v>1</v>
      </c>
      <c r="D1681" s="1" t="s">
        <v>19972</v>
      </c>
      <c r="E1681" s="1" t="s">
        <v>19973</v>
      </c>
      <c r="F1681" s="1" t="s">
        <v>19974</v>
      </c>
      <c r="H1681" s="2" t="s">
        <v>5</v>
      </c>
      <c r="I1681" s="2" t="s">
        <v>6</v>
      </c>
      <c r="J1681" s="2" t="s">
        <v>5</v>
      </c>
      <c r="K1681" s="2" t="s">
        <v>5</v>
      </c>
      <c r="L1681" s="2" t="s">
        <v>7</v>
      </c>
      <c r="M1681" s="1" t="s">
        <v>19975</v>
      </c>
      <c r="N1681" s="1" t="s">
        <v>19976</v>
      </c>
      <c r="O1681" s="2" t="s">
        <v>393</v>
      </c>
      <c r="Q1681" s="2" t="s">
        <v>11</v>
      </c>
      <c r="R1681" s="2" t="s">
        <v>426</v>
      </c>
      <c r="T1681" s="2" t="s">
        <v>520</v>
      </c>
      <c r="U1681" s="3">
        <v>3</v>
      </c>
      <c r="V1681" s="3">
        <v>3</v>
      </c>
      <c r="W1681" s="4" t="s">
        <v>8004</v>
      </c>
      <c r="X1681" s="4" t="s">
        <v>8004</v>
      </c>
      <c r="Y1681" s="4" t="s">
        <v>168</v>
      </c>
      <c r="Z1681" s="4" t="s">
        <v>168</v>
      </c>
      <c r="AA1681" s="3">
        <v>259</v>
      </c>
      <c r="AB1681" s="3">
        <v>208</v>
      </c>
      <c r="AC1681" s="3">
        <v>208</v>
      </c>
      <c r="AD1681" s="3">
        <v>3</v>
      </c>
      <c r="AE1681" s="3">
        <v>3</v>
      </c>
      <c r="AF1681" s="3">
        <v>9</v>
      </c>
      <c r="AG1681" s="3">
        <v>9</v>
      </c>
      <c r="AH1681" s="3">
        <v>4</v>
      </c>
      <c r="AI1681" s="3">
        <v>4</v>
      </c>
      <c r="AJ1681" s="3">
        <v>1</v>
      </c>
      <c r="AK1681" s="3">
        <v>1</v>
      </c>
      <c r="AL1681" s="3">
        <v>3</v>
      </c>
      <c r="AM1681" s="3">
        <v>3</v>
      </c>
      <c r="AN1681" s="3">
        <v>2</v>
      </c>
      <c r="AO1681" s="3">
        <v>2</v>
      </c>
      <c r="AP1681" s="3">
        <v>0</v>
      </c>
      <c r="AQ1681" s="3">
        <v>0</v>
      </c>
      <c r="AR1681" s="2" t="s">
        <v>5</v>
      </c>
      <c r="AS1681" s="2" t="s">
        <v>5</v>
      </c>
      <c r="AU1681" s="5" t="str">
        <f>HYPERLINK("https://creighton-primo.hosted.exlibrisgroup.com/primo-explore/search?tab=default_tab&amp;search_scope=EVERYTHING&amp;vid=01CRU&amp;lang=en_US&amp;offset=0&amp;query=any,contains,991000924969702656","Catalog Record")</f>
        <v>Catalog Record</v>
      </c>
      <c r="AV1681" s="5" t="str">
        <f>HYPERLINK("http://www.worldcat.org/oclc/7329108","WorldCat Record")</f>
        <v>WorldCat Record</v>
      </c>
      <c r="AW1681" s="2" t="s">
        <v>19977</v>
      </c>
      <c r="AX1681" s="2" t="s">
        <v>19978</v>
      </c>
      <c r="AY1681" s="2" t="s">
        <v>19979</v>
      </c>
      <c r="AZ1681" s="2" t="s">
        <v>19979</v>
      </c>
      <c r="BA1681" s="2" t="s">
        <v>19980</v>
      </c>
      <c r="BB1681" s="2" t="s">
        <v>21</v>
      </c>
      <c r="BD1681" s="2" t="s">
        <v>19981</v>
      </c>
      <c r="BE1681" s="2" t="s">
        <v>19982</v>
      </c>
      <c r="BF1681" s="2" t="s">
        <v>19983</v>
      </c>
    </row>
    <row r="1682" spans="1:58" ht="41.25" customHeight="1" x14ac:dyDescent="0.25">
      <c r="A1682" s="8" t="s">
        <v>5</v>
      </c>
      <c r="B1682" s="1" t="s">
        <v>0</v>
      </c>
      <c r="C1682" s="1" t="s">
        <v>1</v>
      </c>
      <c r="D1682" s="1" t="s">
        <v>19984</v>
      </c>
      <c r="E1682" s="1" t="s">
        <v>19985</v>
      </c>
      <c r="F1682" s="1" t="s">
        <v>19986</v>
      </c>
      <c r="H1682" s="2" t="s">
        <v>5</v>
      </c>
      <c r="I1682" s="2" t="s">
        <v>6</v>
      </c>
      <c r="J1682" s="2" t="s">
        <v>5</v>
      </c>
      <c r="K1682" s="2" t="s">
        <v>16</v>
      </c>
      <c r="L1682" s="2" t="s">
        <v>7</v>
      </c>
      <c r="M1682" s="1" t="s">
        <v>19987</v>
      </c>
      <c r="N1682" s="1" t="s">
        <v>11686</v>
      </c>
      <c r="O1682" s="2" t="s">
        <v>1283</v>
      </c>
      <c r="P1682" s="1" t="s">
        <v>19988</v>
      </c>
      <c r="Q1682" s="2" t="s">
        <v>11</v>
      </c>
      <c r="R1682" s="2" t="s">
        <v>78</v>
      </c>
      <c r="T1682" s="2" t="s">
        <v>520</v>
      </c>
      <c r="U1682" s="3">
        <v>5</v>
      </c>
      <c r="V1682" s="3">
        <v>5</v>
      </c>
      <c r="W1682" s="4" t="s">
        <v>7881</v>
      </c>
      <c r="X1682" s="4" t="s">
        <v>7881</v>
      </c>
      <c r="Y1682" s="4" t="s">
        <v>19989</v>
      </c>
      <c r="Z1682" s="4" t="s">
        <v>19989</v>
      </c>
      <c r="AA1682" s="3">
        <v>168</v>
      </c>
      <c r="AB1682" s="3">
        <v>128</v>
      </c>
      <c r="AC1682" s="3">
        <v>212</v>
      </c>
      <c r="AD1682" s="3">
        <v>1</v>
      </c>
      <c r="AE1682" s="3">
        <v>1</v>
      </c>
      <c r="AF1682" s="3">
        <v>1</v>
      </c>
      <c r="AG1682" s="3">
        <v>2</v>
      </c>
      <c r="AH1682" s="3">
        <v>0</v>
      </c>
      <c r="AI1682" s="3">
        <v>1</v>
      </c>
      <c r="AJ1682" s="3">
        <v>0</v>
      </c>
      <c r="AK1682" s="3">
        <v>0</v>
      </c>
      <c r="AL1682" s="3">
        <v>1</v>
      </c>
      <c r="AM1682" s="3">
        <v>1</v>
      </c>
      <c r="AN1682" s="3">
        <v>0</v>
      </c>
      <c r="AO1682" s="3">
        <v>0</v>
      </c>
      <c r="AP1682" s="3">
        <v>0</v>
      </c>
      <c r="AQ1682" s="3">
        <v>0</v>
      </c>
      <c r="AR1682" s="2" t="s">
        <v>5</v>
      </c>
      <c r="AS1682" s="2" t="s">
        <v>16</v>
      </c>
      <c r="AT1682" s="5" t="str">
        <f>HYPERLINK("http://catalog.hathitrust.org/Record/003269744","HathiTrust Record")</f>
        <v>HathiTrust Record</v>
      </c>
      <c r="AU1682" s="5" t="str">
        <f>HYPERLINK("https://creighton-primo.hosted.exlibrisgroup.com/primo-explore/search?tab=default_tab&amp;search_scope=EVERYTHING&amp;vid=01CRU&amp;lang=en_US&amp;offset=0&amp;query=any,contains,991001259959702656","Catalog Record")</f>
        <v>Catalog Record</v>
      </c>
      <c r="AV1682" s="5" t="str">
        <f>HYPERLINK("http://www.worldcat.org/oclc/36430960","WorldCat Record")</f>
        <v>WorldCat Record</v>
      </c>
      <c r="AW1682" s="2" t="s">
        <v>19990</v>
      </c>
      <c r="AX1682" s="2" t="s">
        <v>19991</v>
      </c>
      <c r="AY1682" s="2" t="s">
        <v>19992</v>
      </c>
      <c r="AZ1682" s="2" t="s">
        <v>19992</v>
      </c>
      <c r="BA1682" s="2" t="s">
        <v>19993</v>
      </c>
      <c r="BB1682" s="2" t="s">
        <v>21</v>
      </c>
      <c r="BD1682" s="2" t="s">
        <v>19994</v>
      </c>
      <c r="BE1682" s="2" t="s">
        <v>19995</v>
      </c>
      <c r="BF1682" s="2" t="s">
        <v>19996</v>
      </c>
    </row>
    <row r="1683" spans="1:58" ht="41.25" customHeight="1" x14ac:dyDescent="0.25">
      <c r="A1683" s="8" t="s">
        <v>5</v>
      </c>
      <c r="B1683" s="1" t="s">
        <v>0</v>
      </c>
      <c r="C1683" s="1" t="s">
        <v>1</v>
      </c>
      <c r="D1683" s="1" t="s">
        <v>19997</v>
      </c>
      <c r="E1683" s="1" t="s">
        <v>19998</v>
      </c>
      <c r="F1683" s="1" t="s">
        <v>19999</v>
      </c>
      <c r="H1683" s="2" t="s">
        <v>5</v>
      </c>
      <c r="I1683" s="2" t="s">
        <v>6</v>
      </c>
      <c r="J1683" s="2" t="s">
        <v>5</v>
      </c>
      <c r="K1683" s="2" t="s">
        <v>5</v>
      </c>
      <c r="L1683" s="2" t="s">
        <v>7</v>
      </c>
      <c r="M1683" s="1" t="s">
        <v>20000</v>
      </c>
      <c r="N1683" s="1" t="s">
        <v>925</v>
      </c>
      <c r="O1683" s="2" t="s">
        <v>382</v>
      </c>
      <c r="P1683" s="1" t="s">
        <v>211</v>
      </c>
      <c r="Q1683" s="2" t="s">
        <v>11</v>
      </c>
      <c r="R1683" s="2" t="s">
        <v>15403</v>
      </c>
      <c r="T1683" s="2" t="s">
        <v>520</v>
      </c>
      <c r="U1683" s="3">
        <v>12</v>
      </c>
      <c r="V1683" s="3">
        <v>12</v>
      </c>
      <c r="W1683" s="4" t="s">
        <v>20001</v>
      </c>
      <c r="X1683" s="4" t="s">
        <v>20001</v>
      </c>
      <c r="Y1683" s="4" t="s">
        <v>168</v>
      </c>
      <c r="Z1683" s="4" t="s">
        <v>168</v>
      </c>
      <c r="AA1683" s="3">
        <v>241</v>
      </c>
      <c r="AB1683" s="3">
        <v>197</v>
      </c>
      <c r="AC1683" s="3">
        <v>399</v>
      </c>
      <c r="AD1683" s="3">
        <v>1</v>
      </c>
      <c r="AE1683" s="3">
        <v>2</v>
      </c>
      <c r="AF1683" s="3">
        <v>4</v>
      </c>
      <c r="AG1683" s="3">
        <v>10</v>
      </c>
      <c r="AH1683" s="3">
        <v>0</v>
      </c>
      <c r="AI1683" s="3">
        <v>2</v>
      </c>
      <c r="AJ1683" s="3">
        <v>1</v>
      </c>
      <c r="AK1683" s="3">
        <v>2</v>
      </c>
      <c r="AL1683" s="3">
        <v>3</v>
      </c>
      <c r="AM1683" s="3">
        <v>7</v>
      </c>
      <c r="AN1683" s="3">
        <v>0</v>
      </c>
      <c r="AO1683" s="3">
        <v>1</v>
      </c>
      <c r="AP1683" s="3">
        <v>0</v>
      </c>
      <c r="AQ1683" s="3">
        <v>0</v>
      </c>
      <c r="AR1683" s="2" t="s">
        <v>5</v>
      </c>
      <c r="AS1683" s="2" t="s">
        <v>16</v>
      </c>
      <c r="AT1683" s="5" t="str">
        <f>HYPERLINK("http://catalog.hathitrust.org/Record/000458140","HathiTrust Record")</f>
        <v>HathiTrust Record</v>
      </c>
      <c r="AU1683" s="5" t="str">
        <f>HYPERLINK("https://creighton-primo.hosted.exlibrisgroup.com/primo-explore/search?tab=default_tab&amp;search_scope=EVERYTHING&amp;vid=01CRU&amp;lang=en_US&amp;offset=0&amp;query=any,contains,991000925119702656","Catalog Record")</f>
        <v>Catalog Record</v>
      </c>
      <c r="AV1683" s="5" t="str">
        <f>HYPERLINK("http://www.worldcat.org/oclc/11157284","WorldCat Record")</f>
        <v>WorldCat Record</v>
      </c>
      <c r="AW1683" s="2" t="s">
        <v>20002</v>
      </c>
      <c r="AX1683" s="2" t="s">
        <v>20003</v>
      </c>
      <c r="AY1683" s="2" t="s">
        <v>20004</v>
      </c>
      <c r="AZ1683" s="2" t="s">
        <v>20004</v>
      </c>
      <c r="BA1683" s="2" t="s">
        <v>20005</v>
      </c>
      <c r="BB1683" s="2" t="s">
        <v>21</v>
      </c>
      <c r="BD1683" s="2" t="s">
        <v>20006</v>
      </c>
      <c r="BE1683" s="2" t="s">
        <v>20007</v>
      </c>
      <c r="BF1683" s="2" t="s">
        <v>20008</v>
      </c>
    </row>
    <row r="1684" spans="1:58" ht="41.25" customHeight="1" x14ac:dyDescent="0.25">
      <c r="A1684" s="8" t="s">
        <v>5</v>
      </c>
      <c r="B1684" s="1" t="s">
        <v>0</v>
      </c>
      <c r="C1684" s="1" t="s">
        <v>1</v>
      </c>
      <c r="D1684" s="1" t="s">
        <v>20009</v>
      </c>
      <c r="E1684" s="1" t="s">
        <v>20010</v>
      </c>
      <c r="F1684" s="1" t="s">
        <v>20011</v>
      </c>
      <c r="H1684" s="2" t="s">
        <v>5</v>
      </c>
      <c r="I1684" s="2" t="s">
        <v>6</v>
      </c>
      <c r="J1684" s="2" t="s">
        <v>5</v>
      </c>
      <c r="K1684" s="2" t="s">
        <v>16</v>
      </c>
      <c r="L1684" s="2" t="s">
        <v>7</v>
      </c>
      <c r="N1684" s="1" t="s">
        <v>8079</v>
      </c>
      <c r="O1684" s="2" t="s">
        <v>1004</v>
      </c>
      <c r="P1684" s="1" t="s">
        <v>63</v>
      </c>
      <c r="Q1684" s="2" t="s">
        <v>11</v>
      </c>
      <c r="R1684" s="2" t="s">
        <v>31</v>
      </c>
      <c r="T1684" s="2" t="s">
        <v>520</v>
      </c>
      <c r="U1684" s="3">
        <v>14</v>
      </c>
      <c r="V1684" s="3">
        <v>14</v>
      </c>
      <c r="W1684" s="4" t="s">
        <v>20012</v>
      </c>
      <c r="X1684" s="4" t="s">
        <v>20012</v>
      </c>
      <c r="Y1684" s="4" t="s">
        <v>5159</v>
      </c>
      <c r="Z1684" s="4" t="s">
        <v>5159</v>
      </c>
      <c r="AA1684" s="3">
        <v>397</v>
      </c>
      <c r="AB1684" s="3">
        <v>289</v>
      </c>
      <c r="AC1684" s="3">
        <v>444</v>
      </c>
      <c r="AD1684" s="3">
        <v>3</v>
      </c>
      <c r="AE1684" s="3">
        <v>3</v>
      </c>
      <c r="AF1684" s="3">
        <v>5</v>
      </c>
      <c r="AG1684" s="3">
        <v>8</v>
      </c>
      <c r="AH1684" s="3">
        <v>1</v>
      </c>
      <c r="AI1684" s="3">
        <v>3</v>
      </c>
      <c r="AJ1684" s="3">
        <v>0</v>
      </c>
      <c r="AK1684" s="3">
        <v>0</v>
      </c>
      <c r="AL1684" s="3">
        <v>4</v>
      </c>
      <c r="AM1684" s="3">
        <v>6</v>
      </c>
      <c r="AN1684" s="3">
        <v>1</v>
      </c>
      <c r="AO1684" s="3">
        <v>1</v>
      </c>
      <c r="AP1684" s="3">
        <v>0</v>
      </c>
      <c r="AQ1684" s="3">
        <v>0</v>
      </c>
      <c r="AR1684" s="2" t="s">
        <v>5</v>
      </c>
      <c r="AS1684" s="2" t="s">
        <v>5</v>
      </c>
      <c r="AU1684" s="5" t="str">
        <f>HYPERLINK("https://creighton-primo.hosted.exlibrisgroup.com/primo-explore/search?tab=default_tab&amp;search_scope=EVERYTHING&amp;vid=01CRU&amp;lang=en_US&amp;offset=0&amp;query=any,contains,991001805269702656","Catalog Record")</f>
        <v>Catalog Record</v>
      </c>
      <c r="AV1684" s="5" t="str">
        <f>HYPERLINK("http://www.worldcat.org/oclc/39764044","WorldCat Record")</f>
        <v>WorldCat Record</v>
      </c>
      <c r="AW1684" s="2" t="s">
        <v>20013</v>
      </c>
      <c r="AX1684" s="2" t="s">
        <v>20014</v>
      </c>
      <c r="AY1684" s="2" t="s">
        <v>20015</v>
      </c>
      <c r="AZ1684" s="2" t="s">
        <v>20015</v>
      </c>
      <c r="BA1684" s="2" t="s">
        <v>20016</v>
      </c>
      <c r="BB1684" s="2" t="s">
        <v>21</v>
      </c>
      <c r="BD1684" s="2" t="s">
        <v>20017</v>
      </c>
      <c r="BE1684" s="2" t="s">
        <v>20018</v>
      </c>
      <c r="BF1684" s="2" t="s">
        <v>20019</v>
      </c>
    </row>
    <row r="1685" spans="1:58" ht="41.25" customHeight="1" x14ac:dyDescent="0.25">
      <c r="A1685" s="8" t="s">
        <v>5</v>
      </c>
      <c r="B1685" s="1" t="s">
        <v>0</v>
      </c>
      <c r="C1685" s="1" t="s">
        <v>1</v>
      </c>
      <c r="D1685" s="1" t="s">
        <v>20020</v>
      </c>
      <c r="E1685" s="1" t="s">
        <v>20021</v>
      </c>
      <c r="F1685" s="1" t="s">
        <v>20022</v>
      </c>
      <c r="H1685" s="2" t="s">
        <v>5</v>
      </c>
      <c r="I1685" s="2" t="s">
        <v>6</v>
      </c>
      <c r="J1685" s="2" t="s">
        <v>5</v>
      </c>
      <c r="K1685" s="2" t="s">
        <v>16</v>
      </c>
      <c r="L1685" s="2" t="s">
        <v>7</v>
      </c>
      <c r="N1685" s="1" t="s">
        <v>5080</v>
      </c>
      <c r="O1685" s="2" t="s">
        <v>1863</v>
      </c>
      <c r="P1685" s="1" t="s">
        <v>63</v>
      </c>
      <c r="Q1685" s="2" t="s">
        <v>11</v>
      </c>
      <c r="R1685" s="2" t="s">
        <v>31</v>
      </c>
      <c r="T1685" s="2" t="s">
        <v>520</v>
      </c>
      <c r="U1685" s="3">
        <v>6</v>
      </c>
      <c r="V1685" s="3">
        <v>6</v>
      </c>
      <c r="W1685" s="4" t="s">
        <v>19720</v>
      </c>
      <c r="X1685" s="4" t="s">
        <v>19720</v>
      </c>
      <c r="Y1685" s="4" t="s">
        <v>20023</v>
      </c>
      <c r="Z1685" s="4" t="s">
        <v>20023</v>
      </c>
      <c r="AA1685" s="3">
        <v>310</v>
      </c>
      <c r="AB1685" s="3">
        <v>236</v>
      </c>
      <c r="AC1685" s="3">
        <v>961</v>
      </c>
      <c r="AD1685" s="3">
        <v>1</v>
      </c>
      <c r="AE1685" s="3">
        <v>4</v>
      </c>
      <c r="AF1685" s="3">
        <v>6</v>
      </c>
      <c r="AG1685" s="3">
        <v>25</v>
      </c>
      <c r="AH1685" s="3">
        <v>1</v>
      </c>
      <c r="AI1685" s="3">
        <v>7</v>
      </c>
      <c r="AJ1685" s="3">
        <v>2</v>
      </c>
      <c r="AK1685" s="3">
        <v>6</v>
      </c>
      <c r="AL1685" s="3">
        <v>3</v>
      </c>
      <c r="AM1685" s="3">
        <v>12</v>
      </c>
      <c r="AN1685" s="3">
        <v>0</v>
      </c>
      <c r="AO1685" s="3">
        <v>3</v>
      </c>
      <c r="AP1685" s="3">
        <v>0</v>
      </c>
      <c r="AQ1685" s="3">
        <v>0</v>
      </c>
      <c r="AR1685" s="2" t="s">
        <v>5</v>
      </c>
      <c r="AS1685" s="2" t="s">
        <v>5</v>
      </c>
      <c r="AU1685" s="5" t="str">
        <f>HYPERLINK("https://creighton-primo.hosted.exlibrisgroup.com/primo-explore/search?tab=default_tab&amp;search_scope=EVERYTHING&amp;vid=01CRU&amp;lang=en_US&amp;offset=0&amp;query=any,contains,991000320629702656","Catalog Record")</f>
        <v>Catalog Record</v>
      </c>
      <c r="AV1685" s="5" t="str">
        <f>HYPERLINK("http://www.worldcat.org/oclc/44579059","WorldCat Record")</f>
        <v>WorldCat Record</v>
      </c>
      <c r="AW1685" s="2" t="s">
        <v>20024</v>
      </c>
      <c r="AX1685" s="2" t="s">
        <v>20025</v>
      </c>
      <c r="AY1685" s="2" t="s">
        <v>20026</v>
      </c>
      <c r="AZ1685" s="2" t="s">
        <v>20026</v>
      </c>
      <c r="BA1685" s="2" t="s">
        <v>20027</v>
      </c>
      <c r="BB1685" s="2" t="s">
        <v>21</v>
      </c>
      <c r="BD1685" s="2" t="s">
        <v>20028</v>
      </c>
      <c r="BE1685" s="2" t="s">
        <v>20029</v>
      </c>
      <c r="BF1685" s="2" t="s">
        <v>20030</v>
      </c>
    </row>
    <row r="1686" spans="1:58" ht="41.25" customHeight="1" x14ac:dyDescent="0.25">
      <c r="A1686" s="8" t="s">
        <v>5</v>
      </c>
      <c r="B1686" s="1" t="s">
        <v>0</v>
      </c>
      <c r="C1686" s="1" t="s">
        <v>1</v>
      </c>
      <c r="D1686" s="1" t="s">
        <v>20031</v>
      </c>
      <c r="E1686" s="1" t="s">
        <v>20032</v>
      </c>
      <c r="F1686" s="1" t="s">
        <v>20033</v>
      </c>
      <c r="H1686" s="2" t="s">
        <v>5</v>
      </c>
      <c r="I1686" s="2" t="s">
        <v>6</v>
      </c>
      <c r="J1686" s="2" t="s">
        <v>5</v>
      </c>
      <c r="K1686" s="2" t="s">
        <v>16</v>
      </c>
      <c r="L1686" s="2" t="s">
        <v>7</v>
      </c>
      <c r="N1686" s="1" t="s">
        <v>12316</v>
      </c>
      <c r="O1686" s="2" t="s">
        <v>1060</v>
      </c>
      <c r="P1686" s="1" t="s">
        <v>20034</v>
      </c>
      <c r="Q1686" s="2" t="s">
        <v>11</v>
      </c>
      <c r="R1686" s="2" t="s">
        <v>31</v>
      </c>
      <c r="T1686" s="2" t="s">
        <v>520</v>
      </c>
      <c r="U1686" s="3">
        <v>3</v>
      </c>
      <c r="V1686" s="3">
        <v>3</v>
      </c>
      <c r="W1686" s="4" t="s">
        <v>20035</v>
      </c>
      <c r="X1686" s="4" t="s">
        <v>20035</v>
      </c>
      <c r="Y1686" s="4" t="s">
        <v>13063</v>
      </c>
      <c r="Z1686" s="4" t="s">
        <v>13063</v>
      </c>
      <c r="AA1686" s="3">
        <v>404</v>
      </c>
      <c r="AB1686" s="3">
        <v>299</v>
      </c>
      <c r="AC1686" s="3">
        <v>961</v>
      </c>
      <c r="AD1686" s="3">
        <v>1</v>
      </c>
      <c r="AE1686" s="3">
        <v>4</v>
      </c>
      <c r="AF1686" s="3">
        <v>7</v>
      </c>
      <c r="AG1686" s="3">
        <v>25</v>
      </c>
      <c r="AH1686" s="3">
        <v>3</v>
      </c>
      <c r="AI1686" s="3">
        <v>7</v>
      </c>
      <c r="AJ1686" s="3">
        <v>1</v>
      </c>
      <c r="AK1686" s="3">
        <v>6</v>
      </c>
      <c r="AL1686" s="3">
        <v>4</v>
      </c>
      <c r="AM1686" s="3">
        <v>12</v>
      </c>
      <c r="AN1686" s="3">
        <v>0</v>
      </c>
      <c r="AO1686" s="3">
        <v>3</v>
      </c>
      <c r="AP1686" s="3">
        <v>0</v>
      </c>
      <c r="AQ1686" s="3">
        <v>0</v>
      </c>
      <c r="AR1686" s="2" t="s">
        <v>5</v>
      </c>
      <c r="AS1686" s="2" t="s">
        <v>16</v>
      </c>
      <c r="AT1686" s="5" t="str">
        <f>HYPERLINK("http://catalog.hathitrust.org/Record/004923836","HathiTrust Record")</f>
        <v>HathiTrust Record</v>
      </c>
      <c r="AU1686" s="5" t="str">
        <f>HYPERLINK("https://creighton-primo.hosted.exlibrisgroup.com/primo-explore/search?tab=default_tab&amp;search_scope=EVERYTHING&amp;vid=01CRU&amp;lang=en_US&amp;offset=0&amp;query=any,contains,991000422749702656","Catalog Record")</f>
        <v>Catalog Record</v>
      </c>
      <c r="AV1686" s="5" t="str">
        <f>HYPERLINK("http://www.worldcat.org/oclc/57250925","WorldCat Record")</f>
        <v>WorldCat Record</v>
      </c>
      <c r="AW1686" s="2" t="s">
        <v>20024</v>
      </c>
      <c r="AX1686" s="2" t="s">
        <v>20036</v>
      </c>
      <c r="AY1686" s="2" t="s">
        <v>20037</v>
      </c>
      <c r="AZ1686" s="2" t="s">
        <v>20037</v>
      </c>
      <c r="BA1686" s="2" t="s">
        <v>20038</v>
      </c>
      <c r="BB1686" s="2" t="s">
        <v>21</v>
      </c>
      <c r="BD1686" s="2" t="s">
        <v>20039</v>
      </c>
      <c r="BE1686" s="2" t="s">
        <v>20040</v>
      </c>
      <c r="BF1686" s="2" t="s">
        <v>20041</v>
      </c>
    </row>
    <row r="1687" spans="1:58" ht="41.25" customHeight="1" x14ac:dyDescent="0.25">
      <c r="A1687" s="8" t="s">
        <v>5</v>
      </c>
      <c r="B1687" s="1" t="s">
        <v>0</v>
      </c>
      <c r="C1687" s="1" t="s">
        <v>1</v>
      </c>
      <c r="D1687" s="1" t="s">
        <v>20042</v>
      </c>
      <c r="E1687" s="1" t="s">
        <v>20043</v>
      </c>
      <c r="F1687" s="1" t="s">
        <v>20044</v>
      </c>
      <c r="H1687" s="2" t="s">
        <v>5</v>
      </c>
      <c r="I1687" s="2" t="s">
        <v>6</v>
      </c>
      <c r="J1687" s="2" t="s">
        <v>5</v>
      </c>
      <c r="K1687" s="2" t="s">
        <v>5</v>
      </c>
      <c r="L1687" s="2" t="s">
        <v>7</v>
      </c>
      <c r="M1687" s="1" t="s">
        <v>19366</v>
      </c>
      <c r="N1687" s="1" t="s">
        <v>20045</v>
      </c>
      <c r="O1687" s="2" t="s">
        <v>1195</v>
      </c>
      <c r="P1687" s="1" t="s">
        <v>901</v>
      </c>
      <c r="Q1687" s="2" t="s">
        <v>11</v>
      </c>
      <c r="R1687" s="2" t="s">
        <v>31</v>
      </c>
      <c r="T1687" s="2" t="s">
        <v>520</v>
      </c>
      <c r="U1687" s="3">
        <v>1</v>
      </c>
      <c r="V1687" s="3">
        <v>1</v>
      </c>
      <c r="W1687" s="4" t="s">
        <v>11913</v>
      </c>
      <c r="X1687" s="4" t="s">
        <v>11913</v>
      </c>
      <c r="Y1687" s="4" t="s">
        <v>2140</v>
      </c>
      <c r="Z1687" s="4" t="s">
        <v>2140</v>
      </c>
      <c r="AA1687" s="3">
        <v>205</v>
      </c>
      <c r="AB1687" s="3">
        <v>152</v>
      </c>
      <c r="AC1687" s="3">
        <v>317</v>
      </c>
      <c r="AD1687" s="3">
        <v>1</v>
      </c>
      <c r="AE1687" s="3">
        <v>2</v>
      </c>
      <c r="AF1687" s="3">
        <v>3</v>
      </c>
      <c r="AG1687" s="3">
        <v>5</v>
      </c>
      <c r="AH1687" s="3">
        <v>0</v>
      </c>
      <c r="AI1687" s="3">
        <v>0</v>
      </c>
      <c r="AJ1687" s="3">
        <v>1</v>
      </c>
      <c r="AK1687" s="3">
        <v>2</v>
      </c>
      <c r="AL1687" s="3">
        <v>2</v>
      </c>
      <c r="AM1687" s="3">
        <v>4</v>
      </c>
      <c r="AN1687" s="3">
        <v>0</v>
      </c>
      <c r="AO1687" s="3">
        <v>0</v>
      </c>
      <c r="AP1687" s="3">
        <v>0</v>
      </c>
      <c r="AQ1687" s="3">
        <v>0</v>
      </c>
      <c r="AR1687" s="2" t="s">
        <v>5</v>
      </c>
      <c r="AS1687" s="2" t="s">
        <v>16</v>
      </c>
      <c r="AT1687" s="5" t="str">
        <f>HYPERLINK("http://catalog.hathitrust.org/Record/004080071","HathiTrust Record")</f>
        <v>HathiTrust Record</v>
      </c>
      <c r="AU1687" s="5" t="str">
        <f>HYPERLINK("https://creighton-primo.hosted.exlibrisgroup.com/primo-explore/search?tab=default_tab&amp;search_scope=EVERYTHING&amp;vid=01CRU&amp;lang=en_US&amp;offset=0&amp;query=any,contains,991000320409702656","Catalog Record")</f>
        <v>Catalog Record</v>
      </c>
      <c r="AV1687" s="5" t="str">
        <f>HYPERLINK("http://www.worldcat.org/oclc/43274699","WorldCat Record")</f>
        <v>WorldCat Record</v>
      </c>
      <c r="AW1687" s="2" t="s">
        <v>20046</v>
      </c>
      <c r="AX1687" s="2" t="s">
        <v>20047</v>
      </c>
      <c r="AY1687" s="2" t="s">
        <v>20048</v>
      </c>
      <c r="AZ1687" s="2" t="s">
        <v>20048</v>
      </c>
      <c r="BA1687" s="2" t="s">
        <v>20049</v>
      </c>
      <c r="BB1687" s="2" t="s">
        <v>21</v>
      </c>
      <c r="BD1687" s="2" t="s">
        <v>20050</v>
      </c>
      <c r="BE1687" s="2" t="s">
        <v>20051</v>
      </c>
      <c r="BF1687" s="2" t="s">
        <v>20052</v>
      </c>
    </row>
    <row r="1688" spans="1:58" ht="41.25" customHeight="1" x14ac:dyDescent="0.25">
      <c r="A1688" s="8" t="s">
        <v>5</v>
      </c>
      <c r="B1688" s="1" t="s">
        <v>0</v>
      </c>
      <c r="C1688" s="1" t="s">
        <v>1</v>
      </c>
      <c r="D1688" s="1" t="s">
        <v>20053</v>
      </c>
      <c r="E1688" s="1" t="s">
        <v>20054</v>
      </c>
      <c r="F1688" s="1" t="s">
        <v>20055</v>
      </c>
      <c r="H1688" s="2" t="s">
        <v>5</v>
      </c>
      <c r="I1688" s="2" t="s">
        <v>6</v>
      </c>
      <c r="J1688" s="2" t="s">
        <v>5</v>
      </c>
      <c r="K1688" s="2" t="s">
        <v>16</v>
      </c>
      <c r="L1688" s="2" t="s">
        <v>7</v>
      </c>
      <c r="M1688" s="1" t="s">
        <v>19366</v>
      </c>
      <c r="N1688" s="1" t="s">
        <v>7801</v>
      </c>
      <c r="O1688" s="2" t="s">
        <v>1195</v>
      </c>
      <c r="P1688" s="1" t="s">
        <v>1284</v>
      </c>
      <c r="Q1688" s="2" t="s">
        <v>11</v>
      </c>
      <c r="R1688" s="2" t="s">
        <v>31</v>
      </c>
      <c r="T1688" s="2" t="s">
        <v>520</v>
      </c>
      <c r="U1688" s="3">
        <v>2</v>
      </c>
      <c r="V1688" s="3">
        <v>2</v>
      </c>
      <c r="W1688" s="4" t="s">
        <v>19720</v>
      </c>
      <c r="X1688" s="4" t="s">
        <v>19720</v>
      </c>
      <c r="Y1688" s="4" t="s">
        <v>2140</v>
      </c>
      <c r="Z1688" s="4" t="s">
        <v>2140</v>
      </c>
      <c r="AA1688" s="3">
        <v>382</v>
      </c>
      <c r="AB1688" s="3">
        <v>316</v>
      </c>
      <c r="AC1688" s="3">
        <v>418</v>
      </c>
      <c r="AD1688" s="3">
        <v>2</v>
      </c>
      <c r="AE1688" s="3">
        <v>2</v>
      </c>
      <c r="AF1688" s="3">
        <v>7</v>
      </c>
      <c r="AG1688" s="3">
        <v>9</v>
      </c>
      <c r="AH1688" s="3">
        <v>1</v>
      </c>
      <c r="AI1688" s="3">
        <v>3</v>
      </c>
      <c r="AJ1688" s="3">
        <v>2</v>
      </c>
      <c r="AK1688" s="3">
        <v>2</v>
      </c>
      <c r="AL1688" s="3">
        <v>4</v>
      </c>
      <c r="AM1688" s="3">
        <v>4</v>
      </c>
      <c r="AN1688" s="3">
        <v>1</v>
      </c>
      <c r="AO1688" s="3">
        <v>1</v>
      </c>
      <c r="AP1688" s="3">
        <v>0</v>
      </c>
      <c r="AQ1688" s="3">
        <v>0</v>
      </c>
      <c r="AR1688" s="2" t="s">
        <v>5</v>
      </c>
      <c r="AS1688" s="2" t="s">
        <v>16</v>
      </c>
      <c r="AT1688" s="5" t="str">
        <f>HYPERLINK("http://catalog.hathitrust.org/Record/003474641","HathiTrust Record")</f>
        <v>HathiTrust Record</v>
      </c>
      <c r="AU1688" s="5" t="str">
        <f>HYPERLINK("https://creighton-primo.hosted.exlibrisgroup.com/primo-explore/search?tab=default_tab&amp;search_scope=EVERYTHING&amp;vid=01CRU&amp;lang=en_US&amp;offset=0&amp;query=any,contains,991000320459702656","Catalog Record")</f>
        <v>Catalog Record</v>
      </c>
      <c r="AV1688" s="5" t="str">
        <f>HYPERLINK("http://www.worldcat.org/oclc/42429674","WorldCat Record")</f>
        <v>WorldCat Record</v>
      </c>
      <c r="AW1688" s="2" t="s">
        <v>20056</v>
      </c>
      <c r="AX1688" s="2" t="s">
        <v>20057</v>
      </c>
      <c r="AY1688" s="2" t="s">
        <v>20058</v>
      </c>
      <c r="AZ1688" s="2" t="s">
        <v>20058</v>
      </c>
      <c r="BA1688" s="2" t="s">
        <v>20059</v>
      </c>
      <c r="BB1688" s="2" t="s">
        <v>21</v>
      </c>
      <c r="BD1688" s="2" t="s">
        <v>20060</v>
      </c>
      <c r="BE1688" s="2" t="s">
        <v>20061</v>
      </c>
      <c r="BF1688" s="2" t="s">
        <v>20062</v>
      </c>
    </row>
    <row r="1689" spans="1:58" ht="41.25" customHeight="1" x14ac:dyDescent="0.25">
      <c r="A1689" s="8" t="s">
        <v>5</v>
      </c>
      <c r="B1689" s="1" t="s">
        <v>0</v>
      </c>
      <c r="C1689" s="1" t="s">
        <v>1</v>
      </c>
      <c r="D1689" s="1" t="s">
        <v>20063</v>
      </c>
      <c r="E1689" s="1" t="s">
        <v>20064</v>
      </c>
      <c r="F1689" s="1" t="s">
        <v>20065</v>
      </c>
      <c r="H1689" s="2" t="s">
        <v>5</v>
      </c>
      <c r="I1689" s="2" t="s">
        <v>6</v>
      </c>
      <c r="J1689" s="2" t="s">
        <v>5</v>
      </c>
      <c r="K1689" s="2" t="s">
        <v>16</v>
      </c>
      <c r="L1689" s="2" t="s">
        <v>7</v>
      </c>
      <c r="M1689" s="1" t="s">
        <v>19366</v>
      </c>
      <c r="N1689" s="1" t="s">
        <v>10963</v>
      </c>
      <c r="O1689" s="2" t="s">
        <v>1887</v>
      </c>
      <c r="P1689" s="1" t="s">
        <v>1208</v>
      </c>
      <c r="Q1689" s="2" t="s">
        <v>11</v>
      </c>
      <c r="R1689" s="2" t="s">
        <v>31</v>
      </c>
      <c r="T1689" s="2" t="s">
        <v>520</v>
      </c>
      <c r="U1689" s="3">
        <v>10</v>
      </c>
      <c r="V1689" s="3">
        <v>10</v>
      </c>
      <c r="W1689" s="4" t="s">
        <v>8107</v>
      </c>
      <c r="X1689" s="4" t="s">
        <v>8107</v>
      </c>
      <c r="Y1689" s="4" t="s">
        <v>5993</v>
      </c>
      <c r="Z1689" s="4" t="s">
        <v>5993</v>
      </c>
      <c r="AA1689" s="3">
        <v>340</v>
      </c>
      <c r="AB1689" s="3">
        <v>266</v>
      </c>
      <c r="AC1689" s="3">
        <v>456</v>
      </c>
      <c r="AD1689" s="3">
        <v>2</v>
      </c>
      <c r="AE1689" s="3">
        <v>3</v>
      </c>
      <c r="AF1689" s="3">
        <v>2</v>
      </c>
      <c r="AG1689" s="3">
        <v>12</v>
      </c>
      <c r="AH1689" s="3">
        <v>0</v>
      </c>
      <c r="AI1689" s="3">
        <v>5</v>
      </c>
      <c r="AJ1689" s="3">
        <v>1</v>
      </c>
      <c r="AK1689" s="3">
        <v>2</v>
      </c>
      <c r="AL1689" s="3">
        <v>2</v>
      </c>
      <c r="AM1689" s="3">
        <v>7</v>
      </c>
      <c r="AN1689" s="3">
        <v>0</v>
      </c>
      <c r="AO1689" s="3">
        <v>1</v>
      </c>
      <c r="AP1689" s="3">
        <v>0</v>
      </c>
      <c r="AQ1689" s="3">
        <v>0</v>
      </c>
      <c r="AR1689" s="2" t="s">
        <v>5</v>
      </c>
      <c r="AS1689" s="2" t="s">
        <v>16</v>
      </c>
      <c r="AT1689" s="5" t="str">
        <f>HYPERLINK("http://catalog.hathitrust.org/Record/004520757","HathiTrust Record")</f>
        <v>HathiTrust Record</v>
      </c>
      <c r="AU1689" s="5" t="str">
        <f>HYPERLINK("https://creighton-primo.hosted.exlibrisgroup.com/primo-explore/search?tab=default_tab&amp;search_scope=EVERYTHING&amp;vid=01CRU&amp;lang=en_US&amp;offset=0&amp;query=any,contains,991000688329702656","Catalog Record")</f>
        <v>Catalog Record</v>
      </c>
      <c r="AV1689" s="5" t="str">
        <f>HYPERLINK("http://www.worldcat.org/oclc/26505654","WorldCat Record")</f>
        <v>WorldCat Record</v>
      </c>
      <c r="AW1689" s="2" t="s">
        <v>20066</v>
      </c>
      <c r="AX1689" s="2" t="s">
        <v>20067</v>
      </c>
      <c r="AY1689" s="2" t="s">
        <v>20068</v>
      </c>
      <c r="AZ1689" s="2" t="s">
        <v>20068</v>
      </c>
      <c r="BA1689" s="2" t="s">
        <v>20069</v>
      </c>
      <c r="BB1689" s="2" t="s">
        <v>21</v>
      </c>
      <c r="BD1689" s="2" t="s">
        <v>20070</v>
      </c>
      <c r="BE1689" s="2" t="s">
        <v>20071</v>
      </c>
      <c r="BF1689" s="2" t="s">
        <v>20072</v>
      </c>
    </row>
    <row r="1690" spans="1:58" ht="41.25" customHeight="1" x14ac:dyDescent="0.25">
      <c r="A1690" s="8" t="s">
        <v>5</v>
      </c>
      <c r="B1690" s="1" t="s">
        <v>0</v>
      </c>
      <c r="C1690" s="1" t="s">
        <v>1</v>
      </c>
      <c r="D1690" s="1" t="s">
        <v>20073</v>
      </c>
      <c r="E1690" s="1" t="s">
        <v>20074</v>
      </c>
      <c r="F1690" s="1" t="s">
        <v>20075</v>
      </c>
      <c r="H1690" s="2" t="s">
        <v>5</v>
      </c>
      <c r="I1690" s="2" t="s">
        <v>6</v>
      </c>
      <c r="J1690" s="2" t="s">
        <v>5</v>
      </c>
      <c r="K1690" s="2" t="s">
        <v>16</v>
      </c>
      <c r="L1690" s="2" t="s">
        <v>7</v>
      </c>
      <c r="M1690" s="1" t="s">
        <v>19366</v>
      </c>
      <c r="N1690" s="1" t="s">
        <v>20076</v>
      </c>
      <c r="O1690" s="2" t="s">
        <v>601</v>
      </c>
      <c r="P1690" s="1" t="s">
        <v>1284</v>
      </c>
      <c r="Q1690" s="2" t="s">
        <v>11</v>
      </c>
      <c r="R1690" s="2" t="s">
        <v>31</v>
      </c>
      <c r="T1690" s="2" t="s">
        <v>520</v>
      </c>
      <c r="U1690" s="3">
        <v>64</v>
      </c>
      <c r="V1690" s="3">
        <v>64</v>
      </c>
      <c r="W1690" s="4" t="s">
        <v>20077</v>
      </c>
      <c r="X1690" s="4" t="s">
        <v>20077</v>
      </c>
      <c r="Y1690" s="4" t="s">
        <v>6362</v>
      </c>
      <c r="Z1690" s="4" t="s">
        <v>6362</v>
      </c>
      <c r="AA1690" s="3">
        <v>347</v>
      </c>
      <c r="AB1690" s="3">
        <v>255</v>
      </c>
      <c r="AC1690" s="3">
        <v>444</v>
      </c>
      <c r="AD1690" s="3">
        <v>2</v>
      </c>
      <c r="AE1690" s="3">
        <v>3</v>
      </c>
      <c r="AF1690" s="3">
        <v>5</v>
      </c>
      <c r="AG1690" s="3">
        <v>8</v>
      </c>
      <c r="AH1690" s="3">
        <v>2</v>
      </c>
      <c r="AI1690" s="3">
        <v>3</v>
      </c>
      <c r="AJ1690" s="3">
        <v>0</v>
      </c>
      <c r="AK1690" s="3">
        <v>0</v>
      </c>
      <c r="AL1690" s="3">
        <v>4</v>
      </c>
      <c r="AM1690" s="3">
        <v>6</v>
      </c>
      <c r="AN1690" s="3">
        <v>0</v>
      </c>
      <c r="AO1690" s="3">
        <v>1</v>
      </c>
      <c r="AP1690" s="3">
        <v>0</v>
      </c>
      <c r="AQ1690" s="3">
        <v>0</v>
      </c>
      <c r="AR1690" s="2" t="s">
        <v>5</v>
      </c>
      <c r="AS1690" s="2" t="s">
        <v>5</v>
      </c>
      <c r="AU1690" s="5" t="str">
        <f>HYPERLINK("https://creighton-primo.hosted.exlibrisgroup.com/primo-explore/search?tab=default_tab&amp;search_scope=EVERYTHING&amp;vid=01CRU&amp;lang=en_US&amp;offset=0&amp;query=any,contains,991000685609702656","Catalog Record")</f>
        <v>Catalog Record</v>
      </c>
      <c r="AV1690" s="5" t="str">
        <f>HYPERLINK("http://www.worldcat.org/oclc/31374965","WorldCat Record")</f>
        <v>WorldCat Record</v>
      </c>
      <c r="AW1690" s="2" t="s">
        <v>20013</v>
      </c>
      <c r="AX1690" s="2" t="s">
        <v>20078</v>
      </c>
      <c r="AY1690" s="2" t="s">
        <v>20079</v>
      </c>
      <c r="AZ1690" s="2" t="s">
        <v>20079</v>
      </c>
      <c r="BA1690" s="2" t="s">
        <v>20080</v>
      </c>
      <c r="BB1690" s="2" t="s">
        <v>21</v>
      </c>
      <c r="BD1690" s="2" t="s">
        <v>20081</v>
      </c>
      <c r="BE1690" s="2" t="s">
        <v>20082</v>
      </c>
      <c r="BF1690" s="2" t="s">
        <v>20083</v>
      </c>
    </row>
    <row r="1691" spans="1:58" ht="41.25" customHeight="1" x14ac:dyDescent="0.25">
      <c r="A1691" s="8" t="s">
        <v>5</v>
      </c>
      <c r="B1691" s="1" t="s">
        <v>0</v>
      </c>
      <c r="C1691" s="1" t="s">
        <v>1</v>
      </c>
      <c r="D1691" s="1" t="s">
        <v>20084</v>
      </c>
      <c r="E1691" s="1" t="s">
        <v>20085</v>
      </c>
      <c r="F1691" s="1" t="s">
        <v>20086</v>
      </c>
      <c r="H1691" s="2" t="s">
        <v>5</v>
      </c>
      <c r="I1691" s="2" t="s">
        <v>6</v>
      </c>
      <c r="J1691" s="2" t="s">
        <v>5</v>
      </c>
      <c r="K1691" s="2" t="s">
        <v>16</v>
      </c>
      <c r="L1691" s="2" t="s">
        <v>7</v>
      </c>
      <c r="M1691" s="1" t="s">
        <v>19366</v>
      </c>
      <c r="N1691" s="1" t="s">
        <v>1282</v>
      </c>
      <c r="O1691" s="2" t="s">
        <v>1283</v>
      </c>
      <c r="P1691" s="1" t="s">
        <v>1284</v>
      </c>
      <c r="Q1691" s="2" t="s">
        <v>11</v>
      </c>
      <c r="R1691" s="2" t="s">
        <v>31</v>
      </c>
      <c r="T1691" s="2" t="s">
        <v>520</v>
      </c>
      <c r="U1691" s="3">
        <v>5</v>
      </c>
      <c r="V1691" s="3">
        <v>5</v>
      </c>
      <c r="W1691" s="4" t="s">
        <v>20087</v>
      </c>
      <c r="X1691" s="4" t="s">
        <v>20087</v>
      </c>
      <c r="Y1691" s="4" t="s">
        <v>20088</v>
      </c>
      <c r="Z1691" s="4" t="s">
        <v>20088</v>
      </c>
      <c r="AA1691" s="3">
        <v>333</v>
      </c>
      <c r="AB1691" s="3">
        <v>275</v>
      </c>
      <c r="AC1691" s="3">
        <v>456</v>
      </c>
      <c r="AD1691" s="3">
        <v>2</v>
      </c>
      <c r="AE1691" s="3">
        <v>3</v>
      </c>
      <c r="AF1691" s="3">
        <v>9</v>
      </c>
      <c r="AG1691" s="3">
        <v>12</v>
      </c>
      <c r="AH1691" s="3">
        <v>4</v>
      </c>
      <c r="AI1691" s="3">
        <v>5</v>
      </c>
      <c r="AJ1691" s="3">
        <v>0</v>
      </c>
      <c r="AK1691" s="3">
        <v>2</v>
      </c>
      <c r="AL1691" s="3">
        <v>6</v>
      </c>
      <c r="AM1691" s="3">
        <v>7</v>
      </c>
      <c r="AN1691" s="3">
        <v>1</v>
      </c>
      <c r="AO1691" s="3">
        <v>1</v>
      </c>
      <c r="AP1691" s="3">
        <v>0</v>
      </c>
      <c r="AQ1691" s="3">
        <v>0</v>
      </c>
      <c r="AR1691" s="2" t="s">
        <v>5</v>
      </c>
      <c r="AS1691" s="2" t="s">
        <v>16</v>
      </c>
      <c r="AT1691" s="5" t="str">
        <f>HYPERLINK("http://catalog.hathitrust.org/Record/004563897","HathiTrust Record")</f>
        <v>HathiTrust Record</v>
      </c>
      <c r="AU1691" s="5" t="str">
        <f>HYPERLINK("https://creighton-primo.hosted.exlibrisgroup.com/primo-explore/search?tab=default_tab&amp;search_scope=EVERYTHING&amp;vid=01CRU&amp;lang=en_US&amp;offset=0&amp;query=any,contains,991000818139702656","Catalog Record")</f>
        <v>Catalog Record</v>
      </c>
      <c r="AV1691" s="5" t="str">
        <f>HYPERLINK("http://www.worldcat.org/oclc/35741573","WorldCat Record")</f>
        <v>WorldCat Record</v>
      </c>
      <c r="AW1691" s="2" t="s">
        <v>20066</v>
      </c>
      <c r="AX1691" s="2" t="s">
        <v>20089</v>
      </c>
      <c r="AY1691" s="2" t="s">
        <v>20090</v>
      </c>
      <c r="AZ1691" s="2" t="s">
        <v>20090</v>
      </c>
      <c r="BA1691" s="2" t="s">
        <v>20091</v>
      </c>
      <c r="BB1691" s="2" t="s">
        <v>21</v>
      </c>
      <c r="BD1691" s="2" t="s">
        <v>20092</v>
      </c>
      <c r="BE1691" s="2" t="s">
        <v>20093</v>
      </c>
      <c r="BF1691" s="2" t="s">
        <v>20094</v>
      </c>
    </row>
    <row r="1692" spans="1:58" ht="41.25" customHeight="1" x14ac:dyDescent="0.25">
      <c r="A1692" s="8" t="s">
        <v>5</v>
      </c>
      <c r="B1692" s="1" t="s">
        <v>0</v>
      </c>
      <c r="C1692" s="1" t="s">
        <v>1</v>
      </c>
      <c r="D1692" s="1" t="s">
        <v>20095</v>
      </c>
      <c r="E1692" s="1" t="s">
        <v>20096</v>
      </c>
      <c r="F1692" s="1" t="s">
        <v>20097</v>
      </c>
      <c r="H1692" s="2" t="s">
        <v>5</v>
      </c>
      <c r="I1692" s="2" t="s">
        <v>6</v>
      </c>
      <c r="J1692" s="2" t="s">
        <v>5</v>
      </c>
      <c r="K1692" s="2" t="s">
        <v>16</v>
      </c>
      <c r="L1692" s="2" t="s">
        <v>7</v>
      </c>
      <c r="M1692" s="1" t="s">
        <v>19366</v>
      </c>
      <c r="N1692" s="1" t="s">
        <v>11771</v>
      </c>
      <c r="O1692" s="2" t="s">
        <v>794</v>
      </c>
      <c r="P1692" s="1" t="s">
        <v>1208</v>
      </c>
      <c r="Q1692" s="2" t="s">
        <v>11</v>
      </c>
      <c r="R1692" s="2" t="s">
        <v>31</v>
      </c>
      <c r="T1692" s="2" t="s">
        <v>520</v>
      </c>
      <c r="U1692" s="3">
        <v>4</v>
      </c>
      <c r="V1692" s="3">
        <v>4</v>
      </c>
      <c r="W1692" s="4" t="s">
        <v>20087</v>
      </c>
      <c r="X1692" s="4" t="s">
        <v>20087</v>
      </c>
      <c r="Y1692" s="4" t="s">
        <v>10557</v>
      </c>
      <c r="Z1692" s="4" t="s">
        <v>10557</v>
      </c>
      <c r="AA1692" s="3">
        <v>231</v>
      </c>
      <c r="AB1692" s="3">
        <v>191</v>
      </c>
      <c r="AC1692" s="3">
        <v>418</v>
      </c>
      <c r="AD1692" s="3">
        <v>1</v>
      </c>
      <c r="AE1692" s="3">
        <v>2</v>
      </c>
      <c r="AF1692" s="3">
        <v>5</v>
      </c>
      <c r="AG1692" s="3">
        <v>9</v>
      </c>
      <c r="AH1692" s="3">
        <v>2</v>
      </c>
      <c r="AI1692" s="3">
        <v>3</v>
      </c>
      <c r="AJ1692" s="3">
        <v>1</v>
      </c>
      <c r="AK1692" s="3">
        <v>2</v>
      </c>
      <c r="AL1692" s="3">
        <v>3</v>
      </c>
      <c r="AM1692" s="3">
        <v>4</v>
      </c>
      <c r="AN1692" s="3">
        <v>0</v>
      </c>
      <c r="AO1692" s="3">
        <v>1</v>
      </c>
      <c r="AP1692" s="3">
        <v>0</v>
      </c>
      <c r="AQ1692" s="3">
        <v>0</v>
      </c>
      <c r="AR1692" s="2" t="s">
        <v>5</v>
      </c>
      <c r="AS1692" s="2" t="s">
        <v>16</v>
      </c>
      <c r="AT1692" s="5" t="str">
        <f>HYPERLINK("http://catalog.hathitrust.org/Record/003030513","HathiTrust Record")</f>
        <v>HathiTrust Record</v>
      </c>
      <c r="AU1692" s="5" t="str">
        <f>HYPERLINK("https://creighton-primo.hosted.exlibrisgroup.com/primo-explore/search?tab=default_tab&amp;search_scope=EVERYTHING&amp;vid=01CRU&amp;lang=en_US&amp;offset=0&amp;query=any,contains,991001551139702656","Catalog Record")</f>
        <v>Catalog Record</v>
      </c>
      <c r="AV1692" s="5" t="str">
        <f>HYPERLINK("http://www.worldcat.org/oclc/32591160","WorldCat Record")</f>
        <v>WorldCat Record</v>
      </c>
      <c r="AW1692" s="2" t="s">
        <v>20056</v>
      </c>
      <c r="AX1692" s="2" t="s">
        <v>20098</v>
      </c>
      <c r="AY1692" s="2" t="s">
        <v>20099</v>
      </c>
      <c r="AZ1692" s="2" t="s">
        <v>20099</v>
      </c>
      <c r="BA1692" s="2" t="s">
        <v>20100</v>
      </c>
      <c r="BB1692" s="2" t="s">
        <v>21</v>
      </c>
      <c r="BD1692" s="2" t="s">
        <v>20101</v>
      </c>
      <c r="BE1692" s="2" t="s">
        <v>20102</v>
      </c>
      <c r="BF1692" s="2" t="s">
        <v>20103</v>
      </c>
    </row>
    <row r="1693" spans="1:58" ht="41.25" customHeight="1" x14ac:dyDescent="0.25">
      <c r="A1693" s="8" t="s">
        <v>5</v>
      </c>
      <c r="B1693" s="1" t="s">
        <v>0</v>
      </c>
      <c r="C1693" s="1" t="s">
        <v>1</v>
      </c>
      <c r="D1693" s="1" t="s">
        <v>20104</v>
      </c>
      <c r="E1693" s="1" t="s">
        <v>20105</v>
      </c>
      <c r="F1693" s="1" t="s">
        <v>20106</v>
      </c>
      <c r="H1693" s="2" t="s">
        <v>5</v>
      </c>
      <c r="I1693" s="2" t="s">
        <v>6</v>
      </c>
      <c r="J1693" s="2" t="s">
        <v>5</v>
      </c>
      <c r="K1693" s="2" t="s">
        <v>5</v>
      </c>
      <c r="L1693" s="2" t="s">
        <v>7</v>
      </c>
      <c r="N1693" s="1" t="s">
        <v>20107</v>
      </c>
      <c r="O1693" s="2" t="s">
        <v>1060</v>
      </c>
      <c r="P1693" s="1" t="s">
        <v>901</v>
      </c>
      <c r="Q1693" s="2" t="s">
        <v>11</v>
      </c>
      <c r="R1693" s="2" t="s">
        <v>78</v>
      </c>
      <c r="T1693" s="2" t="s">
        <v>520</v>
      </c>
      <c r="U1693" s="3">
        <v>0</v>
      </c>
      <c r="V1693" s="3">
        <v>0</v>
      </c>
      <c r="W1693" s="4" t="s">
        <v>20108</v>
      </c>
      <c r="X1693" s="4" t="s">
        <v>20108</v>
      </c>
      <c r="Y1693" s="4" t="s">
        <v>10496</v>
      </c>
      <c r="Z1693" s="4" t="s">
        <v>10496</v>
      </c>
      <c r="AA1693" s="3">
        <v>337</v>
      </c>
      <c r="AB1693" s="3">
        <v>249</v>
      </c>
      <c r="AC1693" s="3">
        <v>1246</v>
      </c>
      <c r="AD1693" s="3">
        <v>2</v>
      </c>
      <c r="AE1693" s="3">
        <v>25</v>
      </c>
      <c r="AF1693" s="3">
        <v>13</v>
      </c>
      <c r="AG1693" s="3">
        <v>50</v>
      </c>
      <c r="AH1693" s="3">
        <v>8</v>
      </c>
      <c r="AI1693" s="3">
        <v>18</v>
      </c>
      <c r="AJ1693" s="3">
        <v>0</v>
      </c>
      <c r="AK1693" s="3">
        <v>7</v>
      </c>
      <c r="AL1693" s="3">
        <v>6</v>
      </c>
      <c r="AM1693" s="3">
        <v>17</v>
      </c>
      <c r="AN1693" s="3">
        <v>1</v>
      </c>
      <c r="AO1693" s="3">
        <v>15</v>
      </c>
      <c r="AP1693" s="3">
        <v>0</v>
      </c>
      <c r="AQ1693" s="3">
        <v>1</v>
      </c>
      <c r="AR1693" s="2" t="s">
        <v>5</v>
      </c>
      <c r="AS1693" s="2" t="s">
        <v>5</v>
      </c>
      <c r="AU1693" s="5" t="str">
        <f>HYPERLINK("https://creighton-primo.hosted.exlibrisgroup.com/primo-explore/search?tab=default_tab&amp;search_scope=EVERYTHING&amp;vid=01CRU&amp;lang=en_US&amp;offset=0&amp;query=any,contains,991000463769702656","Catalog Record")</f>
        <v>Catalog Record</v>
      </c>
      <c r="AV1693" s="5" t="str">
        <f>HYPERLINK("http://www.worldcat.org/oclc/58563152","WorldCat Record")</f>
        <v>WorldCat Record</v>
      </c>
      <c r="AW1693" s="2" t="s">
        <v>20109</v>
      </c>
      <c r="AX1693" s="2" t="s">
        <v>20110</v>
      </c>
      <c r="AY1693" s="2" t="s">
        <v>20111</v>
      </c>
      <c r="AZ1693" s="2" t="s">
        <v>20111</v>
      </c>
      <c r="BA1693" s="2" t="s">
        <v>20112</v>
      </c>
      <c r="BB1693" s="2" t="s">
        <v>21</v>
      </c>
      <c r="BD1693" s="2" t="s">
        <v>20113</v>
      </c>
      <c r="BE1693" s="2" t="s">
        <v>20114</v>
      </c>
      <c r="BF1693" s="2" t="s">
        <v>20115</v>
      </c>
    </row>
    <row r="1694" spans="1:58" ht="41.25" customHeight="1" x14ac:dyDescent="0.25">
      <c r="A1694" s="8" t="s">
        <v>5</v>
      </c>
      <c r="B1694" s="1" t="s">
        <v>0</v>
      </c>
      <c r="C1694" s="1" t="s">
        <v>1</v>
      </c>
      <c r="D1694" s="1" t="s">
        <v>20116</v>
      </c>
      <c r="E1694" s="1" t="s">
        <v>20117</v>
      </c>
      <c r="F1694" s="1" t="s">
        <v>20118</v>
      </c>
      <c r="H1694" s="2" t="s">
        <v>5</v>
      </c>
      <c r="I1694" s="2" t="s">
        <v>6</v>
      </c>
      <c r="J1694" s="2" t="s">
        <v>5</v>
      </c>
      <c r="K1694" s="2" t="s">
        <v>5</v>
      </c>
      <c r="L1694" s="2" t="s">
        <v>7</v>
      </c>
      <c r="M1694" s="1" t="s">
        <v>90</v>
      </c>
      <c r="N1694" s="1" t="s">
        <v>15690</v>
      </c>
      <c r="O1694" s="2" t="s">
        <v>1378</v>
      </c>
      <c r="Q1694" s="2" t="s">
        <v>11</v>
      </c>
      <c r="R1694" s="2" t="s">
        <v>1325</v>
      </c>
      <c r="T1694" s="2" t="s">
        <v>520</v>
      </c>
      <c r="U1694" s="3">
        <v>0</v>
      </c>
      <c r="V1694" s="3">
        <v>0</v>
      </c>
      <c r="W1694" s="4" t="s">
        <v>903</v>
      </c>
      <c r="X1694" s="4" t="s">
        <v>903</v>
      </c>
      <c r="Y1694" s="4" t="s">
        <v>604</v>
      </c>
      <c r="Z1694" s="4" t="s">
        <v>604</v>
      </c>
      <c r="AA1694" s="3">
        <v>210</v>
      </c>
      <c r="AB1694" s="3">
        <v>205</v>
      </c>
      <c r="AC1694" s="3">
        <v>207</v>
      </c>
      <c r="AD1694" s="3">
        <v>2</v>
      </c>
      <c r="AE1694" s="3">
        <v>2</v>
      </c>
      <c r="AF1694" s="3">
        <v>11</v>
      </c>
      <c r="AG1694" s="3">
        <v>11</v>
      </c>
      <c r="AH1694" s="3">
        <v>2</v>
      </c>
      <c r="AI1694" s="3">
        <v>2</v>
      </c>
      <c r="AJ1694" s="3">
        <v>3</v>
      </c>
      <c r="AK1694" s="3">
        <v>3</v>
      </c>
      <c r="AL1694" s="3">
        <v>8</v>
      </c>
      <c r="AM1694" s="3">
        <v>8</v>
      </c>
      <c r="AN1694" s="3">
        <v>0</v>
      </c>
      <c r="AO1694" s="3">
        <v>0</v>
      </c>
      <c r="AP1694" s="3">
        <v>0</v>
      </c>
      <c r="AQ1694" s="3">
        <v>0</v>
      </c>
      <c r="AR1694" s="2" t="s">
        <v>5</v>
      </c>
      <c r="AS1694" s="2" t="s">
        <v>16</v>
      </c>
      <c r="AT1694" s="5" t="str">
        <f>HYPERLINK("http://catalog.hathitrust.org/Record/003321678","HathiTrust Record")</f>
        <v>HathiTrust Record</v>
      </c>
      <c r="AU1694" s="5" t="str">
        <f>HYPERLINK("https://creighton-primo.hosted.exlibrisgroup.com/primo-explore/search?tab=default_tab&amp;search_scope=EVERYTHING&amp;vid=01CRU&amp;lang=en_US&amp;offset=0&amp;query=any,contains,991000269359702656","Catalog Record")</f>
        <v>Catalog Record</v>
      </c>
      <c r="AV1694" s="5" t="str">
        <f>HYPERLINK("http://www.worldcat.org/oclc/38758356","WorldCat Record")</f>
        <v>WorldCat Record</v>
      </c>
      <c r="AW1694" s="2" t="s">
        <v>20119</v>
      </c>
      <c r="AX1694" s="2" t="s">
        <v>20120</v>
      </c>
      <c r="AY1694" s="2" t="s">
        <v>20121</v>
      </c>
      <c r="AZ1694" s="2" t="s">
        <v>20121</v>
      </c>
      <c r="BA1694" s="2" t="s">
        <v>20122</v>
      </c>
      <c r="BB1694" s="2" t="s">
        <v>21</v>
      </c>
      <c r="BE1694" s="2" t="s">
        <v>20123</v>
      </c>
      <c r="BF1694" s="2" t="s">
        <v>20124</v>
      </c>
    </row>
    <row r="1695" spans="1:58" ht="41.25" customHeight="1" x14ac:dyDescent="0.25">
      <c r="A1695" s="8" t="s">
        <v>5</v>
      </c>
      <c r="B1695" s="1" t="s">
        <v>0</v>
      </c>
      <c r="C1695" s="1" t="s">
        <v>1</v>
      </c>
      <c r="D1695" s="1" t="s">
        <v>20125</v>
      </c>
      <c r="E1695" s="1" t="s">
        <v>20126</v>
      </c>
      <c r="F1695" s="1" t="s">
        <v>20127</v>
      </c>
      <c r="H1695" s="2" t="s">
        <v>16</v>
      </c>
      <c r="I1695" s="2" t="s">
        <v>6</v>
      </c>
      <c r="J1695" s="2" t="s">
        <v>16</v>
      </c>
      <c r="K1695" s="2" t="s">
        <v>5</v>
      </c>
      <c r="L1695" s="2" t="s">
        <v>7</v>
      </c>
      <c r="N1695" s="1" t="s">
        <v>9956</v>
      </c>
      <c r="O1695" s="2" t="s">
        <v>9957</v>
      </c>
      <c r="Q1695" s="2" t="s">
        <v>11</v>
      </c>
      <c r="R1695" s="2" t="s">
        <v>12</v>
      </c>
      <c r="S1695" s="1" t="s">
        <v>20128</v>
      </c>
      <c r="T1695" s="2" t="s">
        <v>520</v>
      </c>
      <c r="U1695" s="3">
        <v>2</v>
      </c>
      <c r="V1695" s="3">
        <v>8</v>
      </c>
      <c r="W1695" s="4" t="s">
        <v>1405</v>
      </c>
      <c r="X1695" s="4" t="s">
        <v>1405</v>
      </c>
      <c r="Y1695" s="4" t="s">
        <v>736</v>
      </c>
      <c r="Z1695" s="4" t="s">
        <v>736</v>
      </c>
      <c r="AA1695" s="3">
        <v>14</v>
      </c>
      <c r="AB1695" s="3">
        <v>13</v>
      </c>
      <c r="AC1695" s="3">
        <v>14</v>
      </c>
      <c r="AD1695" s="3">
        <v>1</v>
      </c>
      <c r="AE1695" s="3">
        <v>1</v>
      </c>
      <c r="AF1695" s="3">
        <v>1</v>
      </c>
      <c r="AG1695" s="3">
        <v>1</v>
      </c>
      <c r="AH1695" s="3">
        <v>0</v>
      </c>
      <c r="AI1695" s="3">
        <v>0</v>
      </c>
      <c r="AJ1695" s="3">
        <v>0</v>
      </c>
      <c r="AK1695" s="3">
        <v>0</v>
      </c>
      <c r="AL1695" s="3">
        <v>1</v>
      </c>
      <c r="AM1695" s="3">
        <v>1</v>
      </c>
      <c r="AN1695" s="3">
        <v>0</v>
      </c>
      <c r="AO1695" s="3">
        <v>0</v>
      </c>
      <c r="AP1695" s="3">
        <v>0</v>
      </c>
      <c r="AQ1695" s="3">
        <v>0</v>
      </c>
      <c r="AR1695" s="2" t="s">
        <v>5</v>
      </c>
      <c r="AS1695" s="2" t="s">
        <v>5</v>
      </c>
      <c r="AT1695" s="5" t="str">
        <f>HYPERLINK("http://catalog.hathitrust.org/Record/002075198","HathiTrust Record")</f>
        <v>HathiTrust Record</v>
      </c>
      <c r="AU1695" s="5" t="str">
        <f>HYPERLINK("https://creighton-primo.hosted.exlibrisgroup.com/primo-explore/search?tab=default_tab&amp;search_scope=EVERYTHING&amp;vid=01CRU&amp;lang=en_US&amp;offset=0&amp;query=any,contains,991001389369702656","Catalog Record")</f>
        <v>Catalog Record</v>
      </c>
      <c r="AV1695" s="5" t="str">
        <f>HYPERLINK("http://www.worldcat.org/oclc/19369590","WorldCat Record")</f>
        <v>WorldCat Record</v>
      </c>
      <c r="AW1695" s="2" t="s">
        <v>20129</v>
      </c>
      <c r="AX1695" s="2" t="s">
        <v>20130</v>
      </c>
      <c r="AY1695" s="2" t="s">
        <v>20131</v>
      </c>
      <c r="AZ1695" s="2" t="s">
        <v>20131</v>
      </c>
      <c r="BA1695" s="2" t="s">
        <v>20132</v>
      </c>
      <c r="BB1695" s="2" t="s">
        <v>21</v>
      </c>
      <c r="BE1695" s="2" t="s">
        <v>20133</v>
      </c>
      <c r="BF1695" s="2" t="s">
        <v>20134</v>
      </c>
    </row>
    <row r="1696" spans="1:58" ht="41.25" customHeight="1" x14ac:dyDescent="0.25">
      <c r="A1696" s="8" t="s">
        <v>5</v>
      </c>
      <c r="B1696" s="1" t="s">
        <v>0</v>
      </c>
      <c r="C1696" s="1" t="s">
        <v>1</v>
      </c>
      <c r="D1696" s="1" t="s">
        <v>20135</v>
      </c>
      <c r="E1696" s="1" t="s">
        <v>20136</v>
      </c>
      <c r="F1696" s="1" t="s">
        <v>20127</v>
      </c>
      <c r="H1696" s="2" t="s">
        <v>16</v>
      </c>
      <c r="I1696" s="2" t="s">
        <v>6</v>
      </c>
      <c r="J1696" s="2" t="s">
        <v>16</v>
      </c>
      <c r="K1696" s="2" t="s">
        <v>5</v>
      </c>
      <c r="L1696" s="2" t="s">
        <v>7</v>
      </c>
      <c r="N1696" s="1" t="s">
        <v>9956</v>
      </c>
      <c r="O1696" s="2" t="s">
        <v>9957</v>
      </c>
      <c r="Q1696" s="2" t="s">
        <v>11</v>
      </c>
      <c r="R1696" s="2" t="s">
        <v>12</v>
      </c>
      <c r="S1696" s="1" t="s">
        <v>20128</v>
      </c>
      <c r="T1696" s="2" t="s">
        <v>520</v>
      </c>
      <c r="U1696" s="3">
        <v>2</v>
      </c>
      <c r="V1696" s="3">
        <v>8</v>
      </c>
      <c r="W1696" s="4" t="s">
        <v>1405</v>
      </c>
      <c r="X1696" s="4" t="s">
        <v>1405</v>
      </c>
      <c r="Y1696" s="4" t="s">
        <v>736</v>
      </c>
      <c r="Z1696" s="4" t="s">
        <v>736</v>
      </c>
      <c r="AA1696" s="3">
        <v>14</v>
      </c>
      <c r="AB1696" s="3">
        <v>13</v>
      </c>
      <c r="AC1696" s="3">
        <v>14</v>
      </c>
      <c r="AD1696" s="3">
        <v>1</v>
      </c>
      <c r="AE1696" s="3">
        <v>1</v>
      </c>
      <c r="AF1696" s="3">
        <v>1</v>
      </c>
      <c r="AG1696" s="3">
        <v>1</v>
      </c>
      <c r="AH1696" s="3">
        <v>0</v>
      </c>
      <c r="AI1696" s="3">
        <v>0</v>
      </c>
      <c r="AJ1696" s="3">
        <v>0</v>
      </c>
      <c r="AK1696" s="3">
        <v>0</v>
      </c>
      <c r="AL1696" s="3">
        <v>1</v>
      </c>
      <c r="AM1696" s="3">
        <v>1</v>
      </c>
      <c r="AN1696" s="3">
        <v>0</v>
      </c>
      <c r="AO1696" s="3">
        <v>0</v>
      </c>
      <c r="AP1696" s="3">
        <v>0</v>
      </c>
      <c r="AQ1696" s="3">
        <v>0</v>
      </c>
      <c r="AR1696" s="2" t="s">
        <v>5</v>
      </c>
      <c r="AS1696" s="2" t="s">
        <v>5</v>
      </c>
      <c r="AT1696" s="5" t="str">
        <f>HYPERLINK("http://catalog.hathitrust.org/Record/002075198","HathiTrust Record")</f>
        <v>HathiTrust Record</v>
      </c>
      <c r="AU1696" s="5" t="str">
        <f>HYPERLINK("https://creighton-primo.hosted.exlibrisgroup.com/primo-explore/search?tab=default_tab&amp;search_scope=EVERYTHING&amp;vid=01CRU&amp;lang=en_US&amp;offset=0&amp;query=any,contains,991001389369702656","Catalog Record")</f>
        <v>Catalog Record</v>
      </c>
      <c r="AV1696" s="5" t="str">
        <f>HYPERLINK("http://www.worldcat.org/oclc/19369590","WorldCat Record")</f>
        <v>WorldCat Record</v>
      </c>
      <c r="AW1696" s="2" t="s">
        <v>20129</v>
      </c>
      <c r="AX1696" s="2" t="s">
        <v>20130</v>
      </c>
      <c r="AY1696" s="2" t="s">
        <v>20131</v>
      </c>
      <c r="AZ1696" s="2" t="s">
        <v>20131</v>
      </c>
      <c r="BA1696" s="2" t="s">
        <v>20132</v>
      </c>
      <c r="BB1696" s="2" t="s">
        <v>21</v>
      </c>
      <c r="BE1696" s="2" t="s">
        <v>20137</v>
      </c>
      <c r="BF1696" s="2" t="s">
        <v>20138</v>
      </c>
    </row>
    <row r="1697" spans="1:58" ht="41.25" customHeight="1" x14ac:dyDescent="0.25">
      <c r="A1697" s="8" t="s">
        <v>5</v>
      </c>
      <c r="B1697" s="1" t="s">
        <v>0</v>
      </c>
      <c r="C1697" s="1" t="s">
        <v>1</v>
      </c>
      <c r="D1697" s="1" t="s">
        <v>20139</v>
      </c>
      <c r="E1697" s="1" t="s">
        <v>20140</v>
      </c>
      <c r="F1697" s="1" t="s">
        <v>20127</v>
      </c>
      <c r="H1697" s="2" t="s">
        <v>16</v>
      </c>
      <c r="I1697" s="2" t="s">
        <v>6</v>
      </c>
      <c r="J1697" s="2" t="s">
        <v>16</v>
      </c>
      <c r="K1697" s="2" t="s">
        <v>5</v>
      </c>
      <c r="L1697" s="2" t="s">
        <v>7</v>
      </c>
      <c r="N1697" s="1" t="s">
        <v>9956</v>
      </c>
      <c r="O1697" s="2" t="s">
        <v>9957</v>
      </c>
      <c r="Q1697" s="2" t="s">
        <v>11</v>
      </c>
      <c r="R1697" s="2" t="s">
        <v>12</v>
      </c>
      <c r="S1697" s="1" t="s">
        <v>20128</v>
      </c>
      <c r="T1697" s="2" t="s">
        <v>520</v>
      </c>
      <c r="U1697" s="3">
        <v>2</v>
      </c>
      <c r="V1697" s="3">
        <v>8</v>
      </c>
      <c r="W1697" s="4" t="s">
        <v>1405</v>
      </c>
      <c r="X1697" s="4" t="s">
        <v>1405</v>
      </c>
      <c r="Y1697" s="4" t="s">
        <v>736</v>
      </c>
      <c r="Z1697" s="4" t="s">
        <v>736</v>
      </c>
      <c r="AA1697" s="3">
        <v>14</v>
      </c>
      <c r="AB1697" s="3">
        <v>13</v>
      </c>
      <c r="AC1697" s="3">
        <v>14</v>
      </c>
      <c r="AD1697" s="3">
        <v>1</v>
      </c>
      <c r="AE1697" s="3">
        <v>1</v>
      </c>
      <c r="AF1697" s="3">
        <v>1</v>
      </c>
      <c r="AG1697" s="3">
        <v>1</v>
      </c>
      <c r="AH1697" s="3">
        <v>0</v>
      </c>
      <c r="AI1697" s="3">
        <v>0</v>
      </c>
      <c r="AJ1697" s="3">
        <v>0</v>
      </c>
      <c r="AK1697" s="3">
        <v>0</v>
      </c>
      <c r="AL1697" s="3">
        <v>1</v>
      </c>
      <c r="AM1697" s="3">
        <v>1</v>
      </c>
      <c r="AN1697" s="3">
        <v>0</v>
      </c>
      <c r="AO1697" s="3">
        <v>0</v>
      </c>
      <c r="AP1697" s="3">
        <v>0</v>
      </c>
      <c r="AQ1697" s="3">
        <v>0</v>
      </c>
      <c r="AR1697" s="2" t="s">
        <v>5</v>
      </c>
      <c r="AS1697" s="2" t="s">
        <v>5</v>
      </c>
      <c r="AT1697" s="5" t="str">
        <f>HYPERLINK("http://catalog.hathitrust.org/Record/002075198","HathiTrust Record")</f>
        <v>HathiTrust Record</v>
      </c>
      <c r="AU1697" s="5" t="str">
        <f>HYPERLINK("https://creighton-primo.hosted.exlibrisgroup.com/primo-explore/search?tab=default_tab&amp;search_scope=EVERYTHING&amp;vid=01CRU&amp;lang=en_US&amp;offset=0&amp;query=any,contains,991001389369702656","Catalog Record")</f>
        <v>Catalog Record</v>
      </c>
      <c r="AV1697" s="5" t="str">
        <f>HYPERLINK("http://www.worldcat.org/oclc/19369590","WorldCat Record")</f>
        <v>WorldCat Record</v>
      </c>
      <c r="AW1697" s="2" t="s">
        <v>20129</v>
      </c>
      <c r="AX1697" s="2" t="s">
        <v>20130</v>
      </c>
      <c r="AY1697" s="2" t="s">
        <v>20131</v>
      </c>
      <c r="AZ1697" s="2" t="s">
        <v>20131</v>
      </c>
      <c r="BA1697" s="2" t="s">
        <v>20132</v>
      </c>
      <c r="BB1697" s="2" t="s">
        <v>21</v>
      </c>
      <c r="BE1697" s="2" t="s">
        <v>20141</v>
      </c>
      <c r="BF1697" s="2" t="s">
        <v>20142</v>
      </c>
    </row>
    <row r="1698" spans="1:58" ht="41.25" customHeight="1" x14ac:dyDescent="0.25">
      <c r="A1698" s="8" t="s">
        <v>5</v>
      </c>
      <c r="B1698" s="1" t="s">
        <v>0</v>
      </c>
      <c r="C1698" s="1" t="s">
        <v>1</v>
      </c>
      <c r="D1698" s="1" t="s">
        <v>20143</v>
      </c>
      <c r="E1698" s="1" t="s">
        <v>20144</v>
      </c>
      <c r="F1698" s="1" t="s">
        <v>20127</v>
      </c>
      <c r="H1698" s="2" t="s">
        <v>16</v>
      </c>
      <c r="I1698" s="2" t="s">
        <v>6</v>
      </c>
      <c r="J1698" s="2" t="s">
        <v>16</v>
      </c>
      <c r="K1698" s="2" t="s">
        <v>5</v>
      </c>
      <c r="L1698" s="2" t="s">
        <v>7</v>
      </c>
      <c r="N1698" s="1" t="s">
        <v>9956</v>
      </c>
      <c r="O1698" s="2" t="s">
        <v>9957</v>
      </c>
      <c r="Q1698" s="2" t="s">
        <v>11</v>
      </c>
      <c r="R1698" s="2" t="s">
        <v>12</v>
      </c>
      <c r="S1698" s="1" t="s">
        <v>20128</v>
      </c>
      <c r="T1698" s="2" t="s">
        <v>520</v>
      </c>
      <c r="U1698" s="3">
        <v>2</v>
      </c>
      <c r="V1698" s="3">
        <v>8</v>
      </c>
      <c r="W1698" s="4" t="s">
        <v>1405</v>
      </c>
      <c r="X1698" s="4" t="s">
        <v>1405</v>
      </c>
      <c r="Y1698" s="4" t="s">
        <v>736</v>
      </c>
      <c r="Z1698" s="4" t="s">
        <v>736</v>
      </c>
      <c r="AA1698" s="3">
        <v>14</v>
      </c>
      <c r="AB1698" s="3">
        <v>13</v>
      </c>
      <c r="AC1698" s="3">
        <v>14</v>
      </c>
      <c r="AD1698" s="3">
        <v>1</v>
      </c>
      <c r="AE1698" s="3">
        <v>1</v>
      </c>
      <c r="AF1698" s="3">
        <v>1</v>
      </c>
      <c r="AG1698" s="3">
        <v>1</v>
      </c>
      <c r="AH1698" s="3">
        <v>0</v>
      </c>
      <c r="AI1698" s="3">
        <v>0</v>
      </c>
      <c r="AJ1698" s="3">
        <v>0</v>
      </c>
      <c r="AK1698" s="3">
        <v>0</v>
      </c>
      <c r="AL1698" s="3">
        <v>1</v>
      </c>
      <c r="AM1698" s="3">
        <v>1</v>
      </c>
      <c r="AN1698" s="3">
        <v>0</v>
      </c>
      <c r="AO1698" s="3">
        <v>0</v>
      </c>
      <c r="AP1698" s="3">
        <v>0</v>
      </c>
      <c r="AQ1698" s="3">
        <v>0</v>
      </c>
      <c r="AR1698" s="2" t="s">
        <v>5</v>
      </c>
      <c r="AS1698" s="2" t="s">
        <v>5</v>
      </c>
      <c r="AT1698" s="5" t="str">
        <f>HYPERLINK("http://catalog.hathitrust.org/Record/002075198","HathiTrust Record")</f>
        <v>HathiTrust Record</v>
      </c>
      <c r="AU1698" s="5" t="str">
        <f>HYPERLINK("https://creighton-primo.hosted.exlibrisgroup.com/primo-explore/search?tab=default_tab&amp;search_scope=EVERYTHING&amp;vid=01CRU&amp;lang=en_US&amp;offset=0&amp;query=any,contains,991001389369702656","Catalog Record")</f>
        <v>Catalog Record</v>
      </c>
      <c r="AV1698" s="5" t="str">
        <f>HYPERLINK("http://www.worldcat.org/oclc/19369590","WorldCat Record")</f>
        <v>WorldCat Record</v>
      </c>
      <c r="AW1698" s="2" t="s">
        <v>20129</v>
      </c>
      <c r="AX1698" s="2" t="s">
        <v>20130</v>
      </c>
      <c r="AY1698" s="2" t="s">
        <v>20131</v>
      </c>
      <c r="AZ1698" s="2" t="s">
        <v>20131</v>
      </c>
      <c r="BA1698" s="2" t="s">
        <v>20132</v>
      </c>
      <c r="BB1698" s="2" t="s">
        <v>21</v>
      </c>
      <c r="BE1698" s="2" t="s">
        <v>20145</v>
      </c>
      <c r="BF1698" s="2" t="s">
        <v>20146</v>
      </c>
    </row>
    <row r="1699" spans="1:58" ht="41.25" customHeight="1" x14ac:dyDescent="0.25">
      <c r="A1699" s="8" t="s">
        <v>5</v>
      </c>
      <c r="B1699" s="1" t="s">
        <v>0</v>
      </c>
      <c r="C1699" s="1" t="s">
        <v>1</v>
      </c>
      <c r="D1699" s="1" t="s">
        <v>20147</v>
      </c>
      <c r="E1699" s="1" t="s">
        <v>20148</v>
      </c>
      <c r="F1699" s="1" t="s">
        <v>20149</v>
      </c>
      <c r="H1699" s="2" t="s">
        <v>5</v>
      </c>
      <c r="I1699" s="2" t="s">
        <v>6</v>
      </c>
      <c r="J1699" s="2" t="s">
        <v>5</v>
      </c>
      <c r="K1699" s="2" t="s">
        <v>16</v>
      </c>
      <c r="L1699" s="2" t="s">
        <v>7</v>
      </c>
      <c r="M1699" s="1" t="s">
        <v>20150</v>
      </c>
      <c r="N1699" s="1" t="s">
        <v>20151</v>
      </c>
      <c r="O1699" s="2" t="s">
        <v>546</v>
      </c>
      <c r="P1699" s="1" t="s">
        <v>1284</v>
      </c>
      <c r="Q1699" s="2" t="s">
        <v>11</v>
      </c>
      <c r="R1699" s="2" t="s">
        <v>78</v>
      </c>
      <c r="T1699" s="2" t="s">
        <v>520</v>
      </c>
      <c r="U1699" s="3">
        <v>7</v>
      </c>
      <c r="V1699" s="3">
        <v>7</v>
      </c>
      <c r="W1699" s="4" t="s">
        <v>20152</v>
      </c>
      <c r="X1699" s="4" t="s">
        <v>20152</v>
      </c>
      <c r="Y1699" s="4" t="s">
        <v>20153</v>
      </c>
      <c r="Z1699" s="4" t="s">
        <v>20153</v>
      </c>
      <c r="AA1699" s="3">
        <v>331</v>
      </c>
      <c r="AB1699" s="3">
        <v>276</v>
      </c>
      <c r="AC1699" s="3">
        <v>855</v>
      </c>
      <c r="AD1699" s="3">
        <v>1</v>
      </c>
      <c r="AE1699" s="3">
        <v>4</v>
      </c>
      <c r="AF1699" s="3">
        <v>11</v>
      </c>
      <c r="AG1699" s="3">
        <v>31</v>
      </c>
      <c r="AH1699" s="3">
        <v>3</v>
      </c>
      <c r="AI1699" s="3">
        <v>13</v>
      </c>
      <c r="AJ1699" s="3">
        <v>2</v>
      </c>
      <c r="AK1699" s="3">
        <v>5</v>
      </c>
      <c r="AL1699" s="3">
        <v>6</v>
      </c>
      <c r="AM1699" s="3">
        <v>13</v>
      </c>
      <c r="AN1699" s="3">
        <v>0</v>
      </c>
      <c r="AO1699" s="3">
        <v>2</v>
      </c>
      <c r="AP1699" s="3">
        <v>3</v>
      </c>
      <c r="AQ1699" s="3">
        <v>3</v>
      </c>
      <c r="AR1699" s="2" t="s">
        <v>5</v>
      </c>
      <c r="AS1699" s="2" t="s">
        <v>16</v>
      </c>
      <c r="AT1699" s="5" t="str">
        <f>HYPERLINK("http://catalog.hathitrust.org/Record/002753240","HathiTrust Record")</f>
        <v>HathiTrust Record</v>
      </c>
      <c r="AU1699" s="5" t="str">
        <f>HYPERLINK("https://creighton-primo.hosted.exlibrisgroup.com/primo-explore/search?tab=default_tab&amp;search_scope=EVERYTHING&amp;vid=01CRU&amp;lang=en_US&amp;offset=0&amp;query=any,contains,991000667689702656","Catalog Record")</f>
        <v>Catalog Record</v>
      </c>
      <c r="AV1699" s="5" t="str">
        <f>HYPERLINK("http://www.worldcat.org/oclc/28017208","WorldCat Record")</f>
        <v>WorldCat Record</v>
      </c>
      <c r="AW1699" s="2" t="s">
        <v>20154</v>
      </c>
      <c r="AX1699" s="2" t="s">
        <v>20155</v>
      </c>
      <c r="AY1699" s="2" t="s">
        <v>20156</v>
      </c>
      <c r="AZ1699" s="2" t="s">
        <v>20156</v>
      </c>
      <c r="BA1699" s="2" t="s">
        <v>20157</v>
      </c>
      <c r="BB1699" s="2" t="s">
        <v>21</v>
      </c>
      <c r="BD1699" s="2" t="s">
        <v>20158</v>
      </c>
      <c r="BE1699" s="2" t="s">
        <v>20159</v>
      </c>
      <c r="BF1699" s="2" t="s">
        <v>20160</v>
      </c>
    </row>
    <row r="1700" spans="1:58" ht="41.25" customHeight="1" x14ac:dyDescent="0.25">
      <c r="A1700" s="8" t="s">
        <v>5</v>
      </c>
      <c r="B1700" s="1" t="s">
        <v>0</v>
      </c>
      <c r="C1700" s="1" t="s">
        <v>1</v>
      </c>
      <c r="D1700" s="1" t="s">
        <v>20161</v>
      </c>
      <c r="E1700" s="1" t="s">
        <v>20162</v>
      </c>
      <c r="F1700" s="1" t="s">
        <v>20163</v>
      </c>
      <c r="H1700" s="2" t="s">
        <v>5</v>
      </c>
      <c r="I1700" s="2" t="s">
        <v>6</v>
      </c>
      <c r="J1700" s="2" t="s">
        <v>5</v>
      </c>
      <c r="K1700" s="2" t="s">
        <v>16</v>
      </c>
      <c r="L1700" s="2" t="s">
        <v>7</v>
      </c>
      <c r="M1700" s="1" t="s">
        <v>20150</v>
      </c>
      <c r="N1700" s="1" t="s">
        <v>10544</v>
      </c>
      <c r="O1700" s="2" t="s">
        <v>1378</v>
      </c>
      <c r="P1700" s="1" t="s">
        <v>63</v>
      </c>
      <c r="Q1700" s="2" t="s">
        <v>11</v>
      </c>
      <c r="R1700" s="2" t="s">
        <v>78</v>
      </c>
      <c r="T1700" s="2" t="s">
        <v>520</v>
      </c>
      <c r="U1700" s="3">
        <v>7</v>
      </c>
      <c r="V1700" s="3">
        <v>7</v>
      </c>
      <c r="W1700" s="4" t="s">
        <v>20164</v>
      </c>
      <c r="X1700" s="4" t="s">
        <v>20164</v>
      </c>
      <c r="Y1700" s="4" t="s">
        <v>5058</v>
      </c>
      <c r="Z1700" s="4" t="s">
        <v>5058</v>
      </c>
      <c r="AA1700" s="3">
        <v>353</v>
      </c>
      <c r="AB1700" s="3">
        <v>292</v>
      </c>
      <c r="AC1700" s="3">
        <v>855</v>
      </c>
      <c r="AD1700" s="3">
        <v>2</v>
      </c>
      <c r="AE1700" s="3">
        <v>4</v>
      </c>
      <c r="AF1700" s="3">
        <v>10</v>
      </c>
      <c r="AG1700" s="3">
        <v>31</v>
      </c>
      <c r="AH1700" s="3">
        <v>3</v>
      </c>
      <c r="AI1700" s="3">
        <v>13</v>
      </c>
      <c r="AJ1700" s="3">
        <v>2</v>
      </c>
      <c r="AK1700" s="3">
        <v>5</v>
      </c>
      <c r="AL1700" s="3">
        <v>5</v>
      </c>
      <c r="AM1700" s="3">
        <v>13</v>
      </c>
      <c r="AN1700" s="3">
        <v>1</v>
      </c>
      <c r="AO1700" s="3">
        <v>2</v>
      </c>
      <c r="AP1700" s="3">
        <v>0</v>
      </c>
      <c r="AQ1700" s="3">
        <v>3</v>
      </c>
      <c r="AR1700" s="2" t="s">
        <v>5</v>
      </c>
      <c r="AS1700" s="2" t="s">
        <v>16</v>
      </c>
      <c r="AT1700" s="5" t="str">
        <f>HYPERLINK("http://catalog.hathitrust.org/Record/003950643","HathiTrust Record")</f>
        <v>HathiTrust Record</v>
      </c>
      <c r="AU1700" s="5" t="str">
        <f>HYPERLINK("https://creighton-primo.hosted.exlibrisgroup.com/primo-explore/search?tab=default_tab&amp;search_scope=EVERYTHING&amp;vid=01CRU&amp;lang=en_US&amp;offset=0&amp;query=any,contains,991001277179702656","Catalog Record")</f>
        <v>Catalog Record</v>
      </c>
      <c r="AV1700" s="5" t="str">
        <f>HYPERLINK("http://www.worldcat.org/oclc/36768434","WorldCat Record")</f>
        <v>WorldCat Record</v>
      </c>
      <c r="AW1700" s="2" t="s">
        <v>20154</v>
      </c>
      <c r="AX1700" s="2" t="s">
        <v>20165</v>
      </c>
      <c r="AY1700" s="2" t="s">
        <v>20166</v>
      </c>
      <c r="AZ1700" s="2" t="s">
        <v>20166</v>
      </c>
      <c r="BA1700" s="2" t="s">
        <v>20167</v>
      </c>
      <c r="BB1700" s="2" t="s">
        <v>21</v>
      </c>
      <c r="BD1700" s="2" t="s">
        <v>20168</v>
      </c>
      <c r="BE1700" s="2" t="s">
        <v>20169</v>
      </c>
      <c r="BF1700" s="2" t="s">
        <v>20170</v>
      </c>
    </row>
    <row r="1701" spans="1:58" ht="41.25" customHeight="1" x14ac:dyDescent="0.25">
      <c r="A1701" s="8" t="s">
        <v>5</v>
      </c>
      <c r="B1701" s="1" t="s">
        <v>0</v>
      </c>
      <c r="C1701" s="1" t="s">
        <v>1</v>
      </c>
      <c r="D1701" s="1" t="s">
        <v>20171</v>
      </c>
      <c r="E1701" s="1" t="s">
        <v>20172</v>
      </c>
      <c r="F1701" s="1" t="s">
        <v>20173</v>
      </c>
      <c r="H1701" s="2" t="s">
        <v>5</v>
      </c>
      <c r="I1701" s="2" t="s">
        <v>6</v>
      </c>
      <c r="J1701" s="2" t="s">
        <v>5</v>
      </c>
      <c r="K1701" s="2" t="s">
        <v>16</v>
      </c>
      <c r="L1701" s="2" t="s">
        <v>7</v>
      </c>
      <c r="M1701" s="1" t="s">
        <v>20150</v>
      </c>
      <c r="N1701" s="1" t="s">
        <v>20174</v>
      </c>
      <c r="O1701" s="2" t="s">
        <v>4990</v>
      </c>
      <c r="P1701" s="1" t="s">
        <v>108</v>
      </c>
      <c r="Q1701" s="2" t="s">
        <v>11</v>
      </c>
      <c r="R1701" s="2" t="s">
        <v>78</v>
      </c>
      <c r="T1701" s="2" t="s">
        <v>520</v>
      </c>
      <c r="U1701" s="3">
        <v>3</v>
      </c>
      <c r="V1701" s="3">
        <v>3</v>
      </c>
      <c r="W1701" s="4" t="s">
        <v>2139</v>
      </c>
      <c r="X1701" s="4" t="s">
        <v>2139</v>
      </c>
      <c r="Y1701" s="4" t="s">
        <v>5105</v>
      </c>
      <c r="Z1701" s="4" t="s">
        <v>5105</v>
      </c>
      <c r="AA1701" s="3">
        <v>536</v>
      </c>
      <c r="AB1701" s="3">
        <v>424</v>
      </c>
      <c r="AC1701" s="3">
        <v>855</v>
      </c>
      <c r="AD1701" s="3">
        <v>2</v>
      </c>
      <c r="AE1701" s="3">
        <v>4</v>
      </c>
      <c r="AF1701" s="3">
        <v>15</v>
      </c>
      <c r="AG1701" s="3">
        <v>31</v>
      </c>
      <c r="AH1701" s="3">
        <v>6</v>
      </c>
      <c r="AI1701" s="3">
        <v>13</v>
      </c>
      <c r="AJ1701" s="3">
        <v>3</v>
      </c>
      <c r="AK1701" s="3">
        <v>5</v>
      </c>
      <c r="AL1701" s="3">
        <v>6</v>
      </c>
      <c r="AM1701" s="3">
        <v>13</v>
      </c>
      <c r="AN1701" s="3">
        <v>1</v>
      </c>
      <c r="AO1701" s="3">
        <v>2</v>
      </c>
      <c r="AP1701" s="3">
        <v>0</v>
      </c>
      <c r="AQ1701" s="3">
        <v>3</v>
      </c>
      <c r="AR1701" s="2" t="s">
        <v>5</v>
      </c>
      <c r="AS1701" s="2" t="s">
        <v>5</v>
      </c>
      <c r="AU1701" s="5" t="str">
        <f>HYPERLINK("https://creighton-primo.hosted.exlibrisgroup.com/primo-explore/search?tab=default_tab&amp;search_scope=EVERYTHING&amp;vid=01CRU&amp;lang=en_US&amp;offset=0&amp;query=any,contains,991000302379702656","Catalog Record")</f>
        <v>Catalog Record</v>
      </c>
      <c r="AV1701" s="5" t="str">
        <f>HYPERLINK("http://www.worldcat.org/oclc/47177768","WorldCat Record")</f>
        <v>WorldCat Record</v>
      </c>
      <c r="AW1701" s="2" t="s">
        <v>20154</v>
      </c>
      <c r="AX1701" s="2" t="s">
        <v>20175</v>
      </c>
      <c r="AY1701" s="2" t="s">
        <v>20176</v>
      </c>
      <c r="AZ1701" s="2" t="s">
        <v>20176</v>
      </c>
      <c r="BA1701" s="2" t="s">
        <v>20177</v>
      </c>
      <c r="BB1701" s="2" t="s">
        <v>21</v>
      </c>
      <c r="BD1701" s="2" t="s">
        <v>20178</v>
      </c>
      <c r="BE1701" s="2" t="s">
        <v>20179</v>
      </c>
      <c r="BF1701" s="2" t="s">
        <v>20180</v>
      </c>
    </row>
    <row r="1702" spans="1:58" ht="41.25" customHeight="1" x14ac:dyDescent="0.25">
      <c r="A1702" s="8" t="s">
        <v>5</v>
      </c>
      <c r="B1702" s="1" t="s">
        <v>0</v>
      </c>
      <c r="C1702" s="1" t="s">
        <v>1</v>
      </c>
      <c r="D1702" s="1" t="s">
        <v>20181</v>
      </c>
      <c r="E1702" s="1" t="s">
        <v>20182</v>
      </c>
      <c r="F1702" s="1" t="s">
        <v>20183</v>
      </c>
      <c r="H1702" s="2" t="s">
        <v>5</v>
      </c>
      <c r="I1702" s="2" t="s">
        <v>6</v>
      </c>
      <c r="J1702" s="2" t="s">
        <v>5</v>
      </c>
      <c r="K1702" s="2" t="s">
        <v>5</v>
      </c>
      <c r="L1702" s="2" t="s">
        <v>7</v>
      </c>
      <c r="M1702" s="1" t="s">
        <v>20184</v>
      </c>
      <c r="N1702" s="1" t="s">
        <v>20185</v>
      </c>
      <c r="O1702" s="2" t="s">
        <v>574</v>
      </c>
      <c r="Q1702" s="2" t="s">
        <v>11</v>
      </c>
      <c r="R1702" s="2" t="s">
        <v>12</v>
      </c>
      <c r="T1702" s="2" t="s">
        <v>520</v>
      </c>
      <c r="U1702" s="3">
        <v>1</v>
      </c>
      <c r="V1702" s="3">
        <v>1</v>
      </c>
      <c r="W1702" s="4" t="s">
        <v>20186</v>
      </c>
      <c r="X1702" s="4" t="s">
        <v>20186</v>
      </c>
      <c r="Y1702" s="4" t="s">
        <v>49</v>
      </c>
      <c r="Z1702" s="4" t="s">
        <v>49</v>
      </c>
      <c r="AA1702" s="3">
        <v>188</v>
      </c>
      <c r="AB1702" s="3">
        <v>161</v>
      </c>
      <c r="AC1702" s="3">
        <v>167</v>
      </c>
      <c r="AD1702" s="3">
        <v>3</v>
      </c>
      <c r="AE1702" s="3">
        <v>3</v>
      </c>
      <c r="AF1702" s="3">
        <v>6</v>
      </c>
      <c r="AG1702" s="3">
        <v>6</v>
      </c>
      <c r="AH1702" s="3">
        <v>0</v>
      </c>
      <c r="AI1702" s="3">
        <v>0</v>
      </c>
      <c r="AJ1702" s="3">
        <v>1</v>
      </c>
      <c r="AK1702" s="3">
        <v>1</v>
      </c>
      <c r="AL1702" s="3">
        <v>5</v>
      </c>
      <c r="AM1702" s="3">
        <v>5</v>
      </c>
      <c r="AN1702" s="3">
        <v>1</v>
      </c>
      <c r="AO1702" s="3">
        <v>1</v>
      </c>
      <c r="AP1702" s="3">
        <v>0</v>
      </c>
      <c r="AQ1702" s="3">
        <v>0</v>
      </c>
      <c r="AR1702" s="2" t="s">
        <v>5</v>
      </c>
      <c r="AS1702" s="2" t="s">
        <v>16</v>
      </c>
      <c r="AT1702" s="5" t="str">
        <f>HYPERLINK("http://catalog.hathitrust.org/Record/001563662","HathiTrust Record")</f>
        <v>HathiTrust Record</v>
      </c>
      <c r="AU1702" s="5" t="str">
        <f>HYPERLINK("https://creighton-primo.hosted.exlibrisgroup.com/primo-explore/search?tab=default_tab&amp;search_scope=EVERYTHING&amp;vid=01CRU&amp;lang=en_US&amp;offset=0&amp;query=any,contains,991000925209702656","Catalog Record")</f>
        <v>Catalog Record</v>
      </c>
      <c r="AV1702" s="5" t="str">
        <f>HYPERLINK("http://www.worldcat.org/oclc/735313","WorldCat Record")</f>
        <v>WorldCat Record</v>
      </c>
      <c r="AW1702" s="2" t="s">
        <v>20187</v>
      </c>
      <c r="AX1702" s="2" t="s">
        <v>20188</v>
      </c>
      <c r="AY1702" s="2" t="s">
        <v>20189</v>
      </c>
      <c r="AZ1702" s="2" t="s">
        <v>20189</v>
      </c>
      <c r="BA1702" s="2" t="s">
        <v>20190</v>
      </c>
      <c r="BB1702" s="2" t="s">
        <v>21</v>
      </c>
      <c r="BE1702" s="2" t="s">
        <v>20191</v>
      </c>
      <c r="BF1702" s="2" t="s">
        <v>20192</v>
      </c>
    </row>
    <row r="1703" spans="1:58" ht="41.25" customHeight="1" x14ac:dyDescent="0.25">
      <c r="A1703" s="8" t="s">
        <v>5</v>
      </c>
      <c r="B1703" s="1" t="s">
        <v>0</v>
      </c>
      <c r="C1703" s="1" t="s">
        <v>1</v>
      </c>
      <c r="D1703" s="1" t="s">
        <v>20193</v>
      </c>
      <c r="E1703" s="1" t="s">
        <v>20194</v>
      </c>
      <c r="F1703" s="1" t="s">
        <v>20195</v>
      </c>
      <c r="H1703" s="2" t="s">
        <v>5</v>
      </c>
      <c r="I1703" s="2" t="s">
        <v>6</v>
      </c>
      <c r="J1703" s="2" t="s">
        <v>5</v>
      </c>
      <c r="K1703" s="2" t="s">
        <v>5</v>
      </c>
      <c r="L1703" s="2" t="s">
        <v>7</v>
      </c>
      <c r="M1703" s="1" t="s">
        <v>20196</v>
      </c>
      <c r="N1703" s="1" t="s">
        <v>8296</v>
      </c>
      <c r="O1703" s="2" t="s">
        <v>989</v>
      </c>
      <c r="P1703" s="1" t="s">
        <v>1284</v>
      </c>
      <c r="Q1703" s="2" t="s">
        <v>11</v>
      </c>
      <c r="R1703" s="2" t="s">
        <v>3356</v>
      </c>
      <c r="T1703" s="2" t="s">
        <v>520</v>
      </c>
      <c r="U1703" s="3">
        <v>2</v>
      </c>
      <c r="V1703" s="3">
        <v>2</v>
      </c>
      <c r="W1703" s="4" t="s">
        <v>17501</v>
      </c>
      <c r="X1703" s="4" t="s">
        <v>17501</v>
      </c>
      <c r="Y1703" s="4" t="s">
        <v>17501</v>
      </c>
      <c r="Z1703" s="4" t="s">
        <v>17501</v>
      </c>
      <c r="AA1703" s="3">
        <v>301</v>
      </c>
      <c r="AB1703" s="3">
        <v>250</v>
      </c>
      <c r="AC1703" s="3">
        <v>565</v>
      </c>
      <c r="AD1703" s="3">
        <v>2</v>
      </c>
      <c r="AE1703" s="3">
        <v>5</v>
      </c>
      <c r="AF1703" s="3">
        <v>11</v>
      </c>
      <c r="AG1703" s="3">
        <v>23</v>
      </c>
      <c r="AH1703" s="3">
        <v>5</v>
      </c>
      <c r="AI1703" s="3">
        <v>10</v>
      </c>
      <c r="AJ1703" s="3">
        <v>3</v>
      </c>
      <c r="AK1703" s="3">
        <v>5</v>
      </c>
      <c r="AL1703" s="3">
        <v>7</v>
      </c>
      <c r="AM1703" s="3">
        <v>10</v>
      </c>
      <c r="AN1703" s="3">
        <v>0</v>
      </c>
      <c r="AO1703" s="3">
        <v>3</v>
      </c>
      <c r="AP1703" s="3">
        <v>0</v>
      </c>
      <c r="AQ1703" s="3">
        <v>0</v>
      </c>
      <c r="AR1703" s="2" t="s">
        <v>5</v>
      </c>
      <c r="AS1703" s="2" t="s">
        <v>16</v>
      </c>
      <c r="AT1703" s="5" t="str">
        <f>HYPERLINK("http://catalog.hathitrust.org/Record/001821462","HathiTrust Record")</f>
        <v>HathiTrust Record</v>
      </c>
      <c r="AU1703" s="5" t="str">
        <f>HYPERLINK("https://creighton-primo.hosted.exlibrisgroup.com/primo-explore/search?tab=default_tab&amp;search_scope=EVERYTHING&amp;vid=01CRU&amp;lang=en_US&amp;offset=0&amp;query=any,contains,991001386989702656","Catalog Record")</f>
        <v>Catalog Record</v>
      </c>
      <c r="AV1703" s="5" t="str">
        <f>HYPERLINK("http://www.worldcat.org/oclc/20735647","WorldCat Record")</f>
        <v>WorldCat Record</v>
      </c>
      <c r="AW1703" s="2" t="s">
        <v>20197</v>
      </c>
      <c r="AX1703" s="2" t="s">
        <v>20198</v>
      </c>
      <c r="AY1703" s="2" t="s">
        <v>20199</v>
      </c>
      <c r="AZ1703" s="2" t="s">
        <v>20199</v>
      </c>
      <c r="BA1703" s="2" t="s">
        <v>20200</v>
      </c>
      <c r="BB1703" s="2" t="s">
        <v>21</v>
      </c>
      <c r="BD1703" s="2" t="s">
        <v>20201</v>
      </c>
      <c r="BE1703" s="2" t="s">
        <v>20202</v>
      </c>
      <c r="BF1703" s="2" t="s">
        <v>20203</v>
      </c>
    </row>
    <row r="1704" spans="1:58" ht="41.25" customHeight="1" x14ac:dyDescent="0.25">
      <c r="A1704" s="8" t="s">
        <v>5</v>
      </c>
      <c r="B1704" s="1" t="s">
        <v>0</v>
      </c>
      <c r="C1704" s="1" t="s">
        <v>1</v>
      </c>
      <c r="D1704" s="1" t="s">
        <v>20204</v>
      </c>
      <c r="E1704" s="1" t="s">
        <v>20205</v>
      </c>
      <c r="F1704" s="1" t="s">
        <v>20206</v>
      </c>
      <c r="H1704" s="2" t="s">
        <v>5</v>
      </c>
      <c r="I1704" s="2" t="s">
        <v>6</v>
      </c>
      <c r="J1704" s="2" t="s">
        <v>5</v>
      </c>
      <c r="K1704" s="2" t="s">
        <v>5</v>
      </c>
      <c r="L1704" s="2" t="s">
        <v>7</v>
      </c>
      <c r="M1704" s="1" t="s">
        <v>20207</v>
      </c>
      <c r="N1704" s="1" t="s">
        <v>20208</v>
      </c>
      <c r="O1704" s="2" t="s">
        <v>382</v>
      </c>
      <c r="P1704" s="1" t="s">
        <v>211</v>
      </c>
      <c r="Q1704" s="2" t="s">
        <v>11</v>
      </c>
      <c r="R1704" s="2" t="s">
        <v>1427</v>
      </c>
      <c r="T1704" s="2" t="s">
        <v>520</v>
      </c>
      <c r="U1704" s="3">
        <v>5</v>
      </c>
      <c r="V1704" s="3">
        <v>5</v>
      </c>
      <c r="W1704" s="4" t="s">
        <v>7829</v>
      </c>
      <c r="X1704" s="4" t="s">
        <v>7829</v>
      </c>
      <c r="Y1704" s="4" t="s">
        <v>168</v>
      </c>
      <c r="Z1704" s="4" t="s">
        <v>168</v>
      </c>
      <c r="AA1704" s="3">
        <v>129</v>
      </c>
      <c r="AB1704" s="3">
        <v>78</v>
      </c>
      <c r="AC1704" s="3">
        <v>125</v>
      </c>
      <c r="AD1704" s="3">
        <v>1</v>
      </c>
      <c r="AE1704" s="3">
        <v>2</v>
      </c>
      <c r="AF1704" s="3">
        <v>2</v>
      </c>
      <c r="AG1704" s="3">
        <v>4</v>
      </c>
      <c r="AH1704" s="3">
        <v>1</v>
      </c>
      <c r="AI1704" s="3">
        <v>1</v>
      </c>
      <c r="AJ1704" s="3">
        <v>0</v>
      </c>
      <c r="AK1704" s="3">
        <v>0</v>
      </c>
      <c r="AL1704" s="3">
        <v>2</v>
      </c>
      <c r="AM1704" s="3">
        <v>3</v>
      </c>
      <c r="AN1704" s="3">
        <v>0</v>
      </c>
      <c r="AO1704" s="3">
        <v>1</v>
      </c>
      <c r="AP1704" s="3">
        <v>0</v>
      </c>
      <c r="AQ1704" s="3">
        <v>0</v>
      </c>
      <c r="AR1704" s="2" t="s">
        <v>5</v>
      </c>
      <c r="AS1704" s="2" t="s">
        <v>16</v>
      </c>
      <c r="AT1704" s="5" t="str">
        <f>HYPERLINK("http://catalog.hathitrust.org/Record/000661545","HathiTrust Record")</f>
        <v>HathiTrust Record</v>
      </c>
      <c r="AU1704" s="5" t="str">
        <f>HYPERLINK("https://creighton-primo.hosted.exlibrisgroup.com/primo-explore/search?tab=default_tab&amp;search_scope=EVERYTHING&amp;vid=01CRU&amp;lang=en_US&amp;offset=0&amp;query=any,contains,991000925249702656","Catalog Record")</f>
        <v>Catalog Record</v>
      </c>
      <c r="AV1704" s="5" t="str">
        <f>HYPERLINK("http://www.worldcat.org/oclc/13455225","WorldCat Record")</f>
        <v>WorldCat Record</v>
      </c>
      <c r="AW1704" s="2" t="s">
        <v>20209</v>
      </c>
      <c r="AX1704" s="2" t="s">
        <v>20210</v>
      </c>
      <c r="AY1704" s="2" t="s">
        <v>20211</v>
      </c>
      <c r="AZ1704" s="2" t="s">
        <v>20211</v>
      </c>
      <c r="BA1704" s="2" t="s">
        <v>20212</v>
      </c>
      <c r="BB1704" s="2" t="s">
        <v>21</v>
      </c>
      <c r="BD1704" s="2" t="s">
        <v>20213</v>
      </c>
      <c r="BE1704" s="2" t="s">
        <v>20214</v>
      </c>
      <c r="BF1704" s="2" t="s">
        <v>20215</v>
      </c>
    </row>
    <row r="1705" spans="1:58" ht="41.25" customHeight="1" x14ac:dyDescent="0.25">
      <c r="A1705" s="8" t="s">
        <v>5</v>
      </c>
      <c r="B1705" s="1" t="s">
        <v>0</v>
      </c>
      <c r="C1705" s="1" t="s">
        <v>1</v>
      </c>
      <c r="D1705" s="1" t="s">
        <v>20216</v>
      </c>
      <c r="E1705" s="1" t="s">
        <v>20217</v>
      </c>
      <c r="F1705" s="1" t="s">
        <v>20218</v>
      </c>
      <c r="H1705" s="2" t="s">
        <v>5</v>
      </c>
      <c r="I1705" s="2" t="s">
        <v>6</v>
      </c>
      <c r="J1705" s="2" t="s">
        <v>5</v>
      </c>
      <c r="K1705" s="2" t="s">
        <v>5</v>
      </c>
      <c r="L1705" s="2" t="s">
        <v>7</v>
      </c>
      <c r="N1705" s="1" t="s">
        <v>20219</v>
      </c>
      <c r="O1705" s="2" t="s">
        <v>939</v>
      </c>
      <c r="Q1705" s="2" t="s">
        <v>11</v>
      </c>
      <c r="R1705" s="2" t="s">
        <v>31</v>
      </c>
      <c r="S1705" s="1" t="s">
        <v>20220</v>
      </c>
      <c r="T1705" s="2" t="s">
        <v>520</v>
      </c>
      <c r="U1705" s="3">
        <v>1</v>
      </c>
      <c r="V1705" s="3">
        <v>1</v>
      </c>
      <c r="W1705" s="4" t="s">
        <v>20221</v>
      </c>
      <c r="X1705" s="4" t="s">
        <v>20221</v>
      </c>
      <c r="Y1705" s="4" t="s">
        <v>16331</v>
      </c>
      <c r="Z1705" s="4" t="s">
        <v>16331</v>
      </c>
      <c r="AA1705" s="3">
        <v>21</v>
      </c>
      <c r="AB1705" s="3">
        <v>21</v>
      </c>
      <c r="AC1705" s="3">
        <v>133</v>
      </c>
      <c r="AD1705" s="3">
        <v>1</v>
      </c>
      <c r="AE1705" s="3">
        <v>2</v>
      </c>
      <c r="AF1705" s="3">
        <v>0</v>
      </c>
      <c r="AG1705" s="3">
        <v>7</v>
      </c>
      <c r="AH1705" s="3">
        <v>0</v>
      </c>
      <c r="AI1705" s="3">
        <v>3</v>
      </c>
      <c r="AJ1705" s="3">
        <v>0</v>
      </c>
      <c r="AK1705" s="3">
        <v>1</v>
      </c>
      <c r="AL1705" s="3">
        <v>0</v>
      </c>
      <c r="AM1705" s="3">
        <v>5</v>
      </c>
      <c r="AN1705" s="3">
        <v>0</v>
      </c>
      <c r="AO1705" s="3">
        <v>0</v>
      </c>
      <c r="AP1705" s="3">
        <v>0</v>
      </c>
      <c r="AQ1705" s="3">
        <v>0</v>
      </c>
      <c r="AR1705" s="2" t="s">
        <v>5</v>
      </c>
      <c r="AS1705" s="2" t="s">
        <v>5</v>
      </c>
      <c r="AU1705" s="5" t="str">
        <f>HYPERLINK("https://creighton-primo.hosted.exlibrisgroup.com/primo-explore/search?tab=default_tab&amp;search_scope=EVERYTHING&amp;vid=01CRU&amp;lang=en_US&amp;offset=0&amp;query=any,contains,991001179339702656","Catalog Record")</f>
        <v>Catalog Record</v>
      </c>
      <c r="AV1705" s="5" t="str">
        <f>HYPERLINK("http://www.worldcat.org/oclc/17665232","WorldCat Record")</f>
        <v>WorldCat Record</v>
      </c>
      <c r="AW1705" s="2" t="s">
        <v>20222</v>
      </c>
      <c r="AX1705" s="2" t="s">
        <v>20223</v>
      </c>
      <c r="AY1705" s="2" t="s">
        <v>20224</v>
      </c>
      <c r="AZ1705" s="2" t="s">
        <v>20224</v>
      </c>
      <c r="BA1705" s="2" t="s">
        <v>20225</v>
      </c>
      <c r="BB1705" s="2" t="s">
        <v>21</v>
      </c>
      <c r="BE1705" s="2" t="s">
        <v>20226</v>
      </c>
      <c r="BF1705" s="2" t="s">
        <v>20227</v>
      </c>
    </row>
    <row r="1706" spans="1:58" ht="41.25" customHeight="1" x14ac:dyDescent="0.25">
      <c r="A1706" s="8" t="s">
        <v>5</v>
      </c>
      <c r="B1706" s="1" t="s">
        <v>0</v>
      </c>
      <c r="C1706" s="1" t="s">
        <v>1</v>
      </c>
      <c r="D1706" s="1" t="s">
        <v>20228</v>
      </c>
      <c r="E1706" s="1" t="s">
        <v>20229</v>
      </c>
      <c r="F1706" s="1" t="s">
        <v>20230</v>
      </c>
      <c r="H1706" s="2" t="s">
        <v>5</v>
      </c>
      <c r="I1706" s="2" t="s">
        <v>6</v>
      </c>
      <c r="J1706" s="2" t="s">
        <v>5</v>
      </c>
      <c r="K1706" s="2" t="s">
        <v>5</v>
      </c>
      <c r="L1706" s="2" t="s">
        <v>7</v>
      </c>
      <c r="N1706" s="1" t="s">
        <v>7753</v>
      </c>
      <c r="O1706" s="2" t="s">
        <v>382</v>
      </c>
      <c r="Q1706" s="2" t="s">
        <v>11</v>
      </c>
      <c r="R1706" s="2" t="s">
        <v>426</v>
      </c>
      <c r="S1706" s="1" t="s">
        <v>3264</v>
      </c>
      <c r="T1706" s="2" t="s">
        <v>520</v>
      </c>
      <c r="U1706" s="3">
        <v>5</v>
      </c>
      <c r="V1706" s="3">
        <v>5</v>
      </c>
      <c r="W1706" s="4" t="s">
        <v>20231</v>
      </c>
      <c r="X1706" s="4" t="s">
        <v>20231</v>
      </c>
      <c r="Y1706" s="4" t="s">
        <v>168</v>
      </c>
      <c r="Z1706" s="4" t="s">
        <v>168</v>
      </c>
      <c r="AA1706" s="3">
        <v>219</v>
      </c>
      <c r="AB1706" s="3">
        <v>182</v>
      </c>
      <c r="AC1706" s="3">
        <v>184</v>
      </c>
      <c r="AD1706" s="3">
        <v>1</v>
      </c>
      <c r="AE1706" s="3">
        <v>1</v>
      </c>
      <c r="AF1706" s="3">
        <v>6</v>
      </c>
      <c r="AG1706" s="3">
        <v>6</v>
      </c>
      <c r="AH1706" s="3">
        <v>3</v>
      </c>
      <c r="AI1706" s="3">
        <v>3</v>
      </c>
      <c r="AJ1706" s="3">
        <v>0</v>
      </c>
      <c r="AK1706" s="3">
        <v>0</v>
      </c>
      <c r="AL1706" s="3">
        <v>4</v>
      </c>
      <c r="AM1706" s="3">
        <v>4</v>
      </c>
      <c r="AN1706" s="3">
        <v>0</v>
      </c>
      <c r="AO1706" s="3">
        <v>0</v>
      </c>
      <c r="AP1706" s="3">
        <v>0</v>
      </c>
      <c r="AQ1706" s="3">
        <v>0</v>
      </c>
      <c r="AR1706" s="2" t="s">
        <v>5</v>
      </c>
      <c r="AS1706" s="2" t="s">
        <v>16</v>
      </c>
      <c r="AT1706" s="5" t="str">
        <f>HYPERLINK("http://catalog.hathitrust.org/Record/000331828","HathiTrust Record")</f>
        <v>HathiTrust Record</v>
      </c>
      <c r="AU1706" s="5" t="str">
        <f>HYPERLINK("https://creighton-primo.hosted.exlibrisgroup.com/primo-explore/search?tab=default_tab&amp;search_scope=EVERYTHING&amp;vid=01CRU&amp;lang=en_US&amp;offset=0&amp;query=any,contains,991000925369702656","Catalog Record")</f>
        <v>Catalog Record</v>
      </c>
      <c r="AV1706" s="5" t="str">
        <f>HYPERLINK("http://www.worldcat.org/oclc/11114633","WorldCat Record")</f>
        <v>WorldCat Record</v>
      </c>
      <c r="AW1706" s="2" t="s">
        <v>20232</v>
      </c>
      <c r="AX1706" s="2" t="s">
        <v>20233</v>
      </c>
      <c r="AY1706" s="2" t="s">
        <v>20234</v>
      </c>
      <c r="AZ1706" s="2" t="s">
        <v>20234</v>
      </c>
      <c r="BA1706" s="2" t="s">
        <v>20235</v>
      </c>
      <c r="BB1706" s="2" t="s">
        <v>21</v>
      </c>
      <c r="BD1706" s="2" t="s">
        <v>20236</v>
      </c>
      <c r="BE1706" s="2" t="s">
        <v>20237</v>
      </c>
      <c r="BF1706" s="2" t="s">
        <v>20238</v>
      </c>
    </row>
    <row r="1707" spans="1:58" ht="41.25" customHeight="1" x14ac:dyDescent="0.25">
      <c r="A1707" s="8" t="s">
        <v>5</v>
      </c>
      <c r="B1707" s="1" t="s">
        <v>0</v>
      </c>
      <c r="C1707" s="1" t="s">
        <v>1</v>
      </c>
      <c r="D1707" s="1" t="s">
        <v>20239</v>
      </c>
      <c r="E1707" s="1" t="s">
        <v>20240</v>
      </c>
      <c r="F1707" s="1" t="s">
        <v>20241</v>
      </c>
      <c r="H1707" s="2" t="s">
        <v>5</v>
      </c>
      <c r="I1707" s="2" t="s">
        <v>6</v>
      </c>
      <c r="J1707" s="2" t="s">
        <v>5</v>
      </c>
      <c r="K1707" s="2" t="s">
        <v>16</v>
      </c>
      <c r="L1707" s="2" t="s">
        <v>7</v>
      </c>
      <c r="N1707" s="1" t="s">
        <v>11747</v>
      </c>
      <c r="O1707" s="2" t="s">
        <v>210</v>
      </c>
      <c r="P1707" s="1" t="s">
        <v>1208</v>
      </c>
      <c r="Q1707" s="2" t="s">
        <v>11</v>
      </c>
      <c r="R1707" s="2" t="s">
        <v>31</v>
      </c>
      <c r="T1707" s="2" t="s">
        <v>520</v>
      </c>
      <c r="U1707" s="3">
        <v>10</v>
      </c>
      <c r="V1707" s="3">
        <v>10</v>
      </c>
      <c r="W1707" s="4" t="s">
        <v>19204</v>
      </c>
      <c r="X1707" s="4" t="s">
        <v>19204</v>
      </c>
      <c r="Y1707" s="4" t="s">
        <v>8505</v>
      </c>
      <c r="Z1707" s="4" t="s">
        <v>8505</v>
      </c>
      <c r="AA1707" s="3">
        <v>340</v>
      </c>
      <c r="AB1707" s="3">
        <v>267</v>
      </c>
      <c r="AC1707" s="3">
        <v>759</v>
      </c>
      <c r="AD1707" s="3">
        <v>1</v>
      </c>
      <c r="AE1707" s="3">
        <v>5</v>
      </c>
      <c r="AF1707" s="3">
        <v>5</v>
      </c>
      <c r="AG1707" s="3">
        <v>23</v>
      </c>
      <c r="AH1707" s="3">
        <v>2</v>
      </c>
      <c r="AI1707" s="3">
        <v>10</v>
      </c>
      <c r="AJ1707" s="3">
        <v>1</v>
      </c>
      <c r="AK1707" s="3">
        <v>4</v>
      </c>
      <c r="AL1707" s="3">
        <v>4</v>
      </c>
      <c r="AM1707" s="3">
        <v>10</v>
      </c>
      <c r="AN1707" s="3">
        <v>0</v>
      </c>
      <c r="AO1707" s="3">
        <v>3</v>
      </c>
      <c r="AP1707" s="3">
        <v>0</v>
      </c>
      <c r="AQ1707" s="3">
        <v>0</v>
      </c>
      <c r="AR1707" s="2" t="s">
        <v>5</v>
      </c>
      <c r="AS1707" s="2" t="s">
        <v>16</v>
      </c>
      <c r="AT1707" s="5" t="str">
        <f>HYPERLINK("http://catalog.hathitrust.org/Record/002507516","HathiTrust Record")</f>
        <v>HathiTrust Record</v>
      </c>
      <c r="AU1707" s="5" t="str">
        <f>HYPERLINK("https://creighton-primo.hosted.exlibrisgroup.com/primo-explore/search?tab=default_tab&amp;search_scope=EVERYTHING&amp;vid=01CRU&amp;lang=en_US&amp;offset=0&amp;query=any,contains,991001033369702656","Catalog Record")</f>
        <v>Catalog Record</v>
      </c>
      <c r="AV1707" s="5" t="str">
        <f>HYPERLINK("http://www.worldcat.org/oclc/26586508","WorldCat Record")</f>
        <v>WorldCat Record</v>
      </c>
      <c r="AW1707" s="2" t="s">
        <v>20242</v>
      </c>
      <c r="AX1707" s="2" t="s">
        <v>20243</v>
      </c>
      <c r="AY1707" s="2" t="s">
        <v>20244</v>
      </c>
      <c r="AZ1707" s="2" t="s">
        <v>20244</v>
      </c>
      <c r="BA1707" s="2" t="s">
        <v>20245</v>
      </c>
      <c r="BB1707" s="2" t="s">
        <v>21</v>
      </c>
      <c r="BD1707" s="2" t="s">
        <v>20246</v>
      </c>
      <c r="BE1707" s="2" t="s">
        <v>20247</v>
      </c>
      <c r="BF1707" s="2" t="s">
        <v>20248</v>
      </c>
    </row>
    <row r="1708" spans="1:58" ht="41.25" customHeight="1" x14ac:dyDescent="0.25">
      <c r="A1708" s="8" t="s">
        <v>5</v>
      </c>
      <c r="B1708" s="1" t="s">
        <v>0</v>
      </c>
      <c r="C1708" s="1" t="s">
        <v>1</v>
      </c>
      <c r="D1708" s="1" t="s">
        <v>20249</v>
      </c>
      <c r="E1708" s="1" t="s">
        <v>20250</v>
      </c>
      <c r="F1708" s="1" t="s">
        <v>20241</v>
      </c>
      <c r="H1708" s="2" t="s">
        <v>5</v>
      </c>
      <c r="I1708" s="2" t="s">
        <v>6</v>
      </c>
      <c r="J1708" s="2" t="s">
        <v>5</v>
      </c>
      <c r="K1708" s="2" t="s">
        <v>16</v>
      </c>
      <c r="L1708" s="2" t="s">
        <v>7</v>
      </c>
      <c r="N1708" s="1" t="s">
        <v>1282</v>
      </c>
      <c r="O1708" s="2" t="s">
        <v>1283</v>
      </c>
      <c r="P1708" s="1" t="s">
        <v>1284</v>
      </c>
      <c r="Q1708" s="2" t="s">
        <v>11</v>
      </c>
      <c r="R1708" s="2" t="s">
        <v>31</v>
      </c>
      <c r="T1708" s="2" t="s">
        <v>520</v>
      </c>
      <c r="U1708" s="3">
        <v>54</v>
      </c>
      <c r="V1708" s="3">
        <v>54</v>
      </c>
      <c r="W1708" s="4" t="s">
        <v>20251</v>
      </c>
      <c r="X1708" s="4" t="s">
        <v>20251</v>
      </c>
      <c r="Y1708" s="4" t="s">
        <v>7395</v>
      </c>
      <c r="Z1708" s="4" t="s">
        <v>7395</v>
      </c>
      <c r="AA1708" s="3">
        <v>408</v>
      </c>
      <c r="AB1708" s="3">
        <v>328</v>
      </c>
      <c r="AC1708" s="3">
        <v>759</v>
      </c>
      <c r="AD1708" s="3">
        <v>2</v>
      </c>
      <c r="AE1708" s="3">
        <v>5</v>
      </c>
      <c r="AF1708" s="3">
        <v>13</v>
      </c>
      <c r="AG1708" s="3">
        <v>23</v>
      </c>
      <c r="AH1708" s="3">
        <v>6</v>
      </c>
      <c r="AI1708" s="3">
        <v>10</v>
      </c>
      <c r="AJ1708" s="3">
        <v>1</v>
      </c>
      <c r="AK1708" s="3">
        <v>4</v>
      </c>
      <c r="AL1708" s="3">
        <v>6</v>
      </c>
      <c r="AM1708" s="3">
        <v>10</v>
      </c>
      <c r="AN1708" s="3">
        <v>1</v>
      </c>
      <c r="AO1708" s="3">
        <v>3</v>
      </c>
      <c r="AP1708" s="3">
        <v>0</v>
      </c>
      <c r="AQ1708" s="3">
        <v>0</v>
      </c>
      <c r="AR1708" s="2" t="s">
        <v>5</v>
      </c>
      <c r="AS1708" s="2" t="s">
        <v>16</v>
      </c>
      <c r="AT1708" s="5" t="str">
        <f>HYPERLINK("http://catalog.hathitrust.org/Record/003122926","HathiTrust Record")</f>
        <v>HathiTrust Record</v>
      </c>
      <c r="AU1708" s="5" t="str">
        <f>HYPERLINK("https://creighton-primo.hosted.exlibrisgroup.com/primo-explore/search?tab=default_tab&amp;search_scope=EVERYTHING&amp;vid=01CRU&amp;lang=en_US&amp;offset=0&amp;query=any,contains,991001781539702656","Catalog Record")</f>
        <v>Catalog Record</v>
      </c>
      <c r="AV1708" s="5" t="str">
        <f>HYPERLINK("http://www.worldcat.org/oclc/35741683","WorldCat Record")</f>
        <v>WorldCat Record</v>
      </c>
      <c r="AW1708" s="2" t="s">
        <v>20242</v>
      </c>
      <c r="AX1708" s="2" t="s">
        <v>20252</v>
      </c>
      <c r="AY1708" s="2" t="s">
        <v>20253</v>
      </c>
      <c r="AZ1708" s="2" t="s">
        <v>20253</v>
      </c>
      <c r="BA1708" s="2" t="s">
        <v>20254</v>
      </c>
      <c r="BB1708" s="2" t="s">
        <v>21</v>
      </c>
      <c r="BD1708" s="2" t="s">
        <v>20255</v>
      </c>
      <c r="BE1708" s="2" t="s">
        <v>20256</v>
      </c>
      <c r="BF1708" s="2" t="s">
        <v>20257</v>
      </c>
    </row>
    <row r="1709" spans="1:58" ht="41.25" customHeight="1" x14ac:dyDescent="0.25">
      <c r="A1709" s="8" t="s">
        <v>5</v>
      </c>
      <c r="B1709" s="1" t="s">
        <v>0</v>
      </c>
      <c r="C1709" s="1" t="s">
        <v>1</v>
      </c>
      <c r="D1709" s="1" t="s">
        <v>20258</v>
      </c>
      <c r="E1709" s="1" t="s">
        <v>20259</v>
      </c>
      <c r="F1709" s="1" t="s">
        <v>20260</v>
      </c>
      <c r="H1709" s="2" t="s">
        <v>5</v>
      </c>
      <c r="I1709" s="2" t="s">
        <v>6</v>
      </c>
      <c r="J1709" s="2" t="s">
        <v>5</v>
      </c>
      <c r="K1709" s="2" t="s">
        <v>5</v>
      </c>
      <c r="L1709" s="2" t="s">
        <v>7</v>
      </c>
      <c r="N1709" s="1" t="s">
        <v>20261</v>
      </c>
      <c r="O1709" s="2" t="s">
        <v>285</v>
      </c>
      <c r="Q1709" s="2" t="s">
        <v>11</v>
      </c>
      <c r="R1709" s="2" t="s">
        <v>78</v>
      </c>
      <c r="S1709" s="1" t="s">
        <v>9786</v>
      </c>
      <c r="T1709" s="2" t="s">
        <v>520</v>
      </c>
      <c r="U1709" s="3">
        <v>5</v>
      </c>
      <c r="V1709" s="3">
        <v>5</v>
      </c>
      <c r="W1709" s="4" t="s">
        <v>20262</v>
      </c>
      <c r="X1709" s="4" t="s">
        <v>20262</v>
      </c>
      <c r="Y1709" s="4" t="s">
        <v>168</v>
      </c>
      <c r="Z1709" s="4" t="s">
        <v>168</v>
      </c>
      <c r="AA1709" s="3">
        <v>212</v>
      </c>
      <c r="AB1709" s="3">
        <v>188</v>
      </c>
      <c r="AC1709" s="3">
        <v>270</v>
      </c>
      <c r="AD1709" s="3">
        <v>1</v>
      </c>
      <c r="AE1709" s="3">
        <v>2</v>
      </c>
      <c r="AF1709" s="3">
        <v>3</v>
      </c>
      <c r="AG1709" s="3">
        <v>4</v>
      </c>
      <c r="AH1709" s="3">
        <v>1</v>
      </c>
      <c r="AI1709" s="3">
        <v>1</v>
      </c>
      <c r="AJ1709" s="3">
        <v>1</v>
      </c>
      <c r="AK1709" s="3">
        <v>1</v>
      </c>
      <c r="AL1709" s="3">
        <v>2</v>
      </c>
      <c r="AM1709" s="3">
        <v>3</v>
      </c>
      <c r="AN1709" s="3">
        <v>0</v>
      </c>
      <c r="AO1709" s="3">
        <v>0</v>
      </c>
      <c r="AP1709" s="3">
        <v>0</v>
      </c>
      <c r="AQ1709" s="3">
        <v>0</v>
      </c>
      <c r="AR1709" s="2" t="s">
        <v>5</v>
      </c>
      <c r="AS1709" s="2" t="s">
        <v>5</v>
      </c>
      <c r="AU1709" s="5" t="str">
        <f>HYPERLINK("https://creighton-primo.hosted.exlibrisgroup.com/primo-explore/search?tab=default_tab&amp;search_scope=EVERYTHING&amp;vid=01CRU&amp;lang=en_US&amp;offset=0&amp;query=any,contains,991000925459702656","Catalog Record")</f>
        <v>Catalog Record</v>
      </c>
      <c r="AV1709" s="5" t="str">
        <f>HYPERLINK("http://www.worldcat.org/oclc/4515220","WorldCat Record")</f>
        <v>WorldCat Record</v>
      </c>
      <c r="AW1709" s="2" t="s">
        <v>20263</v>
      </c>
      <c r="AX1709" s="2" t="s">
        <v>20264</v>
      </c>
      <c r="AY1709" s="2" t="s">
        <v>20265</v>
      </c>
      <c r="AZ1709" s="2" t="s">
        <v>20265</v>
      </c>
      <c r="BA1709" s="2" t="s">
        <v>20266</v>
      </c>
      <c r="BB1709" s="2" t="s">
        <v>21</v>
      </c>
      <c r="BD1709" s="2" t="s">
        <v>20267</v>
      </c>
      <c r="BE1709" s="2" t="s">
        <v>20268</v>
      </c>
      <c r="BF1709" s="2" t="s">
        <v>20269</v>
      </c>
    </row>
    <row r="1710" spans="1:58" ht="41.25" customHeight="1" x14ac:dyDescent="0.25">
      <c r="A1710" s="8" t="s">
        <v>5</v>
      </c>
      <c r="B1710" s="1" t="s">
        <v>0</v>
      </c>
      <c r="C1710" s="1" t="s">
        <v>1</v>
      </c>
      <c r="D1710" s="1" t="s">
        <v>20270</v>
      </c>
      <c r="E1710" s="1" t="s">
        <v>20271</v>
      </c>
      <c r="F1710" s="1" t="s">
        <v>20272</v>
      </c>
      <c r="H1710" s="2" t="s">
        <v>5</v>
      </c>
      <c r="I1710" s="2" t="s">
        <v>6</v>
      </c>
      <c r="J1710" s="2" t="s">
        <v>5</v>
      </c>
      <c r="K1710" s="2" t="s">
        <v>5</v>
      </c>
      <c r="L1710" s="2" t="s">
        <v>7</v>
      </c>
      <c r="N1710" s="1" t="s">
        <v>20273</v>
      </c>
      <c r="O1710" s="2" t="s">
        <v>1060</v>
      </c>
      <c r="Q1710" s="2" t="s">
        <v>11</v>
      </c>
      <c r="R1710" s="2" t="s">
        <v>271</v>
      </c>
      <c r="T1710" s="2" t="s">
        <v>520</v>
      </c>
      <c r="U1710" s="3">
        <v>0</v>
      </c>
      <c r="V1710" s="3">
        <v>0</v>
      </c>
      <c r="W1710" s="4" t="s">
        <v>20035</v>
      </c>
      <c r="X1710" s="4" t="s">
        <v>20035</v>
      </c>
      <c r="Y1710" s="4" t="s">
        <v>6338</v>
      </c>
      <c r="Z1710" s="4" t="s">
        <v>6338</v>
      </c>
      <c r="AA1710" s="3">
        <v>172</v>
      </c>
      <c r="AB1710" s="3">
        <v>125</v>
      </c>
      <c r="AC1710" s="3">
        <v>127</v>
      </c>
      <c r="AD1710" s="3">
        <v>1</v>
      </c>
      <c r="AE1710" s="3">
        <v>1</v>
      </c>
      <c r="AF1710" s="3">
        <v>6</v>
      </c>
      <c r="AG1710" s="3">
        <v>6</v>
      </c>
      <c r="AH1710" s="3">
        <v>2</v>
      </c>
      <c r="AI1710" s="3">
        <v>2</v>
      </c>
      <c r="AJ1710" s="3">
        <v>2</v>
      </c>
      <c r="AK1710" s="3">
        <v>2</v>
      </c>
      <c r="AL1710" s="3">
        <v>3</v>
      </c>
      <c r="AM1710" s="3">
        <v>3</v>
      </c>
      <c r="AN1710" s="3">
        <v>0</v>
      </c>
      <c r="AO1710" s="3">
        <v>0</v>
      </c>
      <c r="AP1710" s="3">
        <v>0</v>
      </c>
      <c r="AQ1710" s="3">
        <v>0</v>
      </c>
      <c r="AR1710" s="2" t="s">
        <v>5</v>
      </c>
      <c r="AS1710" s="2" t="s">
        <v>16</v>
      </c>
      <c r="AT1710" s="5" t="str">
        <f>HYPERLINK("http://catalog.hathitrust.org/Record/004961560","HathiTrust Record")</f>
        <v>HathiTrust Record</v>
      </c>
      <c r="AU1710" s="5" t="str">
        <f>HYPERLINK("https://creighton-primo.hosted.exlibrisgroup.com/primo-explore/search?tab=default_tab&amp;search_scope=EVERYTHING&amp;vid=01CRU&amp;lang=en_US&amp;offset=0&amp;query=any,contains,991000446539702656","Catalog Record")</f>
        <v>Catalog Record</v>
      </c>
      <c r="AV1710" s="5" t="str">
        <f>HYPERLINK("http://www.worldcat.org/oclc/56566972","WorldCat Record")</f>
        <v>WorldCat Record</v>
      </c>
      <c r="AW1710" s="2" t="s">
        <v>20274</v>
      </c>
      <c r="AX1710" s="2" t="s">
        <v>20275</v>
      </c>
      <c r="AY1710" s="2" t="s">
        <v>20276</v>
      </c>
      <c r="AZ1710" s="2" t="s">
        <v>20276</v>
      </c>
      <c r="BA1710" s="2" t="s">
        <v>20277</v>
      </c>
      <c r="BB1710" s="2" t="s">
        <v>21</v>
      </c>
      <c r="BD1710" s="2" t="s">
        <v>20278</v>
      </c>
      <c r="BE1710" s="2" t="s">
        <v>20279</v>
      </c>
      <c r="BF1710" s="2" t="s">
        <v>20280</v>
      </c>
    </row>
    <row r="1711" spans="1:58" ht="41.25" customHeight="1" x14ac:dyDescent="0.25">
      <c r="A1711" s="8" t="s">
        <v>5</v>
      </c>
      <c r="B1711" s="1" t="s">
        <v>0</v>
      </c>
      <c r="C1711" s="1" t="s">
        <v>1</v>
      </c>
      <c r="D1711" s="1" t="s">
        <v>20281</v>
      </c>
      <c r="E1711" s="1" t="s">
        <v>20282</v>
      </c>
      <c r="F1711" s="1" t="s">
        <v>20283</v>
      </c>
      <c r="H1711" s="2" t="s">
        <v>5</v>
      </c>
      <c r="I1711" s="2" t="s">
        <v>6</v>
      </c>
      <c r="J1711" s="2" t="s">
        <v>5</v>
      </c>
      <c r="K1711" s="2" t="s">
        <v>5</v>
      </c>
      <c r="L1711" s="2" t="s">
        <v>7</v>
      </c>
      <c r="M1711" s="1" t="s">
        <v>20284</v>
      </c>
      <c r="N1711" s="1" t="s">
        <v>20285</v>
      </c>
      <c r="O1711" s="2" t="s">
        <v>734</v>
      </c>
      <c r="Q1711" s="2" t="s">
        <v>11</v>
      </c>
      <c r="R1711" s="2" t="s">
        <v>3571</v>
      </c>
      <c r="S1711" s="1" t="s">
        <v>20286</v>
      </c>
      <c r="T1711" s="2" t="s">
        <v>520</v>
      </c>
      <c r="U1711" s="3">
        <v>4</v>
      </c>
      <c r="V1711" s="3">
        <v>4</v>
      </c>
      <c r="W1711" s="4" t="s">
        <v>20287</v>
      </c>
      <c r="X1711" s="4" t="s">
        <v>20287</v>
      </c>
      <c r="Y1711" s="4" t="s">
        <v>168</v>
      </c>
      <c r="Z1711" s="4" t="s">
        <v>168</v>
      </c>
      <c r="AA1711" s="3">
        <v>13</v>
      </c>
      <c r="AB1711" s="3">
        <v>12</v>
      </c>
      <c r="AC1711" s="3">
        <v>61</v>
      </c>
      <c r="AD1711" s="3">
        <v>1</v>
      </c>
      <c r="AE1711" s="3">
        <v>1</v>
      </c>
      <c r="AF1711" s="3">
        <v>0</v>
      </c>
      <c r="AG1711" s="3">
        <v>0</v>
      </c>
      <c r="AH1711" s="3">
        <v>0</v>
      </c>
      <c r="AI1711" s="3">
        <v>0</v>
      </c>
      <c r="AJ1711" s="3">
        <v>0</v>
      </c>
      <c r="AK1711" s="3">
        <v>0</v>
      </c>
      <c r="AL1711" s="3">
        <v>0</v>
      </c>
      <c r="AM1711" s="3">
        <v>0</v>
      </c>
      <c r="AN1711" s="3">
        <v>0</v>
      </c>
      <c r="AO1711" s="3">
        <v>0</v>
      </c>
      <c r="AP1711" s="3">
        <v>0</v>
      </c>
      <c r="AQ1711" s="3">
        <v>0</v>
      </c>
      <c r="AR1711" s="2" t="s">
        <v>5</v>
      </c>
      <c r="AS1711" s="2" t="s">
        <v>5</v>
      </c>
      <c r="AU1711" s="5" t="str">
        <f>HYPERLINK("https://creighton-primo.hosted.exlibrisgroup.com/primo-explore/search?tab=default_tab&amp;search_scope=EVERYTHING&amp;vid=01CRU&amp;lang=en_US&amp;offset=0&amp;query=any,contains,991000925519702656","Catalog Record")</f>
        <v>Catalog Record</v>
      </c>
      <c r="AV1711" s="5" t="str">
        <f>HYPERLINK("http://www.worldcat.org/oclc/8453819","WorldCat Record")</f>
        <v>WorldCat Record</v>
      </c>
      <c r="AW1711" s="2" t="s">
        <v>20288</v>
      </c>
      <c r="AX1711" s="2" t="s">
        <v>20289</v>
      </c>
      <c r="AY1711" s="2" t="s">
        <v>20290</v>
      </c>
      <c r="AZ1711" s="2" t="s">
        <v>20290</v>
      </c>
      <c r="BA1711" s="2" t="s">
        <v>20291</v>
      </c>
      <c r="BB1711" s="2" t="s">
        <v>21</v>
      </c>
      <c r="BD1711" s="2" t="s">
        <v>20292</v>
      </c>
      <c r="BE1711" s="2" t="s">
        <v>20293</v>
      </c>
      <c r="BF1711" s="2" t="s">
        <v>20294</v>
      </c>
    </row>
    <row r="1712" spans="1:58" ht="41.25" customHeight="1" x14ac:dyDescent="0.25">
      <c r="A1712" s="8" t="s">
        <v>5</v>
      </c>
      <c r="B1712" s="1" t="s">
        <v>0</v>
      </c>
      <c r="C1712" s="1" t="s">
        <v>1</v>
      </c>
      <c r="D1712" s="1" t="s">
        <v>20295</v>
      </c>
      <c r="E1712" s="1" t="s">
        <v>20296</v>
      </c>
      <c r="F1712" s="1" t="s">
        <v>20297</v>
      </c>
      <c r="H1712" s="2" t="s">
        <v>5</v>
      </c>
      <c r="I1712" s="2" t="s">
        <v>6</v>
      </c>
      <c r="J1712" s="2" t="s">
        <v>5</v>
      </c>
      <c r="K1712" s="2" t="s">
        <v>5</v>
      </c>
      <c r="L1712" s="2" t="s">
        <v>7</v>
      </c>
      <c r="M1712" s="1" t="s">
        <v>20298</v>
      </c>
      <c r="N1712" s="1" t="s">
        <v>14266</v>
      </c>
      <c r="O1712" s="2" t="s">
        <v>382</v>
      </c>
      <c r="P1712" s="1" t="s">
        <v>20299</v>
      </c>
      <c r="Q1712" s="2" t="s">
        <v>11</v>
      </c>
      <c r="R1712" s="2" t="s">
        <v>426</v>
      </c>
      <c r="T1712" s="2" t="s">
        <v>520</v>
      </c>
      <c r="U1712" s="3">
        <v>5</v>
      </c>
      <c r="V1712" s="3">
        <v>5</v>
      </c>
      <c r="W1712" s="4" t="s">
        <v>20300</v>
      </c>
      <c r="X1712" s="4" t="s">
        <v>20300</v>
      </c>
      <c r="Y1712" s="4" t="s">
        <v>168</v>
      </c>
      <c r="Z1712" s="4" t="s">
        <v>168</v>
      </c>
      <c r="AA1712" s="3">
        <v>142</v>
      </c>
      <c r="AB1712" s="3">
        <v>115</v>
      </c>
      <c r="AC1712" s="3">
        <v>122</v>
      </c>
      <c r="AD1712" s="3">
        <v>2</v>
      </c>
      <c r="AE1712" s="3">
        <v>2</v>
      </c>
      <c r="AF1712" s="3">
        <v>2</v>
      </c>
      <c r="AG1712" s="3">
        <v>2</v>
      </c>
      <c r="AH1712" s="3">
        <v>1</v>
      </c>
      <c r="AI1712" s="3">
        <v>1</v>
      </c>
      <c r="AJ1712" s="3">
        <v>0</v>
      </c>
      <c r="AK1712" s="3">
        <v>0</v>
      </c>
      <c r="AL1712" s="3">
        <v>1</v>
      </c>
      <c r="AM1712" s="3">
        <v>1</v>
      </c>
      <c r="AN1712" s="3">
        <v>0</v>
      </c>
      <c r="AO1712" s="3">
        <v>0</v>
      </c>
      <c r="AP1712" s="3">
        <v>0</v>
      </c>
      <c r="AQ1712" s="3">
        <v>0</v>
      </c>
      <c r="AR1712" s="2" t="s">
        <v>5</v>
      </c>
      <c r="AS1712" s="2" t="s">
        <v>16</v>
      </c>
      <c r="AT1712" s="5" t="str">
        <f>HYPERLINK("http://catalog.hathitrust.org/Record/000342196","HathiTrust Record")</f>
        <v>HathiTrust Record</v>
      </c>
      <c r="AU1712" s="5" t="str">
        <f>HYPERLINK("https://creighton-primo.hosted.exlibrisgroup.com/primo-explore/search?tab=default_tab&amp;search_scope=EVERYTHING&amp;vid=01CRU&amp;lang=en_US&amp;offset=0&amp;query=any,contains,991000925599702656","Catalog Record")</f>
        <v>Catalog Record</v>
      </c>
      <c r="AV1712" s="5" t="str">
        <f>HYPERLINK("http://www.worldcat.org/oclc/10799792","WorldCat Record")</f>
        <v>WorldCat Record</v>
      </c>
      <c r="AW1712" s="2" t="s">
        <v>20301</v>
      </c>
      <c r="AX1712" s="2" t="s">
        <v>20302</v>
      </c>
      <c r="AY1712" s="2" t="s">
        <v>20303</v>
      </c>
      <c r="AZ1712" s="2" t="s">
        <v>20303</v>
      </c>
      <c r="BA1712" s="2" t="s">
        <v>20304</v>
      </c>
      <c r="BB1712" s="2" t="s">
        <v>21</v>
      </c>
      <c r="BD1712" s="2" t="s">
        <v>20305</v>
      </c>
      <c r="BE1712" s="2" t="s">
        <v>20306</v>
      </c>
      <c r="BF1712" s="2" t="s">
        <v>20307</v>
      </c>
    </row>
    <row r="1713" spans="1:58" ht="41.25" customHeight="1" x14ac:dyDescent="0.25">
      <c r="A1713" s="8" t="s">
        <v>5</v>
      </c>
      <c r="B1713" s="1" t="s">
        <v>0</v>
      </c>
      <c r="C1713" s="1" t="s">
        <v>1</v>
      </c>
      <c r="D1713" s="1" t="s">
        <v>20308</v>
      </c>
      <c r="E1713" s="1" t="s">
        <v>20309</v>
      </c>
      <c r="F1713" s="1" t="s">
        <v>20310</v>
      </c>
      <c r="G1713" s="2" t="s">
        <v>20311</v>
      </c>
      <c r="H1713" s="2" t="s">
        <v>5</v>
      </c>
      <c r="I1713" s="2" t="s">
        <v>6</v>
      </c>
      <c r="J1713" s="2" t="s">
        <v>5</v>
      </c>
      <c r="K1713" s="2" t="s">
        <v>5</v>
      </c>
      <c r="L1713" s="2" t="s">
        <v>7</v>
      </c>
      <c r="N1713" s="1" t="s">
        <v>15643</v>
      </c>
      <c r="O1713" s="2" t="s">
        <v>92</v>
      </c>
      <c r="Q1713" s="2" t="s">
        <v>11</v>
      </c>
      <c r="R1713" s="2" t="s">
        <v>31</v>
      </c>
      <c r="S1713" s="1" t="s">
        <v>20312</v>
      </c>
      <c r="T1713" s="2" t="s">
        <v>520</v>
      </c>
      <c r="U1713" s="3">
        <v>2</v>
      </c>
      <c r="V1713" s="3">
        <v>2</v>
      </c>
      <c r="W1713" s="4" t="s">
        <v>20313</v>
      </c>
      <c r="X1713" s="4" t="s">
        <v>20313</v>
      </c>
      <c r="Y1713" s="4" t="s">
        <v>168</v>
      </c>
      <c r="Z1713" s="4" t="s">
        <v>168</v>
      </c>
      <c r="AA1713" s="3">
        <v>179</v>
      </c>
      <c r="AB1713" s="3">
        <v>146</v>
      </c>
      <c r="AC1713" s="3">
        <v>155</v>
      </c>
      <c r="AD1713" s="3">
        <v>1</v>
      </c>
      <c r="AE1713" s="3">
        <v>2</v>
      </c>
      <c r="AF1713" s="3">
        <v>5</v>
      </c>
      <c r="AG1713" s="3">
        <v>6</v>
      </c>
      <c r="AH1713" s="3">
        <v>1</v>
      </c>
      <c r="AI1713" s="3">
        <v>1</v>
      </c>
      <c r="AJ1713" s="3">
        <v>1</v>
      </c>
      <c r="AK1713" s="3">
        <v>1</v>
      </c>
      <c r="AL1713" s="3">
        <v>3</v>
      </c>
      <c r="AM1713" s="3">
        <v>3</v>
      </c>
      <c r="AN1713" s="3">
        <v>0</v>
      </c>
      <c r="AO1713" s="3">
        <v>1</v>
      </c>
      <c r="AP1713" s="3">
        <v>0</v>
      </c>
      <c r="AQ1713" s="3">
        <v>0</v>
      </c>
      <c r="AR1713" s="2" t="s">
        <v>5</v>
      </c>
      <c r="AS1713" s="2" t="s">
        <v>5</v>
      </c>
      <c r="AU1713" s="5" t="str">
        <f>HYPERLINK("https://creighton-primo.hosted.exlibrisgroup.com/primo-explore/search?tab=default_tab&amp;search_scope=EVERYTHING&amp;vid=01CRU&amp;lang=en_US&amp;offset=0&amp;query=any,contains,991000925639702656","Catalog Record")</f>
        <v>Catalog Record</v>
      </c>
      <c r="AV1713" s="5" t="str">
        <f>HYPERLINK("http://www.worldcat.org/oclc/2068534","WorldCat Record")</f>
        <v>WorldCat Record</v>
      </c>
      <c r="AW1713" s="2" t="s">
        <v>20314</v>
      </c>
      <c r="AX1713" s="2" t="s">
        <v>20315</v>
      </c>
      <c r="AY1713" s="2" t="s">
        <v>20316</v>
      </c>
      <c r="AZ1713" s="2" t="s">
        <v>20316</v>
      </c>
      <c r="BA1713" s="2" t="s">
        <v>20317</v>
      </c>
      <c r="BB1713" s="2" t="s">
        <v>21</v>
      </c>
      <c r="BD1713" s="2" t="s">
        <v>20318</v>
      </c>
      <c r="BE1713" s="2" t="s">
        <v>20319</v>
      </c>
      <c r="BF1713" s="2" t="s">
        <v>20320</v>
      </c>
    </row>
    <row r="1714" spans="1:58" ht="41.25" customHeight="1" x14ac:dyDescent="0.25">
      <c r="A1714" s="8" t="s">
        <v>5</v>
      </c>
      <c r="B1714" s="1" t="s">
        <v>0</v>
      </c>
      <c r="C1714" s="1" t="s">
        <v>1</v>
      </c>
      <c r="D1714" s="1" t="s">
        <v>20321</v>
      </c>
      <c r="E1714" s="1" t="s">
        <v>20322</v>
      </c>
      <c r="F1714" s="1" t="s">
        <v>20323</v>
      </c>
      <c r="H1714" s="2" t="s">
        <v>5</v>
      </c>
      <c r="I1714" s="2" t="s">
        <v>6</v>
      </c>
      <c r="J1714" s="2" t="s">
        <v>5</v>
      </c>
      <c r="K1714" s="2" t="s">
        <v>5</v>
      </c>
      <c r="L1714" s="2" t="s">
        <v>7</v>
      </c>
      <c r="M1714" s="1" t="s">
        <v>20324</v>
      </c>
      <c r="N1714" s="1" t="s">
        <v>20325</v>
      </c>
      <c r="O1714" s="2" t="s">
        <v>734</v>
      </c>
      <c r="P1714" s="1" t="s">
        <v>211</v>
      </c>
      <c r="Q1714" s="2" t="s">
        <v>11</v>
      </c>
      <c r="R1714" s="2" t="s">
        <v>229</v>
      </c>
      <c r="T1714" s="2" t="s">
        <v>520</v>
      </c>
      <c r="U1714" s="3">
        <v>4</v>
      </c>
      <c r="V1714" s="3">
        <v>4</v>
      </c>
      <c r="W1714" s="4" t="s">
        <v>18358</v>
      </c>
      <c r="X1714" s="4" t="s">
        <v>18358</v>
      </c>
      <c r="Y1714" s="4" t="s">
        <v>168</v>
      </c>
      <c r="Z1714" s="4" t="s">
        <v>168</v>
      </c>
      <c r="AA1714" s="3">
        <v>138</v>
      </c>
      <c r="AB1714" s="3">
        <v>126</v>
      </c>
      <c r="AC1714" s="3">
        <v>130</v>
      </c>
      <c r="AD1714" s="3">
        <v>1</v>
      </c>
      <c r="AE1714" s="3">
        <v>1</v>
      </c>
      <c r="AF1714" s="3">
        <v>3</v>
      </c>
      <c r="AG1714" s="3">
        <v>3</v>
      </c>
      <c r="AH1714" s="3">
        <v>1</v>
      </c>
      <c r="AI1714" s="3">
        <v>1</v>
      </c>
      <c r="AJ1714" s="3">
        <v>1</v>
      </c>
      <c r="AK1714" s="3">
        <v>1</v>
      </c>
      <c r="AL1714" s="3">
        <v>2</v>
      </c>
      <c r="AM1714" s="3">
        <v>2</v>
      </c>
      <c r="AN1714" s="3">
        <v>0</v>
      </c>
      <c r="AO1714" s="3">
        <v>0</v>
      </c>
      <c r="AP1714" s="3">
        <v>0</v>
      </c>
      <c r="AQ1714" s="3">
        <v>0</v>
      </c>
      <c r="AR1714" s="2" t="s">
        <v>5</v>
      </c>
      <c r="AS1714" s="2" t="s">
        <v>16</v>
      </c>
      <c r="AT1714" s="5" t="str">
        <f>HYPERLINK("http://catalog.hathitrust.org/Record/006248818","HathiTrust Record")</f>
        <v>HathiTrust Record</v>
      </c>
      <c r="AU1714" s="5" t="str">
        <f>HYPERLINK("https://creighton-primo.hosted.exlibrisgroup.com/primo-explore/search?tab=default_tab&amp;search_scope=EVERYTHING&amp;vid=01CRU&amp;lang=en_US&amp;offset=0&amp;query=any,contains,991000925729702656","Catalog Record")</f>
        <v>Catalog Record</v>
      </c>
      <c r="AV1714" s="5" t="str">
        <f>HYPERLINK("http://www.worldcat.org/oclc/11317530","WorldCat Record")</f>
        <v>WorldCat Record</v>
      </c>
      <c r="AW1714" s="2" t="s">
        <v>20326</v>
      </c>
      <c r="AX1714" s="2" t="s">
        <v>20327</v>
      </c>
      <c r="AY1714" s="2" t="s">
        <v>20328</v>
      </c>
      <c r="AZ1714" s="2" t="s">
        <v>20328</v>
      </c>
      <c r="BA1714" s="2" t="s">
        <v>20329</v>
      </c>
      <c r="BB1714" s="2" t="s">
        <v>21</v>
      </c>
      <c r="BD1714" s="2" t="s">
        <v>20330</v>
      </c>
      <c r="BE1714" s="2" t="s">
        <v>20331</v>
      </c>
      <c r="BF1714" s="2" t="s">
        <v>20332</v>
      </c>
    </row>
    <row r="1715" spans="1:58" ht="41.25" customHeight="1" x14ac:dyDescent="0.25">
      <c r="A1715" s="8" t="s">
        <v>5</v>
      </c>
      <c r="B1715" s="1" t="s">
        <v>0</v>
      </c>
      <c r="C1715" s="1" t="s">
        <v>1</v>
      </c>
      <c r="D1715" s="1" t="s">
        <v>20333</v>
      </c>
      <c r="E1715" s="1" t="s">
        <v>20334</v>
      </c>
      <c r="F1715" s="1" t="s">
        <v>20335</v>
      </c>
      <c r="H1715" s="2" t="s">
        <v>5</v>
      </c>
      <c r="I1715" s="2" t="s">
        <v>6</v>
      </c>
      <c r="J1715" s="2" t="s">
        <v>5</v>
      </c>
      <c r="K1715" s="2" t="s">
        <v>5</v>
      </c>
      <c r="L1715" s="2" t="s">
        <v>7</v>
      </c>
      <c r="N1715" s="1" t="s">
        <v>2457</v>
      </c>
      <c r="O1715" s="2" t="s">
        <v>1339</v>
      </c>
      <c r="Q1715" s="2" t="s">
        <v>11</v>
      </c>
      <c r="R1715" s="2" t="s">
        <v>426</v>
      </c>
      <c r="T1715" s="2" t="s">
        <v>520</v>
      </c>
      <c r="U1715" s="3">
        <v>10</v>
      </c>
      <c r="V1715" s="3">
        <v>10</v>
      </c>
      <c r="W1715" s="4" t="s">
        <v>10458</v>
      </c>
      <c r="X1715" s="4" t="s">
        <v>10458</v>
      </c>
      <c r="Y1715" s="4" t="s">
        <v>168</v>
      </c>
      <c r="Z1715" s="4" t="s">
        <v>168</v>
      </c>
      <c r="AA1715" s="3">
        <v>161</v>
      </c>
      <c r="AB1715" s="3">
        <v>120</v>
      </c>
      <c r="AC1715" s="3">
        <v>266</v>
      </c>
      <c r="AD1715" s="3">
        <v>1</v>
      </c>
      <c r="AE1715" s="3">
        <v>1</v>
      </c>
      <c r="AF1715" s="3">
        <v>4</v>
      </c>
      <c r="AG1715" s="3">
        <v>8</v>
      </c>
      <c r="AH1715" s="3">
        <v>1</v>
      </c>
      <c r="AI1715" s="3">
        <v>3</v>
      </c>
      <c r="AJ1715" s="3">
        <v>1</v>
      </c>
      <c r="AK1715" s="3">
        <v>3</v>
      </c>
      <c r="AL1715" s="3">
        <v>4</v>
      </c>
      <c r="AM1715" s="3">
        <v>4</v>
      </c>
      <c r="AN1715" s="3">
        <v>0</v>
      </c>
      <c r="AO1715" s="3">
        <v>0</v>
      </c>
      <c r="AP1715" s="3">
        <v>0</v>
      </c>
      <c r="AQ1715" s="3">
        <v>0</v>
      </c>
      <c r="AR1715" s="2" t="s">
        <v>5</v>
      </c>
      <c r="AS1715" s="2" t="s">
        <v>16</v>
      </c>
      <c r="AT1715" s="5" t="str">
        <f>HYPERLINK("http://catalog.hathitrust.org/Record/000811337","HathiTrust Record")</f>
        <v>HathiTrust Record</v>
      </c>
      <c r="AU1715" s="5" t="str">
        <f>HYPERLINK("https://creighton-primo.hosted.exlibrisgroup.com/primo-explore/search?tab=default_tab&amp;search_scope=EVERYTHING&amp;vid=01CRU&amp;lang=en_US&amp;offset=0&amp;query=any,contains,991000762689702656","Catalog Record")</f>
        <v>Catalog Record</v>
      </c>
      <c r="AV1715" s="5" t="str">
        <f>HYPERLINK("http://www.worldcat.org/oclc/14904238","WorldCat Record")</f>
        <v>WorldCat Record</v>
      </c>
      <c r="AW1715" s="2" t="s">
        <v>20336</v>
      </c>
      <c r="AX1715" s="2" t="s">
        <v>20337</v>
      </c>
      <c r="AY1715" s="2" t="s">
        <v>20338</v>
      </c>
      <c r="AZ1715" s="2" t="s">
        <v>20338</v>
      </c>
      <c r="BA1715" s="2" t="s">
        <v>20339</v>
      </c>
      <c r="BB1715" s="2" t="s">
        <v>21</v>
      </c>
      <c r="BD1715" s="2" t="s">
        <v>20340</v>
      </c>
      <c r="BE1715" s="2" t="s">
        <v>20341</v>
      </c>
      <c r="BF1715" s="2" t="s">
        <v>20342</v>
      </c>
    </row>
    <row r="1716" spans="1:58" ht="41.25" customHeight="1" x14ac:dyDescent="0.25">
      <c r="A1716" s="8" t="s">
        <v>5</v>
      </c>
      <c r="B1716" s="1" t="s">
        <v>0</v>
      </c>
      <c r="C1716" s="1" t="s">
        <v>1</v>
      </c>
      <c r="D1716" s="1" t="s">
        <v>20343</v>
      </c>
      <c r="E1716" s="1" t="s">
        <v>20344</v>
      </c>
      <c r="F1716" s="1" t="s">
        <v>20345</v>
      </c>
      <c r="H1716" s="2" t="s">
        <v>5</v>
      </c>
      <c r="I1716" s="2" t="s">
        <v>6</v>
      </c>
      <c r="J1716" s="2" t="s">
        <v>5</v>
      </c>
      <c r="K1716" s="2" t="s">
        <v>5</v>
      </c>
      <c r="L1716" s="2" t="s">
        <v>7</v>
      </c>
      <c r="M1716" s="1" t="s">
        <v>20346</v>
      </c>
      <c r="N1716" s="1" t="s">
        <v>1310</v>
      </c>
      <c r="O1716" s="2" t="s">
        <v>354</v>
      </c>
      <c r="Q1716" s="2" t="s">
        <v>11</v>
      </c>
      <c r="R1716" s="2" t="s">
        <v>93</v>
      </c>
      <c r="T1716" s="2" t="s">
        <v>520</v>
      </c>
      <c r="U1716" s="3">
        <v>2</v>
      </c>
      <c r="V1716" s="3">
        <v>2</v>
      </c>
      <c r="W1716" s="4" t="s">
        <v>10532</v>
      </c>
      <c r="X1716" s="4" t="s">
        <v>10532</v>
      </c>
      <c r="Y1716" s="4" t="s">
        <v>20347</v>
      </c>
      <c r="Z1716" s="4" t="s">
        <v>20347</v>
      </c>
      <c r="AA1716" s="3">
        <v>281</v>
      </c>
      <c r="AB1716" s="3">
        <v>238</v>
      </c>
      <c r="AC1716" s="3">
        <v>243</v>
      </c>
      <c r="AD1716" s="3">
        <v>2</v>
      </c>
      <c r="AE1716" s="3">
        <v>2</v>
      </c>
      <c r="AF1716" s="3">
        <v>11</v>
      </c>
      <c r="AG1716" s="3">
        <v>11</v>
      </c>
      <c r="AH1716" s="3">
        <v>6</v>
      </c>
      <c r="AI1716" s="3">
        <v>6</v>
      </c>
      <c r="AJ1716" s="3">
        <v>2</v>
      </c>
      <c r="AK1716" s="3">
        <v>2</v>
      </c>
      <c r="AL1716" s="3">
        <v>7</v>
      </c>
      <c r="AM1716" s="3">
        <v>7</v>
      </c>
      <c r="AN1716" s="3">
        <v>1</v>
      </c>
      <c r="AO1716" s="3">
        <v>1</v>
      </c>
      <c r="AP1716" s="3">
        <v>0</v>
      </c>
      <c r="AQ1716" s="3">
        <v>0</v>
      </c>
      <c r="AR1716" s="2" t="s">
        <v>5</v>
      </c>
      <c r="AS1716" s="2" t="s">
        <v>5</v>
      </c>
      <c r="AU1716" s="5" t="str">
        <f>HYPERLINK("https://creighton-primo.hosted.exlibrisgroup.com/primo-explore/search?tab=default_tab&amp;search_scope=EVERYTHING&amp;vid=01CRU&amp;lang=en_US&amp;offset=0&amp;query=any,contains,991000731579702656","Catalog Record")</f>
        <v>Catalog Record</v>
      </c>
      <c r="AV1716" s="5" t="str">
        <f>HYPERLINK("http://www.worldcat.org/oclc/6042962","WorldCat Record")</f>
        <v>WorldCat Record</v>
      </c>
      <c r="AW1716" s="2" t="s">
        <v>20348</v>
      </c>
      <c r="AX1716" s="2" t="s">
        <v>20349</v>
      </c>
      <c r="AY1716" s="2" t="s">
        <v>20350</v>
      </c>
      <c r="AZ1716" s="2" t="s">
        <v>20350</v>
      </c>
      <c r="BA1716" s="2" t="s">
        <v>20351</v>
      </c>
      <c r="BB1716" s="2" t="s">
        <v>21</v>
      </c>
      <c r="BD1716" s="2" t="s">
        <v>20352</v>
      </c>
      <c r="BE1716" s="2" t="s">
        <v>20353</v>
      </c>
      <c r="BF1716" s="2" t="s">
        <v>20354</v>
      </c>
    </row>
    <row r="1717" spans="1:58" ht="41.25" customHeight="1" x14ac:dyDescent="0.25">
      <c r="A1717" s="8" t="s">
        <v>5</v>
      </c>
      <c r="B1717" s="1" t="s">
        <v>0</v>
      </c>
      <c r="C1717" s="1" t="s">
        <v>1</v>
      </c>
      <c r="D1717" s="1" t="s">
        <v>20355</v>
      </c>
      <c r="E1717" s="1" t="s">
        <v>20356</v>
      </c>
      <c r="F1717" s="1" t="s">
        <v>20357</v>
      </c>
      <c r="H1717" s="2" t="s">
        <v>5</v>
      </c>
      <c r="I1717" s="2" t="s">
        <v>6</v>
      </c>
      <c r="J1717" s="2" t="s">
        <v>5</v>
      </c>
      <c r="K1717" s="2" t="s">
        <v>5</v>
      </c>
      <c r="L1717" s="2" t="s">
        <v>7</v>
      </c>
      <c r="M1717" s="1" t="s">
        <v>20358</v>
      </c>
      <c r="N1717" s="1" t="s">
        <v>2175</v>
      </c>
      <c r="O1717" s="2" t="s">
        <v>382</v>
      </c>
      <c r="Q1717" s="2" t="s">
        <v>11</v>
      </c>
      <c r="R1717" s="2" t="s">
        <v>426</v>
      </c>
      <c r="T1717" s="2" t="s">
        <v>520</v>
      </c>
      <c r="U1717" s="3">
        <v>2</v>
      </c>
      <c r="V1717" s="3">
        <v>2</v>
      </c>
      <c r="W1717" s="4" t="s">
        <v>20231</v>
      </c>
      <c r="X1717" s="4" t="s">
        <v>20231</v>
      </c>
      <c r="Y1717" s="4" t="s">
        <v>16159</v>
      </c>
      <c r="Z1717" s="4" t="s">
        <v>16159</v>
      </c>
      <c r="AA1717" s="3">
        <v>186</v>
      </c>
      <c r="AB1717" s="3">
        <v>172</v>
      </c>
      <c r="AC1717" s="3">
        <v>179</v>
      </c>
      <c r="AD1717" s="3">
        <v>1</v>
      </c>
      <c r="AE1717" s="3">
        <v>1</v>
      </c>
      <c r="AF1717" s="3">
        <v>7</v>
      </c>
      <c r="AG1717" s="3">
        <v>7</v>
      </c>
      <c r="AH1717" s="3">
        <v>2</v>
      </c>
      <c r="AI1717" s="3">
        <v>2</v>
      </c>
      <c r="AJ1717" s="3">
        <v>2</v>
      </c>
      <c r="AK1717" s="3">
        <v>2</v>
      </c>
      <c r="AL1717" s="3">
        <v>4</v>
      </c>
      <c r="AM1717" s="3">
        <v>4</v>
      </c>
      <c r="AN1717" s="3">
        <v>0</v>
      </c>
      <c r="AO1717" s="3">
        <v>0</v>
      </c>
      <c r="AP1717" s="3">
        <v>0</v>
      </c>
      <c r="AQ1717" s="3">
        <v>0</v>
      </c>
      <c r="AR1717" s="2" t="s">
        <v>5</v>
      </c>
      <c r="AS1717" s="2" t="s">
        <v>16</v>
      </c>
      <c r="AT1717" s="5" t="str">
        <f>HYPERLINK("http://catalog.hathitrust.org/Record/000571248","HathiTrust Record")</f>
        <v>HathiTrust Record</v>
      </c>
      <c r="AU1717" s="5" t="str">
        <f>HYPERLINK("https://creighton-primo.hosted.exlibrisgroup.com/primo-explore/search?tab=default_tab&amp;search_scope=EVERYTHING&amp;vid=01CRU&amp;lang=en_US&amp;offset=0&amp;query=any,contains,991000925879702656","Catalog Record")</f>
        <v>Catalog Record</v>
      </c>
      <c r="AV1717" s="5" t="str">
        <f>HYPERLINK("http://www.worldcat.org/oclc/11841187","WorldCat Record")</f>
        <v>WorldCat Record</v>
      </c>
      <c r="AW1717" s="2" t="s">
        <v>20359</v>
      </c>
      <c r="AX1717" s="2" t="s">
        <v>20360</v>
      </c>
      <c r="AY1717" s="2" t="s">
        <v>20361</v>
      </c>
      <c r="AZ1717" s="2" t="s">
        <v>20361</v>
      </c>
      <c r="BA1717" s="2" t="s">
        <v>20362</v>
      </c>
      <c r="BB1717" s="2" t="s">
        <v>21</v>
      </c>
      <c r="BD1717" s="2" t="s">
        <v>20363</v>
      </c>
      <c r="BE1717" s="2" t="s">
        <v>20364</v>
      </c>
      <c r="BF1717" s="2" t="s">
        <v>20365</v>
      </c>
    </row>
    <row r="1718" spans="1:58" ht="41.25" customHeight="1" x14ac:dyDescent="0.25">
      <c r="A1718" s="8" t="s">
        <v>5</v>
      </c>
      <c r="B1718" s="1" t="s">
        <v>0</v>
      </c>
      <c r="C1718" s="1" t="s">
        <v>1</v>
      </c>
      <c r="D1718" s="1" t="s">
        <v>20366</v>
      </c>
      <c r="E1718" s="1" t="s">
        <v>20367</v>
      </c>
      <c r="F1718" s="1" t="s">
        <v>20368</v>
      </c>
      <c r="H1718" s="2" t="s">
        <v>5</v>
      </c>
      <c r="I1718" s="2" t="s">
        <v>6</v>
      </c>
      <c r="J1718" s="2" t="s">
        <v>5</v>
      </c>
      <c r="K1718" s="2" t="s">
        <v>5</v>
      </c>
      <c r="L1718" s="2" t="s">
        <v>7</v>
      </c>
      <c r="N1718" s="1" t="s">
        <v>9591</v>
      </c>
      <c r="O1718" s="2" t="s">
        <v>228</v>
      </c>
      <c r="Q1718" s="2" t="s">
        <v>11</v>
      </c>
      <c r="R1718" s="2" t="s">
        <v>426</v>
      </c>
      <c r="S1718" s="1" t="s">
        <v>3264</v>
      </c>
      <c r="T1718" s="2" t="s">
        <v>520</v>
      </c>
      <c r="U1718" s="3">
        <v>3</v>
      </c>
      <c r="V1718" s="3">
        <v>3</v>
      </c>
      <c r="W1718" s="4" t="s">
        <v>20369</v>
      </c>
      <c r="X1718" s="4" t="s">
        <v>20369</v>
      </c>
      <c r="Y1718" s="4" t="s">
        <v>168</v>
      </c>
      <c r="Z1718" s="4" t="s">
        <v>168</v>
      </c>
      <c r="AA1718" s="3">
        <v>261</v>
      </c>
      <c r="AB1718" s="3">
        <v>211</v>
      </c>
      <c r="AC1718" s="3">
        <v>218</v>
      </c>
      <c r="AD1718" s="3">
        <v>3</v>
      </c>
      <c r="AE1718" s="3">
        <v>3</v>
      </c>
      <c r="AF1718" s="3">
        <v>10</v>
      </c>
      <c r="AG1718" s="3">
        <v>10</v>
      </c>
      <c r="AH1718" s="3">
        <v>3</v>
      </c>
      <c r="AI1718" s="3">
        <v>3</v>
      </c>
      <c r="AJ1718" s="3">
        <v>3</v>
      </c>
      <c r="AK1718" s="3">
        <v>3</v>
      </c>
      <c r="AL1718" s="3">
        <v>5</v>
      </c>
      <c r="AM1718" s="3">
        <v>5</v>
      </c>
      <c r="AN1718" s="3">
        <v>2</v>
      </c>
      <c r="AO1718" s="3">
        <v>2</v>
      </c>
      <c r="AP1718" s="3">
        <v>0</v>
      </c>
      <c r="AQ1718" s="3">
        <v>0</v>
      </c>
      <c r="AR1718" s="2" t="s">
        <v>5</v>
      </c>
      <c r="AS1718" s="2" t="s">
        <v>16</v>
      </c>
      <c r="AT1718" s="5" t="str">
        <f>HYPERLINK("http://catalog.hathitrust.org/Record/000313548","HathiTrust Record")</f>
        <v>HathiTrust Record</v>
      </c>
      <c r="AU1718" s="5" t="str">
        <f>HYPERLINK("https://creighton-primo.hosted.exlibrisgroup.com/primo-explore/search?tab=default_tab&amp;search_scope=EVERYTHING&amp;vid=01CRU&amp;lang=en_US&amp;offset=0&amp;query=any,contains,991000925989702656","Catalog Record")</f>
        <v>Catalog Record</v>
      </c>
      <c r="AV1718" s="5" t="str">
        <f>HYPERLINK("http://www.worldcat.org/oclc/7740738","WorldCat Record")</f>
        <v>WorldCat Record</v>
      </c>
      <c r="AW1718" s="2" t="s">
        <v>20370</v>
      </c>
      <c r="AX1718" s="2" t="s">
        <v>20371</v>
      </c>
      <c r="AY1718" s="2" t="s">
        <v>20372</v>
      </c>
      <c r="AZ1718" s="2" t="s">
        <v>20372</v>
      </c>
      <c r="BA1718" s="2" t="s">
        <v>20373</v>
      </c>
      <c r="BB1718" s="2" t="s">
        <v>21</v>
      </c>
      <c r="BD1718" s="2" t="s">
        <v>20374</v>
      </c>
      <c r="BE1718" s="2" t="s">
        <v>20375</v>
      </c>
      <c r="BF1718" s="2" t="s">
        <v>20376</v>
      </c>
    </row>
    <row r="1719" spans="1:58" ht="41.25" customHeight="1" x14ac:dyDescent="0.25">
      <c r="A1719" s="8" t="s">
        <v>5</v>
      </c>
      <c r="B1719" s="1" t="s">
        <v>0</v>
      </c>
      <c r="C1719" s="1" t="s">
        <v>1</v>
      </c>
      <c r="D1719" s="1" t="s">
        <v>20377</v>
      </c>
      <c r="E1719" s="1" t="s">
        <v>20378</v>
      </c>
      <c r="F1719" s="1" t="s">
        <v>20379</v>
      </c>
      <c r="H1719" s="2" t="s">
        <v>5</v>
      </c>
      <c r="I1719" s="2" t="s">
        <v>6</v>
      </c>
      <c r="J1719" s="2" t="s">
        <v>5</v>
      </c>
      <c r="K1719" s="2" t="s">
        <v>5</v>
      </c>
      <c r="L1719" s="2" t="s">
        <v>7</v>
      </c>
      <c r="M1719" s="1" t="s">
        <v>20380</v>
      </c>
      <c r="N1719" s="1" t="s">
        <v>3355</v>
      </c>
      <c r="O1719" s="2" t="s">
        <v>382</v>
      </c>
      <c r="Q1719" s="2" t="s">
        <v>11</v>
      </c>
      <c r="R1719" s="2" t="s">
        <v>426</v>
      </c>
      <c r="T1719" s="2" t="s">
        <v>520</v>
      </c>
      <c r="U1719" s="3">
        <v>4</v>
      </c>
      <c r="V1719" s="3">
        <v>4</v>
      </c>
      <c r="W1719" s="4" t="s">
        <v>20231</v>
      </c>
      <c r="X1719" s="4" t="s">
        <v>20231</v>
      </c>
      <c r="Y1719" s="4" t="s">
        <v>168</v>
      </c>
      <c r="Z1719" s="4" t="s">
        <v>168</v>
      </c>
      <c r="AA1719" s="3">
        <v>176</v>
      </c>
      <c r="AB1719" s="3">
        <v>139</v>
      </c>
      <c r="AC1719" s="3">
        <v>141</v>
      </c>
      <c r="AD1719" s="3">
        <v>1</v>
      </c>
      <c r="AE1719" s="3">
        <v>1</v>
      </c>
      <c r="AF1719" s="3">
        <v>6</v>
      </c>
      <c r="AG1719" s="3">
        <v>6</v>
      </c>
      <c r="AH1719" s="3">
        <v>1</v>
      </c>
      <c r="AI1719" s="3">
        <v>1</v>
      </c>
      <c r="AJ1719" s="3">
        <v>2</v>
      </c>
      <c r="AK1719" s="3">
        <v>2</v>
      </c>
      <c r="AL1719" s="3">
        <v>5</v>
      </c>
      <c r="AM1719" s="3">
        <v>5</v>
      </c>
      <c r="AN1719" s="3">
        <v>0</v>
      </c>
      <c r="AO1719" s="3">
        <v>0</v>
      </c>
      <c r="AP1719" s="3">
        <v>0</v>
      </c>
      <c r="AQ1719" s="3">
        <v>0</v>
      </c>
      <c r="AR1719" s="2" t="s">
        <v>5</v>
      </c>
      <c r="AS1719" s="2" t="s">
        <v>16</v>
      </c>
      <c r="AT1719" s="5" t="str">
        <f>HYPERLINK("http://catalog.hathitrust.org/Record/000395547","HathiTrust Record")</f>
        <v>HathiTrust Record</v>
      </c>
      <c r="AU1719" s="5" t="str">
        <f>HYPERLINK("https://creighton-primo.hosted.exlibrisgroup.com/primo-explore/search?tab=default_tab&amp;search_scope=EVERYTHING&amp;vid=01CRU&amp;lang=en_US&amp;offset=0&amp;query=any,contains,991000926029702656","Catalog Record")</f>
        <v>Catalog Record</v>
      </c>
      <c r="AV1719" s="5" t="str">
        <f>HYPERLINK("http://www.worldcat.org/oclc/10996143","WorldCat Record")</f>
        <v>WorldCat Record</v>
      </c>
      <c r="AW1719" s="2" t="s">
        <v>20381</v>
      </c>
      <c r="AX1719" s="2" t="s">
        <v>20382</v>
      </c>
      <c r="AY1719" s="2" t="s">
        <v>20383</v>
      </c>
      <c r="AZ1719" s="2" t="s">
        <v>20383</v>
      </c>
      <c r="BA1719" s="2" t="s">
        <v>20384</v>
      </c>
      <c r="BB1719" s="2" t="s">
        <v>21</v>
      </c>
      <c r="BD1719" s="2" t="s">
        <v>20385</v>
      </c>
      <c r="BE1719" s="2" t="s">
        <v>20386</v>
      </c>
      <c r="BF1719" s="2" t="s">
        <v>20387</v>
      </c>
    </row>
    <row r="1720" spans="1:58" ht="41.25" customHeight="1" x14ac:dyDescent="0.25">
      <c r="A1720" s="8" t="s">
        <v>5</v>
      </c>
      <c r="B1720" s="1" t="s">
        <v>0</v>
      </c>
      <c r="C1720" s="1" t="s">
        <v>1</v>
      </c>
      <c r="D1720" s="1" t="s">
        <v>20388</v>
      </c>
      <c r="E1720" s="1" t="s">
        <v>20389</v>
      </c>
      <c r="F1720" s="1" t="s">
        <v>20390</v>
      </c>
      <c r="H1720" s="2" t="s">
        <v>5</v>
      </c>
      <c r="I1720" s="2" t="s">
        <v>6</v>
      </c>
      <c r="J1720" s="2" t="s">
        <v>5</v>
      </c>
      <c r="K1720" s="2" t="s">
        <v>5</v>
      </c>
      <c r="L1720" s="2" t="s">
        <v>7</v>
      </c>
      <c r="M1720" s="1" t="s">
        <v>20391</v>
      </c>
      <c r="N1720" s="1" t="s">
        <v>7103</v>
      </c>
      <c r="O1720" s="2" t="s">
        <v>734</v>
      </c>
      <c r="Q1720" s="2" t="s">
        <v>11</v>
      </c>
      <c r="R1720" s="2" t="s">
        <v>426</v>
      </c>
      <c r="T1720" s="2" t="s">
        <v>520</v>
      </c>
      <c r="U1720" s="3">
        <v>2</v>
      </c>
      <c r="V1720" s="3">
        <v>2</v>
      </c>
      <c r="W1720" s="4" t="s">
        <v>4045</v>
      </c>
      <c r="X1720" s="4" t="s">
        <v>4045</v>
      </c>
      <c r="Y1720" s="4" t="s">
        <v>20392</v>
      </c>
      <c r="Z1720" s="4" t="s">
        <v>20392</v>
      </c>
      <c r="AA1720" s="3">
        <v>328</v>
      </c>
      <c r="AB1720" s="3">
        <v>266</v>
      </c>
      <c r="AC1720" s="3">
        <v>273</v>
      </c>
      <c r="AD1720" s="3">
        <v>3</v>
      </c>
      <c r="AE1720" s="3">
        <v>3</v>
      </c>
      <c r="AF1720" s="3">
        <v>11</v>
      </c>
      <c r="AG1720" s="3">
        <v>11</v>
      </c>
      <c r="AH1720" s="3">
        <v>6</v>
      </c>
      <c r="AI1720" s="3">
        <v>6</v>
      </c>
      <c r="AJ1720" s="3">
        <v>2</v>
      </c>
      <c r="AK1720" s="3">
        <v>2</v>
      </c>
      <c r="AL1720" s="3">
        <v>5</v>
      </c>
      <c r="AM1720" s="3">
        <v>5</v>
      </c>
      <c r="AN1720" s="3">
        <v>2</v>
      </c>
      <c r="AO1720" s="3">
        <v>2</v>
      </c>
      <c r="AP1720" s="3">
        <v>0</v>
      </c>
      <c r="AQ1720" s="3">
        <v>0</v>
      </c>
      <c r="AR1720" s="2" t="s">
        <v>5</v>
      </c>
      <c r="AS1720" s="2" t="s">
        <v>16</v>
      </c>
      <c r="AT1720" s="5" t="str">
        <f>HYPERLINK("http://catalog.hathitrust.org/Record/000310495","HathiTrust Record")</f>
        <v>HathiTrust Record</v>
      </c>
      <c r="AU1720" s="5" t="str">
        <f>HYPERLINK("https://creighton-primo.hosted.exlibrisgroup.com/primo-explore/search?tab=default_tab&amp;search_scope=EVERYTHING&amp;vid=01CRU&amp;lang=en_US&amp;offset=0&amp;query=any,contains,991000926069702656","Catalog Record")</f>
        <v>Catalog Record</v>
      </c>
      <c r="AV1720" s="5" t="str">
        <f>HYPERLINK("http://www.worldcat.org/oclc/8826209","WorldCat Record")</f>
        <v>WorldCat Record</v>
      </c>
      <c r="AW1720" s="2" t="s">
        <v>20393</v>
      </c>
      <c r="AX1720" s="2" t="s">
        <v>20394</v>
      </c>
      <c r="AY1720" s="2" t="s">
        <v>20395</v>
      </c>
      <c r="AZ1720" s="2" t="s">
        <v>20395</v>
      </c>
      <c r="BA1720" s="2" t="s">
        <v>20396</v>
      </c>
      <c r="BB1720" s="2" t="s">
        <v>21</v>
      </c>
      <c r="BD1720" s="2" t="s">
        <v>20397</v>
      </c>
      <c r="BE1720" s="2" t="s">
        <v>20398</v>
      </c>
      <c r="BF1720" s="2" t="s">
        <v>20399</v>
      </c>
    </row>
    <row r="1721" spans="1:58" ht="41.25" customHeight="1" x14ac:dyDescent="0.25">
      <c r="A1721" s="8" t="s">
        <v>5</v>
      </c>
      <c r="B1721" s="1" t="s">
        <v>0</v>
      </c>
      <c r="C1721" s="1" t="s">
        <v>1</v>
      </c>
      <c r="D1721" s="1" t="s">
        <v>20400</v>
      </c>
      <c r="E1721" s="1" t="s">
        <v>20401</v>
      </c>
      <c r="F1721" s="1" t="s">
        <v>20402</v>
      </c>
      <c r="H1721" s="2" t="s">
        <v>5</v>
      </c>
      <c r="I1721" s="2" t="s">
        <v>6</v>
      </c>
      <c r="J1721" s="2" t="s">
        <v>5</v>
      </c>
      <c r="K1721" s="2" t="s">
        <v>16</v>
      </c>
      <c r="L1721" s="2" t="s">
        <v>7</v>
      </c>
      <c r="M1721" s="1" t="s">
        <v>20403</v>
      </c>
      <c r="N1721" s="1" t="s">
        <v>20404</v>
      </c>
      <c r="O1721" s="2" t="s">
        <v>1046</v>
      </c>
      <c r="P1721" s="1" t="s">
        <v>1284</v>
      </c>
      <c r="Q1721" s="2" t="s">
        <v>11</v>
      </c>
      <c r="R1721" s="2" t="s">
        <v>229</v>
      </c>
      <c r="T1721" s="2" t="s">
        <v>520</v>
      </c>
      <c r="U1721" s="3">
        <v>1</v>
      </c>
      <c r="V1721" s="3">
        <v>1</v>
      </c>
      <c r="W1721" s="4" t="s">
        <v>11623</v>
      </c>
      <c r="X1721" s="4" t="s">
        <v>11623</v>
      </c>
      <c r="Y1721" s="4" t="s">
        <v>11624</v>
      </c>
      <c r="Z1721" s="4" t="s">
        <v>11624</v>
      </c>
      <c r="AA1721" s="3">
        <v>236</v>
      </c>
      <c r="AB1721" s="3">
        <v>141</v>
      </c>
      <c r="AC1721" s="3">
        <v>322</v>
      </c>
      <c r="AD1721" s="3">
        <v>1</v>
      </c>
      <c r="AE1721" s="3">
        <v>1</v>
      </c>
      <c r="AF1721" s="3">
        <v>3</v>
      </c>
      <c r="AG1721" s="3">
        <v>9</v>
      </c>
      <c r="AH1721" s="3">
        <v>1</v>
      </c>
      <c r="AI1721" s="3">
        <v>3</v>
      </c>
      <c r="AJ1721" s="3">
        <v>1</v>
      </c>
      <c r="AK1721" s="3">
        <v>2</v>
      </c>
      <c r="AL1721" s="3">
        <v>2</v>
      </c>
      <c r="AM1721" s="3">
        <v>7</v>
      </c>
      <c r="AN1721" s="3">
        <v>0</v>
      </c>
      <c r="AO1721" s="3">
        <v>0</v>
      </c>
      <c r="AP1721" s="3">
        <v>0</v>
      </c>
      <c r="AQ1721" s="3">
        <v>0</v>
      </c>
      <c r="AR1721" s="2" t="s">
        <v>5</v>
      </c>
      <c r="AS1721" s="2" t="s">
        <v>16</v>
      </c>
      <c r="AT1721" s="5" t="str">
        <f>HYPERLINK("http://catalog.hathitrust.org/Record/004279865","HathiTrust Record")</f>
        <v>HathiTrust Record</v>
      </c>
      <c r="AU1721" s="5" t="str">
        <f>HYPERLINK("https://creighton-primo.hosted.exlibrisgroup.com/primo-explore/search?tab=default_tab&amp;search_scope=EVERYTHING&amp;vid=01CRU&amp;lang=en_US&amp;offset=0&amp;query=any,contains,991000531529702656","Catalog Record")</f>
        <v>Catalog Record</v>
      </c>
      <c r="AV1721" s="5" t="str">
        <f>HYPERLINK("http://www.worldcat.org/oclc/49276257","WorldCat Record")</f>
        <v>WorldCat Record</v>
      </c>
      <c r="AW1721" s="2" t="s">
        <v>20405</v>
      </c>
      <c r="AX1721" s="2" t="s">
        <v>20406</v>
      </c>
      <c r="AY1721" s="2" t="s">
        <v>20407</v>
      </c>
      <c r="AZ1721" s="2" t="s">
        <v>20407</v>
      </c>
      <c r="BA1721" s="2" t="s">
        <v>20408</v>
      </c>
      <c r="BB1721" s="2" t="s">
        <v>21</v>
      </c>
      <c r="BD1721" s="2" t="s">
        <v>20409</v>
      </c>
      <c r="BE1721" s="2" t="s">
        <v>20410</v>
      </c>
      <c r="BF1721" s="2" t="s">
        <v>20411</v>
      </c>
    </row>
    <row r="1722" spans="1:58" ht="41.25" customHeight="1" x14ac:dyDescent="0.25">
      <c r="A1722" s="8" t="s">
        <v>5</v>
      </c>
      <c r="B1722" s="1" t="s">
        <v>0</v>
      </c>
      <c r="C1722" s="1" t="s">
        <v>1</v>
      </c>
      <c r="D1722" s="1" t="s">
        <v>20412</v>
      </c>
      <c r="E1722" s="1" t="s">
        <v>20413</v>
      </c>
      <c r="F1722" s="1" t="s">
        <v>20414</v>
      </c>
      <c r="H1722" s="2" t="s">
        <v>5</v>
      </c>
      <c r="I1722" s="2" t="s">
        <v>6</v>
      </c>
      <c r="J1722" s="2" t="s">
        <v>5</v>
      </c>
      <c r="K1722" s="2" t="s">
        <v>5</v>
      </c>
      <c r="L1722" s="2" t="s">
        <v>7</v>
      </c>
      <c r="M1722" s="1" t="s">
        <v>20415</v>
      </c>
      <c r="N1722" s="1" t="s">
        <v>12349</v>
      </c>
      <c r="O1722" s="2" t="s">
        <v>4599</v>
      </c>
      <c r="Q1722" s="2" t="s">
        <v>11</v>
      </c>
      <c r="R1722" s="2" t="s">
        <v>12</v>
      </c>
      <c r="S1722" s="1" t="s">
        <v>20416</v>
      </c>
      <c r="T1722" s="2" t="s">
        <v>520</v>
      </c>
      <c r="U1722" s="3">
        <v>1</v>
      </c>
      <c r="V1722" s="3">
        <v>1</v>
      </c>
      <c r="W1722" s="4" t="s">
        <v>1405</v>
      </c>
      <c r="X1722" s="4" t="s">
        <v>1405</v>
      </c>
      <c r="Y1722" s="4" t="s">
        <v>736</v>
      </c>
      <c r="Z1722" s="4" t="s">
        <v>736</v>
      </c>
      <c r="AA1722" s="3">
        <v>35</v>
      </c>
      <c r="AB1722" s="3">
        <v>33</v>
      </c>
      <c r="AC1722" s="3">
        <v>40</v>
      </c>
      <c r="AD1722" s="3">
        <v>1</v>
      </c>
      <c r="AE1722" s="3">
        <v>1</v>
      </c>
      <c r="AF1722" s="3">
        <v>1</v>
      </c>
      <c r="AG1722" s="3">
        <v>1</v>
      </c>
      <c r="AH1722" s="3">
        <v>0</v>
      </c>
      <c r="AI1722" s="3">
        <v>0</v>
      </c>
      <c r="AJ1722" s="3">
        <v>1</v>
      </c>
      <c r="AK1722" s="3">
        <v>1</v>
      </c>
      <c r="AL1722" s="3">
        <v>1</v>
      </c>
      <c r="AM1722" s="3">
        <v>1</v>
      </c>
      <c r="AN1722" s="3">
        <v>0</v>
      </c>
      <c r="AO1722" s="3">
        <v>0</v>
      </c>
      <c r="AP1722" s="3">
        <v>0</v>
      </c>
      <c r="AQ1722" s="3">
        <v>0</v>
      </c>
      <c r="AR1722" s="2" t="s">
        <v>16</v>
      </c>
      <c r="AS1722" s="2" t="s">
        <v>5</v>
      </c>
      <c r="AT1722" s="5" t="str">
        <f>HYPERLINK("http://catalog.hathitrust.org/Record/002066385","HathiTrust Record")</f>
        <v>HathiTrust Record</v>
      </c>
      <c r="AU1722" s="5" t="str">
        <f>HYPERLINK("https://creighton-primo.hosted.exlibrisgroup.com/primo-explore/search?tab=default_tab&amp;search_scope=EVERYTHING&amp;vid=01CRU&amp;lang=en_US&amp;offset=0&amp;query=any,contains,991001389469702656","Catalog Record")</f>
        <v>Catalog Record</v>
      </c>
      <c r="AV1722" s="5" t="str">
        <f>HYPERLINK("http://www.worldcat.org/oclc/14619589","WorldCat Record")</f>
        <v>WorldCat Record</v>
      </c>
      <c r="AW1722" s="2" t="s">
        <v>20417</v>
      </c>
      <c r="AX1722" s="2" t="s">
        <v>20418</v>
      </c>
      <c r="AY1722" s="2" t="s">
        <v>20419</v>
      </c>
      <c r="AZ1722" s="2" t="s">
        <v>20419</v>
      </c>
      <c r="BA1722" s="2" t="s">
        <v>20420</v>
      </c>
      <c r="BB1722" s="2" t="s">
        <v>21</v>
      </c>
      <c r="BE1722" s="2" t="s">
        <v>20421</v>
      </c>
      <c r="BF1722" s="2" t="s">
        <v>20422</v>
      </c>
    </row>
    <row r="1723" spans="1:58" ht="41.25" customHeight="1" x14ac:dyDescent="0.25">
      <c r="A1723" s="8" t="s">
        <v>5</v>
      </c>
      <c r="B1723" s="1" t="s">
        <v>0</v>
      </c>
      <c r="C1723" s="1" t="s">
        <v>1</v>
      </c>
      <c r="D1723" s="1" t="s">
        <v>20423</v>
      </c>
      <c r="E1723" s="1" t="s">
        <v>20424</v>
      </c>
      <c r="F1723" s="1" t="s">
        <v>20425</v>
      </c>
      <c r="H1723" s="2" t="s">
        <v>5</v>
      </c>
      <c r="I1723" s="2" t="s">
        <v>6</v>
      </c>
      <c r="J1723" s="2" t="s">
        <v>5</v>
      </c>
      <c r="K1723" s="2" t="s">
        <v>5</v>
      </c>
      <c r="L1723" s="2" t="s">
        <v>7</v>
      </c>
      <c r="N1723" s="1" t="s">
        <v>20426</v>
      </c>
      <c r="O1723" s="2" t="s">
        <v>136</v>
      </c>
      <c r="P1723" s="1" t="s">
        <v>211</v>
      </c>
      <c r="Q1723" s="2" t="s">
        <v>11</v>
      </c>
      <c r="R1723" s="2" t="s">
        <v>12</v>
      </c>
      <c r="T1723" s="2" t="s">
        <v>520</v>
      </c>
      <c r="U1723" s="3">
        <v>6</v>
      </c>
      <c r="V1723" s="3">
        <v>6</v>
      </c>
      <c r="W1723" s="4" t="s">
        <v>16203</v>
      </c>
      <c r="X1723" s="4" t="s">
        <v>16203</v>
      </c>
      <c r="Y1723" s="4" t="s">
        <v>20427</v>
      </c>
      <c r="Z1723" s="4" t="s">
        <v>20427</v>
      </c>
      <c r="AA1723" s="3">
        <v>189</v>
      </c>
      <c r="AB1723" s="3">
        <v>153</v>
      </c>
      <c r="AC1723" s="3">
        <v>340</v>
      </c>
      <c r="AD1723" s="3">
        <v>1</v>
      </c>
      <c r="AE1723" s="3">
        <v>3</v>
      </c>
      <c r="AF1723" s="3">
        <v>6</v>
      </c>
      <c r="AG1723" s="3">
        <v>12</v>
      </c>
      <c r="AH1723" s="3">
        <v>3</v>
      </c>
      <c r="AI1723" s="3">
        <v>6</v>
      </c>
      <c r="AJ1723" s="3">
        <v>1</v>
      </c>
      <c r="AK1723" s="3">
        <v>2</v>
      </c>
      <c r="AL1723" s="3">
        <v>5</v>
      </c>
      <c r="AM1723" s="3">
        <v>6</v>
      </c>
      <c r="AN1723" s="3">
        <v>0</v>
      </c>
      <c r="AO1723" s="3">
        <v>2</v>
      </c>
      <c r="AP1723" s="3">
        <v>0</v>
      </c>
      <c r="AQ1723" s="3">
        <v>0</v>
      </c>
      <c r="AR1723" s="2" t="s">
        <v>5</v>
      </c>
      <c r="AS1723" s="2" t="s">
        <v>16</v>
      </c>
      <c r="AT1723" s="5" t="str">
        <f>HYPERLINK("http://catalog.hathitrust.org/Record/007477926","HathiTrust Record")</f>
        <v>HathiTrust Record</v>
      </c>
      <c r="AU1723" s="5" t="str">
        <f>HYPERLINK("https://creighton-primo.hosted.exlibrisgroup.com/primo-explore/search?tab=default_tab&amp;search_scope=EVERYTHING&amp;vid=01CRU&amp;lang=en_US&amp;offset=0&amp;query=any,contains,991000939299702656","Catalog Record")</f>
        <v>Catalog Record</v>
      </c>
      <c r="AV1723" s="5" t="str">
        <f>HYPERLINK("http://www.worldcat.org/oclc/21973303","WorldCat Record")</f>
        <v>WorldCat Record</v>
      </c>
      <c r="AW1723" s="2" t="s">
        <v>20428</v>
      </c>
      <c r="AX1723" s="2" t="s">
        <v>20429</v>
      </c>
      <c r="AY1723" s="2" t="s">
        <v>20430</v>
      </c>
      <c r="AZ1723" s="2" t="s">
        <v>20430</v>
      </c>
      <c r="BA1723" s="2" t="s">
        <v>20431</v>
      </c>
      <c r="BB1723" s="2" t="s">
        <v>21</v>
      </c>
      <c r="BD1723" s="2" t="s">
        <v>20432</v>
      </c>
      <c r="BE1723" s="2" t="s">
        <v>20433</v>
      </c>
      <c r="BF1723" s="2" t="s">
        <v>20434</v>
      </c>
    </row>
    <row r="1724" spans="1:58" ht="41.25" customHeight="1" x14ac:dyDescent="0.25">
      <c r="A1724" s="8" t="s">
        <v>5</v>
      </c>
      <c r="B1724" s="1" t="s">
        <v>0</v>
      </c>
      <c r="C1724" s="1" t="s">
        <v>1</v>
      </c>
      <c r="D1724" s="1" t="s">
        <v>20435</v>
      </c>
      <c r="E1724" s="1" t="s">
        <v>20436</v>
      </c>
      <c r="F1724" s="1" t="s">
        <v>20437</v>
      </c>
      <c r="H1724" s="2" t="s">
        <v>5</v>
      </c>
      <c r="I1724" s="2" t="s">
        <v>6</v>
      </c>
      <c r="J1724" s="2" t="s">
        <v>5</v>
      </c>
      <c r="K1724" s="2" t="s">
        <v>5</v>
      </c>
      <c r="L1724" s="2" t="s">
        <v>7</v>
      </c>
      <c r="M1724" s="1" t="s">
        <v>20438</v>
      </c>
      <c r="N1724" s="1" t="s">
        <v>10080</v>
      </c>
      <c r="O1724" s="2" t="s">
        <v>210</v>
      </c>
      <c r="Q1724" s="2" t="s">
        <v>11</v>
      </c>
      <c r="R1724" s="2" t="s">
        <v>12</v>
      </c>
      <c r="T1724" s="2" t="s">
        <v>520</v>
      </c>
      <c r="U1724" s="3">
        <v>4</v>
      </c>
      <c r="V1724" s="3">
        <v>4</v>
      </c>
      <c r="W1724" s="4" t="s">
        <v>16203</v>
      </c>
      <c r="X1724" s="4" t="s">
        <v>16203</v>
      </c>
      <c r="Y1724" s="4" t="s">
        <v>7578</v>
      </c>
      <c r="Z1724" s="4" t="s">
        <v>7578</v>
      </c>
      <c r="AA1724" s="3">
        <v>323</v>
      </c>
      <c r="AB1724" s="3">
        <v>293</v>
      </c>
      <c r="AC1724" s="3">
        <v>295</v>
      </c>
      <c r="AD1724" s="3">
        <v>1</v>
      </c>
      <c r="AE1724" s="3">
        <v>1</v>
      </c>
      <c r="AF1724" s="3">
        <v>11</v>
      </c>
      <c r="AG1724" s="3">
        <v>11</v>
      </c>
      <c r="AH1724" s="3">
        <v>3</v>
      </c>
      <c r="AI1724" s="3">
        <v>3</v>
      </c>
      <c r="AJ1724" s="3">
        <v>3</v>
      </c>
      <c r="AK1724" s="3">
        <v>3</v>
      </c>
      <c r="AL1724" s="3">
        <v>7</v>
      </c>
      <c r="AM1724" s="3">
        <v>7</v>
      </c>
      <c r="AN1724" s="3">
        <v>0</v>
      </c>
      <c r="AO1724" s="3">
        <v>0</v>
      </c>
      <c r="AP1724" s="3">
        <v>0</v>
      </c>
      <c r="AQ1724" s="3">
        <v>0</v>
      </c>
      <c r="AR1724" s="2" t="s">
        <v>5</v>
      </c>
      <c r="AS1724" s="2" t="s">
        <v>16</v>
      </c>
      <c r="AT1724" s="5" t="str">
        <f>HYPERLINK("http://catalog.hathitrust.org/Record/002604042","HathiTrust Record")</f>
        <v>HathiTrust Record</v>
      </c>
      <c r="AU1724" s="5" t="str">
        <f>HYPERLINK("https://creighton-primo.hosted.exlibrisgroup.com/primo-explore/search?tab=default_tab&amp;search_scope=EVERYTHING&amp;vid=01CRU&amp;lang=en_US&amp;offset=0&amp;query=any,contains,991001479249702656","Catalog Record")</f>
        <v>Catalog Record</v>
      </c>
      <c r="AV1724" s="5" t="str">
        <f>HYPERLINK("http://www.worldcat.org/oclc/24319816","WorldCat Record")</f>
        <v>WorldCat Record</v>
      </c>
      <c r="AW1724" s="2" t="s">
        <v>20439</v>
      </c>
      <c r="AX1724" s="2" t="s">
        <v>20440</v>
      </c>
      <c r="AY1724" s="2" t="s">
        <v>20441</v>
      </c>
      <c r="AZ1724" s="2" t="s">
        <v>20441</v>
      </c>
      <c r="BA1724" s="2" t="s">
        <v>20442</v>
      </c>
      <c r="BB1724" s="2" t="s">
        <v>21</v>
      </c>
      <c r="BD1724" s="2" t="s">
        <v>20443</v>
      </c>
      <c r="BE1724" s="2" t="s">
        <v>20444</v>
      </c>
      <c r="BF1724" s="2" t="s">
        <v>20445</v>
      </c>
    </row>
    <row r="1725" spans="1:58" ht="41.25" customHeight="1" x14ac:dyDescent="0.25">
      <c r="A1725" s="8" t="s">
        <v>5</v>
      </c>
      <c r="B1725" s="1" t="s">
        <v>0</v>
      </c>
      <c r="C1725" s="1" t="s">
        <v>1</v>
      </c>
      <c r="D1725" s="1" t="s">
        <v>20446</v>
      </c>
      <c r="E1725" s="1" t="s">
        <v>20447</v>
      </c>
      <c r="F1725" s="1" t="s">
        <v>20448</v>
      </c>
      <c r="H1725" s="2" t="s">
        <v>5</v>
      </c>
      <c r="I1725" s="2" t="s">
        <v>6</v>
      </c>
      <c r="J1725" s="2" t="s">
        <v>5</v>
      </c>
      <c r="K1725" s="2" t="s">
        <v>5</v>
      </c>
      <c r="L1725" s="2" t="s">
        <v>7</v>
      </c>
      <c r="N1725" s="1" t="s">
        <v>7333</v>
      </c>
      <c r="O1725" s="2" t="s">
        <v>734</v>
      </c>
      <c r="Q1725" s="2" t="s">
        <v>11</v>
      </c>
      <c r="R1725" s="2" t="s">
        <v>426</v>
      </c>
      <c r="S1725" s="1" t="s">
        <v>20449</v>
      </c>
      <c r="T1725" s="2" t="s">
        <v>520</v>
      </c>
      <c r="U1725" s="3">
        <v>4</v>
      </c>
      <c r="V1725" s="3">
        <v>4</v>
      </c>
      <c r="W1725" s="4" t="s">
        <v>4045</v>
      </c>
      <c r="X1725" s="4" t="s">
        <v>4045</v>
      </c>
      <c r="Y1725" s="4" t="s">
        <v>1223</v>
      </c>
      <c r="Z1725" s="4" t="s">
        <v>1223</v>
      </c>
      <c r="AA1725" s="3">
        <v>212</v>
      </c>
      <c r="AB1725" s="3">
        <v>181</v>
      </c>
      <c r="AC1725" s="3">
        <v>186</v>
      </c>
      <c r="AD1725" s="3">
        <v>1</v>
      </c>
      <c r="AE1725" s="3">
        <v>1</v>
      </c>
      <c r="AF1725" s="3">
        <v>2</v>
      </c>
      <c r="AG1725" s="3">
        <v>2</v>
      </c>
      <c r="AH1725" s="3">
        <v>1</v>
      </c>
      <c r="AI1725" s="3">
        <v>1</v>
      </c>
      <c r="AJ1725" s="3">
        <v>0</v>
      </c>
      <c r="AK1725" s="3">
        <v>0</v>
      </c>
      <c r="AL1725" s="3">
        <v>1</v>
      </c>
      <c r="AM1725" s="3">
        <v>1</v>
      </c>
      <c r="AN1725" s="3">
        <v>0</v>
      </c>
      <c r="AO1725" s="3">
        <v>0</v>
      </c>
      <c r="AP1725" s="3">
        <v>0</v>
      </c>
      <c r="AQ1725" s="3">
        <v>0</v>
      </c>
      <c r="AR1725" s="2" t="s">
        <v>5</v>
      </c>
      <c r="AS1725" s="2" t="s">
        <v>5</v>
      </c>
      <c r="AU1725" s="5" t="str">
        <f>HYPERLINK("https://creighton-primo.hosted.exlibrisgroup.com/primo-explore/search?tab=default_tab&amp;search_scope=EVERYTHING&amp;vid=01CRU&amp;lang=en_US&amp;offset=0&amp;query=any,contains,991000731539702656","Catalog Record")</f>
        <v>Catalog Record</v>
      </c>
      <c r="AV1725" s="5" t="str">
        <f>HYPERLINK("http://www.worldcat.org/oclc/8931482","WorldCat Record")</f>
        <v>WorldCat Record</v>
      </c>
      <c r="AW1725" s="2" t="s">
        <v>20450</v>
      </c>
      <c r="AX1725" s="2" t="s">
        <v>20451</v>
      </c>
      <c r="AY1725" s="2" t="s">
        <v>20452</v>
      </c>
      <c r="AZ1725" s="2" t="s">
        <v>20452</v>
      </c>
      <c r="BA1725" s="2" t="s">
        <v>20453</v>
      </c>
      <c r="BB1725" s="2" t="s">
        <v>21</v>
      </c>
      <c r="BD1725" s="2" t="s">
        <v>20454</v>
      </c>
      <c r="BE1725" s="2" t="s">
        <v>20455</v>
      </c>
      <c r="BF1725" s="2" t="s">
        <v>20456</v>
      </c>
    </row>
    <row r="1726" spans="1:58" ht="41.25" customHeight="1" x14ac:dyDescent="0.25">
      <c r="A1726" s="8" t="s">
        <v>5</v>
      </c>
      <c r="B1726" s="1" t="s">
        <v>0</v>
      </c>
      <c r="C1726" s="1" t="s">
        <v>1</v>
      </c>
      <c r="D1726" s="1" t="s">
        <v>20457</v>
      </c>
      <c r="E1726" s="1" t="s">
        <v>20458</v>
      </c>
      <c r="F1726" s="1" t="s">
        <v>20459</v>
      </c>
      <c r="H1726" s="2" t="s">
        <v>5</v>
      </c>
      <c r="I1726" s="2" t="s">
        <v>6</v>
      </c>
      <c r="J1726" s="2" t="s">
        <v>5</v>
      </c>
      <c r="K1726" s="2" t="s">
        <v>5</v>
      </c>
      <c r="L1726" s="2" t="s">
        <v>7</v>
      </c>
      <c r="M1726" s="1" t="s">
        <v>20460</v>
      </c>
      <c r="N1726" s="1" t="s">
        <v>20185</v>
      </c>
      <c r="O1726" s="2" t="s">
        <v>574</v>
      </c>
      <c r="Q1726" s="2" t="s">
        <v>11</v>
      </c>
      <c r="R1726" s="2" t="s">
        <v>12</v>
      </c>
      <c r="T1726" s="2" t="s">
        <v>520</v>
      </c>
      <c r="U1726" s="3">
        <v>1</v>
      </c>
      <c r="V1726" s="3">
        <v>1</v>
      </c>
      <c r="W1726" s="4" t="s">
        <v>20461</v>
      </c>
      <c r="X1726" s="4" t="s">
        <v>20461</v>
      </c>
      <c r="Y1726" s="4" t="s">
        <v>49</v>
      </c>
      <c r="Z1726" s="4" t="s">
        <v>49</v>
      </c>
      <c r="AA1726" s="3">
        <v>289</v>
      </c>
      <c r="AB1726" s="3">
        <v>242</v>
      </c>
      <c r="AC1726" s="3">
        <v>244</v>
      </c>
      <c r="AD1726" s="3">
        <v>1</v>
      </c>
      <c r="AE1726" s="3">
        <v>1</v>
      </c>
      <c r="AF1726" s="3">
        <v>5</v>
      </c>
      <c r="AG1726" s="3">
        <v>5</v>
      </c>
      <c r="AH1726" s="3">
        <v>1</v>
      </c>
      <c r="AI1726" s="3">
        <v>1</v>
      </c>
      <c r="AJ1726" s="3">
        <v>0</v>
      </c>
      <c r="AK1726" s="3">
        <v>0</v>
      </c>
      <c r="AL1726" s="3">
        <v>4</v>
      </c>
      <c r="AM1726" s="3">
        <v>4</v>
      </c>
      <c r="AN1726" s="3">
        <v>0</v>
      </c>
      <c r="AO1726" s="3">
        <v>0</v>
      </c>
      <c r="AP1726" s="3">
        <v>0</v>
      </c>
      <c r="AQ1726" s="3">
        <v>0</v>
      </c>
      <c r="AR1726" s="2" t="s">
        <v>5</v>
      </c>
      <c r="AS1726" s="2" t="s">
        <v>16</v>
      </c>
      <c r="AT1726" s="5" t="str">
        <f>HYPERLINK("http://catalog.hathitrust.org/Record/001563681","HathiTrust Record")</f>
        <v>HathiTrust Record</v>
      </c>
      <c r="AU1726" s="5" t="str">
        <f>HYPERLINK("https://creighton-primo.hosted.exlibrisgroup.com/primo-explore/search?tab=default_tab&amp;search_scope=EVERYTHING&amp;vid=01CRU&amp;lang=en_US&amp;offset=0&amp;query=any,contains,991000926199702656","Catalog Record")</f>
        <v>Catalog Record</v>
      </c>
      <c r="AV1726" s="5" t="str">
        <f>HYPERLINK("http://www.worldcat.org/oclc/710874","WorldCat Record")</f>
        <v>WorldCat Record</v>
      </c>
      <c r="AW1726" s="2" t="s">
        <v>20462</v>
      </c>
      <c r="AX1726" s="2" t="s">
        <v>20463</v>
      </c>
      <c r="AY1726" s="2" t="s">
        <v>20464</v>
      </c>
      <c r="AZ1726" s="2" t="s">
        <v>20464</v>
      </c>
      <c r="BA1726" s="2" t="s">
        <v>20465</v>
      </c>
      <c r="BB1726" s="2" t="s">
        <v>21</v>
      </c>
      <c r="BE1726" s="2" t="s">
        <v>20466</v>
      </c>
      <c r="BF1726" s="2" t="s">
        <v>20467</v>
      </c>
    </row>
    <row r="1727" spans="1:58" ht="41.25" customHeight="1" x14ac:dyDescent="0.25">
      <c r="A1727" s="8" t="s">
        <v>5</v>
      </c>
      <c r="B1727" s="1" t="s">
        <v>0</v>
      </c>
      <c r="C1727" s="1" t="s">
        <v>1</v>
      </c>
      <c r="D1727" s="1" t="s">
        <v>20468</v>
      </c>
      <c r="E1727" s="1" t="s">
        <v>20469</v>
      </c>
      <c r="F1727" s="1" t="s">
        <v>20470</v>
      </c>
      <c r="H1727" s="2" t="s">
        <v>5</v>
      </c>
      <c r="I1727" s="2" t="s">
        <v>6</v>
      </c>
      <c r="J1727" s="2" t="s">
        <v>5</v>
      </c>
      <c r="K1727" s="2" t="s">
        <v>16</v>
      </c>
      <c r="L1727" s="2" t="s">
        <v>6</v>
      </c>
      <c r="M1727" s="1" t="s">
        <v>20471</v>
      </c>
      <c r="N1727" s="1" t="s">
        <v>5551</v>
      </c>
      <c r="O1727" s="2" t="s">
        <v>210</v>
      </c>
      <c r="P1727" s="1" t="s">
        <v>901</v>
      </c>
      <c r="Q1727" s="2" t="s">
        <v>11</v>
      </c>
      <c r="R1727" s="2" t="s">
        <v>426</v>
      </c>
      <c r="T1727" s="2" t="s">
        <v>520</v>
      </c>
      <c r="U1727" s="3">
        <v>7</v>
      </c>
      <c r="V1727" s="3">
        <v>7</v>
      </c>
      <c r="W1727" s="4" t="s">
        <v>16203</v>
      </c>
      <c r="X1727" s="4" t="s">
        <v>16203</v>
      </c>
      <c r="Y1727" s="4" t="s">
        <v>7778</v>
      </c>
      <c r="Z1727" s="4" t="s">
        <v>7778</v>
      </c>
      <c r="AA1727" s="3">
        <v>358</v>
      </c>
      <c r="AB1727" s="3">
        <v>293</v>
      </c>
      <c r="AC1727" s="3">
        <v>1592</v>
      </c>
      <c r="AD1727" s="3">
        <v>1</v>
      </c>
      <c r="AE1727" s="3">
        <v>17</v>
      </c>
      <c r="AF1727" s="3">
        <v>7</v>
      </c>
      <c r="AG1727" s="3">
        <v>56</v>
      </c>
      <c r="AH1727" s="3">
        <v>2</v>
      </c>
      <c r="AI1727" s="3">
        <v>19</v>
      </c>
      <c r="AJ1727" s="3">
        <v>2</v>
      </c>
      <c r="AK1727" s="3">
        <v>11</v>
      </c>
      <c r="AL1727" s="3">
        <v>6</v>
      </c>
      <c r="AM1727" s="3">
        <v>20</v>
      </c>
      <c r="AN1727" s="3">
        <v>0</v>
      </c>
      <c r="AO1727" s="3">
        <v>14</v>
      </c>
      <c r="AP1727" s="3">
        <v>0</v>
      </c>
      <c r="AQ1727" s="3">
        <v>2</v>
      </c>
      <c r="AR1727" s="2" t="s">
        <v>5</v>
      </c>
      <c r="AS1727" s="2" t="s">
        <v>16</v>
      </c>
      <c r="AT1727" s="5" t="str">
        <f>HYPERLINK("http://catalog.hathitrust.org/Record/002536640","HathiTrust Record")</f>
        <v>HathiTrust Record</v>
      </c>
      <c r="AU1727" s="5" t="str">
        <f>HYPERLINK("https://creighton-primo.hosted.exlibrisgroup.com/primo-explore/search?tab=default_tab&amp;search_scope=EVERYTHING&amp;vid=01CRU&amp;lang=en_US&amp;offset=0&amp;query=any,contains,991001304339702656","Catalog Record")</f>
        <v>Catalog Record</v>
      </c>
      <c r="AV1727" s="5" t="str">
        <f>HYPERLINK("http://www.worldcat.org/oclc/25008778","WorldCat Record")</f>
        <v>WorldCat Record</v>
      </c>
      <c r="AW1727" s="2" t="s">
        <v>20472</v>
      </c>
      <c r="AX1727" s="2" t="s">
        <v>20473</v>
      </c>
      <c r="AY1727" s="2" t="s">
        <v>20474</v>
      </c>
      <c r="AZ1727" s="2" t="s">
        <v>20474</v>
      </c>
      <c r="BA1727" s="2" t="s">
        <v>20475</v>
      </c>
      <c r="BB1727" s="2" t="s">
        <v>21</v>
      </c>
      <c r="BD1727" s="2" t="s">
        <v>20476</v>
      </c>
      <c r="BE1727" s="2" t="s">
        <v>20477</v>
      </c>
      <c r="BF1727" s="2" t="s">
        <v>20478</v>
      </c>
    </row>
    <row r="1728" spans="1:58" ht="41.25" customHeight="1" x14ac:dyDescent="0.25">
      <c r="A1728" s="8" t="s">
        <v>5</v>
      </c>
      <c r="B1728" s="1" t="s">
        <v>0</v>
      </c>
      <c r="C1728" s="1" t="s">
        <v>1</v>
      </c>
      <c r="D1728" s="1" t="s">
        <v>20479</v>
      </c>
      <c r="E1728" s="1" t="s">
        <v>20480</v>
      </c>
      <c r="F1728" s="1" t="s">
        <v>20481</v>
      </c>
      <c r="H1728" s="2" t="s">
        <v>5</v>
      </c>
      <c r="I1728" s="2" t="s">
        <v>6</v>
      </c>
      <c r="J1728" s="2" t="s">
        <v>5</v>
      </c>
      <c r="K1728" s="2" t="s">
        <v>5</v>
      </c>
      <c r="L1728" s="2" t="s">
        <v>7</v>
      </c>
      <c r="N1728" s="1" t="s">
        <v>15415</v>
      </c>
      <c r="O1728" s="2" t="s">
        <v>3501</v>
      </c>
      <c r="Q1728" s="2" t="s">
        <v>11</v>
      </c>
      <c r="R1728" s="2" t="s">
        <v>12</v>
      </c>
      <c r="S1728" s="1" t="s">
        <v>20482</v>
      </c>
      <c r="T1728" s="2" t="s">
        <v>520</v>
      </c>
      <c r="U1728" s="3">
        <v>1</v>
      </c>
      <c r="V1728" s="3">
        <v>1</v>
      </c>
      <c r="W1728" s="4" t="s">
        <v>1975</v>
      </c>
      <c r="X1728" s="4" t="s">
        <v>1975</v>
      </c>
      <c r="Y1728" s="4" t="s">
        <v>736</v>
      </c>
      <c r="Z1728" s="4" t="s">
        <v>736</v>
      </c>
      <c r="AA1728" s="3">
        <v>32</v>
      </c>
      <c r="AB1728" s="3">
        <v>32</v>
      </c>
      <c r="AC1728" s="3">
        <v>34</v>
      </c>
      <c r="AD1728" s="3">
        <v>1</v>
      </c>
      <c r="AE1728" s="3">
        <v>1</v>
      </c>
      <c r="AF1728" s="3">
        <v>2</v>
      </c>
      <c r="AG1728" s="3">
        <v>2</v>
      </c>
      <c r="AH1728" s="3">
        <v>0</v>
      </c>
      <c r="AI1728" s="3">
        <v>0</v>
      </c>
      <c r="AJ1728" s="3">
        <v>1</v>
      </c>
      <c r="AK1728" s="3">
        <v>1</v>
      </c>
      <c r="AL1728" s="3">
        <v>2</v>
      </c>
      <c r="AM1728" s="3">
        <v>2</v>
      </c>
      <c r="AN1728" s="3">
        <v>0</v>
      </c>
      <c r="AO1728" s="3">
        <v>0</v>
      </c>
      <c r="AP1728" s="3">
        <v>0</v>
      </c>
      <c r="AQ1728" s="3">
        <v>0</v>
      </c>
      <c r="AR1728" s="2" t="s">
        <v>5</v>
      </c>
      <c r="AS1728" s="2" t="s">
        <v>16</v>
      </c>
      <c r="AT1728" s="5" t="str">
        <f>HYPERLINK("http://catalog.hathitrust.org/Record/100823313","HathiTrust Record")</f>
        <v>HathiTrust Record</v>
      </c>
      <c r="AU1728" s="5" t="str">
        <f>HYPERLINK("https://creighton-primo.hosted.exlibrisgroup.com/primo-explore/search?tab=default_tab&amp;search_scope=EVERYTHING&amp;vid=01CRU&amp;lang=en_US&amp;offset=0&amp;query=any,contains,991001389519702656","Catalog Record")</f>
        <v>Catalog Record</v>
      </c>
      <c r="AV1728" s="5" t="str">
        <f>HYPERLINK("http://www.worldcat.org/oclc/2387351","WorldCat Record")</f>
        <v>WorldCat Record</v>
      </c>
      <c r="AW1728" s="2" t="s">
        <v>20483</v>
      </c>
      <c r="AX1728" s="2" t="s">
        <v>20484</v>
      </c>
      <c r="AY1728" s="2" t="s">
        <v>20485</v>
      </c>
      <c r="AZ1728" s="2" t="s">
        <v>20485</v>
      </c>
      <c r="BA1728" s="2" t="s">
        <v>20486</v>
      </c>
      <c r="BB1728" s="2" t="s">
        <v>21</v>
      </c>
      <c r="BE1728" s="2" t="s">
        <v>20487</v>
      </c>
      <c r="BF1728" s="2" t="s">
        <v>20488</v>
      </c>
    </row>
    <row r="1729" spans="1:58" ht="41.25" customHeight="1" x14ac:dyDescent="0.25">
      <c r="A1729" s="8" t="s">
        <v>5</v>
      </c>
      <c r="B1729" s="1" t="s">
        <v>0</v>
      </c>
      <c r="C1729" s="1" t="s">
        <v>1</v>
      </c>
      <c r="D1729" s="1" t="s">
        <v>20489</v>
      </c>
      <c r="E1729" s="1" t="s">
        <v>20490</v>
      </c>
      <c r="F1729" s="1" t="s">
        <v>20491</v>
      </c>
      <c r="H1729" s="2" t="s">
        <v>5</v>
      </c>
      <c r="I1729" s="2" t="s">
        <v>6</v>
      </c>
      <c r="J1729" s="2" t="s">
        <v>5</v>
      </c>
      <c r="K1729" s="2" t="s">
        <v>5</v>
      </c>
      <c r="L1729" s="2" t="s">
        <v>7</v>
      </c>
      <c r="M1729" s="1" t="s">
        <v>20492</v>
      </c>
      <c r="N1729" s="1" t="s">
        <v>913</v>
      </c>
      <c r="O1729" s="2" t="s">
        <v>734</v>
      </c>
      <c r="P1729" s="1" t="s">
        <v>901</v>
      </c>
      <c r="Q1729" s="2" t="s">
        <v>11</v>
      </c>
      <c r="R1729" s="2" t="s">
        <v>426</v>
      </c>
      <c r="T1729" s="2" t="s">
        <v>520</v>
      </c>
      <c r="U1729" s="3">
        <v>4</v>
      </c>
      <c r="V1729" s="3">
        <v>4</v>
      </c>
      <c r="W1729" s="4" t="s">
        <v>18358</v>
      </c>
      <c r="X1729" s="4" t="s">
        <v>18358</v>
      </c>
      <c r="Y1729" s="4" t="s">
        <v>168</v>
      </c>
      <c r="Z1729" s="4" t="s">
        <v>168</v>
      </c>
      <c r="AA1729" s="3">
        <v>191</v>
      </c>
      <c r="AB1729" s="3">
        <v>160</v>
      </c>
      <c r="AC1729" s="3">
        <v>299</v>
      </c>
      <c r="AD1729" s="3">
        <v>2</v>
      </c>
      <c r="AE1729" s="3">
        <v>2</v>
      </c>
      <c r="AF1729" s="3">
        <v>2</v>
      </c>
      <c r="AG1729" s="3">
        <v>7</v>
      </c>
      <c r="AH1729" s="3">
        <v>0</v>
      </c>
      <c r="AI1729" s="3">
        <v>3</v>
      </c>
      <c r="AJ1729" s="3">
        <v>0</v>
      </c>
      <c r="AK1729" s="3">
        <v>1</v>
      </c>
      <c r="AL1729" s="3">
        <v>1</v>
      </c>
      <c r="AM1729" s="3">
        <v>3</v>
      </c>
      <c r="AN1729" s="3">
        <v>1</v>
      </c>
      <c r="AO1729" s="3">
        <v>1</v>
      </c>
      <c r="AP1729" s="3">
        <v>0</v>
      </c>
      <c r="AQ1729" s="3">
        <v>0</v>
      </c>
      <c r="AR1729" s="2" t="s">
        <v>5</v>
      </c>
      <c r="AS1729" s="2" t="s">
        <v>16</v>
      </c>
      <c r="AT1729" s="5" t="str">
        <f>HYPERLINK("http://catalog.hathitrust.org/Record/000241381","HathiTrust Record")</f>
        <v>HathiTrust Record</v>
      </c>
      <c r="AU1729" s="5" t="str">
        <f>HYPERLINK("https://creighton-primo.hosted.exlibrisgroup.com/primo-explore/search?tab=default_tab&amp;search_scope=EVERYTHING&amp;vid=01CRU&amp;lang=en_US&amp;offset=0&amp;query=any,contains,991000926239702656","Catalog Record")</f>
        <v>Catalog Record</v>
      </c>
      <c r="AV1729" s="5" t="str">
        <f>HYPERLINK("http://www.worldcat.org/oclc/8451865","WorldCat Record")</f>
        <v>WorldCat Record</v>
      </c>
      <c r="AW1729" s="2" t="s">
        <v>20493</v>
      </c>
      <c r="AX1729" s="2" t="s">
        <v>20494</v>
      </c>
      <c r="AY1729" s="2" t="s">
        <v>20495</v>
      </c>
      <c r="AZ1729" s="2" t="s">
        <v>20495</v>
      </c>
      <c r="BA1729" s="2" t="s">
        <v>20496</v>
      </c>
      <c r="BB1729" s="2" t="s">
        <v>21</v>
      </c>
      <c r="BD1729" s="2" t="s">
        <v>20497</v>
      </c>
      <c r="BE1729" s="2" t="s">
        <v>20498</v>
      </c>
      <c r="BF1729" s="2" t="s">
        <v>20499</v>
      </c>
    </row>
    <row r="1730" spans="1:58" ht="41.25" customHeight="1" x14ac:dyDescent="0.25">
      <c r="A1730" s="8" t="s">
        <v>5</v>
      </c>
      <c r="B1730" s="1" t="s">
        <v>0</v>
      </c>
      <c r="C1730" s="1" t="s">
        <v>1</v>
      </c>
      <c r="D1730" s="1" t="s">
        <v>20500</v>
      </c>
      <c r="E1730" s="1" t="s">
        <v>20501</v>
      </c>
      <c r="F1730" s="1" t="s">
        <v>20502</v>
      </c>
      <c r="H1730" s="2" t="s">
        <v>5</v>
      </c>
      <c r="I1730" s="2" t="s">
        <v>6</v>
      </c>
      <c r="J1730" s="2" t="s">
        <v>5</v>
      </c>
      <c r="K1730" s="2" t="s">
        <v>5</v>
      </c>
      <c r="L1730" s="2" t="s">
        <v>7</v>
      </c>
      <c r="M1730" s="1" t="s">
        <v>20503</v>
      </c>
      <c r="N1730" s="1" t="s">
        <v>6468</v>
      </c>
      <c r="O1730" s="2" t="s">
        <v>872</v>
      </c>
      <c r="P1730" s="1" t="s">
        <v>211</v>
      </c>
      <c r="Q1730" s="2" t="s">
        <v>11</v>
      </c>
      <c r="R1730" s="2" t="s">
        <v>426</v>
      </c>
      <c r="T1730" s="2" t="s">
        <v>520</v>
      </c>
      <c r="U1730" s="3">
        <v>13</v>
      </c>
      <c r="V1730" s="3">
        <v>13</v>
      </c>
      <c r="W1730" s="4" t="s">
        <v>5881</v>
      </c>
      <c r="X1730" s="4" t="s">
        <v>5881</v>
      </c>
      <c r="Y1730" s="4" t="s">
        <v>12123</v>
      </c>
      <c r="Z1730" s="4" t="s">
        <v>12123</v>
      </c>
      <c r="AA1730" s="3">
        <v>216</v>
      </c>
      <c r="AB1730" s="3">
        <v>181</v>
      </c>
      <c r="AC1730" s="3">
        <v>258</v>
      </c>
      <c r="AD1730" s="3">
        <v>1</v>
      </c>
      <c r="AE1730" s="3">
        <v>2</v>
      </c>
      <c r="AF1730" s="3">
        <v>4</v>
      </c>
      <c r="AG1730" s="3">
        <v>6</v>
      </c>
      <c r="AH1730" s="3">
        <v>0</v>
      </c>
      <c r="AI1730" s="3">
        <v>1</v>
      </c>
      <c r="AJ1730" s="3">
        <v>2</v>
      </c>
      <c r="AK1730" s="3">
        <v>2</v>
      </c>
      <c r="AL1730" s="3">
        <v>4</v>
      </c>
      <c r="AM1730" s="3">
        <v>5</v>
      </c>
      <c r="AN1730" s="3">
        <v>0</v>
      </c>
      <c r="AO1730" s="3">
        <v>0</v>
      </c>
      <c r="AP1730" s="3">
        <v>0</v>
      </c>
      <c r="AQ1730" s="3">
        <v>0</v>
      </c>
      <c r="AR1730" s="2" t="s">
        <v>5</v>
      </c>
      <c r="AS1730" s="2" t="s">
        <v>5</v>
      </c>
      <c r="AU1730" s="5" t="str">
        <f>HYPERLINK("https://creighton-primo.hosted.exlibrisgroup.com/primo-explore/search?tab=default_tab&amp;search_scope=EVERYTHING&amp;vid=01CRU&amp;lang=en_US&amp;offset=0&amp;query=any,contains,991001322399702656","Catalog Record")</f>
        <v>Catalog Record</v>
      </c>
      <c r="AV1730" s="5" t="str">
        <f>HYPERLINK("http://www.worldcat.org/oclc/18683003","WorldCat Record")</f>
        <v>WorldCat Record</v>
      </c>
      <c r="AW1730" s="2" t="s">
        <v>20504</v>
      </c>
      <c r="AX1730" s="2" t="s">
        <v>20505</v>
      </c>
      <c r="AY1730" s="2" t="s">
        <v>20506</v>
      </c>
      <c r="AZ1730" s="2" t="s">
        <v>20506</v>
      </c>
      <c r="BA1730" s="2" t="s">
        <v>20507</v>
      </c>
      <c r="BB1730" s="2" t="s">
        <v>21</v>
      </c>
      <c r="BD1730" s="2" t="s">
        <v>20508</v>
      </c>
      <c r="BE1730" s="2" t="s">
        <v>20509</v>
      </c>
      <c r="BF1730" s="2" t="s">
        <v>20510</v>
      </c>
    </row>
    <row r="1731" spans="1:58" ht="41.25" customHeight="1" x14ac:dyDescent="0.25">
      <c r="A1731" s="8" t="s">
        <v>5</v>
      </c>
      <c r="B1731" s="1" t="s">
        <v>0</v>
      </c>
      <c r="C1731" s="1" t="s">
        <v>1</v>
      </c>
      <c r="D1731" s="1" t="s">
        <v>20511</v>
      </c>
      <c r="E1731" s="1" t="s">
        <v>20512</v>
      </c>
      <c r="F1731" s="1" t="s">
        <v>20513</v>
      </c>
      <c r="H1731" s="2" t="s">
        <v>5</v>
      </c>
      <c r="I1731" s="2" t="s">
        <v>6</v>
      </c>
      <c r="J1731" s="2" t="s">
        <v>5</v>
      </c>
      <c r="K1731" s="2" t="s">
        <v>5</v>
      </c>
      <c r="L1731" s="2" t="s">
        <v>7</v>
      </c>
      <c r="M1731" s="1" t="s">
        <v>20514</v>
      </c>
      <c r="N1731" s="1" t="s">
        <v>4471</v>
      </c>
      <c r="O1731" s="2" t="s">
        <v>617</v>
      </c>
      <c r="Q1731" s="2" t="s">
        <v>11</v>
      </c>
      <c r="R1731" s="2" t="s">
        <v>12</v>
      </c>
      <c r="S1731" s="1" t="s">
        <v>20515</v>
      </c>
      <c r="T1731" s="2" t="s">
        <v>520</v>
      </c>
      <c r="U1731" s="3">
        <v>3</v>
      </c>
      <c r="V1731" s="3">
        <v>3</v>
      </c>
      <c r="W1731" s="4" t="s">
        <v>1405</v>
      </c>
      <c r="X1731" s="4" t="s">
        <v>1405</v>
      </c>
      <c r="Y1731" s="4" t="s">
        <v>736</v>
      </c>
      <c r="Z1731" s="4" t="s">
        <v>736</v>
      </c>
      <c r="AA1731" s="3">
        <v>32</v>
      </c>
      <c r="AB1731" s="3">
        <v>30</v>
      </c>
      <c r="AC1731" s="3">
        <v>37</v>
      </c>
      <c r="AD1731" s="3">
        <v>1</v>
      </c>
      <c r="AE1731" s="3">
        <v>1</v>
      </c>
      <c r="AF1731" s="3">
        <v>0</v>
      </c>
      <c r="AG1731" s="3">
        <v>0</v>
      </c>
      <c r="AH1731" s="3">
        <v>0</v>
      </c>
      <c r="AI1731" s="3">
        <v>0</v>
      </c>
      <c r="AJ1731" s="3">
        <v>0</v>
      </c>
      <c r="AK1731" s="3">
        <v>0</v>
      </c>
      <c r="AL1731" s="3">
        <v>0</v>
      </c>
      <c r="AM1731" s="3">
        <v>0</v>
      </c>
      <c r="AN1731" s="3">
        <v>0</v>
      </c>
      <c r="AO1731" s="3">
        <v>0</v>
      </c>
      <c r="AP1731" s="3">
        <v>0</v>
      </c>
      <c r="AQ1731" s="3">
        <v>0</v>
      </c>
      <c r="AR1731" s="2" t="s">
        <v>16</v>
      </c>
      <c r="AS1731" s="2" t="s">
        <v>5</v>
      </c>
      <c r="AT1731" s="5" t="str">
        <f>HYPERLINK("http://catalog.hathitrust.org/Record/002066359","HathiTrust Record")</f>
        <v>HathiTrust Record</v>
      </c>
      <c r="AU1731" s="5" t="str">
        <f>HYPERLINK("https://creighton-primo.hosted.exlibrisgroup.com/primo-explore/search?tab=default_tab&amp;search_scope=EVERYTHING&amp;vid=01CRU&amp;lang=en_US&amp;offset=0&amp;query=any,contains,991001389419702656","Catalog Record")</f>
        <v>Catalog Record</v>
      </c>
      <c r="AV1731" s="5" t="str">
        <f>HYPERLINK("http://www.worldcat.org/oclc/8292631","WorldCat Record")</f>
        <v>WorldCat Record</v>
      </c>
      <c r="AW1731" s="2" t="s">
        <v>20516</v>
      </c>
      <c r="AX1731" s="2" t="s">
        <v>20517</v>
      </c>
      <c r="AY1731" s="2" t="s">
        <v>20518</v>
      </c>
      <c r="AZ1731" s="2" t="s">
        <v>20518</v>
      </c>
      <c r="BA1731" s="2" t="s">
        <v>20519</v>
      </c>
      <c r="BB1731" s="2" t="s">
        <v>21</v>
      </c>
      <c r="BE1731" s="2" t="s">
        <v>20520</v>
      </c>
      <c r="BF1731" s="2" t="s">
        <v>20521</v>
      </c>
    </row>
    <row r="1732" spans="1:58" ht="41.25" customHeight="1" x14ac:dyDescent="0.25">
      <c r="A1732" s="8" t="s">
        <v>5</v>
      </c>
      <c r="B1732" s="1" t="s">
        <v>0</v>
      </c>
      <c r="C1732" s="1" t="s">
        <v>1</v>
      </c>
      <c r="D1732" s="1" t="s">
        <v>20522</v>
      </c>
      <c r="E1732" s="1" t="s">
        <v>20523</v>
      </c>
      <c r="F1732" s="1" t="s">
        <v>20524</v>
      </c>
      <c r="H1732" s="2" t="s">
        <v>5</v>
      </c>
      <c r="I1732" s="2" t="s">
        <v>6</v>
      </c>
      <c r="J1732" s="2" t="s">
        <v>5</v>
      </c>
      <c r="K1732" s="2" t="s">
        <v>16</v>
      </c>
      <c r="L1732" s="2" t="s">
        <v>7</v>
      </c>
      <c r="M1732" s="1" t="s">
        <v>7629</v>
      </c>
      <c r="N1732" s="1" t="s">
        <v>11622</v>
      </c>
      <c r="O1732" s="2" t="s">
        <v>1391</v>
      </c>
      <c r="Q1732" s="2" t="s">
        <v>11</v>
      </c>
      <c r="R1732" s="2" t="s">
        <v>229</v>
      </c>
      <c r="T1732" s="2" t="s">
        <v>520</v>
      </c>
      <c r="U1732" s="3">
        <v>42</v>
      </c>
      <c r="V1732" s="3">
        <v>42</v>
      </c>
      <c r="W1732" s="4" t="s">
        <v>20525</v>
      </c>
      <c r="X1732" s="4" t="s">
        <v>20525</v>
      </c>
      <c r="Y1732" s="4" t="s">
        <v>20526</v>
      </c>
      <c r="Z1732" s="4" t="s">
        <v>20526</v>
      </c>
      <c r="AA1732" s="3">
        <v>239</v>
      </c>
      <c r="AB1732" s="3">
        <v>150</v>
      </c>
      <c r="AC1732" s="3">
        <v>379</v>
      </c>
      <c r="AD1732" s="3">
        <v>2</v>
      </c>
      <c r="AE1732" s="3">
        <v>3</v>
      </c>
      <c r="AF1732" s="3">
        <v>4</v>
      </c>
      <c r="AG1732" s="3">
        <v>8</v>
      </c>
      <c r="AH1732" s="3">
        <v>1</v>
      </c>
      <c r="AI1732" s="3">
        <v>3</v>
      </c>
      <c r="AJ1732" s="3">
        <v>1</v>
      </c>
      <c r="AK1732" s="3">
        <v>2</v>
      </c>
      <c r="AL1732" s="3">
        <v>2</v>
      </c>
      <c r="AM1732" s="3">
        <v>4</v>
      </c>
      <c r="AN1732" s="3">
        <v>1</v>
      </c>
      <c r="AO1732" s="3">
        <v>1</v>
      </c>
      <c r="AP1732" s="3">
        <v>0</v>
      </c>
      <c r="AQ1732" s="3">
        <v>0</v>
      </c>
      <c r="AR1732" s="2" t="s">
        <v>5</v>
      </c>
      <c r="AS1732" s="2" t="s">
        <v>5</v>
      </c>
      <c r="AU1732" s="5" t="str">
        <f>HYPERLINK("https://creighton-primo.hosted.exlibrisgroup.com/primo-explore/search?tab=default_tab&amp;search_scope=EVERYTHING&amp;vid=01CRU&amp;lang=en_US&amp;offset=0&amp;query=any,contains,991001729359702656","Catalog Record")</f>
        <v>Catalog Record</v>
      </c>
      <c r="AV1732" s="5" t="str">
        <f>HYPERLINK("http://www.worldcat.org/oclc/51216245","WorldCat Record")</f>
        <v>WorldCat Record</v>
      </c>
      <c r="AW1732" s="2" t="s">
        <v>20527</v>
      </c>
      <c r="AX1732" s="2" t="s">
        <v>20528</v>
      </c>
      <c r="AY1732" s="2" t="s">
        <v>20529</v>
      </c>
      <c r="AZ1732" s="2" t="s">
        <v>20529</v>
      </c>
      <c r="BA1732" s="2" t="s">
        <v>20530</v>
      </c>
      <c r="BB1732" s="2" t="s">
        <v>21</v>
      </c>
      <c r="BD1732" s="2" t="s">
        <v>20531</v>
      </c>
      <c r="BE1732" s="2" t="s">
        <v>20532</v>
      </c>
      <c r="BF1732" s="2" t="s">
        <v>20533</v>
      </c>
    </row>
    <row r="1733" spans="1:58" ht="41.25" customHeight="1" x14ac:dyDescent="0.25">
      <c r="A1733" s="8" t="s">
        <v>5</v>
      </c>
      <c r="B1733" s="1" t="s">
        <v>0</v>
      </c>
      <c r="C1733" s="1" t="s">
        <v>1</v>
      </c>
      <c r="D1733" s="1" t="s">
        <v>20534</v>
      </c>
      <c r="E1733" s="1" t="s">
        <v>20535</v>
      </c>
      <c r="F1733" s="1" t="s">
        <v>20536</v>
      </c>
      <c r="H1733" s="2" t="s">
        <v>5</v>
      </c>
      <c r="I1733" s="2" t="s">
        <v>6</v>
      </c>
      <c r="J1733" s="2" t="s">
        <v>5</v>
      </c>
      <c r="K1733" s="2" t="s">
        <v>5</v>
      </c>
      <c r="L1733" s="2" t="s">
        <v>7</v>
      </c>
      <c r="M1733" s="1" t="s">
        <v>20537</v>
      </c>
      <c r="N1733" s="1" t="s">
        <v>20538</v>
      </c>
      <c r="O1733" s="2" t="s">
        <v>1246</v>
      </c>
      <c r="P1733" s="1" t="s">
        <v>12090</v>
      </c>
      <c r="Q1733" s="2" t="s">
        <v>11</v>
      </c>
      <c r="R1733" s="2" t="s">
        <v>271</v>
      </c>
      <c r="T1733" s="2" t="s">
        <v>520</v>
      </c>
      <c r="U1733" s="3">
        <v>3</v>
      </c>
      <c r="V1733" s="3">
        <v>3</v>
      </c>
      <c r="W1733" s="4" t="s">
        <v>20313</v>
      </c>
      <c r="X1733" s="4" t="s">
        <v>20313</v>
      </c>
      <c r="Y1733" s="4" t="s">
        <v>168</v>
      </c>
      <c r="Z1733" s="4" t="s">
        <v>168</v>
      </c>
      <c r="AA1733" s="3">
        <v>204</v>
      </c>
      <c r="AB1733" s="3">
        <v>183</v>
      </c>
      <c r="AC1733" s="3">
        <v>187</v>
      </c>
      <c r="AD1733" s="3">
        <v>2</v>
      </c>
      <c r="AE1733" s="3">
        <v>2</v>
      </c>
      <c r="AF1733" s="3">
        <v>8</v>
      </c>
      <c r="AG1733" s="3">
        <v>8</v>
      </c>
      <c r="AH1733" s="3">
        <v>3</v>
      </c>
      <c r="AI1733" s="3">
        <v>3</v>
      </c>
      <c r="AJ1733" s="3">
        <v>0</v>
      </c>
      <c r="AK1733" s="3">
        <v>0</v>
      </c>
      <c r="AL1733" s="3">
        <v>5</v>
      </c>
      <c r="AM1733" s="3">
        <v>5</v>
      </c>
      <c r="AN1733" s="3">
        <v>1</v>
      </c>
      <c r="AO1733" s="3">
        <v>1</v>
      </c>
      <c r="AP1733" s="3">
        <v>0</v>
      </c>
      <c r="AQ1733" s="3">
        <v>0</v>
      </c>
      <c r="AR1733" s="2" t="s">
        <v>5</v>
      </c>
      <c r="AS1733" s="2" t="s">
        <v>16</v>
      </c>
      <c r="AT1733" s="5" t="str">
        <f>HYPERLINK("http://catalog.hathitrust.org/Record/001563691","HathiTrust Record")</f>
        <v>HathiTrust Record</v>
      </c>
      <c r="AU1733" s="5" t="str">
        <f>HYPERLINK("https://creighton-primo.hosted.exlibrisgroup.com/primo-explore/search?tab=default_tab&amp;search_scope=EVERYTHING&amp;vid=01CRU&amp;lang=en_US&amp;offset=0&amp;query=any,contains,991000926429702656","Catalog Record")</f>
        <v>Catalog Record</v>
      </c>
      <c r="AV1733" s="5" t="str">
        <f>HYPERLINK("http://www.worldcat.org/oclc/804896","WorldCat Record")</f>
        <v>WorldCat Record</v>
      </c>
      <c r="AW1733" s="2" t="s">
        <v>20539</v>
      </c>
      <c r="AX1733" s="2" t="s">
        <v>20540</v>
      </c>
      <c r="AY1733" s="2" t="s">
        <v>20541</v>
      </c>
      <c r="AZ1733" s="2" t="s">
        <v>20541</v>
      </c>
      <c r="BA1733" s="2" t="s">
        <v>20542</v>
      </c>
      <c r="BB1733" s="2" t="s">
        <v>21</v>
      </c>
      <c r="BE1733" s="2" t="s">
        <v>20543</v>
      </c>
      <c r="BF1733" s="2" t="s">
        <v>20544</v>
      </c>
    </row>
    <row r="1734" spans="1:58" ht="41.25" customHeight="1" x14ac:dyDescent="0.25">
      <c r="A1734" s="8" t="s">
        <v>5</v>
      </c>
      <c r="B1734" s="1" t="s">
        <v>0</v>
      </c>
      <c r="C1734" s="1" t="s">
        <v>1</v>
      </c>
      <c r="D1734" s="1" t="s">
        <v>20545</v>
      </c>
      <c r="E1734" s="1" t="s">
        <v>20546</v>
      </c>
      <c r="F1734" s="1" t="s">
        <v>20547</v>
      </c>
      <c r="H1734" s="2" t="s">
        <v>5</v>
      </c>
      <c r="I1734" s="2" t="s">
        <v>6</v>
      </c>
      <c r="J1734" s="2" t="s">
        <v>5</v>
      </c>
      <c r="K1734" s="2" t="s">
        <v>5</v>
      </c>
      <c r="L1734" s="2" t="s">
        <v>7</v>
      </c>
      <c r="M1734" s="1" t="s">
        <v>13611</v>
      </c>
      <c r="N1734" s="1" t="s">
        <v>20548</v>
      </c>
      <c r="O1734" s="2" t="s">
        <v>1102</v>
      </c>
      <c r="Q1734" s="2" t="s">
        <v>11</v>
      </c>
      <c r="R1734" s="2" t="s">
        <v>426</v>
      </c>
      <c r="T1734" s="2" t="s">
        <v>520</v>
      </c>
      <c r="U1734" s="3">
        <v>7</v>
      </c>
      <c r="V1734" s="3">
        <v>7</v>
      </c>
      <c r="W1734" s="4" t="s">
        <v>20549</v>
      </c>
      <c r="X1734" s="4" t="s">
        <v>20549</v>
      </c>
      <c r="Y1734" s="4" t="s">
        <v>96</v>
      </c>
      <c r="Z1734" s="4" t="s">
        <v>96</v>
      </c>
      <c r="AA1734" s="3">
        <v>236</v>
      </c>
      <c r="AB1734" s="3">
        <v>181</v>
      </c>
      <c r="AC1734" s="3">
        <v>395</v>
      </c>
      <c r="AD1734" s="3">
        <v>2</v>
      </c>
      <c r="AE1734" s="3">
        <v>2</v>
      </c>
      <c r="AF1734" s="3">
        <v>7</v>
      </c>
      <c r="AG1734" s="3">
        <v>14</v>
      </c>
      <c r="AH1734" s="3">
        <v>2</v>
      </c>
      <c r="AI1734" s="3">
        <v>3</v>
      </c>
      <c r="AJ1734" s="3">
        <v>1</v>
      </c>
      <c r="AK1734" s="3">
        <v>4</v>
      </c>
      <c r="AL1734" s="3">
        <v>6</v>
      </c>
      <c r="AM1734" s="3">
        <v>10</v>
      </c>
      <c r="AN1734" s="3">
        <v>0</v>
      </c>
      <c r="AO1734" s="3">
        <v>0</v>
      </c>
      <c r="AP1734" s="3">
        <v>0</v>
      </c>
      <c r="AQ1734" s="3">
        <v>0</v>
      </c>
      <c r="AR1734" s="2" t="s">
        <v>5</v>
      </c>
      <c r="AS1734" s="2" t="s">
        <v>16</v>
      </c>
      <c r="AT1734" s="5" t="str">
        <f>HYPERLINK("http://catalog.hathitrust.org/Record/000624416","HathiTrust Record")</f>
        <v>HathiTrust Record</v>
      </c>
      <c r="AU1734" s="5" t="str">
        <f>HYPERLINK("https://creighton-primo.hosted.exlibrisgroup.com/primo-explore/search?tab=default_tab&amp;search_scope=EVERYTHING&amp;vid=01CRU&amp;lang=en_US&amp;offset=0&amp;query=any,contains,991000926599702656","Catalog Record")</f>
        <v>Catalog Record</v>
      </c>
      <c r="AV1734" s="5" t="str">
        <f>HYPERLINK("http://www.worldcat.org/oclc/12263190","WorldCat Record")</f>
        <v>WorldCat Record</v>
      </c>
      <c r="AW1734" s="2" t="s">
        <v>20550</v>
      </c>
      <c r="AX1734" s="2" t="s">
        <v>20551</v>
      </c>
      <c r="AY1734" s="2" t="s">
        <v>20552</v>
      </c>
      <c r="AZ1734" s="2" t="s">
        <v>20552</v>
      </c>
      <c r="BA1734" s="2" t="s">
        <v>20553</v>
      </c>
      <c r="BB1734" s="2" t="s">
        <v>21</v>
      </c>
      <c r="BD1734" s="2" t="s">
        <v>20554</v>
      </c>
      <c r="BE1734" s="2" t="s">
        <v>20555</v>
      </c>
      <c r="BF1734" s="2" t="s">
        <v>20556</v>
      </c>
    </row>
    <row r="1735" spans="1:58" ht="41.25" customHeight="1" x14ac:dyDescent="0.25">
      <c r="A1735" s="8" t="s">
        <v>5</v>
      </c>
      <c r="B1735" s="1" t="s">
        <v>0</v>
      </c>
      <c r="C1735" s="1" t="s">
        <v>1</v>
      </c>
      <c r="D1735" s="1" t="s">
        <v>20557</v>
      </c>
      <c r="E1735" s="1" t="s">
        <v>20558</v>
      </c>
      <c r="F1735" s="1" t="s">
        <v>20559</v>
      </c>
      <c r="H1735" s="2" t="s">
        <v>5</v>
      </c>
      <c r="I1735" s="2" t="s">
        <v>6</v>
      </c>
      <c r="J1735" s="2" t="s">
        <v>5</v>
      </c>
      <c r="K1735" s="2" t="s">
        <v>5</v>
      </c>
      <c r="L1735" s="2" t="s">
        <v>7</v>
      </c>
      <c r="N1735" s="1" t="s">
        <v>6646</v>
      </c>
      <c r="O1735" s="2" t="s">
        <v>939</v>
      </c>
      <c r="P1735" s="1" t="s">
        <v>211</v>
      </c>
      <c r="Q1735" s="2" t="s">
        <v>11</v>
      </c>
      <c r="R1735" s="2" t="s">
        <v>31</v>
      </c>
      <c r="T1735" s="2" t="s">
        <v>520</v>
      </c>
      <c r="U1735" s="3">
        <v>38</v>
      </c>
      <c r="V1735" s="3">
        <v>38</v>
      </c>
      <c r="W1735" s="4" t="s">
        <v>4830</v>
      </c>
      <c r="X1735" s="4" t="s">
        <v>4830</v>
      </c>
      <c r="Y1735" s="4" t="s">
        <v>6647</v>
      </c>
      <c r="Z1735" s="4" t="s">
        <v>6647</v>
      </c>
      <c r="AA1735" s="3">
        <v>318</v>
      </c>
      <c r="AB1735" s="3">
        <v>231</v>
      </c>
      <c r="AC1735" s="3">
        <v>431</v>
      </c>
      <c r="AD1735" s="3">
        <v>1</v>
      </c>
      <c r="AE1735" s="3">
        <v>4</v>
      </c>
      <c r="AF1735" s="3">
        <v>7</v>
      </c>
      <c r="AG1735" s="3">
        <v>15</v>
      </c>
      <c r="AH1735" s="3">
        <v>6</v>
      </c>
      <c r="AI1735" s="3">
        <v>8</v>
      </c>
      <c r="AJ1735" s="3">
        <v>1</v>
      </c>
      <c r="AK1735" s="3">
        <v>2</v>
      </c>
      <c r="AL1735" s="3">
        <v>3</v>
      </c>
      <c r="AM1735" s="3">
        <v>9</v>
      </c>
      <c r="AN1735" s="3">
        <v>0</v>
      </c>
      <c r="AO1735" s="3">
        <v>1</v>
      </c>
      <c r="AP1735" s="3">
        <v>0</v>
      </c>
      <c r="AQ1735" s="3">
        <v>0</v>
      </c>
      <c r="AR1735" s="2" t="s">
        <v>5</v>
      </c>
      <c r="AS1735" s="2" t="s">
        <v>16</v>
      </c>
      <c r="AT1735" s="5" t="str">
        <f>HYPERLINK("http://catalog.hathitrust.org/Record/000844999","HathiTrust Record")</f>
        <v>HathiTrust Record</v>
      </c>
      <c r="AU1735" s="5" t="str">
        <f>HYPERLINK("https://creighton-primo.hosted.exlibrisgroup.com/primo-explore/search?tab=default_tab&amp;search_scope=EVERYTHING&amp;vid=01CRU&amp;lang=en_US&amp;offset=0&amp;query=any,contains,991001417049702656","Catalog Record")</f>
        <v>Catalog Record</v>
      </c>
      <c r="AV1735" s="5" t="str">
        <f>HYPERLINK("http://www.worldcat.org/oclc/16755516","WorldCat Record")</f>
        <v>WorldCat Record</v>
      </c>
      <c r="AW1735" s="2" t="s">
        <v>20560</v>
      </c>
      <c r="AX1735" s="2" t="s">
        <v>20561</v>
      </c>
      <c r="AY1735" s="2" t="s">
        <v>20562</v>
      </c>
      <c r="AZ1735" s="2" t="s">
        <v>20562</v>
      </c>
      <c r="BA1735" s="2" t="s">
        <v>20563</v>
      </c>
      <c r="BB1735" s="2" t="s">
        <v>21</v>
      </c>
      <c r="BD1735" s="2" t="s">
        <v>20564</v>
      </c>
      <c r="BE1735" s="2" t="s">
        <v>20565</v>
      </c>
      <c r="BF1735" s="2" t="s">
        <v>20566</v>
      </c>
    </row>
    <row r="1736" spans="1:58" ht="41.25" customHeight="1" x14ac:dyDescent="0.25">
      <c r="A1736" s="8" t="s">
        <v>5</v>
      </c>
      <c r="B1736" s="1" t="s">
        <v>0</v>
      </c>
      <c r="C1736" s="1" t="s">
        <v>1</v>
      </c>
      <c r="D1736" s="1" t="s">
        <v>20567</v>
      </c>
      <c r="E1736" s="1" t="s">
        <v>20568</v>
      </c>
      <c r="F1736" s="1" t="s">
        <v>20569</v>
      </c>
      <c r="H1736" s="2" t="s">
        <v>5</v>
      </c>
      <c r="I1736" s="2" t="s">
        <v>6</v>
      </c>
      <c r="J1736" s="2" t="s">
        <v>5</v>
      </c>
      <c r="K1736" s="2" t="s">
        <v>5</v>
      </c>
      <c r="L1736" s="2" t="s">
        <v>7</v>
      </c>
      <c r="N1736" s="1" t="s">
        <v>8675</v>
      </c>
      <c r="O1736" s="2" t="s">
        <v>794</v>
      </c>
      <c r="Q1736" s="2" t="s">
        <v>11</v>
      </c>
      <c r="R1736" s="2" t="s">
        <v>78</v>
      </c>
      <c r="T1736" s="2" t="s">
        <v>520</v>
      </c>
      <c r="U1736" s="3">
        <v>7</v>
      </c>
      <c r="V1736" s="3">
        <v>7</v>
      </c>
      <c r="W1736" s="4" t="s">
        <v>10358</v>
      </c>
      <c r="X1736" s="4" t="s">
        <v>10358</v>
      </c>
      <c r="Y1736" s="4" t="s">
        <v>7395</v>
      </c>
      <c r="Z1736" s="4" t="s">
        <v>7395</v>
      </c>
      <c r="AA1736" s="3">
        <v>206</v>
      </c>
      <c r="AB1736" s="3">
        <v>158</v>
      </c>
      <c r="AC1736" s="3">
        <v>322</v>
      </c>
      <c r="AD1736" s="3">
        <v>2</v>
      </c>
      <c r="AE1736" s="3">
        <v>3</v>
      </c>
      <c r="AF1736" s="3">
        <v>5</v>
      </c>
      <c r="AG1736" s="3">
        <v>15</v>
      </c>
      <c r="AH1736" s="3">
        <v>2</v>
      </c>
      <c r="AI1736" s="3">
        <v>6</v>
      </c>
      <c r="AJ1736" s="3">
        <v>1</v>
      </c>
      <c r="AK1736" s="3">
        <v>2</v>
      </c>
      <c r="AL1736" s="3">
        <v>3</v>
      </c>
      <c r="AM1736" s="3">
        <v>9</v>
      </c>
      <c r="AN1736" s="3">
        <v>0</v>
      </c>
      <c r="AO1736" s="3">
        <v>1</v>
      </c>
      <c r="AP1736" s="3">
        <v>0</v>
      </c>
      <c r="AQ1736" s="3">
        <v>0</v>
      </c>
      <c r="AR1736" s="2" t="s">
        <v>5</v>
      </c>
      <c r="AS1736" s="2" t="s">
        <v>16</v>
      </c>
      <c r="AT1736" s="5" t="str">
        <f>HYPERLINK("http://catalog.hathitrust.org/Record/003036188","HathiTrust Record")</f>
        <v>HathiTrust Record</v>
      </c>
      <c r="AU1736" s="5" t="str">
        <f>HYPERLINK("https://creighton-primo.hosted.exlibrisgroup.com/primo-explore/search?tab=default_tab&amp;search_scope=EVERYTHING&amp;vid=01CRU&amp;lang=en_US&amp;offset=0&amp;query=any,contains,991001058509702656","Catalog Record")</f>
        <v>Catalog Record</v>
      </c>
      <c r="AV1736" s="5" t="str">
        <f>HYPERLINK("http://www.worldcat.org/oclc/32397569","WorldCat Record")</f>
        <v>WorldCat Record</v>
      </c>
      <c r="AW1736" s="2" t="s">
        <v>20570</v>
      </c>
      <c r="AX1736" s="2" t="s">
        <v>20571</v>
      </c>
      <c r="AY1736" s="2" t="s">
        <v>20572</v>
      </c>
      <c r="AZ1736" s="2" t="s">
        <v>20572</v>
      </c>
      <c r="BA1736" s="2" t="s">
        <v>20573</v>
      </c>
      <c r="BB1736" s="2" t="s">
        <v>21</v>
      </c>
      <c r="BD1736" s="2" t="s">
        <v>20574</v>
      </c>
      <c r="BE1736" s="2" t="s">
        <v>20575</v>
      </c>
      <c r="BF1736" s="2" t="s">
        <v>20576</v>
      </c>
    </row>
    <row r="1737" spans="1:58" ht="41.25" customHeight="1" x14ac:dyDescent="0.25">
      <c r="A1737" s="8" t="s">
        <v>5</v>
      </c>
      <c r="B1737" s="1" t="s">
        <v>0</v>
      </c>
      <c r="C1737" s="1" t="s">
        <v>1</v>
      </c>
      <c r="D1737" s="1" t="s">
        <v>20577</v>
      </c>
      <c r="E1737" s="1" t="s">
        <v>20578</v>
      </c>
      <c r="F1737" s="1" t="s">
        <v>20579</v>
      </c>
      <c r="H1737" s="2" t="s">
        <v>5</v>
      </c>
      <c r="I1737" s="2" t="s">
        <v>6</v>
      </c>
      <c r="J1737" s="2" t="s">
        <v>5</v>
      </c>
      <c r="K1737" s="2" t="s">
        <v>5</v>
      </c>
      <c r="L1737" s="2" t="s">
        <v>7</v>
      </c>
      <c r="N1737" s="1" t="s">
        <v>11533</v>
      </c>
      <c r="O1737" s="2" t="s">
        <v>1339</v>
      </c>
      <c r="Q1737" s="2" t="s">
        <v>11</v>
      </c>
      <c r="R1737" s="2" t="s">
        <v>12</v>
      </c>
      <c r="T1737" s="2" t="s">
        <v>520</v>
      </c>
      <c r="U1737" s="3">
        <v>150</v>
      </c>
      <c r="V1737" s="3">
        <v>150</v>
      </c>
      <c r="W1737" s="4" t="s">
        <v>20580</v>
      </c>
      <c r="X1737" s="4" t="s">
        <v>20580</v>
      </c>
      <c r="Y1737" s="4" t="s">
        <v>20581</v>
      </c>
      <c r="Z1737" s="4" t="s">
        <v>20581</v>
      </c>
      <c r="AA1737" s="3">
        <v>172</v>
      </c>
      <c r="AB1737" s="3">
        <v>125</v>
      </c>
      <c r="AC1737" s="3">
        <v>144</v>
      </c>
      <c r="AD1737" s="3">
        <v>2</v>
      </c>
      <c r="AE1737" s="3">
        <v>2</v>
      </c>
      <c r="AF1737" s="3">
        <v>8</v>
      </c>
      <c r="AG1737" s="3">
        <v>10</v>
      </c>
      <c r="AH1737" s="3">
        <v>2</v>
      </c>
      <c r="AI1737" s="3">
        <v>3</v>
      </c>
      <c r="AJ1737" s="3">
        <v>2</v>
      </c>
      <c r="AK1737" s="3">
        <v>3</v>
      </c>
      <c r="AL1737" s="3">
        <v>6</v>
      </c>
      <c r="AM1737" s="3">
        <v>6</v>
      </c>
      <c r="AN1737" s="3">
        <v>1</v>
      </c>
      <c r="AO1737" s="3">
        <v>1</v>
      </c>
      <c r="AP1737" s="3">
        <v>0</v>
      </c>
      <c r="AQ1737" s="3">
        <v>0</v>
      </c>
      <c r="AR1737" s="2" t="s">
        <v>5</v>
      </c>
      <c r="AS1737" s="2" t="s">
        <v>16</v>
      </c>
      <c r="AT1737" s="5" t="str">
        <f>HYPERLINK("http://catalog.hathitrust.org/Record/000810693","HathiTrust Record")</f>
        <v>HathiTrust Record</v>
      </c>
      <c r="AU1737" s="5" t="str">
        <f>HYPERLINK("https://creighton-primo.hosted.exlibrisgroup.com/primo-explore/search?tab=default_tab&amp;search_scope=EVERYTHING&amp;vid=01CRU&amp;lang=en_US&amp;offset=0&amp;query=any,contains,991001033329702656","Catalog Record")</f>
        <v>Catalog Record</v>
      </c>
      <c r="AV1737" s="5" t="str">
        <f>HYPERLINK("http://www.worldcat.org/oclc/14413616","WorldCat Record")</f>
        <v>WorldCat Record</v>
      </c>
      <c r="AW1737" s="2" t="s">
        <v>20582</v>
      </c>
      <c r="AX1737" s="2" t="s">
        <v>20583</v>
      </c>
      <c r="AY1737" s="2" t="s">
        <v>20584</v>
      </c>
      <c r="AZ1737" s="2" t="s">
        <v>20584</v>
      </c>
      <c r="BA1737" s="2" t="s">
        <v>20585</v>
      </c>
      <c r="BB1737" s="2" t="s">
        <v>21</v>
      </c>
      <c r="BD1737" s="2" t="s">
        <v>20586</v>
      </c>
      <c r="BE1737" s="2" t="s">
        <v>20587</v>
      </c>
      <c r="BF1737" s="2" t="s">
        <v>20588</v>
      </c>
    </row>
    <row r="1738" spans="1:58" ht="41.25" customHeight="1" x14ac:dyDescent="0.25">
      <c r="A1738" s="8" t="s">
        <v>5</v>
      </c>
      <c r="B1738" s="1" t="s">
        <v>0</v>
      </c>
      <c r="C1738" s="1" t="s">
        <v>1</v>
      </c>
      <c r="D1738" s="1" t="s">
        <v>20589</v>
      </c>
      <c r="E1738" s="1" t="s">
        <v>20590</v>
      </c>
      <c r="F1738" s="1" t="s">
        <v>20591</v>
      </c>
      <c r="H1738" s="2" t="s">
        <v>5</v>
      </c>
      <c r="I1738" s="2" t="s">
        <v>6</v>
      </c>
      <c r="J1738" s="2" t="s">
        <v>5</v>
      </c>
      <c r="K1738" s="2" t="s">
        <v>5</v>
      </c>
      <c r="L1738" s="2" t="s">
        <v>7</v>
      </c>
      <c r="M1738" s="1" t="s">
        <v>20592</v>
      </c>
      <c r="N1738" s="1" t="s">
        <v>9221</v>
      </c>
      <c r="O1738" s="2" t="s">
        <v>1102</v>
      </c>
      <c r="P1738" s="1" t="s">
        <v>20593</v>
      </c>
      <c r="Q1738" s="2" t="s">
        <v>11</v>
      </c>
      <c r="R1738" s="2" t="s">
        <v>426</v>
      </c>
      <c r="T1738" s="2" t="s">
        <v>520</v>
      </c>
      <c r="U1738" s="3">
        <v>1</v>
      </c>
      <c r="V1738" s="3">
        <v>1</v>
      </c>
      <c r="W1738" s="4" t="s">
        <v>20594</v>
      </c>
      <c r="X1738" s="4" t="s">
        <v>20594</v>
      </c>
      <c r="Y1738" s="4" t="s">
        <v>20347</v>
      </c>
      <c r="Z1738" s="4" t="s">
        <v>20347</v>
      </c>
      <c r="AA1738" s="3">
        <v>285</v>
      </c>
      <c r="AB1738" s="3">
        <v>233</v>
      </c>
      <c r="AC1738" s="3">
        <v>705</v>
      </c>
      <c r="AD1738" s="3">
        <v>1</v>
      </c>
      <c r="AE1738" s="3">
        <v>3</v>
      </c>
      <c r="AF1738" s="3">
        <v>3</v>
      </c>
      <c r="AG1738" s="3">
        <v>20</v>
      </c>
      <c r="AH1738" s="3">
        <v>0</v>
      </c>
      <c r="AI1738" s="3">
        <v>7</v>
      </c>
      <c r="AJ1738" s="3">
        <v>1</v>
      </c>
      <c r="AK1738" s="3">
        <v>5</v>
      </c>
      <c r="AL1738" s="3">
        <v>3</v>
      </c>
      <c r="AM1738" s="3">
        <v>12</v>
      </c>
      <c r="AN1738" s="3">
        <v>0</v>
      </c>
      <c r="AO1738" s="3">
        <v>1</v>
      </c>
      <c r="AP1738" s="3">
        <v>0</v>
      </c>
      <c r="AQ1738" s="3">
        <v>0</v>
      </c>
      <c r="AR1738" s="2" t="s">
        <v>5</v>
      </c>
      <c r="AS1738" s="2" t="s">
        <v>16</v>
      </c>
      <c r="AT1738" s="5" t="str">
        <f>HYPERLINK("http://catalog.hathitrust.org/Record/000427086","HathiTrust Record")</f>
        <v>HathiTrust Record</v>
      </c>
      <c r="AU1738" s="5" t="str">
        <f>HYPERLINK("https://creighton-primo.hosted.exlibrisgroup.com/primo-explore/search?tab=default_tab&amp;search_scope=EVERYTHING&amp;vid=01CRU&amp;lang=en_US&amp;offset=0&amp;query=any,contains,991000731369702656","Catalog Record")</f>
        <v>Catalog Record</v>
      </c>
      <c r="AV1738" s="5" t="str">
        <f>HYPERLINK("http://www.worldcat.org/oclc/12663604","WorldCat Record")</f>
        <v>WorldCat Record</v>
      </c>
      <c r="AW1738" s="2" t="s">
        <v>20595</v>
      </c>
      <c r="AX1738" s="2" t="s">
        <v>20596</v>
      </c>
      <c r="AY1738" s="2" t="s">
        <v>20597</v>
      </c>
      <c r="AZ1738" s="2" t="s">
        <v>20597</v>
      </c>
      <c r="BA1738" s="2" t="s">
        <v>20598</v>
      </c>
      <c r="BB1738" s="2" t="s">
        <v>21</v>
      </c>
      <c r="BD1738" s="2" t="s">
        <v>20599</v>
      </c>
      <c r="BE1738" s="2" t="s">
        <v>20600</v>
      </c>
      <c r="BF1738" s="2" t="s">
        <v>20601</v>
      </c>
    </row>
    <row r="1739" spans="1:58" ht="41.25" customHeight="1" x14ac:dyDescent="0.25">
      <c r="A1739" s="8" t="s">
        <v>5</v>
      </c>
      <c r="B1739" s="1" t="s">
        <v>0</v>
      </c>
      <c r="C1739" s="1" t="s">
        <v>1</v>
      </c>
      <c r="D1739" s="1" t="s">
        <v>20602</v>
      </c>
      <c r="E1739" s="1" t="s">
        <v>20603</v>
      </c>
      <c r="F1739" s="1" t="s">
        <v>20604</v>
      </c>
      <c r="H1739" s="2" t="s">
        <v>5</v>
      </c>
      <c r="I1739" s="2" t="s">
        <v>6</v>
      </c>
      <c r="J1739" s="2" t="s">
        <v>5</v>
      </c>
      <c r="K1739" s="2" t="s">
        <v>5</v>
      </c>
      <c r="L1739" s="2" t="s">
        <v>7</v>
      </c>
      <c r="N1739" s="1" t="s">
        <v>6349</v>
      </c>
      <c r="O1739" s="2" t="s">
        <v>107</v>
      </c>
      <c r="P1739" s="1" t="s">
        <v>63</v>
      </c>
      <c r="Q1739" s="2" t="s">
        <v>11</v>
      </c>
      <c r="R1739" s="2" t="s">
        <v>78</v>
      </c>
      <c r="T1739" s="2" t="s">
        <v>520</v>
      </c>
      <c r="U1739" s="3">
        <v>0</v>
      </c>
      <c r="V1739" s="3">
        <v>0</v>
      </c>
      <c r="W1739" s="4" t="s">
        <v>20605</v>
      </c>
      <c r="X1739" s="4" t="s">
        <v>20605</v>
      </c>
      <c r="Y1739" s="4" t="s">
        <v>20606</v>
      </c>
      <c r="Z1739" s="4" t="s">
        <v>20606</v>
      </c>
      <c r="AA1739" s="3">
        <v>195</v>
      </c>
      <c r="AB1739" s="3">
        <v>133</v>
      </c>
      <c r="AC1739" s="3">
        <v>139</v>
      </c>
      <c r="AD1739" s="3">
        <v>2</v>
      </c>
      <c r="AE1739" s="3">
        <v>2</v>
      </c>
      <c r="AF1739" s="3">
        <v>3</v>
      </c>
      <c r="AG1739" s="3">
        <v>3</v>
      </c>
      <c r="AH1739" s="3">
        <v>0</v>
      </c>
      <c r="AI1739" s="3">
        <v>0</v>
      </c>
      <c r="AJ1739" s="3">
        <v>1</v>
      </c>
      <c r="AK1739" s="3">
        <v>1</v>
      </c>
      <c r="AL1739" s="3">
        <v>2</v>
      </c>
      <c r="AM1739" s="3">
        <v>2</v>
      </c>
      <c r="AN1739" s="3">
        <v>1</v>
      </c>
      <c r="AO1739" s="3">
        <v>1</v>
      </c>
      <c r="AP1739" s="3">
        <v>0</v>
      </c>
      <c r="AQ1739" s="3">
        <v>0</v>
      </c>
      <c r="AR1739" s="2" t="s">
        <v>5</v>
      </c>
      <c r="AS1739" s="2" t="s">
        <v>5</v>
      </c>
      <c r="AU1739" s="5" t="str">
        <f>HYPERLINK("https://creighton-primo.hosted.exlibrisgroup.com/primo-explore/search?tab=default_tab&amp;search_scope=EVERYTHING&amp;vid=01CRU&amp;lang=en_US&amp;offset=0&amp;query=any,contains,991001736109702656","Catalog Record")</f>
        <v>Catalog Record</v>
      </c>
      <c r="AV1739" s="5" t="str">
        <f>HYPERLINK("http://www.worldcat.org/oclc/57185661","WorldCat Record")</f>
        <v>WorldCat Record</v>
      </c>
      <c r="AW1739" s="2" t="s">
        <v>20607</v>
      </c>
      <c r="AX1739" s="2" t="s">
        <v>20608</v>
      </c>
      <c r="AY1739" s="2" t="s">
        <v>20609</v>
      </c>
      <c r="AZ1739" s="2" t="s">
        <v>20609</v>
      </c>
      <c r="BA1739" s="2" t="s">
        <v>20610</v>
      </c>
      <c r="BB1739" s="2" t="s">
        <v>21</v>
      </c>
      <c r="BD1739" s="2" t="s">
        <v>20611</v>
      </c>
      <c r="BE1739" s="2" t="s">
        <v>20612</v>
      </c>
      <c r="BF1739" s="2" t="s">
        <v>20613</v>
      </c>
    </row>
    <row r="1740" spans="1:58" ht="41.25" customHeight="1" x14ac:dyDescent="0.25">
      <c r="A1740" s="8" t="s">
        <v>5</v>
      </c>
      <c r="B1740" s="1" t="s">
        <v>0</v>
      </c>
      <c r="C1740" s="1" t="s">
        <v>1</v>
      </c>
      <c r="D1740" s="1" t="s">
        <v>20614</v>
      </c>
      <c r="E1740" s="1" t="s">
        <v>20615</v>
      </c>
      <c r="F1740" s="1" t="s">
        <v>20616</v>
      </c>
      <c r="H1740" s="2" t="s">
        <v>5</v>
      </c>
      <c r="I1740" s="2" t="s">
        <v>6</v>
      </c>
      <c r="J1740" s="2" t="s">
        <v>5</v>
      </c>
      <c r="K1740" s="2" t="s">
        <v>5</v>
      </c>
      <c r="L1740" s="2" t="s">
        <v>7</v>
      </c>
      <c r="M1740" s="1" t="s">
        <v>11924</v>
      </c>
      <c r="N1740" s="1" t="s">
        <v>8575</v>
      </c>
      <c r="O1740" s="2" t="s">
        <v>136</v>
      </c>
      <c r="P1740" s="1" t="s">
        <v>901</v>
      </c>
      <c r="Q1740" s="2" t="s">
        <v>11</v>
      </c>
      <c r="R1740" s="2" t="s">
        <v>426</v>
      </c>
      <c r="T1740" s="2" t="s">
        <v>520</v>
      </c>
      <c r="U1740" s="3">
        <v>4</v>
      </c>
      <c r="V1740" s="3">
        <v>4</v>
      </c>
      <c r="W1740" s="4" t="s">
        <v>20617</v>
      </c>
      <c r="X1740" s="4" t="s">
        <v>20617</v>
      </c>
      <c r="Y1740" s="4" t="s">
        <v>20618</v>
      </c>
      <c r="Z1740" s="4" t="s">
        <v>20618</v>
      </c>
      <c r="AA1740" s="3">
        <v>200</v>
      </c>
      <c r="AB1740" s="3">
        <v>140</v>
      </c>
      <c r="AC1740" s="3">
        <v>321</v>
      </c>
      <c r="AD1740" s="3">
        <v>1</v>
      </c>
      <c r="AE1740" s="3">
        <v>3</v>
      </c>
      <c r="AF1740" s="3">
        <v>5</v>
      </c>
      <c r="AG1740" s="3">
        <v>8</v>
      </c>
      <c r="AH1740" s="3">
        <v>1</v>
      </c>
      <c r="AI1740" s="3">
        <v>2</v>
      </c>
      <c r="AJ1740" s="3">
        <v>1</v>
      </c>
      <c r="AK1740" s="3">
        <v>2</v>
      </c>
      <c r="AL1740" s="3">
        <v>4</v>
      </c>
      <c r="AM1740" s="3">
        <v>5</v>
      </c>
      <c r="AN1740" s="3">
        <v>0</v>
      </c>
      <c r="AO1740" s="3">
        <v>1</v>
      </c>
      <c r="AP1740" s="3">
        <v>0</v>
      </c>
      <c r="AQ1740" s="3">
        <v>0</v>
      </c>
      <c r="AR1740" s="2" t="s">
        <v>5</v>
      </c>
      <c r="AS1740" s="2" t="s">
        <v>5</v>
      </c>
      <c r="AU1740" s="5" t="str">
        <f>HYPERLINK("https://creighton-primo.hosted.exlibrisgroup.com/primo-explore/search?tab=default_tab&amp;search_scope=EVERYTHING&amp;vid=01CRU&amp;lang=en_US&amp;offset=0&amp;query=any,contains,991001022059702656","Catalog Record")</f>
        <v>Catalog Record</v>
      </c>
      <c r="AV1740" s="5" t="str">
        <f>HYPERLINK("http://www.worldcat.org/oclc/22420164","WorldCat Record")</f>
        <v>WorldCat Record</v>
      </c>
      <c r="AW1740" s="2" t="s">
        <v>20619</v>
      </c>
      <c r="AX1740" s="2" t="s">
        <v>20620</v>
      </c>
      <c r="AY1740" s="2" t="s">
        <v>20621</v>
      </c>
      <c r="AZ1740" s="2" t="s">
        <v>20621</v>
      </c>
      <c r="BA1740" s="2" t="s">
        <v>20622</v>
      </c>
      <c r="BB1740" s="2" t="s">
        <v>21</v>
      </c>
      <c r="BD1740" s="2" t="s">
        <v>20623</v>
      </c>
      <c r="BE1740" s="2" t="s">
        <v>20624</v>
      </c>
      <c r="BF1740" s="2" t="s">
        <v>20625</v>
      </c>
    </row>
    <row r="1741" spans="1:58" ht="41.25" customHeight="1" x14ac:dyDescent="0.25">
      <c r="A1741" s="8" t="s">
        <v>5</v>
      </c>
      <c r="B1741" s="1" t="s">
        <v>0</v>
      </c>
      <c r="C1741" s="1" t="s">
        <v>1</v>
      </c>
      <c r="D1741" s="1" t="s">
        <v>20626</v>
      </c>
      <c r="E1741" s="1" t="s">
        <v>20627</v>
      </c>
      <c r="F1741" s="1" t="s">
        <v>20628</v>
      </c>
      <c r="H1741" s="2" t="s">
        <v>5</v>
      </c>
      <c r="I1741" s="2" t="s">
        <v>6</v>
      </c>
      <c r="J1741" s="2" t="s">
        <v>5</v>
      </c>
      <c r="K1741" s="2" t="s">
        <v>5</v>
      </c>
      <c r="L1741" s="2" t="s">
        <v>7</v>
      </c>
      <c r="N1741" s="1" t="s">
        <v>3003</v>
      </c>
      <c r="O1741" s="2" t="s">
        <v>939</v>
      </c>
      <c r="Q1741" s="2" t="s">
        <v>11</v>
      </c>
      <c r="R1741" s="2" t="s">
        <v>426</v>
      </c>
      <c r="S1741" s="1" t="s">
        <v>3004</v>
      </c>
      <c r="T1741" s="2" t="s">
        <v>520</v>
      </c>
      <c r="U1741" s="3">
        <v>15</v>
      </c>
      <c r="V1741" s="3">
        <v>15</v>
      </c>
      <c r="W1741" s="4" t="s">
        <v>20629</v>
      </c>
      <c r="X1741" s="4" t="s">
        <v>20629</v>
      </c>
      <c r="Y1741" s="4" t="s">
        <v>20630</v>
      </c>
      <c r="Z1741" s="4" t="s">
        <v>20630</v>
      </c>
      <c r="AA1741" s="3">
        <v>175</v>
      </c>
      <c r="AB1741" s="3">
        <v>129</v>
      </c>
      <c r="AC1741" s="3">
        <v>131</v>
      </c>
      <c r="AD1741" s="3">
        <v>1</v>
      </c>
      <c r="AE1741" s="3">
        <v>1</v>
      </c>
      <c r="AF1741" s="3">
        <v>4</v>
      </c>
      <c r="AG1741" s="3">
        <v>4</v>
      </c>
      <c r="AH1741" s="3">
        <v>1</v>
      </c>
      <c r="AI1741" s="3">
        <v>1</v>
      </c>
      <c r="AJ1741" s="3">
        <v>2</v>
      </c>
      <c r="AK1741" s="3">
        <v>2</v>
      </c>
      <c r="AL1741" s="3">
        <v>2</v>
      </c>
      <c r="AM1741" s="3">
        <v>2</v>
      </c>
      <c r="AN1741" s="3">
        <v>0</v>
      </c>
      <c r="AO1741" s="3">
        <v>0</v>
      </c>
      <c r="AP1741" s="3">
        <v>0</v>
      </c>
      <c r="AQ1741" s="3">
        <v>0</v>
      </c>
      <c r="AR1741" s="2" t="s">
        <v>5</v>
      </c>
      <c r="AS1741" s="2" t="s">
        <v>16</v>
      </c>
      <c r="AT1741" s="5" t="str">
        <f>HYPERLINK("http://catalog.hathitrust.org/Record/000914226","HathiTrust Record")</f>
        <v>HathiTrust Record</v>
      </c>
      <c r="AU1741" s="5" t="str">
        <f>HYPERLINK("https://creighton-primo.hosted.exlibrisgroup.com/primo-explore/search?tab=default_tab&amp;search_scope=EVERYTHING&amp;vid=01CRU&amp;lang=en_US&amp;offset=0&amp;query=any,contains,991001311829702656","Catalog Record")</f>
        <v>Catalog Record</v>
      </c>
      <c r="AV1741" s="5" t="str">
        <f>HYPERLINK("http://www.worldcat.org/oclc/16833158","WorldCat Record")</f>
        <v>WorldCat Record</v>
      </c>
      <c r="AW1741" s="2" t="s">
        <v>20631</v>
      </c>
      <c r="AX1741" s="2" t="s">
        <v>20632</v>
      </c>
      <c r="AY1741" s="2" t="s">
        <v>20633</v>
      </c>
      <c r="AZ1741" s="2" t="s">
        <v>20633</v>
      </c>
      <c r="BA1741" s="2" t="s">
        <v>20634</v>
      </c>
      <c r="BB1741" s="2" t="s">
        <v>21</v>
      </c>
      <c r="BD1741" s="2" t="s">
        <v>20635</v>
      </c>
      <c r="BE1741" s="2" t="s">
        <v>20636</v>
      </c>
      <c r="BF1741" s="2" t="s">
        <v>20637</v>
      </c>
    </row>
    <row r="1742" spans="1:58" ht="41.25" customHeight="1" x14ac:dyDescent="0.25">
      <c r="A1742" s="8" t="s">
        <v>5</v>
      </c>
      <c r="B1742" s="1" t="s">
        <v>0</v>
      </c>
      <c r="C1742" s="1" t="s">
        <v>1</v>
      </c>
      <c r="D1742" s="1" t="s">
        <v>20638</v>
      </c>
      <c r="E1742" s="1" t="s">
        <v>20639</v>
      </c>
      <c r="F1742" s="1" t="s">
        <v>20640</v>
      </c>
      <c r="H1742" s="2" t="s">
        <v>5</v>
      </c>
      <c r="I1742" s="2" t="s">
        <v>6</v>
      </c>
      <c r="J1742" s="2" t="s">
        <v>5</v>
      </c>
      <c r="K1742" s="2" t="s">
        <v>5</v>
      </c>
      <c r="L1742" s="2" t="s">
        <v>7</v>
      </c>
      <c r="N1742" s="1" t="s">
        <v>18393</v>
      </c>
      <c r="O1742" s="2" t="s">
        <v>382</v>
      </c>
      <c r="Q1742" s="2" t="s">
        <v>11</v>
      </c>
      <c r="R1742" s="2" t="s">
        <v>426</v>
      </c>
      <c r="T1742" s="2" t="s">
        <v>520</v>
      </c>
      <c r="U1742" s="3">
        <v>8</v>
      </c>
      <c r="V1742" s="3">
        <v>8</v>
      </c>
      <c r="W1742" s="4" t="s">
        <v>20641</v>
      </c>
      <c r="X1742" s="4" t="s">
        <v>20641</v>
      </c>
      <c r="Y1742" s="4" t="s">
        <v>96</v>
      </c>
      <c r="Z1742" s="4" t="s">
        <v>96</v>
      </c>
      <c r="AA1742" s="3">
        <v>296</v>
      </c>
      <c r="AB1742" s="3">
        <v>251</v>
      </c>
      <c r="AC1742" s="3">
        <v>258</v>
      </c>
      <c r="AD1742" s="3">
        <v>1</v>
      </c>
      <c r="AE1742" s="3">
        <v>1</v>
      </c>
      <c r="AF1742" s="3">
        <v>12</v>
      </c>
      <c r="AG1742" s="3">
        <v>12</v>
      </c>
      <c r="AH1742" s="3">
        <v>6</v>
      </c>
      <c r="AI1742" s="3">
        <v>6</v>
      </c>
      <c r="AJ1742" s="3">
        <v>4</v>
      </c>
      <c r="AK1742" s="3">
        <v>4</v>
      </c>
      <c r="AL1742" s="3">
        <v>7</v>
      </c>
      <c r="AM1742" s="3">
        <v>7</v>
      </c>
      <c r="AN1742" s="3">
        <v>0</v>
      </c>
      <c r="AO1742" s="3">
        <v>0</v>
      </c>
      <c r="AP1742" s="3">
        <v>0</v>
      </c>
      <c r="AQ1742" s="3">
        <v>0</v>
      </c>
      <c r="AR1742" s="2" t="s">
        <v>5</v>
      </c>
      <c r="AS1742" s="2" t="s">
        <v>16</v>
      </c>
      <c r="AT1742" s="5" t="str">
        <f>HYPERLINK("http://catalog.hathitrust.org/Record/000573132","HathiTrust Record")</f>
        <v>HathiTrust Record</v>
      </c>
      <c r="AU1742" s="5" t="str">
        <f>HYPERLINK("https://creighton-primo.hosted.exlibrisgroup.com/primo-explore/search?tab=default_tab&amp;search_scope=EVERYTHING&amp;vid=01CRU&amp;lang=en_US&amp;offset=0&amp;query=any,contains,991000926869702656","Catalog Record")</f>
        <v>Catalog Record</v>
      </c>
      <c r="AV1742" s="5" t="str">
        <f>HYPERLINK("http://www.worldcat.org/oclc/11842842","WorldCat Record")</f>
        <v>WorldCat Record</v>
      </c>
      <c r="AW1742" s="2" t="s">
        <v>20642</v>
      </c>
      <c r="AX1742" s="2" t="s">
        <v>20643</v>
      </c>
      <c r="AY1742" s="2" t="s">
        <v>20644</v>
      </c>
      <c r="AZ1742" s="2" t="s">
        <v>20644</v>
      </c>
      <c r="BA1742" s="2" t="s">
        <v>20645</v>
      </c>
      <c r="BB1742" s="2" t="s">
        <v>21</v>
      </c>
      <c r="BD1742" s="2" t="s">
        <v>20646</v>
      </c>
      <c r="BE1742" s="2" t="s">
        <v>20647</v>
      </c>
      <c r="BF1742" s="2" t="s">
        <v>20648</v>
      </c>
    </row>
    <row r="1743" spans="1:58" ht="41.25" customHeight="1" x14ac:dyDescent="0.25">
      <c r="A1743" s="8" t="s">
        <v>5</v>
      </c>
      <c r="B1743" s="1" t="s">
        <v>0</v>
      </c>
      <c r="C1743" s="1" t="s">
        <v>1</v>
      </c>
      <c r="D1743" s="1" t="s">
        <v>20649</v>
      </c>
      <c r="E1743" s="1" t="s">
        <v>20650</v>
      </c>
      <c r="F1743" s="1" t="s">
        <v>20651</v>
      </c>
      <c r="H1743" s="2" t="s">
        <v>5</v>
      </c>
      <c r="I1743" s="2" t="s">
        <v>6</v>
      </c>
      <c r="J1743" s="2" t="s">
        <v>5</v>
      </c>
      <c r="K1743" s="2" t="s">
        <v>5</v>
      </c>
      <c r="L1743" s="2" t="s">
        <v>7</v>
      </c>
      <c r="N1743" s="1" t="s">
        <v>20652</v>
      </c>
      <c r="O1743" s="2" t="s">
        <v>228</v>
      </c>
      <c r="Q1743" s="2" t="s">
        <v>11</v>
      </c>
      <c r="R1743" s="2" t="s">
        <v>426</v>
      </c>
      <c r="T1743" s="2" t="s">
        <v>520</v>
      </c>
      <c r="U1743" s="3">
        <v>1</v>
      </c>
      <c r="V1743" s="3">
        <v>1</v>
      </c>
      <c r="W1743" s="4" t="s">
        <v>16369</v>
      </c>
      <c r="X1743" s="4" t="s">
        <v>16369</v>
      </c>
      <c r="Y1743" s="4" t="s">
        <v>96</v>
      </c>
      <c r="Z1743" s="4" t="s">
        <v>96</v>
      </c>
      <c r="AA1743" s="3">
        <v>183</v>
      </c>
      <c r="AB1743" s="3">
        <v>150</v>
      </c>
      <c r="AC1743" s="3">
        <v>151</v>
      </c>
      <c r="AD1743" s="3">
        <v>1</v>
      </c>
      <c r="AE1743" s="3">
        <v>1</v>
      </c>
      <c r="AF1743" s="3">
        <v>4</v>
      </c>
      <c r="AG1743" s="3">
        <v>4</v>
      </c>
      <c r="AH1743" s="3">
        <v>1</v>
      </c>
      <c r="AI1743" s="3">
        <v>1</v>
      </c>
      <c r="AJ1743" s="3">
        <v>1</v>
      </c>
      <c r="AK1743" s="3">
        <v>1</v>
      </c>
      <c r="AL1743" s="3">
        <v>4</v>
      </c>
      <c r="AM1743" s="3">
        <v>4</v>
      </c>
      <c r="AN1743" s="3">
        <v>0</v>
      </c>
      <c r="AO1743" s="3">
        <v>0</v>
      </c>
      <c r="AP1743" s="3">
        <v>0</v>
      </c>
      <c r="AQ1743" s="3">
        <v>0</v>
      </c>
      <c r="AR1743" s="2" t="s">
        <v>5</v>
      </c>
      <c r="AS1743" s="2" t="s">
        <v>5</v>
      </c>
      <c r="AU1743" s="5" t="str">
        <f>HYPERLINK("https://creighton-primo.hosted.exlibrisgroup.com/primo-explore/search?tab=default_tab&amp;search_scope=EVERYTHING&amp;vid=01CRU&amp;lang=en_US&amp;offset=0&amp;query=any,contains,991000926899702656","Catalog Record")</f>
        <v>Catalog Record</v>
      </c>
      <c r="AV1743" s="5" t="str">
        <f>HYPERLINK("http://www.worldcat.org/oclc/7998965","WorldCat Record")</f>
        <v>WorldCat Record</v>
      </c>
      <c r="AW1743" s="2" t="s">
        <v>20653</v>
      </c>
      <c r="AX1743" s="2" t="s">
        <v>20654</v>
      </c>
      <c r="AY1743" s="2" t="s">
        <v>20655</v>
      </c>
      <c r="AZ1743" s="2" t="s">
        <v>20655</v>
      </c>
      <c r="BA1743" s="2" t="s">
        <v>20656</v>
      </c>
      <c r="BB1743" s="2" t="s">
        <v>21</v>
      </c>
      <c r="BD1743" s="2" t="s">
        <v>20657</v>
      </c>
      <c r="BE1743" s="2" t="s">
        <v>20658</v>
      </c>
      <c r="BF1743" s="2" t="s">
        <v>20659</v>
      </c>
    </row>
    <row r="1744" spans="1:58" ht="41.25" customHeight="1" x14ac:dyDescent="0.25">
      <c r="A1744" s="8" t="s">
        <v>5</v>
      </c>
      <c r="B1744" s="1" t="s">
        <v>0</v>
      </c>
      <c r="C1744" s="1" t="s">
        <v>1</v>
      </c>
      <c r="D1744" s="1" t="s">
        <v>20660</v>
      </c>
      <c r="E1744" s="1" t="s">
        <v>20661</v>
      </c>
      <c r="F1744" s="1" t="s">
        <v>20662</v>
      </c>
      <c r="H1744" s="2" t="s">
        <v>5</v>
      </c>
      <c r="I1744" s="2" t="s">
        <v>6</v>
      </c>
      <c r="J1744" s="2" t="s">
        <v>5</v>
      </c>
      <c r="K1744" s="2" t="s">
        <v>5</v>
      </c>
      <c r="L1744" s="2" t="s">
        <v>7</v>
      </c>
      <c r="M1744" s="1" t="s">
        <v>20663</v>
      </c>
      <c r="N1744" s="1" t="s">
        <v>9011</v>
      </c>
      <c r="O1744" s="2" t="s">
        <v>382</v>
      </c>
      <c r="Q1744" s="2" t="s">
        <v>11</v>
      </c>
      <c r="R1744" s="2" t="s">
        <v>93</v>
      </c>
      <c r="T1744" s="2" t="s">
        <v>520</v>
      </c>
      <c r="U1744" s="3">
        <v>3</v>
      </c>
      <c r="V1744" s="3">
        <v>3</v>
      </c>
      <c r="W1744" s="4" t="s">
        <v>9787</v>
      </c>
      <c r="X1744" s="4" t="s">
        <v>9787</v>
      </c>
      <c r="Y1744" s="4" t="s">
        <v>96</v>
      </c>
      <c r="Z1744" s="4" t="s">
        <v>96</v>
      </c>
      <c r="AA1744" s="3">
        <v>198</v>
      </c>
      <c r="AB1744" s="3">
        <v>167</v>
      </c>
      <c r="AC1744" s="3">
        <v>168</v>
      </c>
      <c r="AD1744" s="3">
        <v>2</v>
      </c>
      <c r="AE1744" s="3">
        <v>2</v>
      </c>
      <c r="AF1744" s="3">
        <v>5</v>
      </c>
      <c r="AG1744" s="3">
        <v>5</v>
      </c>
      <c r="AH1744" s="3">
        <v>2</v>
      </c>
      <c r="AI1744" s="3">
        <v>2</v>
      </c>
      <c r="AJ1744" s="3">
        <v>1</v>
      </c>
      <c r="AK1744" s="3">
        <v>1</v>
      </c>
      <c r="AL1744" s="3">
        <v>4</v>
      </c>
      <c r="AM1744" s="3">
        <v>4</v>
      </c>
      <c r="AN1744" s="3">
        <v>0</v>
      </c>
      <c r="AO1744" s="3">
        <v>0</v>
      </c>
      <c r="AP1744" s="3">
        <v>0</v>
      </c>
      <c r="AQ1744" s="3">
        <v>0</v>
      </c>
      <c r="AR1744" s="2" t="s">
        <v>5</v>
      </c>
      <c r="AS1744" s="2" t="s">
        <v>16</v>
      </c>
      <c r="AT1744" s="5" t="str">
        <f>HYPERLINK("http://catalog.hathitrust.org/Record/006152172","HathiTrust Record")</f>
        <v>HathiTrust Record</v>
      </c>
      <c r="AU1744" s="5" t="str">
        <f>HYPERLINK("https://creighton-primo.hosted.exlibrisgroup.com/primo-explore/search?tab=default_tab&amp;search_scope=EVERYTHING&amp;vid=01CRU&amp;lang=en_US&amp;offset=0&amp;query=any,contains,991000926969702656","Catalog Record")</f>
        <v>Catalog Record</v>
      </c>
      <c r="AV1744" s="5" t="str">
        <f>HYPERLINK("http://www.worldcat.org/oclc/10753426","WorldCat Record")</f>
        <v>WorldCat Record</v>
      </c>
      <c r="AW1744" s="2" t="s">
        <v>20664</v>
      </c>
      <c r="AX1744" s="2" t="s">
        <v>20665</v>
      </c>
      <c r="AY1744" s="2" t="s">
        <v>20666</v>
      </c>
      <c r="AZ1744" s="2" t="s">
        <v>20666</v>
      </c>
      <c r="BA1744" s="2" t="s">
        <v>20667</v>
      </c>
      <c r="BB1744" s="2" t="s">
        <v>21</v>
      </c>
      <c r="BD1744" s="2" t="s">
        <v>20668</v>
      </c>
      <c r="BE1744" s="2" t="s">
        <v>20669</v>
      </c>
      <c r="BF1744" s="2" t="s">
        <v>20670</v>
      </c>
    </row>
    <row r="1745" spans="1:58" ht="41.25" customHeight="1" x14ac:dyDescent="0.25">
      <c r="A1745" s="8" t="s">
        <v>5</v>
      </c>
      <c r="B1745" s="1" t="s">
        <v>0</v>
      </c>
      <c r="C1745" s="1" t="s">
        <v>1</v>
      </c>
      <c r="D1745" s="1" t="s">
        <v>20671</v>
      </c>
      <c r="E1745" s="1" t="s">
        <v>20672</v>
      </c>
      <c r="F1745" s="1" t="s">
        <v>20673</v>
      </c>
      <c r="H1745" s="2" t="s">
        <v>5</v>
      </c>
      <c r="I1745" s="2" t="s">
        <v>6</v>
      </c>
      <c r="J1745" s="2" t="s">
        <v>5</v>
      </c>
      <c r="K1745" s="2" t="s">
        <v>5</v>
      </c>
      <c r="L1745" s="2" t="s">
        <v>7</v>
      </c>
      <c r="M1745" s="1" t="s">
        <v>20674</v>
      </c>
      <c r="N1745" s="1" t="s">
        <v>20675</v>
      </c>
      <c r="O1745" s="2" t="s">
        <v>136</v>
      </c>
      <c r="Q1745" s="2" t="s">
        <v>11</v>
      </c>
      <c r="R1745" s="2" t="s">
        <v>271</v>
      </c>
      <c r="S1745" s="1" t="s">
        <v>5991</v>
      </c>
      <c r="T1745" s="2" t="s">
        <v>520</v>
      </c>
      <c r="U1745" s="3">
        <v>7</v>
      </c>
      <c r="V1745" s="3">
        <v>7</v>
      </c>
      <c r="W1745" s="4" t="s">
        <v>20676</v>
      </c>
      <c r="X1745" s="4" t="s">
        <v>20676</v>
      </c>
      <c r="Y1745" s="4" t="s">
        <v>1143</v>
      </c>
      <c r="Z1745" s="4" t="s">
        <v>1143</v>
      </c>
      <c r="AA1745" s="3">
        <v>186</v>
      </c>
      <c r="AB1745" s="3">
        <v>151</v>
      </c>
      <c r="AC1745" s="3">
        <v>157</v>
      </c>
      <c r="AD1745" s="3">
        <v>1</v>
      </c>
      <c r="AE1745" s="3">
        <v>1</v>
      </c>
      <c r="AF1745" s="3">
        <v>6</v>
      </c>
      <c r="AG1745" s="3">
        <v>6</v>
      </c>
      <c r="AH1745" s="3">
        <v>2</v>
      </c>
      <c r="AI1745" s="3">
        <v>2</v>
      </c>
      <c r="AJ1745" s="3">
        <v>1</v>
      </c>
      <c r="AK1745" s="3">
        <v>1</v>
      </c>
      <c r="AL1745" s="3">
        <v>5</v>
      </c>
      <c r="AM1745" s="3">
        <v>5</v>
      </c>
      <c r="AN1745" s="3">
        <v>0</v>
      </c>
      <c r="AO1745" s="3">
        <v>0</v>
      </c>
      <c r="AP1745" s="3">
        <v>0</v>
      </c>
      <c r="AQ1745" s="3">
        <v>0</v>
      </c>
      <c r="AR1745" s="2" t="s">
        <v>5</v>
      </c>
      <c r="AS1745" s="2" t="s">
        <v>16</v>
      </c>
      <c r="AT1745" s="5" t="str">
        <f>HYPERLINK("http://catalog.hathitrust.org/Record/002461743","HathiTrust Record")</f>
        <v>HathiTrust Record</v>
      </c>
      <c r="AU1745" s="5" t="str">
        <f>HYPERLINK("https://creighton-primo.hosted.exlibrisgroup.com/primo-explore/search?tab=default_tab&amp;search_scope=EVERYTHING&amp;vid=01CRU&amp;lang=en_US&amp;offset=0&amp;query=any,contains,991001476729702656","Catalog Record")</f>
        <v>Catalog Record</v>
      </c>
      <c r="AV1745" s="5" t="str">
        <f>HYPERLINK("http://www.worldcat.org/oclc/23691448","WorldCat Record")</f>
        <v>WorldCat Record</v>
      </c>
      <c r="AW1745" s="2" t="s">
        <v>20677</v>
      </c>
      <c r="AX1745" s="2" t="s">
        <v>20678</v>
      </c>
      <c r="AY1745" s="2" t="s">
        <v>20679</v>
      </c>
      <c r="AZ1745" s="2" t="s">
        <v>20679</v>
      </c>
      <c r="BA1745" s="2" t="s">
        <v>20680</v>
      </c>
      <c r="BB1745" s="2" t="s">
        <v>21</v>
      </c>
      <c r="BD1745" s="2" t="s">
        <v>20681</v>
      </c>
      <c r="BE1745" s="2" t="s">
        <v>20682</v>
      </c>
      <c r="BF1745" s="2" t="s">
        <v>20683</v>
      </c>
    </row>
    <row r="1746" spans="1:58" ht="41.25" customHeight="1" x14ac:dyDescent="0.25">
      <c r="A1746" s="8" t="s">
        <v>5</v>
      </c>
      <c r="B1746" s="1" t="s">
        <v>0</v>
      </c>
      <c r="C1746" s="1" t="s">
        <v>1</v>
      </c>
      <c r="D1746" s="1" t="s">
        <v>20684</v>
      </c>
      <c r="E1746" s="1" t="s">
        <v>20685</v>
      </c>
      <c r="F1746" s="1" t="s">
        <v>20686</v>
      </c>
      <c r="H1746" s="2" t="s">
        <v>5</v>
      </c>
      <c r="I1746" s="2" t="s">
        <v>6</v>
      </c>
      <c r="J1746" s="2" t="s">
        <v>5</v>
      </c>
      <c r="K1746" s="2" t="s">
        <v>5</v>
      </c>
      <c r="L1746" s="2" t="s">
        <v>7</v>
      </c>
      <c r="M1746" s="1" t="s">
        <v>20687</v>
      </c>
      <c r="N1746" s="1" t="s">
        <v>7590</v>
      </c>
      <c r="O1746" s="2" t="s">
        <v>872</v>
      </c>
      <c r="P1746" s="1" t="s">
        <v>901</v>
      </c>
      <c r="Q1746" s="2" t="s">
        <v>11</v>
      </c>
      <c r="R1746" s="2" t="s">
        <v>426</v>
      </c>
      <c r="T1746" s="2" t="s">
        <v>520</v>
      </c>
      <c r="U1746" s="3">
        <v>5</v>
      </c>
      <c r="V1746" s="3">
        <v>5</v>
      </c>
      <c r="W1746" s="4" t="s">
        <v>20581</v>
      </c>
      <c r="X1746" s="4" t="s">
        <v>20581</v>
      </c>
      <c r="Y1746" s="4" t="s">
        <v>1485</v>
      </c>
      <c r="Z1746" s="4" t="s">
        <v>1485</v>
      </c>
      <c r="AA1746" s="3">
        <v>249</v>
      </c>
      <c r="AB1746" s="3">
        <v>177</v>
      </c>
      <c r="AC1746" s="3">
        <v>308</v>
      </c>
      <c r="AD1746" s="3">
        <v>2</v>
      </c>
      <c r="AE1746" s="3">
        <v>3</v>
      </c>
      <c r="AF1746" s="3">
        <v>5</v>
      </c>
      <c r="AG1746" s="3">
        <v>11</v>
      </c>
      <c r="AH1746" s="3">
        <v>3</v>
      </c>
      <c r="AI1746" s="3">
        <v>6</v>
      </c>
      <c r="AJ1746" s="3">
        <v>0</v>
      </c>
      <c r="AK1746" s="3">
        <v>1</v>
      </c>
      <c r="AL1746" s="3">
        <v>3</v>
      </c>
      <c r="AM1746" s="3">
        <v>7</v>
      </c>
      <c r="AN1746" s="3">
        <v>0</v>
      </c>
      <c r="AO1746" s="3">
        <v>1</v>
      </c>
      <c r="AP1746" s="3">
        <v>0</v>
      </c>
      <c r="AQ1746" s="3">
        <v>0</v>
      </c>
      <c r="AR1746" s="2" t="s">
        <v>5</v>
      </c>
      <c r="AS1746" s="2" t="s">
        <v>16</v>
      </c>
      <c r="AT1746" s="5" t="str">
        <f>HYPERLINK("http://catalog.hathitrust.org/Record/001098817","HathiTrust Record")</f>
        <v>HathiTrust Record</v>
      </c>
      <c r="AU1746" s="5" t="str">
        <f>HYPERLINK("https://creighton-primo.hosted.exlibrisgroup.com/primo-explore/search?tab=default_tab&amp;search_scope=EVERYTHING&amp;vid=01CRU&amp;lang=en_US&amp;offset=0&amp;query=any,contains,991001312839702656","Catalog Record")</f>
        <v>Catalog Record</v>
      </c>
      <c r="AV1746" s="5" t="str">
        <f>HYPERLINK("http://www.worldcat.org/oclc/18684310","WorldCat Record")</f>
        <v>WorldCat Record</v>
      </c>
      <c r="AW1746" s="2" t="s">
        <v>20688</v>
      </c>
      <c r="AX1746" s="2" t="s">
        <v>20689</v>
      </c>
      <c r="AY1746" s="2" t="s">
        <v>20690</v>
      </c>
      <c r="AZ1746" s="2" t="s">
        <v>20690</v>
      </c>
      <c r="BA1746" s="2" t="s">
        <v>20691</v>
      </c>
      <c r="BB1746" s="2" t="s">
        <v>21</v>
      </c>
      <c r="BD1746" s="2" t="s">
        <v>20692</v>
      </c>
      <c r="BE1746" s="2" t="s">
        <v>20693</v>
      </c>
      <c r="BF1746" s="2" t="s">
        <v>20694</v>
      </c>
    </row>
    <row r="1747" spans="1:58" ht="41.25" customHeight="1" x14ac:dyDescent="0.25">
      <c r="A1747" s="8" t="s">
        <v>5</v>
      </c>
      <c r="B1747" s="1" t="s">
        <v>0</v>
      </c>
      <c r="C1747" s="1" t="s">
        <v>1</v>
      </c>
      <c r="D1747" s="1" t="s">
        <v>20695</v>
      </c>
      <c r="E1747" s="1" t="s">
        <v>20696</v>
      </c>
      <c r="F1747" s="1" t="s">
        <v>20697</v>
      </c>
      <c r="H1747" s="2" t="s">
        <v>5</v>
      </c>
      <c r="I1747" s="2" t="s">
        <v>6</v>
      </c>
      <c r="J1747" s="2" t="s">
        <v>5</v>
      </c>
      <c r="K1747" s="2" t="s">
        <v>16</v>
      </c>
      <c r="L1747" s="2" t="s">
        <v>7</v>
      </c>
      <c r="M1747" s="1" t="s">
        <v>20698</v>
      </c>
      <c r="N1747" s="1" t="s">
        <v>20699</v>
      </c>
      <c r="O1747" s="2" t="s">
        <v>10</v>
      </c>
      <c r="P1747" s="1" t="s">
        <v>19580</v>
      </c>
      <c r="Q1747" s="2" t="s">
        <v>11</v>
      </c>
      <c r="R1747" s="2" t="s">
        <v>12</v>
      </c>
      <c r="S1747" s="1" t="s">
        <v>10713</v>
      </c>
      <c r="T1747" s="2" t="s">
        <v>520</v>
      </c>
      <c r="U1747" s="3">
        <v>2</v>
      </c>
      <c r="V1747" s="3">
        <v>2</v>
      </c>
      <c r="W1747" s="4" t="s">
        <v>20641</v>
      </c>
      <c r="X1747" s="4" t="s">
        <v>20641</v>
      </c>
      <c r="Y1747" s="4" t="s">
        <v>96</v>
      </c>
      <c r="Z1747" s="4" t="s">
        <v>96</v>
      </c>
      <c r="AA1747" s="3">
        <v>99</v>
      </c>
      <c r="AB1747" s="3">
        <v>86</v>
      </c>
      <c r="AC1747" s="3">
        <v>202</v>
      </c>
      <c r="AD1747" s="3">
        <v>2</v>
      </c>
      <c r="AE1747" s="3">
        <v>2</v>
      </c>
      <c r="AF1747" s="3">
        <v>4</v>
      </c>
      <c r="AG1747" s="3">
        <v>8</v>
      </c>
      <c r="AH1747" s="3">
        <v>0</v>
      </c>
      <c r="AI1747" s="3">
        <v>3</v>
      </c>
      <c r="AJ1747" s="3">
        <v>1</v>
      </c>
      <c r="AK1747" s="3">
        <v>1</v>
      </c>
      <c r="AL1747" s="3">
        <v>3</v>
      </c>
      <c r="AM1747" s="3">
        <v>6</v>
      </c>
      <c r="AN1747" s="3">
        <v>1</v>
      </c>
      <c r="AO1747" s="3">
        <v>1</v>
      </c>
      <c r="AP1747" s="3">
        <v>0</v>
      </c>
      <c r="AQ1747" s="3">
        <v>0</v>
      </c>
      <c r="AR1747" s="2" t="s">
        <v>5</v>
      </c>
      <c r="AS1747" s="2" t="s">
        <v>16</v>
      </c>
      <c r="AT1747" s="5" t="str">
        <f>HYPERLINK("http://catalog.hathitrust.org/Record/000294013","HathiTrust Record")</f>
        <v>HathiTrust Record</v>
      </c>
      <c r="AU1747" s="5" t="str">
        <f>HYPERLINK("https://creighton-primo.hosted.exlibrisgroup.com/primo-explore/search?tab=default_tab&amp;search_scope=EVERYTHING&amp;vid=01CRU&amp;lang=en_US&amp;offset=0&amp;query=any,contains,991000927009702656","Catalog Record")</f>
        <v>Catalog Record</v>
      </c>
      <c r="AV1747" s="5" t="str">
        <f>HYPERLINK("http://www.worldcat.org/oclc/3181112","WorldCat Record")</f>
        <v>WorldCat Record</v>
      </c>
      <c r="AW1747" s="2" t="s">
        <v>20700</v>
      </c>
      <c r="AX1747" s="2" t="s">
        <v>20701</v>
      </c>
      <c r="AY1747" s="2" t="s">
        <v>20702</v>
      </c>
      <c r="AZ1747" s="2" t="s">
        <v>20702</v>
      </c>
      <c r="BA1747" s="2" t="s">
        <v>20703</v>
      </c>
      <c r="BB1747" s="2" t="s">
        <v>21</v>
      </c>
      <c r="BD1747" s="2" t="s">
        <v>20704</v>
      </c>
      <c r="BE1747" s="2" t="s">
        <v>20705</v>
      </c>
      <c r="BF1747" s="2" t="s">
        <v>20706</v>
      </c>
    </row>
    <row r="1748" spans="1:58" ht="41.25" customHeight="1" x14ac:dyDescent="0.25">
      <c r="A1748" s="8" t="s">
        <v>5</v>
      </c>
      <c r="B1748" s="1" t="s">
        <v>0</v>
      </c>
      <c r="C1748" s="1" t="s">
        <v>1</v>
      </c>
      <c r="D1748" s="1" t="s">
        <v>20707</v>
      </c>
      <c r="E1748" s="1" t="s">
        <v>20708</v>
      </c>
      <c r="F1748" s="1" t="s">
        <v>20709</v>
      </c>
      <c r="H1748" s="2" t="s">
        <v>5</v>
      </c>
      <c r="I1748" s="2" t="s">
        <v>6</v>
      </c>
      <c r="J1748" s="2" t="s">
        <v>5</v>
      </c>
      <c r="K1748" s="2" t="s">
        <v>16</v>
      </c>
      <c r="L1748" s="2" t="s">
        <v>7</v>
      </c>
      <c r="N1748" s="1" t="s">
        <v>14517</v>
      </c>
      <c r="O1748" s="2" t="s">
        <v>136</v>
      </c>
      <c r="P1748" s="1" t="s">
        <v>1208</v>
      </c>
      <c r="Q1748" s="2" t="s">
        <v>11</v>
      </c>
      <c r="R1748" s="2" t="s">
        <v>31</v>
      </c>
      <c r="T1748" s="2" t="s">
        <v>520</v>
      </c>
      <c r="U1748" s="3">
        <v>10</v>
      </c>
      <c r="V1748" s="3">
        <v>10</v>
      </c>
      <c r="W1748" s="4" t="s">
        <v>20710</v>
      </c>
      <c r="X1748" s="4" t="s">
        <v>20710</v>
      </c>
      <c r="Y1748" s="4" t="s">
        <v>7829</v>
      </c>
      <c r="Z1748" s="4" t="s">
        <v>7829</v>
      </c>
      <c r="AA1748" s="3">
        <v>374</v>
      </c>
      <c r="AB1748" s="3">
        <v>297</v>
      </c>
      <c r="AC1748" s="3">
        <v>1144</v>
      </c>
      <c r="AD1748" s="3">
        <v>2</v>
      </c>
      <c r="AE1748" s="3">
        <v>10</v>
      </c>
      <c r="AF1748" s="3">
        <v>4</v>
      </c>
      <c r="AG1748" s="3">
        <v>35</v>
      </c>
      <c r="AH1748" s="3">
        <v>1</v>
      </c>
      <c r="AI1748" s="3">
        <v>13</v>
      </c>
      <c r="AJ1748" s="3">
        <v>1</v>
      </c>
      <c r="AK1748" s="3">
        <v>6</v>
      </c>
      <c r="AL1748" s="3">
        <v>3</v>
      </c>
      <c r="AM1748" s="3">
        <v>14</v>
      </c>
      <c r="AN1748" s="3">
        <v>1</v>
      </c>
      <c r="AO1748" s="3">
        <v>8</v>
      </c>
      <c r="AP1748" s="3">
        <v>0</v>
      </c>
      <c r="AQ1748" s="3">
        <v>0</v>
      </c>
      <c r="AR1748" s="2" t="s">
        <v>5</v>
      </c>
      <c r="AS1748" s="2" t="s">
        <v>16</v>
      </c>
      <c r="AT1748" s="5" t="str">
        <f>HYPERLINK("http://catalog.hathitrust.org/Record/002371162","HathiTrust Record")</f>
        <v>HathiTrust Record</v>
      </c>
      <c r="AU1748" s="5" t="str">
        <f>HYPERLINK("https://creighton-primo.hosted.exlibrisgroup.com/primo-explore/search?tab=default_tab&amp;search_scope=EVERYTHING&amp;vid=01CRU&amp;lang=en_US&amp;offset=0&amp;query=any,contains,991000932669702656","Catalog Record")</f>
        <v>Catalog Record</v>
      </c>
      <c r="AV1748" s="5" t="str">
        <f>HYPERLINK("http://www.worldcat.org/oclc/22491412","WorldCat Record")</f>
        <v>WorldCat Record</v>
      </c>
      <c r="AW1748" s="2" t="s">
        <v>20711</v>
      </c>
      <c r="AX1748" s="2" t="s">
        <v>20712</v>
      </c>
      <c r="AY1748" s="2" t="s">
        <v>20713</v>
      </c>
      <c r="AZ1748" s="2" t="s">
        <v>20713</v>
      </c>
      <c r="BA1748" s="2" t="s">
        <v>20714</v>
      </c>
      <c r="BB1748" s="2" t="s">
        <v>21</v>
      </c>
      <c r="BD1748" s="2" t="s">
        <v>20715</v>
      </c>
      <c r="BE1748" s="2" t="s">
        <v>20716</v>
      </c>
      <c r="BF1748" s="2" t="s">
        <v>20717</v>
      </c>
    </row>
    <row r="1749" spans="1:58" ht="41.25" customHeight="1" x14ac:dyDescent="0.25">
      <c r="A1749" s="8" t="s">
        <v>5</v>
      </c>
      <c r="B1749" s="1" t="s">
        <v>0</v>
      </c>
      <c r="C1749" s="1" t="s">
        <v>1</v>
      </c>
      <c r="D1749" s="1" t="s">
        <v>20718</v>
      </c>
      <c r="E1749" s="1" t="s">
        <v>20719</v>
      </c>
      <c r="F1749" s="1" t="s">
        <v>20720</v>
      </c>
      <c r="H1749" s="2" t="s">
        <v>5</v>
      </c>
      <c r="I1749" s="2" t="s">
        <v>6</v>
      </c>
      <c r="J1749" s="2" t="s">
        <v>5</v>
      </c>
      <c r="K1749" s="2" t="s">
        <v>16</v>
      </c>
      <c r="L1749" s="2" t="s">
        <v>7</v>
      </c>
      <c r="N1749" s="1" t="s">
        <v>8689</v>
      </c>
      <c r="O1749" s="2" t="s">
        <v>601</v>
      </c>
      <c r="P1749" s="1" t="s">
        <v>1284</v>
      </c>
      <c r="Q1749" s="2" t="s">
        <v>11</v>
      </c>
      <c r="R1749" s="2" t="s">
        <v>31</v>
      </c>
      <c r="T1749" s="2" t="s">
        <v>520</v>
      </c>
      <c r="U1749" s="3">
        <v>148</v>
      </c>
      <c r="V1749" s="3">
        <v>148</v>
      </c>
      <c r="W1749" s="4" t="s">
        <v>20641</v>
      </c>
      <c r="X1749" s="4" t="s">
        <v>20641</v>
      </c>
      <c r="Y1749" s="4" t="s">
        <v>20721</v>
      </c>
      <c r="Z1749" s="4" t="s">
        <v>20721</v>
      </c>
      <c r="AA1749" s="3">
        <v>300</v>
      </c>
      <c r="AB1749" s="3">
        <v>211</v>
      </c>
      <c r="AC1749" s="3">
        <v>1144</v>
      </c>
      <c r="AD1749" s="3">
        <v>3</v>
      </c>
      <c r="AE1749" s="3">
        <v>10</v>
      </c>
      <c r="AF1749" s="3">
        <v>8</v>
      </c>
      <c r="AG1749" s="3">
        <v>35</v>
      </c>
      <c r="AH1749" s="3">
        <v>3</v>
      </c>
      <c r="AI1749" s="3">
        <v>13</v>
      </c>
      <c r="AJ1749" s="3">
        <v>1</v>
      </c>
      <c r="AK1749" s="3">
        <v>6</v>
      </c>
      <c r="AL1749" s="3">
        <v>4</v>
      </c>
      <c r="AM1749" s="3">
        <v>14</v>
      </c>
      <c r="AN1749" s="3">
        <v>1</v>
      </c>
      <c r="AO1749" s="3">
        <v>8</v>
      </c>
      <c r="AP1749" s="3">
        <v>0</v>
      </c>
      <c r="AQ1749" s="3">
        <v>0</v>
      </c>
      <c r="AR1749" s="2" t="s">
        <v>5</v>
      </c>
      <c r="AS1749" s="2" t="s">
        <v>16</v>
      </c>
      <c r="AT1749" s="5" t="str">
        <f>HYPERLINK("http://catalog.hathitrust.org/Record/002973110","HathiTrust Record")</f>
        <v>HathiTrust Record</v>
      </c>
      <c r="AU1749" s="5" t="str">
        <f>HYPERLINK("https://creighton-primo.hosted.exlibrisgroup.com/primo-explore/search?tab=default_tab&amp;search_scope=EVERYTHING&amp;vid=01CRU&amp;lang=en_US&amp;offset=0&amp;query=any,contains,991001403379702656","Catalog Record")</f>
        <v>Catalog Record</v>
      </c>
      <c r="AV1749" s="5" t="str">
        <f>HYPERLINK("http://www.worldcat.org/oclc/31166821","WorldCat Record")</f>
        <v>WorldCat Record</v>
      </c>
      <c r="AW1749" s="2" t="s">
        <v>20711</v>
      </c>
      <c r="AX1749" s="2" t="s">
        <v>20722</v>
      </c>
      <c r="AY1749" s="2" t="s">
        <v>20723</v>
      </c>
      <c r="AZ1749" s="2" t="s">
        <v>20723</v>
      </c>
      <c r="BA1749" s="2" t="s">
        <v>20724</v>
      </c>
      <c r="BB1749" s="2" t="s">
        <v>21</v>
      </c>
      <c r="BD1749" s="2" t="s">
        <v>20725</v>
      </c>
      <c r="BE1749" s="2" t="s">
        <v>20726</v>
      </c>
      <c r="BF1749" s="2" t="s">
        <v>20727</v>
      </c>
    </row>
    <row r="1750" spans="1:58" ht="41.25" customHeight="1" x14ac:dyDescent="0.25">
      <c r="A1750" s="8" t="s">
        <v>5</v>
      </c>
      <c r="B1750" s="1" t="s">
        <v>0</v>
      </c>
      <c r="C1750" s="1" t="s">
        <v>1</v>
      </c>
      <c r="D1750" s="1" t="s">
        <v>20728</v>
      </c>
      <c r="E1750" s="1" t="s">
        <v>20729</v>
      </c>
      <c r="F1750" s="1" t="s">
        <v>20730</v>
      </c>
      <c r="H1750" s="2" t="s">
        <v>5</v>
      </c>
      <c r="I1750" s="2" t="s">
        <v>6</v>
      </c>
      <c r="J1750" s="2" t="s">
        <v>5</v>
      </c>
      <c r="K1750" s="2" t="s">
        <v>5</v>
      </c>
      <c r="L1750" s="2" t="s">
        <v>7</v>
      </c>
      <c r="M1750" s="1" t="s">
        <v>20731</v>
      </c>
      <c r="N1750" s="1" t="s">
        <v>14517</v>
      </c>
      <c r="O1750" s="2" t="s">
        <v>136</v>
      </c>
      <c r="Q1750" s="2" t="s">
        <v>11</v>
      </c>
      <c r="R1750" s="2" t="s">
        <v>31</v>
      </c>
      <c r="T1750" s="2" t="s">
        <v>520</v>
      </c>
      <c r="U1750" s="3">
        <v>2</v>
      </c>
      <c r="V1750" s="3">
        <v>2</v>
      </c>
      <c r="W1750" s="4" t="s">
        <v>7829</v>
      </c>
      <c r="X1750" s="4" t="s">
        <v>7829</v>
      </c>
      <c r="Y1750" s="4" t="s">
        <v>7829</v>
      </c>
      <c r="Z1750" s="4" t="s">
        <v>7829</v>
      </c>
      <c r="AA1750" s="3">
        <v>142</v>
      </c>
      <c r="AB1750" s="3">
        <v>92</v>
      </c>
      <c r="AC1750" s="3">
        <v>165</v>
      </c>
      <c r="AD1750" s="3">
        <v>1</v>
      </c>
      <c r="AE1750" s="3">
        <v>1</v>
      </c>
      <c r="AF1750" s="3">
        <v>3</v>
      </c>
      <c r="AG1750" s="3">
        <v>7</v>
      </c>
      <c r="AH1750" s="3">
        <v>1</v>
      </c>
      <c r="AI1750" s="3">
        <v>3</v>
      </c>
      <c r="AJ1750" s="3">
        <v>0</v>
      </c>
      <c r="AK1750" s="3">
        <v>2</v>
      </c>
      <c r="AL1750" s="3">
        <v>2</v>
      </c>
      <c r="AM1750" s="3">
        <v>2</v>
      </c>
      <c r="AN1750" s="3">
        <v>0</v>
      </c>
      <c r="AO1750" s="3">
        <v>0</v>
      </c>
      <c r="AP1750" s="3">
        <v>0</v>
      </c>
      <c r="AQ1750" s="3">
        <v>0</v>
      </c>
      <c r="AR1750" s="2" t="s">
        <v>5</v>
      </c>
      <c r="AS1750" s="2" t="s">
        <v>16</v>
      </c>
      <c r="AT1750" s="5" t="str">
        <f>HYPERLINK("http://catalog.hathitrust.org/Record/002432930","HathiTrust Record")</f>
        <v>HathiTrust Record</v>
      </c>
      <c r="AU1750" s="5" t="str">
        <f>HYPERLINK("https://creighton-primo.hosted.exlibrisgroup.com/primo-explore/search?tab=default_tab&amp;search_scope=EVERYTHING&amp;vid=01CRU&amp;lang=en_US&amp;offset=0&amp;query=any,contains,991000828049702656","Catalog Record")</f>
        <v>Catalog Record</v>
      </c>
      <c r="AV1750" s="5" t="str">
        <f>HYPERLINK("http://www.worldcat.org/oclc/24110065","WorldCat Record")</f>
        <v>WorldCat Record</v>
      </c>
      <c r="AW1750" s="2" t="s">
        <v>20732</v>
      </c>
      <c r="AX1750" s="2" t="s">
        <v>20733</v>
      </c>
      <c r="AY1750" s="2" t="s">
        <v>20734</v>
      </c>
      <c r="AZ1750" s="2" t="s">
        <v>20734</v>
      </c>
      <c r="BA1750" s="2" t="s">
        <v>20735</v>
      </c>
      <c r="BB1750" s="2" t="s">
        <v>21</v>
      </c>
      <c r="BD1750" s="2" t="s">
        <v>20736</v>
      </c>
      <c r="BE1750" s="2" t="s">
        <v>20737</v>
      </c>
      <c r="BF1750" s="2" t="s">
        <v>20738</v>
      </c>
    </row>
    <row r="1751" spans="1:58" ht="41.25" customHeight="1" x14ac:dyDescent="0.25">
      <c r="A1751" s="8" t="s">
        <v>5</v>
      </c>
      <c r="B1751" s="1" t="s">
        <v>0</v>
      </c>
      <c r="C1751" s="1" t="s">
        <v>1</v>
      </c>
      <c r="D1751" s="1" t="s">
        <v>20739</v>
      </c>
      <c r="E1751" s="1" t="s">
        <v>20740</v>
      </c>
      <c r="F1751" s="1" t="s">
        <v>20741</v>
      </c>
      <c r="H1751" s="2" t="s">
        <v>5</v>
      </c>
      <c r="I1751" s="2" t="s">
        <v>6</v>
      </c>
      <c r="J1751" s="2" t="s">
        <v>5</v>
      </c>
      <c r="K1751" s="2" t="s">
        <v>16</v>
      </c>
      <c r="L1751" s="2" t="s">
        <v>7</v>
      </c>
      <c r="N1751" s="1" t="s">
        <v>10984</v>
      </c>
      <c r="O1751" s="2" t="s">
        <v>1060</v>
      </c>
      <c r="P1751" s="1" t="s">
        <v>771</v>
      </c>
      <c r="Q1751" s="2" t="s">
        <v>11</v>
      </c>
      <c r="R1751" s="2" t="s">
        <v>31</v>
      </c>
      <c r="T1751" s="2" t="s">
        <v>520</v>
      </c>
      <c r="U1751" s="3">
        <v>6</v>
      </c>
      <c r="V1751" s="3">
        <v>6</v>
      </c>
      <c r="W1751" s="4" t="s">
        <v>20742</v>
      </c>
      <c r="X1751" s="4" t="s">
        <v>20742</v>
      </c>
      <c r="Y1751" s="4" t="s">
        <v>20743</v>
      </c>
      <c r="Z1751" s="4" t="s">
        <v>20743</v>
      </c>
      <c r="AA1751" s="3">
        <v>439</v>
      </c>
      <c r="AB1751" s="3">
        <v>310</v>
      </c>
      <c r="AC1751" s="3">
        <v>1144</v>
      </c>
      <c r="AD1751" s="3">
        <v>3</v>
      </c>
      <c r="AE1751" s="3">
        <v>10</v>
      </c>
      <c r="AF1751" s="3">
        <v>15</v>
      </c>
      <c r="AG1751" s="3">
        <v>35</v>
      </c>
      <c r="AH1751" s="3">
        <v>6</v>
      </c>
      <c r="AI1751" s="3">
        <v>13</v>
      </c>
      <c r="AJ1751" s="3">
        <v>3</v>
      </c>
      <c r="AK1751" s="3">
        <v>6</v>
      </c>
      <c r="AL1751" s="3">
        <v>7</v>
      </c>
      <c r="AM1751" s="3">
        <v>14</v>
      </c>
      <c r="AN1751" s="3">
        <v>2</v>
      </c>
      <c r="AO1751" s="3">
        <v>8</v>
      </c>
      <c r="AP1751" s="3">
        <v>0</v>
      </c>
      <c r="AQ1751" s="3">
        <v>0</v>
      </c>
      <c r="AR1751" s="2" t="s">
        <v>5</v>
      </c>
      <c r="AS1751" s="2" t="s">
        <v>16</v>
      </c>
      <c r="AT1751" s="5" t="str">
        <f>HYPERLINK("http://catalog.hathitrust.org/Record/004925252","HathiTrust Record")</f>
        <v>HathiTrust Record</v>
      </c>
      <c r="AU1751" s="5" t="str">
        <f>HYPERLINK("https://creighton-primo.hosted.exlibrisgroup.com/primo-explore/search?tab=default_tab&amp;search_scope=EVERYTHING&amp;vid=01CRU&amp;lang=en_US&amp;offset=0&amp;query=any,contains,991001734829702656","Catalog Record")</f>
        <v>Catalog Record</v>
      </c>
      <c r="AV1751" s="5" t="str">
        <f>HYPERLINK("http://www.worldcat.org/oclc/56995443","WorldCat Record")</f>
        <v>WorldCat Record</v>
      </c>
      <c r="AW1751" s="2" t="s">
        <v>20711</v>
      </c>
      <c r="AX1751" s="2" t="s">
        <v>20744</v>
      </c>
      <c r="AY1751" s="2" t="s">
        <v>20745</v>
      </c>
      <c r="AZ1751" s="2" t="s">
        <v>20745</v>
      </c>
      <c r="BA1751" s="2" t="s">
        <v>20746</v>
      </c>
      <c r="BB1751" s="2" t="s">
        <v>21</v>
      </c>
      <c r="BD1751" s="2" t="s">
        <v>20747</v>
      </c>
      <c r="BE1751" s="2" t="s">
        <v>20748</v>
      </c>
      <c r="BF1751" s="2" t="s">
        <v>20749</v>
      </c>
    </row>
    <row r="1752" spans="1:58" ht="41.25" customHeight="1" x14ac:dyDescent="0.25">
      <c r="A1752" s="8" t="s">
        <v>5</v>
      </c>
      <c r="B1752" s="1" t="s">
        <v>0</v>
      </c>
      <c r="C1752" s="1" t="s">
        <v>1</v>
      </c>
      <c r="D1752" s="1" t="s">
        <v>20750</v>
      </c>
      <c r="E1752" s="1" t="s">
        <v>20751</v>
      </c>
      <c r="F1752" s="1" t="s">
        <v>20752</v>
      </c>
      <c r="H1752" s="2" t="s">
        <v>5</v>
      </c>
      <c r="I1752" s="2" t="s">
        <v>6</v>
      </c>
      <c r="J1752" s="2" t="s">
        <v>5</v>
      </c>
      <c r="K1752" s="2" t="s">
        <v>5</v>
      </c>
      <c r="L1752" s="2" t="s">
        <v>7</v>
      </c>
      <c r="N1752" s="1" t="s">
        <v>1562</v>
      </c>
      <c r="O1752" s="2" t="s">
        <v>210</v>
      </c>
      <c r="Q1752" s="2" t="s">
        <v>11</v>
      </c>
      <c r="R1752" s="2" t="s">
        <v>1140</v>
      </c>
      <c r="T1752" s="2" t="s">
        <v>520</v>
      </c>
      <c r="U1752" s="3">
        <v>10</v>
      </c>
      <c r="V1752" s="3">
        <v>10</v>
      </c>
      <c r="W1752" s="4" t="s">
        <v>12647</v>
      </c>
      <c r="X1752" s="4" t="s">
        <v>12647</v>
      </c>
      <c r="Y1752" s="4" t="s">
        <v>1143</v>
      </c>
      <c r="Z1752" s="4" t="s">
        <v>1143</v>
      </c>
      <c r="AA1752" s="3">
        <v>382</v>
      </c>
      <c r="AB1752" s="3">
        <v>330</v>
      </c>
      <c r="AC1752" s="3">
        <v>337</v>
      </c>
      <c r="AD1752" s="3">
        <v>2</v>
      </c>
      <c r="AE1752" s="3">
        <v>2</v>
      </c>
      <c r="AF1752" s="3">
        <v>15</v>
      </c>
      <c r="AG1752" s="3">
        <v>15</v>
      </c>
      <c r="AH1752" s="3">
        <v>9</v>
      </c>
      <c r="AI1752" s="3">
        <v>9</v>
      </c>
      <c r="AJ1752" s="3">
        <v>3</v>
      </c>
      <c r="AK1752" s="3">
        <v>3</v>
      </c>
      <c r="AL1752" s="3">
        <v>8</v>
      </c>
      <c r="AM1752" s="3">
        <v>8</v>
      </c>
      <c r="AN1752" s="3">
        <v>1</v>
      </c>
      <c r="AO1752" s="3">
        <v>1</v>
      </c>
      <c r="AP1752" s="3">
        <v>0</v>
      </c>
      <c r="AQ1752" s="3">
        <v>0</v>
      </c>
      <c r="AR1752" s="2" t="s">
        <v>5</v>
      </c>
      <c r="AS1752" s="2" t="s">
        <v>16</v>
      </c>
      <c r="AT1752" s="5" t="str">
        <f>HYPERLINK("http://catalog.hathitrust.org/Record/002489105","HathiTrust Record")</f>
        <v>HathiTrust Record</v>
      </c>
      <c r="AU1752" s="5" t="str">
        <f>HYPERLINK("https://creighton-primo.hosted.exlibrisgroup.com/primo-explore/search?tab=default_tab&amp;search_scope=EVERYTHING&amp;vid=01CRU&amp;lang=en_US&amp;offset=0&amp;query=any,contains,991001476779702656","Catalog Record")</f>
        <v>Catalog Record</v>
      </c>
      <c r="AV1752" s="5" t="str">
        <f>HYPERLINK("http://www.worldcat.org/oclc/24217740","WorldCat Record")</f>
        <v>WorldCat Record</v>
      </c>
      <c r="AW1752" s="2" t="s">
        <v>20753</v>
      </c>
      <c r="AX1752" s="2" t="s">
        <v>20754</v>
      </c>
      <c r="AY1752" s="2" t="s">
        <v>20755</v>
      </c>
      <c r="AZ1752" s="2" t="s">
        <v>20755</v>
      </c>
      <c r="BA1752" s="2" t="s">
        <v>20756</v>
      </c>
      <c r="BB1752" s="2" t="s">
        <v>21</v>
      </c>
      <c r="BD1752" s="2" t="s">
        <v>20757</v>
      </c>
      <c r="BE1752" s="2" t="s">
        <v>20758</v>
      </c>
      <c r="BF1752" s="2" t="s">
        <v>20759</v>
      </c>
    </row>
    <row r="1753" spans="1:58" ht="41.25" customHeight="1" x14ac:dyDescent="0.25">
      <c r="A1753" s="8" t="s">
        <v>5</v>
      </c>
      <c r="B1753" s="1" t="s">
        <v>0</v>
      </c>
      <c r="C1753" s="1" t="s">
        <v>1</v>
      </c>
      <c r="D1753" s="1" t="s">
        <v>20760</v>
      </c>
      <c r="E1753" s="1" t="s">
        <v>20761</v>
      </c>
      <c r="F1753" s="1" t="s">
        <v>20762</v>
      </c>
      <c r="H1753" s="2" t="s">
        <v>5</v>
      </c>
      <c r="I1753" s="2" t="s">
        <v>6</v>
      </c>
      <c r="J1753" s="2" t="s">
        <v>5</v>
      </c>
      <c r="K1753" s="2" t="s">
        <v>5</v>
      </c>
      <c r="L1753" s="2" t="s">
        <v>7</v>
      </c>
      <c r="M1753" s="1" t="s">
        <v>20763</v>
      </c>
      <c r="N1753" s="1" t="s">
        <v>640</v>
      </c>
      <c r="O1753" s="2" t="s">
        <v>136</v>
      </c>
      <c r="Q1753" s="2" t="s">
        <v>11</v>
      </c>
      <c r="R1753" s="2" t="s">
        <v>78</v>
      </c>
      <c r="T1753" s="2" t="s">
        <v>520</v>
      </c>
      <c r="U1753" s="3">
        <v>7</v>
      </c>
      <c r="V1753" s="3">
        <v>7</v>
      </c>
      <c r="W1753" s="4" t="s">
        <v>8346</v>
      </c>
      <c r="X1753" s="4" t="s">
        <v>8346</v>
      </c>
      <c r="Y1753" s="4" t="s">
        <v>8347</v>
      </c>
      <c r="Z1753" s="4" t="s">
        <v>8347</v>
      </c>
      <c r="AA1753" s="3">
        <v>190</v>
      </c>
      <c r="AB1753" s="3">
        <v>153</v>
      </c>
      <c r="AC1753" s="3">
        <v>156</v>
      </c>
      <c r="AD1753" s="3">
        <v>1</v>
      </c>
      <c r="AE1753" s="3">
        <v>1</v>
      </c>
      <c r="AF1753" s="3">
        <v>6</v>
      </c>
      <c r="AG1753" s="3">
        <v>6</v>
      </c>
      <c r="AH1753" s="3">
        <v>3</v>
      </c>
      <c r="AI1753" s="3">
        <v>3</v>
      </c>
      <c r="AJ1753" s="3">
        <v>1</v>
      </c>
      <c r="AK1753" s="3">
        <v>1</v>
      </c>
      <c r="AL1753" s="3">
        <v>4</v>
      </c>
      <c r="AM1753" s="3">
        <v>4</v>
      </c>
      <c r="AN1753" s="3">
        <v>0</v>
      </c>
      <c r="AO1753" s="3">
        <v>0</v>
      </c>
      <c r="AP1753" s="3">
        <v>0</v>
      </c>
      <c r="AQ1753" s="3">
        <v>0</v>
      </c>
      <c r="AR1753" s="2" t="s">
        <v>5</v>
      </c>
      <c r="AS1753" s="2" t="s">
        <v>16</v>
      </c>
      <c r="AT1753" s="5" t="str">
        <f>HYPERLINK("http://catalog.hathitrust.org/Record/002525125","HathiTrust Record")</f>
        <v>HathiTrust Record</v>
      </c>
      <c r="AU1753" s="5" t="str">
        <f>HYPERLINK("https://creighton-primo.hosted.exlibrisgroup.com/primo-explore/search?tab=default_tab&amp;search_scope=EVERYTHING&amp;vid=01CRU&amp;lang=en_US&amp;offset=0&amp;query=any,contains,991001429909702656","Catalog Record")</f>
        <v>Catalog Record</v>
      </c>
      <c r="AV1753" s="5" t="str">
        <f>HYPERLINK("http://www.worldcat.org/oclc/21558921","WorldCat Record")</f>
        <v>WorldCat Record</v>
      </c>
      <c r="AW1753" s="2" t="s">
        <v>20764</v>
      </c>
      <c r="AX1753" s="2" t="s">
        <v>20765</v>
      </c>
      <c r="AY1753" s="2" t="s">
        <v>20766</v>
      </c>
      <c r="AZ1753" s="2" t="s">
        <v>20766</v>
      </c>
      <c r="BA1753" s="2" t="s">
        <v>20767</v>
      </c>
      <c r="BB1753" s="2" t="s">
        <v>21</v>
      </c>
      <c r="BD1753" s="2" t="s">
        <v>20768</v>
      </c>
      <c r="BE1753" s="2" t="s">
        <v>20769</v>
      </c>
      <c r="BF1753" s="2" t="s">
        <v>20770</v>
      </c>
    </row>
    <row r="1754" spans="1:58" ht="41.25" customHeight="1" x14ac:dyDescent="0.25">
      <c r="A1754" s="8" t="s">
        <v>5</v>
      </c>
      <c r="B1754" s="1" t="s">
        <v>0</v>
      </c>
      <c r="C1754" s="1" t="s">
        <v>1</v>
      </c>
      <c r="D1754" s="1" t="s">
        <v>20771</v>
      </c>
      <c r="E1754" s="1" t="s">
        <v>20772</v>
      </c>
      <c r="F1754" s="1" t="s">
        <v>20773</v>
      </c>
      <c r="H1754" s="2" t="s">
        <v>5</v>
      </c>
      <c r="I1754" s="2" t="s">
        <v>6</v>
      </c>
      <c r="J1754" s="2" t="s">
        <v>5</v>
      </c>
      <c r="K1754" s="2" t="s">
        <v>16</v>
      </c>
      <c r="L1754" s="2" t="s">
        <v>7</v>
      </c>
      <c r="N1754" s="1" t="s">
        <v>9554</v>
      </c>
      <c r="O1754" s="2" t="s">
        <v>1391</v>
      </c>
      <c r="P1754" s="1" t="s">
        <v>901</v>
      </c>
      <c r="Q1754" s="2" t="s">
        <v>11</v>
      </c>
      <c r="R1754" s="2" t="s">
        <v>31</v>
      </c>
      <c r="T1754" s="2" t="s">
        <v>520</v>
      </c>
      <c r="U1754" s="3">
        <v>0</v>
      </c>
      <c r="V1754" s="3">
        <v>0</v>
      </c>
      <c r="W1754" s="4" t="s">
        <v>5005</v>
      </c>
      <c r="X1754" s="4" t="s">
        <v>5005</v>
      </c>
      <c r="Y1754" s="4" t="s">
        <v>7954</v>
      </c>
      <c r="Z1754" s="4" t="s">
        <v>7954</v>
      </c>
      <c r="AA1754" s="3">
        <v>333</v>
      </c>
      <c r="AB1754" s="3">
        <v>230</v>
      </c>
      <c r="AC1754" s="3">
        <v>633</v>
      </c>
      <c r="AD1754" s="3">
        <v>1</v>
      </c>
      <c r="AE1754" s="3">
        <v>3</v>
      </c>
      <c r="AF1754" s="3">
        <v>3</v>
      </c>
      <c r="AG1754" s="3">
        <v>14</v>
      </c>
      <c r="AH1754" s="3">
        <v>1</v>
      </c>
      <c r="AI1754" s="3">
        <v>4</v>
      </c>
      <c r="AJ1754" s="3">
        <v>1</v>
      </c>
      <c r="AK1754" s="3">
        <v>4</v>
      </c>
      <c r="AL1754" s="3">
        <v>2</v>
      </c>
      <c r="AM1754" s="3">
        <v>8</v>
      </c>
      <c r="AN1754" s="3">
        <v>0</v>
      </c>
      <c r="AO1754" s="3">
        <v>0</v>
      </c>
      <c r="AP1754" s="3">
        <v>0</v>
      </c>
      <c r="AQ1754" s="3">
        <v>0</v>
      </c>
      <c r="AR1754" s="2" t="s">
        <v>5</v>
      </c>
      <c r="AS1754" s="2" t="s">
        <v>16</v>
      </c>
      <c r="AT1754" s="5" t="str">
        <f>HYPERLINK("http://catalog.hathitrust.org/Record/004352415","HathiTrust Record")</f>
        <v>HathiTrust Record</v>
      </c>
      <c r="AU1754" s="5" t="str">
        <f>HYPERLINK("https://creighton-primo.hosted.exlibrisgroup.com/primo-explore/search?tab=default_tab&amp;search_scope=EVERYTHING&amp;vid=01CRU&amp;lang=en_US&amp;offset=0&amp;query=any,contains,991001730059702656","Catalog Record")</f>
        <v>Catalog Record</v>
      </c>
      <c r="AV1754" s="5" t="str">
        <f>HYPERLINK("http://www.worldcat.org/oclc/52623323","WorldCat Record")</f>
        <v>WorldCat Record</v>
      </c>
      <c r="AW1754" s="2" t="s">
        <v>20774</v>
      </c>
      <c r="AX1754" s="2" t="s">
        <v>20775</v>
      </c>
      <c r="AY1754" s="2" t="s">
        <v>20776</v>
      </c>
      <c r="AZ1754" s="2" t="s">
        <v>20776</v>
      </c>
      <c r="BA1754" s="2" t="s">
        <v>20777</v>
      </c>
      <c r="BB1754" s="2" t="s">
        <v>21</v>
      </c>
      <c r="BD1754" s="2" t="s">
        <v>20778</v>
      </c>
      <c r="BE1754" s="2" t="s">
        <v>20779</v>
      </c>
      <c r="BF1754" s="2" t="s">
        <v>20780</v>
      </c>
    </row>
    <row r="1755" spans="1:58" ht="41.25" customHeight="1" x14ac:dyDescent="0.25">
      <c r="A1755" s="8" t="s">
        <v>5</v>
      </c>
      <c r="B1755" s="1" t="s">
        <v>0</v>
      </c>
      <c r="C1755" s="1" t="s">
        <v>1</v>
      </c>
      <c r="D1755" s="1" t="s">
        <v>20781</v>
      </c>
      <c r="E1755" s="1" t="s">
        <v>20782</v>
      </c>
      <c r="F1755" s="1" t="s">
        <v>20783</v>
      </c>
      <c r="H1755" s="2" t="s">
        <v>5</v>
      </c>
      <c r="I1755" s="2" t="s">
        <v>6</v>
      </c>
      <c r="J1755" s="2" t="s">
        <v>5</v>
      </c>
      <c r="K1755" s="2" t="s">
        <v>16</v>
      </c>
      <c r="L1755" s="2" t="s">
        <v>7</v>
      </c>
      <c r="N1755" s="1" t="s">
        <v>1729</v>
      </c>
      <c r="O1755" s="2" t="s">
        <v>1378</v>
      </c>
      <c r="Q1755" s="2" t="s">
        <v>11</v>
      </c>
      <c r="R1755" s="2" t="s">
        <v>78</v>
      </c>
      <c r="T1755" s="2" t="s">
        <v>520</v>
      </c>
      <c r="U1755" s="3">
        <v>2</v>
      </c>
      <c r="V1755" s="3">
        <v>2</v>
      </c>
      <c r="W1755" s="4" t="s">
        <v>5032</v>
      </c>
      <c r="X1755" s="4" t="s">
        <v>5032</v>
      </c>
      <c r="Y1755" s="4" t="s">
        <v>5032</v>
      </c>
      <c r="Z1755" s="4" t="s">
        <v>5032</v>
      </c>
      <c r="AA1755" s="3">
        <v>184</v>
      </c>
      <c r="AB1755" s="3">
        <v>126</v>
      </c>
      <c r="AC1755" s="3">
        <v>718</v>
      </c>
      <c r="AD1755" s="3">
        <v>1</v>
      </c>
      <c r="AE1755" s="3">
        <v>5</v>
      </c>
      <c r="AF1755" s="3">
        <v>3</v>
      </c>
      <c r="AG1755" s="3">
        <v>22</v>
      </c>
      <c r="AH1755" s="3">
        <v>1</v>
      </c>
      <c r="AI1755" s="3">
        <v>8</v>
      </c>
      <c r="AJ1755" s="3">
        <v>1</v>
      </c>
      <c r="AK1755" s="3">
        <v>3</v>
      </c>
      <c r="AL1755" s="3">
        <v>2</v>
      </c>
      <c r="AM1755" s="3">
        <v>9</v>
      </c>
      <c r="AN1755" s="3">
        <v>0</v>
      </c>
      <c r="AO1755" s="3">
        <v>4</v>
      </c>
      <c r="AP1755" s="3">
        <v>0</v>
      </c>
      <c r="AQ1755" s="3">
        <v>0</v>
      </c>
      <c r="AR1755" s="2" t="s">
        <v>5</v>
      </c>
      <c r="AS1755" s="2" t="s">
        <v>5</v>
      </c>
      <c r="AU1755" s="5" t="str">
        <f>HYPERLINK("https://creighton-primo.hosted.exlibrisgroup.com/primo-explore/search?tab=default_tab&amp;search_scope=EVERYTHING&amp;vid=01CRU&amp;lang=en_US&amp;offset=0&amp;query=any,contains,991000598159702656","Catalog Record")</f>
        <v>Catalog Record</v>
      </c>
      <c r="AV1755" s="5" t="str">
        <f>HYPERLINK("http://www.worldcat.org/oclc/37410530","WorldCat Record")</f>
        <v>WorldCat Record</v>
      </c>
      <c r="AW1755" s="2" t="s">
        <v>20784</v>
      </c>
      <c r="AX1755" s="2" t="s">
        <v>20785</v>
      </c>
      <c r="AY1755" s="2" t="s">
        <v>20786</v>
      </c>
      <c r="AZ1755" s="2" t="s">
        <v>20786</v>
      </c>
      <c r="BA1755" s="2" t="s">
        <v>20787</v>
      </c>
      <c r="BB1755" s="2" t="s">
        <v>21</v>
      </c>
      <c r="BD1755" s="2" t="s">
        <v>20788</v>
      </c>
      <c r="BE1755" s="2" t="s">
        <v>20789</v>
      </c>
      <c r="BF1755" s="2" t="s">
        <v>20790</v>
      </c>
    </row>
    <row r="1756" spans="1:58" ht="41.25" customHeight="1" x14ac:dyDescent="0.25">
      <c r="A1756" s="8" t="s">
        <v>5</v>
      </c>
      <c r="B1756" s="1" t="s">
        <v>0</v>
      </c>
      <c r="C1756" s="1" t="s">
        <v>1</v>
      </c>
      <c r="D1756" s="1" t="s">
        <v>20791</v>
      </c>
      <c r="E1756" s="1" t="s">
        <v>20792</v>
      </c>
      <c r="F1756" s="1" t="s">
        <v>20793</v>
      </c>
      <c r="H1756" s="2" t="s">
        <v>5</v>
      </c>
      <c r="I1756" s="2" t="s">
        <v>6</v>
      </c>
      <c r="J1756" s="2" t="s">
        <v>5</v>
      </c>
      <c r="K1756" s="2" t="s">
        <v>16</v>
      </c>
      <c r="L1756" s="2" t="s">
        <v>7</v>
      </c>
      <c r="N1756" s="1" t="s">
        <v>4989</v>
      </c>
      <c r="O1756" s="2" t="s">
        <v>4990</v>
      </c>
      <c r="P1756" s="1" t="s">
        <v>211</v>
      </c>
      <c r="Q1756" s="2" t="s">
        <v>11</v>
      </c>
      <c r="R1756" s="2" t="s">
        <v>78</v>
      </c>
      <c r="T1756" s="2" t="s">
        <v>520</v>
      </c>
      <c r="U1756" s="3">
        <v>0</v>
      </c>
      <c r="V1756" s="3">
        <v>0</v>
      </c>
      <c r="W1756" s="4" t="s">
        <v>20794</v>
      </c>
      <c r="X1756" s="4" t="s">
        <v>20794</v>
      </c>
      <c r="Y1756" s="4" t="s">
        <v>16171</v>
      </c>
      <c r="Z1756" s="4" t="s">
        <v>16171</v>
      </c>
      <c r="AA1756" s="3">
        <v>204</v>
      </c>
      <c r="AB1756" s="3">
        <v>146</v>
      </c>
      <c r="AC1756" s="3">
        <v>718</v>
      </c>
      <c r="AD1756" s="3">
        <v>1</v>
      </c>
      <c r="AE1756" s="3">
        <v>5</v>
      </c>
      <c r="AF1756" s="3">
        <v>6</v>
      </c>
      <c r="AG1756" s="3">
        <v>22</v>
      </c>
      <c r="AH1756" s="3">
        <v>2</v>
      </c>
      <c r="AI1756" s="3">
        <v>8</v>
      </c>
      <c r="AJ1756" s="3">
        <v>1</v>
      </c>
      <c r="AK1756" s="3">
        <v>3</v>
      </c>
      <c r="AL1756" s="3">
        <v>4</v>
      </c>
      <c r="AM1756" s="3">
        <v>9</v>
      </c>
      <c r="AN1756" s="3">
        <v>0</v>
      </c>
      <c r="AO1756" s="3">
        <v>4</v>
      </c>
      <c r="AP1756" s="3">
        <v>0</v>
      </c>
      <c r="AQ1756" s="3">
        <v>0</v>
      </c>
      <c r="AR1756" s="2" t="s">
        <v>5</v>
      </c>
      <c r="AS1756" s="2" t="s">
        <v>16</v>
      </c>
      <c r="AT1756" s="5" t="str">
        <f>HYPERLINK("http://catalog.hathitrust.org/Record/004212943","HathiTrust Record")</f>
        <v>HathiTrust Record</v>
      </c>
      <c r="AU1756" s="5" t="str">
        <f>HYPERLINK("https://creighton-primo.hosted.exlibrisgroup.com/primo-explore/search?tab=default_tab&amp;search_scope=EVERYTHING&amp;vid=01CRU&amp;lang=en_US&amp;offset=0&amp;query=any,contains,991000349309702656","Catalog Record")</f>
        <v>Catalog Record</v>
      </c>
      <c r="AV1756" s="5" t="str">
        <f>HYPERLINK("http://www.worldcat.org/oclc/47137286","WorldCat Record")</f>
        <v>WorldCat Record</v>
      </c>
      <c r="AW1756" s="2" t="s">
        <v>20784</v>
      </c>
      <c r="AX1756" s="2" t="s">
        <v>20795</v>
      </c>
      <c r="AY1756" s="2" t="s">
        <v>20796</v>
      </c>
      <c r="AZ1756" s="2" t="s">
        <v>20796</v>
      </c>
      <c r="BA1756" s="2" t="s">
        <v>20797</v>
      </c>
      <c r="BB1756" s="2" t="s">
        <v>21</v>
      </c>
      <c r="BD1756" s="2" t="s">
        <v>20798</v>
      </c>
      <c r="BE1756" s="2" t="s">
        <v>20799</v>
      </c>
      <c r="BF1756" s="2" t="s">
        <v>20800</v>
      </c>
    </row>
    <row r="1757" spans="1:58" ht="41.25" customHeight="1" x14ac:dyDescent="0.25">
      <c r="A1757" s="8" t="s">
        <v>5</v>
      </c>
      <c r="B1757" s="1" t="s">
        <v>0</v>
      </c>
      <c r="C1757" s="1" t="s">
        <v>1</v>
      </c>
      <c r="D1757" s="1" t="s">
        <v>20801</v>
      </c>
      <c r="E1757" s="1" t="s">
        <v>20802</v>
      </c>
      <c r="F1757" s="1" t="s">
        <v>20793</v>
      </c>
      <c r="H1757" s="2" t="s">
        <v>5</v>
      </c>
      <c r="I1757" s="2" t="s">
        <v>6</v>
      </c>
      <c r="J1757" s="2" t="s">
        <v>5</v>
      </c>
      <c r="K1757" s="2" t="s">
        <v>16</v>
      </c>
      <c r="L1757" s="2" t="s">
        <v>7</v>
      </c>
      <c r="N1757" s="1" t="s">
        <v>7953</v>
      </c>
      <c r="O1757" s="2" t="s">
        <v>1060</v>
      </c>
      <c r="P1757" s="1" t="s">
        <v>901</v>
      </c>
      <c r="Q1757" s="2" t="s">
        <v>11</v>
      </c>
      <c r="R1757" s="2" t="s">
        <v>78</v>
      </c>
      <c r="T1757" s="2" t="s">
        <v>520</v>
      </c>
      <c r="U1757" s="3">
        <v>2</v>
      </c>
      <c r="V1757" s="3">
        <v>2</v>
      </c>
      <c r="W1757" s="4" t="s">
        <v>9060</v>
      </c>
      <c r="X1757" s="4" t="s">
        <v>9060</v>
      </c>
      <c r="Y1757" s="4" t="s">
        <v>2323</v>
      </c>
      <c r="Z1757" s="4" t="s">
        <v>2323</v>
      </c>
      <c r="AA1757" s="3">
        <v>306</v>
      </c>
      <c r="AB1757" s="3">
        <v>223</v>
      </c>
      <c r="AC1757" s="3">
        <v>718</v>
      </c>
      <c r="AD1757" s="3">
        <v>1</v>
      </c>
      <c r="AE1757" s="3">
        <v>5</v>
      </c>
      <c r="AF1757" s="3">
        <v>9</v>
      </c>
      <c r="AG1757" s="3">
        <v>22</v>
      </c>
      <c r="AH1757" s="3">
        <v>5</v>
      </c>
      <c r="AI1757" s="3">
        <v>8</v>
      </c>
      <c r="AJ1757" s="3">
        <v>2</v>
      </c>
      <c r="AK1757" s="3">
        <v>3</v>
      </c>
      <c r="AL1757" s="3">
        <v>4</v>
      </c>
      <c r="AM1757" s="3">
        <v>9</v>
      </c>
      <c r="AN1757" s="3">
        <v>0</v>
      </c>
      <c r="AO1757" s="3">
        <v>4</v>
      </c>
      <c r="AP1757" s="3">
        <v>0</v>
      </c>
      <c r="AQ1757" s="3">
        <v>0</v>
      </c>
      <c r="AR1757" s="2" t="s">
        <v>5</v>
      </c>
      <c r="AS1757" s="2" t="s">
        <v>5</v>
      </c>
      <c r="AU1757" s="5" t="str">
        <f>HYPERLINK("https://creighton-primo.hosted.exlibrisgroup.com/primo-explore/search?tab=default_tab&amp;search_scope=EVERYTHING&amp;vid=01CRU&amp;lang=en_US&amp;offset=0&amp;query=any,contains,991000392979702656","Catalog Record")</f>
        <v>Catalog Record</v>
      </c>
      <c r="AV1757" s="5" t="str">
        <f>HYPERLINK("http://www.worldcat.org/oclc/55055705","WorldCat Record")</f>
        <v>WorldCat Record</v>
      </c>
      <c r="AW1757" s="2" t="s">
        <v>20784</v>
      </c>
      <c r="AX1757" s="2" t="s">
        <v>20803</v>
      </c>
      <c r="AY1757" s="2" t="s">
        <v>20804</v>
      </c>
      <c r="AZ1757" s="2" t="s">
        <v>20804</v>
      </c>
      <c r="BA1757" s="2" t="s">
        <v>20805</v>
      </c>
      <c r="BB1757" s="2" t="s">
        <v>21</v>
      </c>
      <c r="BD1757" s="2" t="s">
        <v>20806</v>
      </c>
      <c r="BE1757" s="2" t="s">
        <v>20807</v>
      </c>
      <c r="BF1757" s="2" t="s">
        <v>20808</v>
      </c>
    </row>
    <row r="1758" spans="1:58" ht="41.25" customHeight="1" x14ac:dyDescent="0.25">
      <c r="A1758" s="8" t="s">
        <v>5</v>
      </c>
      <c r="B1758" s="1" t="s">
        <v>0</v>
      </c>
      <c r="C1758" s="1" t="s">
        <v>1</v>
      </c>
      <c r="D1758" s="1" t="s">
        <v>20809</v>
      </c>
      <c r="E1758" s="1" t="s">
        <v>20810</v>
      </c>
      <c r="F1758" s="1" t="s">
        <v>20811</v>
      </c>
      <c r="H1758" s="2" t="s">
        <v>5</v>
      </c>
      <c r="I1758" s="2" t="s">
        <v>6</v>
      </c>
      <c r="J1758" s="2" t="s">
        <v>5</v>
      </c>
      <c r="K1758" s="2" t="s">
        <v>5</v>
      </c>
      <c r="L1758" s="2" t="s">
        <v>7</v>
      </c>
      <c r="M1758" s="1" t="s">
        <v>20812</v>
      </c>
      <c r="N1758" s="1" t="s">
        <v>9760</v>
      </c>
      <c r="O1758" s="2" t="s">
        <v>888</v>
      </c>
      <c r="Q1758" s="2" t="s">
        <v>11</v>
      </c>
      <c r="R1758" s="2" t="s">
        <v>426</v>
      </c>
      <c r="T1758" s="2" t="s">
        <v>520</v>
      </c>
      <c r="U1758" s="3">
        <v>5</v>
      </c>
      <c r="V1758" s="3">
        <v>5</v>
      </c>
      <c r="W1758" s="4" t="s">
        <v>20813</v>
      </c>
      <c r="X1758" s="4" t="s">
        <v>20813</v>
      </c>
      <c r="Y1758" s="4" t="s">
        <v>96</v>
      </c>
      <c r="Z1758" s="4" t="s">
        <v>96</v>
      </c>
      <c r="AA1758" s="3">
        <v>249</v>
      </c>
      <c r="AB1758" s="3">
        <v>213</v>
      </c>
      <c r="AC1758" s="3">
        <v>220</v>
      </c>
      <c r="AD1758" s="3">
        <v>2</v>
      </c>
      <c r="AE1758" s="3">
        <v>2</v>
      </c>
      <c r="AF1758" s="3">
        <v>6</v>
      </c>
      <c r="AG1758" s="3">
        <v>6</v>
      </c>
      <c r="AH1758" s="3">
        <v>4</v>
      </c>
      <c r="AI1758" s="3">
        <v>4</v>
      </c>
      <c r="AJ1758" s="3">
        <v>1</v>
      </c>
      <c r="AK1758" s="3">
        <v>1</v>
      </c>
      <c r="AL1758" s="3">
        <v>2</v>
      </c>
      <c r="AM1758" s="3">
        <v>2</v>
      </c>
      <c r="AN1758" s="3">
        <v>1</v>
      </c>
      <c r="AO1758" s="3">
        <v>1</v>
      </c>
      <c r="AP1758" s="3">
        <v>0</v>
      </c>
      <c r="AQ1758" s="3">
        <v>0</v>
      </c>
      <c r="AR1758" s="2" t="s">
        <v>5</v>
      </c>
      <c r="AS1758" s="2" t="s">
        <v>16</v>
      </c>
      <c r="AT1758" s="5" t="str">
        <f>HYPERLINK("http://catalog.hathitrust.org/Record/000285124","HathiTrust Record")</f>
        <v>HathiTrust Record</v>
      </c>
      <c r="AU1758" s="5" t="str">
        <f>HYPERLINK("https://creighton-primo.hosted.exlibrisgroup.com/primo-explore/search?tab=default_tab&amp;search_scope=EVERYTHING&amp;vid=01CRU&amp;lang=en_US&amp;offset=0&amp;query=any,contains,991000927289702656","Catalog Record")</f>
        <v>Catalog Record</v>
      </c>
      <c r="AV1758" s="5" t="str">
        <f>HYPERLINK("http://www.worldcat.org/oclc/9686432","WorldCat Record")</f>
        <v>WorldCat Record</v>
      </c>
      <c r="AW1758" s="2" t="s">
        <v>20814</v>
      </c>
      <c r="AX1758" s="2" t="s">
        <v>20815</v>
      </c>
      <c r="AY1758" s="2" t="s">
        <v>20816</v>
      </c>
      <c r="AZ1758" s="2" t="s">
        <v>20816</v>
      </c>
      <c r="BA1758" s="2" t="s">
        <v>20817</v>
      </c>
      <c r="BB1758" s="2" t="s">
        <v>21</v>
      </c>
      <c r="BD1758" s="2" t="s">
        <v>20818</v>
      </c>
      <c r="BE1758" s="2" t="s">
        <v>20819</v>
      </c>
      <c r="BF1758" s="2" t="s">
        <v>20820</v>
      </c>
    </row>
    <row r="1759" spans="1:58" ht="41.25" customHeight="1" x14ac:dyDescent="0.25">
      <c r="A1759" s="8" t="s">
        <v>5</v>
      </c>
      <c r="B1759" s="1" t="s">
        <v>0</v>
      </c>
      <c r="C1759" s="1" t="s">
        <v>1</v>
      </c>
      <c r="D1759" s="1" t="s">
        <v>20821</v>
      </c>
      <c r="E1759" s="1" t="s">
        <v>20822</v>
      </c>
      <c r="F1759" s="1" t="s">
        <v>20823</v>
      </c>
      <c r="H1759" s="2" t="s">
        <v>5</v>
      </c>
      <c r="I1759" s="2" t="s">
        <v>6</v>
      </c>
      <c r="J1759" s="2" t="s">
        <v>5</v>
      </c>
      <c r="K1759" s="2" t="s">
        <v>16</v>
      </c>
      <c r="L1759" s="2" t="s">
        <v>7</v>
      </c>
      <c r="M1759" s="1" t="s">
        <v>20824</v>
      </c>
      <c r="N1759" s="1" t="s">
        <v>1729</v>
      </c>
      <c r="O1759" s="2" t="s">
        <v>1378</v>
      </c>
      <c r="P1759" s="1" t="s">
        <v>1208</v>
      </c>
      <c r="Q1759" s="2" t="s">
        <v>11</v>
      </c>
      <c r="R1759" s="2" t="s">
        <v>78</v>
      </c>
      <c r="T1759" s="2" t="s">
        <v>520</v>
      </c>
      <c r="U1759" s="3">
        <v>4</v>
      </c>
      <c r="V1759" s="3">
        <v>4</v>
      </c>
      <c r="W1759" s="4" t="s">
        <v>20825</v>
      </c>
      <c r="X1759" s="4" t="s">
        <v>20825</v>
      </c>
      <c r="Y1759" s="4" t="s">
        <v>20825</v>
      </c>
      <c r="Z1759" s="4" t="s">
        <v>20825</v>
      </c>
      <c r="AA1759" s="3">
        <v>249</v>
      </c>
      <c r="AB1759" s="3">
        <v>183</v>
      </c>
      <c r="AC1759" s="3">
        <v>860</v>
      </c>
      <c r="AD1759" s="3">
        <v>1</v>
      </c>
      <c r="AE1759" s="3">
        <v>2</v>
      </c>
      <c r="AF1759" s="3">
        <v>3</v>
      </c>
      <c r="AG1759" s="3">
        <v>19</v>
      </c>
      <c r="AH1759" s="3">
        <v>1</v>
      </c>
      <c r="AI1759" s="3">
        <v>6</v>
      </c>
      <c r="AJ1759" s="3">
        <v>1</v>
      </c>
      <c r="AK1759" s="3">
        <v>7</v>
      </c>
      <c r="AL1759" s="3">
        <v>2</v>
      </c>
      <c r="AM1759" s="3">
        <v>12</v>
      </c>
      <c r="AN1759" s="3">
        <v>0</v>
      </c>
      <c r="AO1759" s="3">
        <v>0</v>
      </c>
      <c r="AP1759" s="3">
        <v>0</v>
      </c>
      <c r="AQ1759" s="3">
        <v>0</v>
      </c>
      <c r="AR1759" s="2" t="s">
        <v>5</v>
      </c>
      <c r="AS1759" s="2" t="s">
        <v>16</v>
      </c>
      <c r="AT1759" s="5" t="str">
        <f>HYPERLINK("http://catalog.hathitrust.org/Record/003194030","HathiTrust Record")</f>
        <v>HathiTrust Record</v>
      </c>
      <c r="AU1759" s="5" t="str">
        <f>HYPERLINK("https://creighton-primo.hosted.exlibrisgroup.com/primo-explore/search?tab=default_tab&amp;search_scope=EVERYTHING&amp;vid=01CRU&amp;lang=en_US&amp;offset=0&amp;query=any,contains,991001093579702656","Catalog Record")</f>
        <v>Catalog Record</v>
      </c>
      <c r="AV1759" s="5" t="str">
        <f>HYPERLINK("http://www.worldcat.org/oclc/36598183","WorldCat Record")</f>
        <v>WorldCat Record</v>
      </c>
      <c r="AW1759" s="2" t="s">
        <v>20826</v>
      </c>
      <c r="AX1759" s="2" t="s">
        <v>20827</v>
      </c>
      <c r="AY1759" s="2" t="s">
        <v>20828</v>
      </c>
      <c r="AZ1759" s="2" t="s">
        <v>20828</v>
      </c>
      <c r="BA1759" s="2" t="s">
        <v>20829</v>
      </c>
      <c r="BB1759" s="2" t="s">
        <v>21</v>
      </c>
      <c r="BD1759" s="2" t="s">
        <v>20830</v>
      </c>
      <c r="BE1759" s="2" t="s">
        <v>20831</v>
      </c>
      <c r="BF1759" s="2" t="s">
        <v>20832</v>
      </c>
    </row>
    <row r="1760" spans="1:58" ht="41.25" customHeight="1" x14ac:dyDescent="0.25">
      <c r="A1760" s="8" t="s">
        <v>5</v>
      </c>
      <c r="B1760" s="1" t="s">
        <v>0</v>
      </c>
      <c r="C1760" s="1" t="s">
        <v>1</v>
      </c>
      <c r="D1760" s="1" t="s">
        <v>20833</v>
      </c>
      <c r="E1760" s="1" t="s">
        <v>20834</v>
      </c>
      <c r="F1760" s="1" t="s">
        <v>20835</v>
      </c>
      <c r="H1760" s="2" t="s">
        <v>5</v>
      </c>
      <c r="I1760" s="2" t="s">
        <v>6</v>
      </c>
      <c r="J1760" s="2" t="s">
        <v>5</v>
      </c>
      <c r="K1760" s="2" t="s">
        <v>16</v>
      </c>
      <c r="L1760" s="2" t="s">
        <v>7</v>
      </c>
      <c r="M1760" s="1" t="s">
        <v>20824</v>
      </c>
      <c r="N1760" s="1" t="s">
        <v>7953</v>
      </c>
      <c r="O1760" s="2" t="s">
        <v>1060</v>
      </c>
      <c r="P1760" s="1" t="s">
        <v>63</v>
      </c>
      <c r="Q1760" s="2" t="s">
        <v>11</v>
      </c>
      <c r="R1760" s="2" t="s">
        <v>78</v>
      </c>
      <c r="T1760" s="2" t="s">
        <v>520</v>
      </c>
      <c r="U1760" s="3">
        <v>0</v>
      </c>
      <c r="V1760" s="3">
        <v>0</v>
      </c>
      <c r="W1760" s="4" t="s">
        <v>9060</v>
      </c>
      <c r="X1760" s="4" t="s">
        <v>9060</v>
      </c>
      <c r="Y1760" s="4" t="s">
        <v>2323</v>
      </c>
      <c r="Z1760" s="4" t="s">
        <v>2323</v>
      </c>
      <c r="AA1760" s="3">
        <v>269</v>
      </c>
      <c r="AB1760" s="3">
        <v>178</v>
      </c>
      <c r="AC1760" s="3">
        <v>860</v>
      </c>
      <c r="AD1760" s="3">
        <v>1</v>
      </c>
      <c r="AE1760" s="3">
        <v>2</v>
      </c>
      <c r="AF1760" s="3">
        <v>5</v>
      </c>
      <c r="AG1760" s="3">
        <v>19</v>
      </c>
      <c r="AH1760" s="3">
        <v>1</v>
      </c>
      <c r="AI1760" s="3">
        <v>6</v>
      </c>
      <c r="AJ1760" s="3">
        <v>1</v>
      </c>
      <c r="AK1760" s="3">
        <v>7</v>
      </c>
      <c r="AL1760" s="3">
        <v>4</v>
      </c>
      <c r="AM1760" s="3">
        <v>12</v>
      </c>
      <c r="AN1760" s="3">
        <v>0</v>
      </c>
      <c r="AO1760" s="3">
        <v>0</v>
      </c>
      <c r="AP1760" s="3">
        <v>0</v>
      </c>
      <c r="AQ1760" s="3">
        <v>0</v>
      </c>
      <c r="AR1760" s="2" t="s">
        <v>5</v>
      </c>
      <c r="AS1760" s="2" t="s">
        <v>5</v>
      </c>
      <c r="AU1760" s="5" t="str">
        <f>HYPERLINK("https://creighton-primo.hosted.exlibrisgroup.com/primo-explore/search?tab=default_tab&amp;search_scope=EVERYTHING&amp;vid=01CRU&amp;lang=en_US&amp;offset=0&amp;query=any,contains,991000393079702656","Catalog Record")</f>
        <v>Catalog Record</v>
      </c>
      <c r="AV1760" s="5" t="str">
        <f>HYPERLINK("http://www.worldcat.org/oclc/53954616","WorldCat Record")</f>
        <v>WorldCat Record</v>
      </c>
      <c r="AW1760" s="2" t="s">
        <v>20826</v>
      </c>
      <c r="AX1760" s="2" t="s">
        <v>20836</v>
      </c>
      <c r="AY1760" s="2" t="s">
        <v>20837</v>
      </c>
      <c r="AZ1760" s="2" t="s">
        <v>20837</v>
      </c>
      <c r="BA1760" s="2" t="s">
        <v>20838</v>
      </c>
      <c r="BB1760" s="2" t="s">
        <v>21</v>
      </c>
      <c r="BD1760" s="2" t="s">
        <v>20839</v>
      </c>
      <c r="BE1760" s="2" t="s">
        <v>20840</v>
      </c>
      <c r="BF1760" s="2" t="s">
        <v>20841</v>
      </c>
    </row>
    <row r="1761" spans="1:58" ht="41.25" customHeight="1" x14ac:dyDescent="0.25">
      <c r="A1761" s="8" t="s">
        <v>5</v>
      </c>
      <c r="B1761" s="1" t="s">
        <v>0</v>
      </c>
      <c r="C1761" s="1" t="s">
        <v>1</v>
      </c>
      <c r="D1761" s="1" t="s">
        <v>20842</v>
      </c>
      <c r="E1761" s="1" t="s">
        <v>20843</v>
      </c>
      <c r="F1761" s="1" t="s">
        <v>20844</v>
      </c>
      <c r="H1761" s="2" t="s">
        <v>5</v>
      </c>
      <c r="I1761" s="2" t="s">
        <v>6</v>
      </c>
      <c r="J1761" s="2" t="s">
        <v>5</v>
      </c>
      <c r="K1761" s="2" t="s">
        <v>5</v>
      </c>
      <c r="L1761" s="2" t="s">
        <v>7</v>
      </c>
      <c r="M1761" s="1" t="s">
        <v>5205</v>
      </c>
      <c r="N1761" s="1" t="s">
        <v>20845</v>
      </c>
      <c r="O1761" s="2" t="s">
        <v>888</v>
      </c>
      <c r="Q1761" s="2" t="s">
        <v>11</v>
      </c>
      <c r="R1761" s="2" t="s">
        <v>1019</v>
      </c>
      <c r="T1761" s="2" t="s">
        <v>520</v>
      </c>
      <c r="U1761" s="3">
        <v>1</v>
      </c>
      <c r="V1761" s="3">
        <v>1</v>
      </c>
      <c r="W1761" s="4" t="s">
        <v>3681</v>
      </c>
      <c r="X1761" s="4" t="s">
        <v>3681</v>
      </c>
      <c r="Y1761" s="4" t="s">
        <v>20347</v>
      </c>
      <c r="Z1761" s="4" t="s">
        <v>20347</v>
      </c>
      <c r="AA1761" s="3">
        <v>22</v>
      </c>
      <c r="AB1761" s="3">
        <v>20</v>
      </c>
      <c r="AC1761" s="3">
        <v>20</v>
      </c>
      <c r="AD1761" s="3">
        <v>2</v>
      </c>
      <c r="AE1761" s="3">
        <v>2</v>
      </c>
      <c r="AF1761" s="3">
        <v>0</v>
      </c>
      <c r="AG1761" s="3">
        <v>0</v>
      </c>
      <c r="AH1761" s="3">
        <v>0</v>
      </c>
      <c r="AI1761" s="3">
        <v>0</v>
      </c>
      <c r="AJ1761" s="3">
        <v>0</v>
      </c>
      <c r="AK1761" s="3">
        <v>0</v>
      </c>
      <c r="AL1761" s="3">
        <v>0</v>
      </c>
      <c r="AM1761" s="3">
        <v>0</v>
      </c>
      <c r="AN1761" s="3">
        <v>0</v>
      </c>
      <c r="AO1761" s="3">
        <v>0</v>
      </c>
      <c r="AP1761" s="3">
        <v>0</v>
      </c>
      <c r="AQ1761" s="3">
        <v>0</v>
      </c>
      <c r="AR1761" s="2" t="s">
        <v>5</v>
      </c>
      <c r="AS1761" s="2" t="s">
        <v>5</v>
      </c>
      <c r="AU1761" s="5" t="str">
        <f>HYPERLINK("https://creighton-primo.hosted.exlibrisgroup.com/primo-explore/search?tab=default_tab&amp;search_scope=EVERYTHING&amp;vid=01CRU&amp;lang=en_US&amp;offset=0&amp;query=any,contains,991000731239702656","Catalog Record")</f>
        <v>Catalog Record</v>
      </c>
      <c r="AV1761" s="5" t="str">
        <f>HYPERLINK("http://www.worldcat.org/oclc/11117426","WorldCat Record")</f>
        <v>WorldCat Record</v>
      </c>
      <c r="AW1761" s="2" t="s">
        <v>20846</v>
      </c>
      <c r="AX1761" s="2" t="s">
        <v>20847</v>
      </c>
      <c r="AY1761" s="2" t="s">
        <v>20848</v>
      </c>
      <c r="AZ1761" s="2" t="s">
        <v>20848</v>
      </c>
      <c r="BA1761" s="2" t="s">
        <v>20849</v>
      </c>
      <c r="BB1761" s="2" t="s">
        <v>21</v>
      </c>
      <c r="BD1761" s="2" t="s">
        <v>20850</v>
      </c>
      <c r="BE1761" s="2" t="s">
        <v>20851</v>
      </c>
      <c r="BF1761" s="2" t="s">
        <v>20852</v>
      </c>
    </row>
    <row r="1762" spans="1:58" ht="41.25" customHeight="1" x14ac:dyDescent="0.25">
      <c r="A1762" s="8" t="s">
        <v>5</v>
      </c>
      <c r="B1762" s="1" t="s">
        <v>0</v>
      </c>
      <c r="C1762" s="1" t="s">
        <v>1</v>
      </c>
      <c r="D1762" s="1" t="s">
        <v>20853</v>
      </c>
      <c r="E1762" s="1" t="s">
        <v>20854</v>
      </c>
      <c r="F1762" s="1" t="s">
        <v>20855</v>
      </c>
      <c r="H1762" s="2" t="s">
        <v>5</v>
      </c>
      <c r="I1762" s="2" t="s">
        <v>6</v>
      </c>
      <c r="J1762" s="2" t="s">
        <v>5</v>
      </c>
      <c r="K1762" s="2" t="s">
        <v>5</v>
      </c>
      <c r="L1762" s="2" t="s">
        <v>7</v>
      </c>
      <c r="N1762" s="1" t="s">
        <v>7116</v>
      </c>
      <c r="O1762" s="2" t="s">
        <v>1339</v>
      </c>
      <c r="Q1762" s="2" t="s">
        <v>11</v>
      </c>
      <c r="R1762" s="2" t="s">
        <v>426</v>
      </c>
      <c r="S1762" s="1" t="s">
        <v>20856</v>
      </c>
      <c r="T1762" s="2" t="s">
        <v>520</v>
      </c>
      <c r="U1762" s="3">
        <v>10</v>
      </c>
      <c r="V1762" s="3">
        <v>10</v>
      </c>
      <c r="W1762" s="4" t="s">
        <v>7552</v>
      </c>
      <c r="X1762" s="4" t="s">
        <v>7552</v>
      </c>
      <c r="Y1762" s="4" t="s">
        <v>20857</v>
      </c>
      <c r="Z1762" s="4" t="s">
        <v>20857</v>
      </c>
      <c r="AA1762" s="3">
        <v>191</v>
      </c>
      <c r="AB1762" s="3">
        <v>166</v>
      </c>
      <c r="AC1762" s="3">
        <v>168</v>
      </c>
      <c r="AD1762" s="3">
        <v>2</v>
      </c>
      <c r="AE1762" s="3">
        <v>2</v>
      </c>
      <c r="AF1762" s="3">
        <v>9</v>
      </c>
      <c r="AG1762" s="3">
        <v>9</v>
      </c>
      <c r="AH1762" s="3">
        <v>4</v>
      </c>
      <c r="AI1762" s="3">
        <v>4</v>
      </c>
      <c r="AJ1762" s="3">
        <v>2</v>
      </c>
      <c r="AK1762" s="3">
        <v>2</v>
      </c>
      <c r="AL1762" s="3">
        <v>8</v>
      </c>
      <c r="AM1762" s="3">
        <v>8</v>
      </c>
      <c r="AN1762" s="3">
        <v>0</v>
      </c>
      <c r="AO1762" s="3">
        <v>0</v>
      </c>
      <c r="AP1762" s="3">
        <v>0</v>
      </c>
      <c r="AQ1762" s="3">
        <v>0</v>
      </c>
      <c r="AR1762" s="2" t="s">
        <v>5</v>
      </c>
      <c r="AS1762" s="2" t="s">
        <v>16</v>
      </c>
      <c r="AT1762" s="5" t="str">
        <f>HYPERLINK("http://catalog.hathitrust.org/Record/000832446","HathiTrust Record")</f>
        <v>HathiTrust Record</v>
      </c>
      <c r="AU1762" s="5" t="str">
        <f>HYPERLINK("https://creighton-primo.hosted.exlibrisgroup.com/primo-explore/search?tab=default_tab&amp;search_scope=EVERYTHING&amp;vid=01CRU&amp;lang=en_US&amp;offset=0&amp;query=any,contains,991001271999702656","Catalog Record")</f>
        <v>Catalog Record</v>
      </c>
      <c r="AV1762" s="5" t="str">
        <f>HYPERLINK("http://www.worldcat.org/oclc/15316872","WorldCat Record")</f>
        <v>WorldCat Record</v>
      </c>
      <c r="AW1762" s="2" t="s">
        <v>20858</v>
      </c>
      <c r="AX1762" s="2" t="s">
        <v>20859</v>
      </c>
      <c r="AY1762" s="2" t="s">
        <v>20860</v>
      </c>
      <c r="AZ1762" s="2" t="s">
        <v>20860</v>
      </c>
      <c r="BA1762" s="2" t="s">
        <v>20861</v>
      </c>
      <c r="BB1762" s="2" t="s">
        <v>21</v>
      </c>
      <c r="BD1762" s="2" t="s">
        <v>20862</v>
      </c>
      <c r="BE1762" s="2" t="s">
        <v>20863</v>
      </c>
      <c r="BF1762" s="2" t="s">
        <v>20864</v>
      </c>
    </row>
    <row r="1763" spans="1:58" ht="41.25" customHeight="1" x14ac:dyDescent="0.25">
      <c r="A1763" s="8" t="s">
        <v>5</v>
      </c>
      <c r="B1763" s="1" t="s">
        <v>0</v>
      </c>
      <c r="C1763" s="1" t="s">
        <v>1</v>
      </c>
      <c r="D1763" s="1" t="s">
        <v>20865</v>
      </c>
      <c r="E1763" s="1" t="s">
        <v>20866</v>
      </c>
      <c r="F1763" s="1" t="s">
        <v>20867</v>
      </c>
      <c r="H1763" s="2" t="s">
        <v>5</v>
      </c>
      <c r="I1763" s="2" t="s">
        <v>6</v>
      </c>
      <c r="J1763" s="2" t="s">
        <v>5</v>
      </c>
      <c r="K1763" s="2" t="s">
        <v>5</v>
      </c>
      <c r="L1763" s="2" t="s">
        <v>7</v>
      </c>
      <c r="N1763" s="1" t="s">
        <v>1602</v>
      </c>
      <c r="O1763" s="2" t="s">
        <v>1378</v>
      </c>
      <c r="P1763" s="1" t="s">
        <v>63</v>
      </c>
      <c r="Q1763" s="2" t="s">
        <v>11</v>
      </c>
      <c r="R1763" s="2" t="s">
        <v>31</v>
      </c>
      <c r="T1763" s="2" t="s">
        <v>520</v>
      </c>
      <c r="U1763" s="3">
        <v>15</v>
      </c>
      <c r="V1763" s="3">
        <v>15</v>
      </c>
      <c r="W1763" s="4" t="s">
        <v>20868</v>
      </c>
      <c r="X1763" s="4" t="s">
        <v>20868</v>
      </c>
      <c r="Y1763" s="4" t="s">
        <v>17698</v>
      </c>
      <c r="Z1763" s="4" t="s">
        <v>17698</v>
      </c>
      <c r="AA1763" s="3">
        <v>316</v>
      </c>
      <c r="AB1763" s="3">
        <v>223</v>
      </c>
      <c r="AC1763" s="3">
        <v>230</v>
      </c>
      <c r="AD1763" s="3">
        <v>1</v>
      </c>
      <c r="AE1763" s="3">
        <v>1</v>
      </c>
      <c r="AF1763" s="3">
        <v>7</v>
      </c>
      <c r="AG1763" s="3">
        <v>7</v>
      </c>
      <c r="AH1763" s="3">
        <v>1</v>
      </c>
      <c r="AI1763" s="3">
        <v>1</v>
      </c>
      <c r="AJ1763" s="3">
        <v>2</v>
      </c>
      <c r="AK1763" s="3">
        <v>2</v>
      </c>
      <c r="AL1763" s="3">
        <v>7</v>
      </c>
      <c r="AM1763" s="3">
        <v>7</v>
      </c>
      <c r="AN1763" s="3">
        <v>0</v>
      </c>
      <c r="AO1763" s="3">
        <v>0</v>
      </c>
      <c r="AP1763" s="3">
        <v>0</v>
      </c>
      <c r="AQ1763" s="3">
        <v>0</v>
      </c>
      <c r="AR1763" s="2" t="s">
        <v>5</v>
      </c>
      <c r="AS1763" s="2" t="s">
        <v>16</v>
      </c>
      <c r="AT1763" s="5" t="str">
        <f>HYPERLINK("http://catalog.hathitrust.org/Record/003239881","HathiTrust Record")</f>
        <v>HathiTrust Record</v>
      </c>
      <c r="AU1763" s="5" t="str">
        <f>HYPERLINK("https://creighton-primo.hosted.exlibrisgroup.com/primo-explore/search?tab=default_tab&amp;search_scope=EVERYTHING&amp;vid=01CRU&amp;lang=en_US&amp;offset=0&amp;query=any,contains,991001564779702656","Catalog Record")</f>
        <v>Catalog Record</v>
      </c>
      <c r="AV1763" s="5" t="str">
        <f>HYPERLINK("http://www.worldcat.org/oclc/37444015","WorldCat Record")</f>
        <v>WorldCat Record</v>
      </c>
      <c r="AW1763" s="2" t="s">
        <v>20869</v>
      </c>
      <c r="AX1763" s="2" t="s">
        <v>20870</v>
      </c>
      <c r="AY1763" s="2" t="s">
        <v>20871</v>
      </c>
      <c r="AZ1763" s="2" t="s">
        <v>20871</v>
      </c>
      <c r="BA1763" s="2" t="s">
        <v>20872</v>
      </c>
      <c r="BB1763" s="2" t="s">
        <v>21</v>
      </c>
      <c r="BD1763" s="2" t="s">
        <v>20873</v>
      </c>
      <c r="BE1763" s="2" t="s">
        <v>20874</v>
      </c>
      <c r="BF1763" s="2" t="s">
        <v>20875</v>
      </c>
    </row>
    <row r="1764" spans="1:58" ht="41.25" customHeight="1" x14ac:dyDescent="0.25">
      <c r="A1764" s="8" t="s">
        <v>5</v>
      </c>
      <c r="B1764" s="1" t="s">
        <v>0</v>
      </c>
      <c r="C1764" s="1" t="s">
        <v>1</v>
      </c>
      <c r="D1764" s="1" t="s">
        <v>20876</v>
      </c>
      <c r="E1764" s="1" t="s">
        <v>20877</v>
      </c>
      <c r="F1764" s="1" t="s">
        <v>20878</v>
      </c>
      <c r="H1764" s="2" t="s">
        <v>5</v>
      </c>
      <c r="I1764" s="2" t="s">
        <v>6</v>
      </c>
      <c r="J1764" s="2" t="s">
        <v>5</v>
      </c>
      <c r="K1764" s="2" t="s">
        <v>16</v>
      </c>
      <c r="L1764" s="2" t="s">
        <v>7</v>
      </c>
      <c r="N1764" s="1" t="s">
        <v>20879</v>
      </c>
      <c r="O1764" s="2" t="s">
        <v>20880</v>
      </c>
      <c r="P1764" s="1" t="s">
        <v>1652</v>
      </c>
      <c r="Q1764" s="2" t="s">
        <v>11</v>
      </c>
      <c r="R1764" s="2" t="s">
        <v>31</v>
      </c>
      <c r="T1764" s="2" t="s">
        <v>520</v>
      </c>
      <c r="U1764" s="3">
        <v>0</v>
      </c>
      <c r="V1764" s="3">
        <v>0</v>
      </c>
      <c r="W1764" s="4" t="s">
        <v>5171</v>
      </c>
      <c r="X1764" s="4" t="s">
        <v>5171</v>
      </c>
      <c r="Y1764" s="4" t="s">
        <v>5171</v>
      </c>
      <c r="Z1764" s="4" t="s">
        <v>5171</v>
      </c>
      <c r="AA1764" s="3">
        <v>366</v>
      </c>
      <c r="AB1764" s="3">
        <v>217</v>
      </c>
      <c r="AC1764" s="3">
        <v>1144</v>
      </c>
      <c r="AD1764" s="3">
        <v>2</v>
      </c>
      <c r="AE1764" s="3">
        <v>10</v>
      </c>
      <c r="AF1764" s="3">
        <v>7</v>
      </c>
      <c r="AG1764" s="3">
        <v>35</v>
      </c>
      <c r="AH1764" s="3">
        <v>1</v>
      </c>
      <c r="AI1764" s="3">
        <v>13</v>
      </c>
      <c r="AJ1764" s="3">
        <v>2</v>
      </c>
      <c r="AK1764" s="3">
        <v>6</v>
      </c>
      <c r="AL1764" s="3">
        <v>5</v>
      </c>
      <c r="AM1764" s="3">
        <v>14</v>
      </c>
      <c r="AN1764" s="3">
        <v>1</v>
      </c>
      <c r="AO1764" s="3">
        <v>8</v>
      </c>
      <c r="AP1764" s="3">
        <v>0</v>
      </c>
      <c r="AQ1764" s="3">
        <v>0</v>
      </c>
      <c r="AR1764" s="2" t="s">
        <v>5</v>
      </c>
      <c r="AS1764" s="2" t="s">
        <v>5</v>
      </c>
      <c r="AU1764" s="5" t="str">
        <f>HYPERLINK("https://creighton-primo.hosted.exlibrisgroup.com/primo-explore/search?tab=default_tab&amp;search_scope=EVERYTHING&amp;vid=01CRU&amp;lang=en_US&amp;offset=0&amp;query=any,contains,991001555109702656","Catalog Record")</f>
        <v>Catalog Record</v>
      </c>
      <c r="AV1764" s="5" t="str">
        <f>HYPERLINK("http://www.worldcat.org/oclc/225874465","WorldCat Record")</f>
        <v>WorldCat Record</v>
      </c>
      <c r="AW1764" s="2" t="s">
        <v>20711</v>
      </c>
      <c r="AX1764" s="2" t="s">
        <v>20881</v>
      </c>
      <c r="AY1764" s="2" t="s">
        <v>20882</v>
      </c>
      <c r="AZ1764" s="2" t="s">
        <v>20882</v>
      </c>
      <c r="BA1764" s="2" t="s">
        <v>20883</v>
      </c>
      <c r="BB1764" s="2" t="s">
        <v>21</v>
      </c>
      <c r="BD1764" s="2" t="s">
        <v>20884</v>
      </c>
      <c r="BE1764" s="2" t="s">
        <v>20885</v>
      </c>
      <c r="BF1764" s="2" t="s">
        <v>20886</v>
      </c>
    </row>
    <row r="1765" spans="1:58" ht="41.25" customHeight="1" x14ac:dyDescent="0.25">
      <c r="A1765" s="8" t="s">
        <v>5</v>
      </c>
      <c r="B1765" s="1" t="s">
        <v>0</v>
      </c>
      <c r="C1765" s="1" t="s">
        <v>1</v>
      </c>
      <c r="D1765" s="1" t="s">
        <v>20887</v>
      </c>
      <c r="E1765" s="1" t="s">
        <v>20888</v>
      </c>
      <c r="F1765" s="1" t="s">
        <v>20889</v>
      </c>
      <c r="H1765" s="2" t="s">
        <v>5</v>
      </c>
      <c r="I1765" s="2" t="s">
        <v>6</v>
      </c>
      <c r="J1765" s="2" t="s">
        <v>5</v>
      </c>
      <c r="K1765" s="2" t="s">
        <v>5</v>
      </c>
      <c r="L1765" s="2" t="s">
        <v>7</v>
      </c>
      <c r="M1765" s="1" t="s">
        <v>20890</v>
      </c>
      <c r="N1765" s="1" t="s">
        <v>20891</v>
      </c>
      <c r="O1765" s="2" t="s">
        <v>939</v>
      </c>
      <c r="Q1765" s="2" t="s">
        <v>11</v>
      </c>
      <c r="R1765" s="2" t="s">
        <v>426</v>
      </c>
      <c r="S1765" s="1" t="s">
        <v>20892</v>
      </c>
      <c r="T1765" s="2" t="s">
        <v>520</v>
      </c>
      <c r="U1765" s="3">
        <v>1</v>
      </c>
      <c r="V1765" s="3">
        <v>1</v>
      </c>
      <c r="W1765" s="4" t="s">
        <v>20221</v>
      </c>
      <c r="X1765" s="4" t="s">
        <v>20221</v>
      </c>
      <c r="Y1765" s="4" t="s">
        <v>7730</v>
      </c>
      <c r="Z1765" s="4" t="s">
        <v>7730</v>
      </c>
      <c r="AA1765" s="3">
        <v>247</v>
      </c>
      <c r="AB1765" s="3">
        <v>236</v>
      </c>
      <c r="AC1765" s="3">
        <v>241</v>
      </c>
      <c r="AD1765" s="3">
        <v>1</v>
      </c>
      <c r="AE1765" s="3">
        <v>1</v>
      </c>
      <c r="AF1765" s="3">
        <v>8</v>
      </c>
      <c r="AG1765" s="3">
        <v>8</v>
      </c>
      <c r="AH1765" s="3">
        <v>3</v>
      </c>
      <c r="AI1765" s="3">
        <v>3</v>
      </c>
      <c r="AJ1765" s="3">
        <v>2</v>
      </c>
      <c r="AK1765" s="3">
        <v>2</v>
      </c>
      <c r="AL1765" s="3">
        <v>6</v>
      </c>
      <c r="AM1765" s="3">
        <v>6</v>
      </c>
      <c r="AN1765" s="3">
        <v>0</v>
      </c>
      <c r="AO1765" s="3">
        <v>0</v>
      </c>
      <c r="AP1765" s="3">
        <v>0</v>
      </c>
      <c r="AQ1765" s="3">
        <v>0</v>
      </c>
      <c r="AR1765" s="2" t="s">
        <v>5</v>
      </c>
      <c r="AS1765" s="2" t="s">
        <v>16</v>
      </c>
      <c r="AT1765" s="5" t="str">
        <f>HYPERLINK("http://catalog.hathitrust.org/Record/004400540","HathiTrust Record")</f>
        <v>HathiTrust Record</v>
      </c>
      <c r="AU1765" s="5" t="str">
        <f>HYPERLINK("https://creighton-primo.hosted.exlibrisgroup.com/primo-explore/search?tab=default_tab&amp;search_scope=EVERYTHING&amp;vid=01CRU&amp;lang=en_US&amp;offset=0&amp;query=any,contains,991001415019702656","Catalog Record")</f>
        <v>Catalog Record</v>
      </c>
      <c r="AV1765" s="5" t="str">
        <f>HYPERLINK("http://www.worldcat.org/oclc/17300925","WorldCat Record")</f>
        <v>WorldCat Record</v>
      </c>
      <c r="AW1765" s="2" t="s">
        <v>20893</v>
      </c>
      <c r="AX1765" s="2" t="s">
        <v>20894</v>
      </c>
      <c r="AY1765" s="2" t="s">
        <v>20895</v>
      </c>
      <c r="AZ1765" s="2" t="s">
        <v>20895</v>
      </c>
      <c r="BA1765" s="2" t="s">
        <v>20896</v>
      </c>
      <c r="BB1765" s="2" t="s">
        <v>21</v>
      </c>
      <c r="BE1765" s="2" t="s">
        <v>20897</v>
      </c>
      <c r="BF1765" s="2" t="s">
        <v>20898</v>
      </c>
    </row>
    <row r="1766" spans="1:58" ht="41.25" customHeight="1" x14ac:dyDescent="0.25">
      <c r="A1766" s="8" t="s">
        <v>5</v>
      </c>
      <c r="B1766" s="1" t="s">
        <v>0</v>
      </c>
      <c r="C1766" s="1" t="s">
        <v>1</v>
      </c>
      <c r="D1766" s="1" t="s">
        <v>20899</v>
      </c>
      <c r="E1766" s="1" t="s">
        <v>20900</v>
      </c>
      <c r="F1766" s="1" t="s">
        <v>20901</v>
      </c>
      <c r="H1766" s="2" t="s">
        <v>5</v>
      </c>
      <c r="I1766" s="2" t="s">
        <v>6</v>
      </c>
      <c r="J1766" s="2" t="s">
        <v>5</v>
      </c>
      <c r="K1766" s="2" t="s">
        <v>5</v>
      </c>
      <c r="L1766" s="2" t="s">
        <v>7</v>
      </c>
      <c r="M1766" s="1" t="s">
        <v>20902</v>
      </c>
      <c r="N1766" s="1" t="s">
        <v>3535</v>
      </c>
      <c r="O1766" s="2" t="s">
        <v>354</v>
      </c>
      <c r="Q1766" s="2" t="s">
        <v>11</v>
      </c>
      <c r="R1766" s="2" t="s">
        <v>12</v>
      </c>
      <c r="T1766" s="2" t="s">
        <v>520</v>
      </c>
      <c r="U1766" s="3">
        <v>4</v>
      </c>
      <c r="V1766" s="3">
        <v>4</v>
      </c>
      <c r="W1766" s="4" t="s">
        <v>20903</v>
      </c>
      <c r="X1766" s="4" t="s">
        <v>20903</v>
      </c>
      <c r="Y1766" s="4" t="s">
        <v>96</v>
      </c>
      <c r="Z1766" s="4" t="s">
        <v>96</v>
      </c>
      <c r="AA1766" s="3">
        <v>288</v>
      </c>
      <c r="AB1766" s="3">
        <v>240</v>
      </c>
      <c r="AC1766" s="3">
        <v>242</v>
      </c>
      <c r="AD1766" s="3">
        <v>4</v>
      </c>
      <c r="AE1766" s="3">
        <v>4</v>
      </c>
      <c r="AF1766" s="3">
        <v>11</v>
      </c>
      <c r="AG1766" s="3">
        <v>11</v>
      </c>
      <c r="AH1766" s="3">
        <v>3</v>
      </c>
      <c r="AI1766" s="3">
        <v>3</v>
      </c>
      <c r="AJ1766" s="3">
        <v>2</v>
      </c>
      <c r="AK1766" s="3">
        <v>2</v>
      </c>
      <c r="AL1766" s="3">
        <v>6</v>
      </c>
      <c r="AM1766" s="3">
        <v>6</v>
      </c>
      <c r="AN1766" s="3">
        <v>2</v>
      </c>
      <c r="AO1766" s="3">
        <v>2</v>
      </c>
      <c r="AP1766" s="3">
        <v>0</v>
      </c>
      <c r="AQ1766" s="3">
        <v>0</v>
      </c>
      <c r="AR1766" s="2" t="s">
        <v>5</v>
      </c>
      <c r="AS1766" s="2" t="s">
        <v>16</v>
      </c>
      <c r="AT1766" s="5" t="str">
        <f>HYPERLINK("http://catalog.hathitrust.org/Record/000022236","HathiTrust Record")</f>
        <v>HathiTrust Record</v>
      </c>
      <c r="AU1766" s="5" t="str">
        <f>HYPERLINK("https://creighton-primo.hosted.exlibrisgroup.com/primo-explore/search?tab=default_tab&amp;search_scope=EVERYTHING&amp;vid=01CRU&amp;lang=en_US&amp;offset=0&amp;query=any,contains,991000927489702656","Catalog Record")</f>
        <v>Catalog Record</v>
      </c>
      <c r="AV1766" s="5" t="str">
        <f>HYPERLINK("http://www.worldcat.org/oclc/5029553","WorldCat Record")</f>
        <v>WorldCat Record</v>
      </c>
      <c r="AW1766" s="2" t="s">
        <v>20904</v>
      </c>
      <c r="AX1766" s="2" t="s">
        <v>20905</v>
      </c>
      <c r="AY1766" s="2" t="s">
        <v>20906</v>
      </c>
      <c r="AZ1766" s="2" t="s">
        <v>20906</v>
      </c>
      <c r="BA1766" s="2" t="s">
        <v>20907</v>
      </c>
      <c r="BB1766" s="2" t="s">
        <v>21</v>
      </c>
      <c r="BD1766" s="2" t="s">
        <v>20908</v>
      </c>
      <c r="BE1766" s="2" t="s">
        <v>20909</v>
      </c>
      <c r="BF1766" s="2" t="s">
        <v>20910</v>
      </c>
    </row>
    <row r="1767" spans="1:58" ht="41.25" customHeight="1" x14ac:dyDescent="0.25">
      <c r="A1767" s="8" t="s">
        <v>5</v>
      </c>
      <c r="B1767" s="1" t="s">
        <v>0</v>
      </c>
      <c r="C1767" s="1" t="s">
        <v>1</v>
      </c>
      <c r="D1767" s="1" t="s">
        <v>20911</v>
      </c>
      <c r="E1767" s="1" t="s">
        <v>20912</v>
      </c>
      <c r="F1767" s="1" t="s">
        <v>20913</v>
      </c>
      <c r="H1767" s="2" t="s">
        <v>5</v>
      </c>
      <c r="I1767" s="2" t="s">
        <v>6</v>
      </c>
      <c r="J1767" s="2" t="s">
        <v>5</v>
      </c>
      <c r="K1767" s="2" t="s">
        <v>16</v>
      </c>
      <c r="L1767" s="2" t="s">
        <v>20914</v>
      </c>
      <c r="M1767" s="1" t="s">
        <v>7866</v>
      </c>
      <c r="N1767" s="1" t="s">
        <v>20915</v>
      </c>
      <c r="O1767" s="2" t="s">
        <v>4990</v>
      </c>
      <c r="P1767" s="1" t="s">
        <v>211</v>
      </c>
      <c r="Q1767" s="2" t="s">
        <v>11</v>
      </c>
      <c r="R1767" s="2" t="s">
        <v>78</v>
      </c>
      <c r="T1767" s="2" t="s">
        <v>520</v>
      </c>
      <c r="U1767" s="3">
        <v>2</v>
      </c>
      <c r="V1767" s="3">
        <v>2</v>
      </c>
      <c r="W1767" s="4" t="s">
        <v>9354</v>
      </c>
      <c r="X1767" s="4" t="s">
        <v>9354</v>
      </c>
      <c r="Y1767" s="4" t="s">
        <v>11292</v>
      </c>
      <c r="Z1767" s="4" t="s">
        <v>11292</v>
      </c>
      <c r="AA1767" s="3">
        <v>206</v>
      </c>
      <c r="AB1767" s="3">
        <v>172</v>
      </c>
      <c r="AC1767" s="3">
        <v>1217</v>
      </c>
      <c r="AD1767" s="3">
        <v>1</v>
      </c>
      <c r="AE1767" s="3">
        <v>18</v>
      </c>
      <c r="AF1767" s="3">
        <v>5</v>
      </c>
      <c r="AG1767" s="3">
        <v>36</v>
      </c>
      <c r="AH1767" s="3">
        <v>1</v>
      </c>
      <c r="AI1767" s="3">
        <v>11</v>
      </c>
      <c r="AJ1767" s="3">
        <v>1</v>
      </c>
      <c r="AK1767" s="3">
        <v>7</v>
      </c>
      <c r="AL1767" s="3">
        <v>4</v>
      </c>
      <c r="AM1767" s="3">
        <v>10</v>
      </c>
      <c r="AN1767" s="3">
        <v>0</v>
      </c>
      <c r="AO1767" s="3">
        <v>12</v>
      </c>
      <c r="AP1767" s="3">
        <v>0</v>
      </c>
      <c r="AQ1767" s="3">
        <v>1</v>
      </c>
      <c r="AR1767" s="2" t="s">
        <v>5</v>
      </c>
      <c r="AS1767" s="2" t="s">
        <v>5</v>
      </c>
      <c r="AU1767" s="5" t="str">
        <f>HYPERLINK("https://creighton-primo.hosted.exlibrisgroup.com/primo-explore/search?tab=default_tab&amp;search_scope=EVERYTHING&amp;vid=01CRU&amp;lang=en_US&amp;offset=0&amp;query=any,contains,991000330759702656","Catalog Record")</f>
        <v>Catalog Record</v>
      </c>
      <c r="AV1767" s="5" t="str">
        <f>HYPERLINK("http://www.worldcat.org/oclc/48249350","WorldCat Record")</f>
        <v>WorldCat Record</v>
      </c>
      <c r="AW1767" s="2" t="s">
        <v>20916</v>
      </c>
      <c r="AX1767" s="2" t="s">
        <v>20917</v>
      </c>
      <c r="AY1767" s="2" t="s">
        <v>20918</v>
      </c>
      <c r="AZ1767" s="2" t="s">
        <v>20918</v>
      </c>
      <c r="BA1767" s="2" t="s">
        <v>20919</v>
      </c>
      <c r="BB1767" s="2" t="s">
        <v>21</v>
      </c>
      <c r="BD1767" s="2" t="s">
        <v>20920</v>
      </c>
      <c r="BE1767" s="2" t="s">
        <v>20921</v>
      </c>
      <c r="BF1767" s="2" t="s">
        <v>20922</v>
      </c>
    </row>
    <row r="1768" spans="1:58" ht="41.25" customHeight="1" x14ac:dyDescent="0.25">
      <c r="A1768" s="8" t="s">
        <v>5</v>
      </c>
      <c r="B1768" s="1" t="s">
        <v>0</v>
      </c>
      <c r="C1768" s="1" t="s">
        <v>1</v>
      </c>
      <c r="D1768" s="1" t="s">
        <v>20923</v>
      </c>
      <c r="E1768" s="1" t="s">
        <v>20924</v>
      </c>
      <c r="F1768" s="1" t="s">
        <v>20925</v>
      </c>
      <c r="H1768" s="2" t="s">
        <v>5</v>
      </c>
      <c r="I1768" s="2" t="s">
        <v>6</v>
      </c>
      <c r="J1768" s="2" t="s">
        <v>5</v>
      </c>
      <c r="K1768" s="2" t="s">
        <v>16</v>
      </c>
      <c r="L1768" s="2" t="s">
        <v>7</v>
      </c>
      <c r="M1768" s="1" t="s">
        <v>7866</v>
      </c>
      <c r="N1768" s="1" t="s">
        <v>20926</v>
      </c>
      <c r="O1768" s="2" t="s">
        <v>1195</v>
      </c>
      <c r="P1768" s="1" t="s">
        <v>901</v>
      </c>
      <c r="Q1768" s="2" t="s">
        <v>11</v>
      </c>
      <c r="R1768" s="2" t="s">
        <v>78</v>
      </c>
      <c r="T1768" s="2" t="s">
        <v>520</v>
      </c>
      <c r="U1768" s="3">
        <v>3</v>
      </c>
      <c r="V1768" s="3">
        <v>3</v>
      </c>
      <c r="W1768" s="4" t="s">
        <v>20927</v>
      </c>
      <c r="X1768" s="4" t="s">
        <v>20927</v>
      </c>
      <c r="Y1768" s="4" t="s">
        <v>20928</v>
      </c>
      <c r="Z1768" s="4" t="s">
        <v>20928</v>
      </c>
      <c r="AA1768" s="3">
        <v>245</v>
      </c>
      <c r="AB1768" s="3">
        <v>199</v>
      </c>
      <c r="AC1768" s="3">
        <v>1274</v>
      </c>
      <c r="AD1768" s="3">
        <v>1</v>
      </c>
      <c r="AE1768" s="3">
        <v>10</v>
      </c>
      <c r="AF1768" s="3">
        <v>6</v>
      </c>
      <c r="AG1768" s="3">
        <v>43</v>
      </c>
      <c r="AH1768" s="3">
        <v>4</v>
      </c>
      <c r="AI1768" s="3">
        <v>17</v>
      </c>
      <c r="AJ1768" s="3">
        <v>1</v>
      </c>
      <c r="AK1768" s="3">
        <v>9</v>
      </c>
      <c r="AL1768" s="3">
        <v>4</v>
      </c>
      <c r="AM1768" s="3">
        <v>15</v>
      </c>
      <c r="AN1768" s="3">
        <v>0</v>
      </c>
      <c r="AO1768" s="3">
        <v>8</v>
      </c>
      <c r="AP1768" s="3">
        <v>0</v>
      </c>
      <c r="AQ1768" s="3">
        <v>1</v>
      </c>
      <c r="AR1768" s="2" t="s">
        <v>5</v>
      </c>
      <c r="AS1768" s="2" t="s">
        <v>16</v>
      </c>
      <c r="AT1768" s="5" t="str">
        <f>HYPERLINK("http://catalog.hathitrust.org/Record/003445819","HathiTrust Record")</f>
        <v>HathiTrust Record</v>
      </c>
      <c r="AU1768" s="5" t="str">
        <f>HYPERLINK("https://creighton-primo.hosted.exlibrisgroup.com/primo-explore/search?tab=default_tab&amp;search_scope=EVERYTHING&amp;vid=01CRU&amp;lang=en_US&amp;offset=0&amp;query=any,contains,991001412369702656","Catalog Record")</f>
        <v>Catalog Record</v>
      </c>
      <c r="AV1768" s="5" t="str">
        <f>HYPERLINK("http://www.worldcat.org/oclc/41646948","WorldCat Record")</f>
        <v>WorldCat Record</v>
      </c>
      <c r="AW1768" s="2" t="s">
        <v>20929</v>
      </c>
      <c r="AX1768" s="2" t="s">
        <v>20930</v>
      </c>
      <c r="AY1768" s="2" t="s">
        <v>20931</v>
      </c>
      <c r="AZ1768" s="2" t="s">
        <v>20931</v>
      </c>
      <c r="BA1768" s="2" t="s">
        <v>20932</v>
      </c>
      <c r="BB1768" s="2" t="s">
        <v>21</v>
      </c>
      <c r="BD1768" s="2" t="s">
        <v>20933</v>
      </c>
      <c r="BE1768" s="2" t="s">
        <v>20934</v>
      </c>
      <c r="BF1768" s="2" t="s">
        <v>20935</v>
      </c>
    </row>
    <row r="1769" spans="1:58" ht="41.25" customHeight="1" x14ac:dyDescent="0.25">
      <c r="A1769" s="8" t="s">
        <v>5</v>
      </c>
      <c r="B1769" s="1" t="s">
        <v>0</v>
      </c>
      <c r="C1769" s="1" t="s">
        <v>1</v>
      </c>
      <c r="D1769" s="1" t="s">
        <v>20936</v>
      </c>
      <c r="E1769" s="1" t="s">
        <v>20937</v>
      </c>
      <c r="F1769" s="1" t="s">
        <v>20938</v>
      </c>
      <c r="H1769" s="2" t="s">
        <v>5</v>
      </c>
      <c r="I1769" s="2" t="s">
        <v>6</v>
      </c>
      <c r="J1769" s="2" t="s">
        <v>5</v>
      </c>
      <c r="K1769" s="2" t="s">
        <v>16</v>
      </c>
      <c r="L1769" s="2" t="s">
        <v>7</v>
      </c>
      <c r="M1769" s="1" t="s">
        <v>20939</v>
      </c>
      <c r="N1769" s="1" t="s">
        <v>13380</v>
      </c>
      <c r="O1769" s="2" t="s">
        <v>210</v>
      </c>
      <c r="P1769" s="1" t="s">
        <v>1208</v>
      </c>
      <c r="Q1769" s="2" t="s">
        <v>11</v>
      </c>
      <c r="R1769" s="2" t="s">
        <v>426</v>
      </c>
      <c r="T1769" s="2" t="s">
        <v>520</v>
      </c>
      <c r="U1769" s="3">
        <v>53</v>
      </c>
      <c r="V1769" s="3">
        <v>53</v>
      </c>
      <c r="W1769" s="4" t="s">
        <v>18649</v>
      </c>
      <c r="X1769" s="4" t="s">
        <v>18649</v>
      </c>
      <c r="Y1769" s="4" t="s">
        <v>13381</v>
      </c>
      <c r="Z1769" s="4" t="s">
        <v>13381</v>
      </c>
      <c r="AA1769" s="3">
        <v>342</v>
      </c>
      <c r="AB1769" s="3">
        <v>247</v>
      </c>
      <c r="AC1769" s="3">
        <v>684</v>
      </c>
      <c r="AD1769" s="3">
        <v>3</v>
      </c>
      <c r="AE1769" s="3">
        <v>6</v>
      </c>
      <c r="AF1769" s="3">
        <v>5</v>
      </c>
      <c r="AG1769" s="3">
        <v>21</v>
      </c>
      <c r="AH1769" s="3">
        <v>1</v>
      </c>
      <c r="AI1769" s="3">
        <v>9</v>
      </c>
      <c r="AJ1769" s="3">
        <v>2</v>
      </c>
      <c r="AK1769" s="3">
        <v>4</v>
      </c>
      <c r="AL1769" s="3">
        <v>5</v>
      </c>
      <c r="AM1769" s="3">
        <v>12</v>
      </c>
      <c r="AN1769" s="3">
        <v>0</v>
      </c>
      <c r="AO1769" s="3">
        <v>1</v>
      </c>
      <c r="AP1769" s="3">
        <v>0</v>
      </c>
      <c r="AQ1769" s="3">
        <v>0</v>
      </c>
      <c r="AR1769" s="2" t="s">
        <v>5</v>
      </c>
      <c r="AS1769" s="2" t="s">
        <v>16</v>
      </c>
      <c r="AT1769" s="5" t="str">
        <f>HYPERLINK("http://catalog.hathitrust.org/Record/002511222","HathiTrust Record")</f>
        <v>HathiTrust Record</v>
      </c>
      <c r="AU1769" s="5" t="str">
        <f>HYPERLINK("https://creighton-primo.hosted.exlibrisgroup.com/primo-explore/search?tab=default_tab&amp;search_scope=EVERYTHING&amp;vid=01CRU&amp;lang=en_US&amp;offset=0&amp;query=any,contains,991001338599702656","Catalog Record")</f>
        <v>Catalog Record</v>
      </c>
      <c r="AV1769" s="5" t="str">
        <f>HYPERLINK("http://www.worldcat.org/oclc/24504234","WorldCat Record")</f>
        <v>WorldCat Record</v>
      </c>
      <c r="AW1769" s="2" t="s">
        <v>20940</v>
      </c>
      <c r="AX1769" s="2" t="s">
        <v>20941</v>
      </c>
      <c r="AY1769" s="2" t="s">
        <v>20942</v>
      </c>
      <c r="AZ1769" s="2" t="s">
        <v>20942</v>
      </c>
      <c r="BA1769" s="2" t="s">
        <v>20943</v>
      </c>
      <c r="BB1769" s="2" t="s">
        <v>21</v>
      </c>
      <c r="BD1769" s="2" t="s">
        <v>20944</v>
      </c>
      <c r="BE1769" s="2" t="s">
        <v>20945</v>
      </c>
      <c r="BF1769" s="2" t="s">
        <v>20946</v>
      </c>
    </row>
    <row r="1770" spans="1:58" ht="41.25" customHeight="1" x14ac:dyDescent="0.25">
      <c r="A1770" s="8" t="s">
        <v>5</v>
      </c>
      <c r="B1770" s="1" t="s">
        <v>0</v>
      </c>
      <c r="C1770" s="1" t="s">
        <v>1</v>
      </c>
      <c r="D1770" s="1" t="s">
        <v>20947</v>
      </c>
      <c r="E1770" s="1" t="s">
        <v>20948</v>
      </c>
      <c r="F1770" s="1" t="s">
        <v>20938</v>
      </c>
      <c r="H1770" s="2" t="s">
        <v>5</v>
      </c>
      <c r="I1770" s="2" t="s">
        <v>6</v>
      </c>
      <c r="J1770" s="2" t="s">
        <v>5</v>
      </c>
      <c r="K1770" s="2" t="s">
        <v>16</v>
      </c>
      <c r="L1770" s="2" t="s">
        <v>7</v>
      </c>
      <c r="M1770" s="1" t="s">
        <v>20939</v>
      </c>
      <c r="N1770" s="1" t="s">
        <v>2410</v>
      </c>
      <c r="O1770" s="2" t="s">
        <v>794</v>
      </c>
      <c r="P1770" s="1" t="s">
        <v>1284</v>
      </c>
      <c r="Q1770" s="2" t="s">
        <v>11</v>
      </c>
      <c r="R1770" s="2" t="s">
        <v>1019</v>
      </c>
      <c r="T1770" s="2" t="s">
        <v>520</v>
      </c>
      <c r="U1770" s="3">
        <v>19</v>
      </c>
      <c r="V1770" s="3">
        <v>19</v>
      </c>
      <c r="W1770" s="4" t="s">
        <v>20949</v>
      </c>
      <c r="X1770" s="4" t="s">
        <v>20949</v>
      </c>
      <c r="Y1770" s="4" t="s">
        <v>20950</v>
      </c>
      <c r="Z1770" s="4" t="s">
        <v>20950</v>
      </c>
      <c r="AA1770" s="3">
        <v>369</v>
      </c>
      <c r="AB1770" s="3">
        <v>266</v>
      </c>
      <c r="AC1770" s="3">
        <v>684</v>
      </c>
      <c r="AD1770" s="3">
        <v>2</v>
      </c>
      <c r="AE1770" s="3">
        <v>6</v>
      </c>
      <c r="AF1770" s="3">
        <v>11</v>
      </c>
      <c r="AG1770" s="3">
        <v>21</v>
      </c>
      <c r="AH1770" s="3">
        <v>5</v>
      </c>
      <c r="AI1770" s="3">
        <v>9</v>
      </c>
      <c r="AJ1770" s="3">
        <v>1</v>
      </c>
      <c r="AK1770" s="3">
        <v>4</v>
      </c>
      <c r="AL1770" s="3">
        <v>7</v>
      </c>
      <c r="AM1770" s="3">
        <v>12</v>
      </c>
      <c r="AN1770" s="3">
        <v>0</v>
      </c>
      <c r="AO1770" s="3">
        <v>1</v>
      </c>
      <c r="AP1770" s="3">
        <v>0</v>
      </c>
      <c r="AQ1770" s="3">
        <v>0</v>
      </c>
      <c r="AR1770" s="2" t="s">
        <v>5</v>
      </c>
      <c r="AS1770" s="2" t="s">
        <v>5</v>
      </c>
      <c r="AU1770" s="5" t="str">
        <f>HYPERLINK("https://creighton-primo.hosted.exlibrisgroup.com/primo-explore/search?tab=default_tab&amp;search_scope=EVERYTHING&amp;vid=01CRU&amp;lang=en_US&amp;offset=0&amp;query=any,contains,991000834589702656","Catalog Record")</f>
        <v>Catalog Record</v>
      </c>
      <c r="AV1770" s="5" t="str">
        <f>HYPERLINK("http://www.worldcat.org/oclc/33105359","WorldCat Record")</f>
        <v>WorldCat Record</v>
      </c>
      <c r="AW1770" s="2" t="s">
        <v>20940</v>
      </c>
      <c r="AX1770" s="2" t="s">
        <v>20951</v>
      </c>
      <c r="AY1770" s="2" t="s">
        <v>20952</v>
      </c>
      <c r="AZ1770" s="2" t="s">
        <v>20952</v>
      </c>
      <c r="BA1770" s="2" t="s">
        <v>20953</v>
      </c>
      <c r="BB1770" s="2" t="s">
        <v>21</v>
      </c>
      <c r="BD1770" s="2" t="s">
        <v>20954</v>
      </c>
      <c r="BE1770" s="2" t="s">
        <v>20955</v>
      </c>
      <c r="BF1770" s="2" t="s">
        <v>20956</v>
      </c>
    </row>
    <row r="1771" spans="1:58" ht="41.25" customHeight="1" x14ac:dyDescent="0.25">
      <c r="A1771" s="8" t="s">
        <v>5</v>
      </c>
      <c r="B1771" s="1" t="s">
        <v>0</v>
      </c>
      <c r="C1771" s="1" t="s">
        <v>1</v>
      </c>
      <c r="D1771" s="1" t="s">
        <v>20957</v>
      </c>
      <c r="E1771" s="1" t="s">
        <v>20958</v>
      </c>
      <c r="F1771" s="1" t="s">
        <v>20959</v>
      </c>
      <c r="H1771" s="2" t="s">
        <v>5</v>
      </c>
      <c r="I1771" s="2" t="s">
        <v>6</v>
      </c>
      <c r="J1771" s="2" t="s">
        <v>5</v>
      </c>
      <c r="K1771" s="2" t="s">
        <v>5</v>
      </c>
      <c r="L1771" s="2" t="s">
        <v>7</v>
      </c>
      <c r="N1771" s="1" t="s">
        <v>10383</v>
      </c>
      <c r="O1771" s="2" t="s">
        <v>210</v>
      </c>
      <c r="Q1771" s="2" t="s">
        <v>11</v>
      </c>
      <c r="R1771" s="2" t="s">
        <v>31</v>
      </c>
      <c r="T1771" s="2" t="s">
        <v>520</v>
      </c>
      <c r="U1771" s="3">
        <v>8</v>
      </c>
      <c r="V1771" s="3">
        <v>8</v>
      </c>
      <c r="W1771" s="4" t="s">
        <v>20960</v>
      </c>
      <c r="X1771" s="4" t="s">
        <v>20960</v>
      </c>
      <c r="Y1771" s="4" t="s">
        <v>3416</v>
      </c>
      <c r="Z1771" s="4" t="s">
        <v>3416</v>
      </c>
      <c r="AA1771" s="3">
        <v>253</v>
      </c>
      <c r="AB1771" s="3">
        <v>197</v>
      </c>
      <c r="AC1771" s="3">
        <v>367</v>
      </c>
      <c r="AD1771" s="3">
        <v>2</v>
      </c>
      <c r="AE1771" s="3">
        <v>2</v>
      </c>
      <c r="AF1771" s="3">
        <v>4</v>
      </c>
      <c r="AG1771" s="3">
        <v>11</v>
      </c>
      <c r="AH1771" s="3">
        <v>1</v>
      </c>
      <c r="AI1771" s="3">
        <v>5</v>
      </c>
      <c r="AJ1771" s="3">
        <v>2</v>
      </c>
      <c r="AK1771" s="3">
        <v>3</v>
      </c>
      <c r="AL1771" s="3">
        <v>3</v>
      </c>
      <c r="AM1771" s="3">
        <v>5</v>
      </c>
      <c r="AN1771" s="3">
        <v>0</v>
      </c>
      <c r="AO1771" s="3">
        <v>0</v>
      </c>
      <c r="AP1771" s="3">
        <v>0</v>
      </c>
      <c r="AQ1771" s="3">
        <v>0</v>
      </c>
      <c r="AR1771" s="2" t="s">
        <v>5</v>
      </c>
      <c r="AS1771" s="2" t="s">
        <v>16</v>
      </c>
      <c r="AT1771" s="5" t="str">
        <f>HYPERLINK("http://catalog.hathitrust.org/Record/002600344","HathiTrust Record")</f>
        <v>HathiTrust Record</v>
      </c>
      <c r="AU1771" s="5" t="str">
        <f>HYPERLINK("https://creighton-primo.hosted.exlibrisgroup.com/primo-explore/search?tab=default_tab&amp;search_scope=EVERYTHING&amp;vid=01CRU&amp;lang=en_US&amp;offset=0&amp;query=any,contains,991001303089702656","Catalog Record")</f>
        <v>Catalog Record</v>
      </c>
      <c r="AV1771" s="5" t="str">
        <f>HYPERLINK("http://www.worldcat.org/oclc/24547044","WorldCat Record")</f>
        <v>WorldCat Record</v>
      </c>
      <c r="AW1771" s="2" t="s">
        <v>20961</v>
      </c>
      <c r="AX1771" s="2" t="s">
        <v>20962</v>
      </c>
      <c r="AY1771" s="2" t="s">
        <v>20963</v>
      </c>
      <c r="AZ1771" s="2" t="s">
        <v>20963</v>
      </c>
      <c r="BA1771" s="2" t="s">
        <v>20964</v>
      </c>
      <c r="BB1771" s="2" t="s">
        <v>21</v>
      </c>
      <c r="BD1771" s="2" t="s">
        <v>20965</v>
      </c>
      <c r="BE1771" s="2" t="s">
        <v>20966</v>
      </c>
      <c r="BF1771" s="2" t="s">
        <v>20967</v>
      </c>
    </row>
    <row r="1772" spans="1:58" ht="41.25" customHeight="1" x14ac:dyDescent="0.25">
      <c r="A1772" s="8" t="s">
        <v>5</v>
      </c>
      <c r="B1772" s="1" t="s">
        <v>0</v>
      </c>
      <c r="C1772" s="1" t="s">
        <v>1</v>
      </c>
      <c r="D1772" s="1" t="s">
        <v>20968</v>
      </c>
      <c r="E1772" s="1" t="s">
        <v>20969</v>
      </c>
      <c r="F1772" s="1" t="s">
        <v>20970</v>
      </c>
      <c r="H1772" s="2" t="s">
        <v>5</v>
      </c>
      <c r="I1772" s="2" t="s">
        <v>6</v>
      </c>
      <c r="J1772" s="2" t="s">
        <v>5</v>
      </c>
      <c r="K1772" s="2" t="s">
        <v>16</v>
      </c>
      <c r="L1772" s="2" t="s">
        <v>7</v>
      </c>
      <c r="N1772" s="1" t="s">
        <v>8975</v>
      </c>
      <c r="O1772" s="2" t="s">
        <v>601</v>
      </c>
      <c r="P1772" s="1" t="s">
        <v>20971</v>
      </c>
      <c r="Q1772" s="2" t="s">
        <v>11</v>
      </c>
      <c r="R1772" s="2" t="s">
        <v>426</v>
      </c>
      <c r="T1772" s="2" t="s">
        <v>520</v>
      </c>
      <c r="U1772" s="3">
        <v>19</v>
      </c>
      <c r="V1772" s="3">
        <v>19</v>
      </c>
      <c r="W1772" s="4" t="s">
        <v>8172</v>
      </c>
      <c r="X1772" s="4" t="s">
        <v>8172</v>
      </c>
      <c r="Y1772" s="4" t="s">
        <v>10606</v>
      </c>
      <c r="Z1772" s="4" t="s">
        <v>10606</v>
      </c>
      <c r="AA1772" s="3">
        <v>329</v>
      </c>
      <c r="AB1772" s="3">
        <v>251</v>
      </c>
      <c r="AC1772" s="3">
        <v>1296</v>
      </c>
      <c r="AD1772" s="3">
        <v>3</v>
      </c>
      <c r="AE1772" s="3">
        <v>9</v>
      </c>
      <c r="AF1772" s="3">
        <v>4</v>
      </c>
      <c r="AG1772" s="3">
        <v>35</v>
      </c>
      <c r="AH1772" s="3">
        <v>1</v>
      </c>
      <c r="AI1772" s="3">
        <v>12</v>
      </c>
      <c r="AJ1772" s="3">
        <v>1</v>
      </c>
      <c r="AK1772" s="3">
        <v>7</v>
      </c>
      <c r="AL1772" s="3">
        <v>3</v>
      </c>
      <c r="AM1772" s="3">
        <v>14</v>
      </c>
      <c r="AN1772" s="3">
        <v>0</v>
      </c>
      <c r="AO1772" s="3">
        <v>6</v>
      </c>
      <c r="AP1772" s="3">
        <v>0</v>
      </c>
      <c r="AQ1772" s="3">
        <v>0</v>
      </c>
      <c r="AR1772" s="2" t="s">
        <v>5</v>
      </c>
      <c r="AS1772" s="2" t="s">
        <v>5</v>
      </c>
      <c r="AU1772" s="5" t="str">
        <f>HYPERLINK("https://creighton-primo.hosted.exlibrisgroup.com/primo-explore/search?tab=default_tab&amp;search_scope=EVERYTHING&amp;vid=01CRU&amp;lang=en_US&amp;offset=0&amp;query=any,contains,991001502949702656","Catalog Record")</f>
        <v>Catalog Record</v>
      </c>
      <c r="AV1772" s="5" t="str">
        <f>HYPERLINK("http://www.worldcat.org/oclc/32351602","WorldCat Record")</f>
        <v>WorldCat Record</v>
      </c>
      <c r="AW1772" s="2" t="s">
        <v>20972</v>
      </c>
      <c r="AX1772" s="2" t="s">
        <v>20973</v>
      </c>
      <c r="AY1772" s="2" t="s">
        <v>20974</v>
      </c>
      <c r="AZ1772" s="2" t="s">
        <v>20974</v>
      </c>
      <c r="BA1772" s="2" t="s">
        <v>20975</v>
      </c>
      <c r="BB1772" s="2" t="s">
        <v>21</v>
      </c>
      <c r="BD1772" s="2" t="s">
        <v>20976</v>
      </c>
      <c r="BE1772" s="2" t="s">
        <v>20977</v>
      </c>
      <c r="BF1772" s="2" t="s">
        <v>20978</v>
      </c>
    </row>
    <row r="1773" spans="1:58" ht="41.25" customHeight="1" x14ac:dyDescent="0.25">
      <c r="A1773" s="8" t="s">
        <v>5</v>
      </c>
      <c r="B1773" s="1" t="s">
        <v>0</v>
      </c>
      <c r="C1773" s="1" t="s">
        <v>1</v>
      </c>
      <c r="D1773" s="1" t="s">
        <v>20979</v>
      </c>
      <c r="E1773" s="1" t="s">
        <v>20980</v>
      </c>
      <c r="F1773" s="1" t="s">
        <v>20981</v>
      </c>
      <c r="H1773" s="2" t="s">
        <v>5</v>
      </c>
      <c r="I1773" s="2" t="s">
        <v>6</v>
      </c>
      <c r="J1773" s="2" t="s">
        <v>5</v>
      </c>
      <c r="K1773" s="2" t="s">
        <v>16</v>
      </c>
      <c r="L1773" s="2" t="s">
        <v>7</v>
      </c>
      <c r="N1773" s="1" t="s">
        <v>8079</v>
      </c>
      <c r="O1773" s="2" t="s">
        <v>1004</v>
      </c>
      <c r="P1773" s="1" t="s">
        <v>20982</v>
      </c>
      <c r="Q1773" s="2" t="s">
        <v>11</v>
      </c>
      <c r="R1773" s="2" t="s">
        <v>31</v>
      </c>
      <c r="T1773" s="2" t="s">
        <v>520</v>
      </c>
      <c r="U1773" s="3">
        <v>4</v>
      </c>
      <c r="V1773" s="3">
        <v>4</v>
      </c>
      <c r="W1773" s="4" t="s">
        <v>14529</v>
      </c>
      <c r="X1773" s="4" t="s">
        <v>14529</v>
      </c>
      <c r="Y1773" s="4" t="s">
        <v>20983</v>
      </c>
      <c r="Z1773" s="4" t="s">
        <v>20983</v>
      </c>
      <c r="AA1773" s="3">
        <v>382</v>
      </c>
      <c r="AB1773" s="3">
        <v>305</v>
      </c>
      <c r="AC1773" s="3">
        <v>1296</v>
      </c>
      <c r="AD1773" s="3">
        <v>2</v>
      </c>
      <c r="AE1773" s="3">
        <v>9</v>
      </c>
      <c r="AF1773" s="3">
        <v>7</v>
      </c>
      <c r="AG1773" s="3">
        <v>35</v>
      </c>
      <c r="AH1773" s="3">
        <v>2</v>
      </c>
      <c r="AI1773" s="3">
        <v>12</v>
      </c>
      <c r="AJ1773" s="3">
        <v>1</v>
      </c>
      <c r="AK1773" s="3">
        <v>7</v>
      </c>
      <c r="AL1773" s="3">
        <v>4</v>
      </c>
      <c r="AM1773" s="3">
        <v>14</v>
      </c>
      <c r="AN1773" s="3">
        <v>1</v>
      </c>
      <c r="AO1773" s="3">
        <v>6</v>
      </c>
      <c r="AP1773" s="3">
        <v>0</v>
      </c>
      <c r="AQ1773" s="3">
        <v>0</v>
      </c>
      <c r="AR1773" s="2" t="s">
        <v>5</v>
      </c>
      <c r="AS1773" s="2" t="s">
        <v>5</v>
      </c>
      <c r="AU1773" s="5" t="str">
        <f>HYPERLINK("https://creighton-primo.hosted.exlibrisgroup.com/primo-explore/search?tab=default_tab&amp;search_scope=EVERYTHING&amp;vid=01CRU&amp;lang=en_US&amp;offset=0&amp;query=any,contains,991000876219702656","Catalog Record")</f>
        <v>Catalog Record</v>
      </c>
      <c r="AV1773" s="5" t="str">
        <f>HYPERLINK("http://www.worldcat.org/oclc/39811647","WorldCat Record")</f>
        <v>WorldCat Record</v>
      </c>
      <c r="AW1773" s="2" t="s">
        <v>20972</v>
      </c>
      <c r="AX1773" s="2" t="s">
        <v>20984</v>
      </c>
      <c r="AY1773" s="2" t="s">
        <v>20985</v>
      </c>
      <c r="AZ1773" s="2" t="s">
        <v>20985</v>
      </c>
      <c r="BA1773" s="2" t="s">
        <v>20986</v>
      </c>
      <c r="BB1773" s="2" t="s">
        <v>21</v>
      </c>
      <c r="BD1773" s="2" t="s">
        <v>20987</v>
      </c>
      <c r="BE1773" s="2" t="s">
        <v>20988</v>
      </c>
      <c r="BF1773" s="2" t="s">
        <v>20989</v>
      </c>
    </row>
    <row r="1774" spans="1:58" ht="41.25" customHeight="1" x14ac:dyDescent="0.25">
      <c r="A1774" s="8" t="s">
        <v>5</v>
      </c>
      <c r="B1774" s="1" t="s">
        <v>0</v>
      </c>
      <c r="C1774" s="1" t="s">
        <v>1</v>
      </c>
      <c r="D1774" s="1" t="s">
        <v>20990</v>
      </c>
      <c r="E1774" s="1" t="s">
        <v>20991</v>
      </c>
      <c r="F1774" s="1" t="s">
        <v>20992</v>
      </c>
      <c r="H1774" s="2" t="s">
        <v>5</v>
      </c>
      <c r="I1774" s="2" t="s">
        <v>6</v>
      </c>
      <c r="J1774" s="2" t="s">
        <v>5</v>
      </c>
      <c r="K1774" s="2" t="s">
        <v>16</v>
      </c>
      <c r="L1774" s="2" t="s">
        <v>7</v>
      </c>
      <c r="N1774" s="1" t="s">
        <v>10652</v>
      </c>
      <c r="O1774" s="2" t="s">
        <v>1046</v>
      </c>
      <c r="P1774" s="1" t="s">
        <v>759</v>
      </c>
      <c r="Q1774" s="2" t="s">
        <v>11</v>
      </c>
      <c r="R1774" s="2" t="s">
        <v>31</v>
      </c>
      <c r="T1774" s="2" t="s">
        <v>520</v>
      </c>
      <c r="U1774" s="3">
        <v>3</v>
      </c>
      <c r="V1774" s="3">
        <v>3</v>
      </c>
      <c r="W1774" s="4" t="s">
        <v>20993</v>
      </c>
      <c r="X1774" s="4" t="s">
        <v>20993</v>
      </c>
      <c r="Y1774" s="4" t="s">
        <v>16171</v>
      </c>
      <c r="Z1774" s="4" t="s">
        <v>16171</v>
      </c>
      <c r="AA1774" s="3">
        <v>468</v>
      </c>
      <c r="AB1774" s="3">
        <v>354</v>
      </c>
      <c r="AC1774" s="3">
        <v>1296</v>
      </c>
      <c r="AD1774" s="3">
        <v>2</v>
      </c>
      <c r="AE1774" s="3">
        <v>9</v>
      </c>
      <c r="AF1774" s="3">
        <v>12</v>
      </c>
      <c r="AG1774" s="3">
        <v>35</v>
      </c>
      <c r="AH1774" s="3">
        <v>4</v>
      </c>
      <c r="AI1774" s="3">
        <v>12</v>
      </c>
      <c r="AJ1774" s="3">
        <v>2</v>
      </c>
      <c r="AK1774" s="3">
        <v>7</v>
      </c>
      <c r="AL1774" s="3">
        <v>5</v>
      </c>
      <c r="AM1774" s="3">
        <v>14</v>
      </c>
      <c r="AN1774" s="3">
        <v>2</v>
      </c>
      <c r="AO1774" s="3">
        <v>6</v>
      </c>
      <c r="AP1774" s="3">
        <v>0</v>
      </c>
      <c r="AQ1774" s="3">
        <v>0</v>
      </c>
      <c r="AR1774" s="2" t="s">
        <v>5</v>
      </c>
      <c r="AS1774" s="2" t="s">
        <v>5</v>
      </c>
      <c r="AU1774" s="5" t="str">
        <f>HYPERLINK("https://creighton-primo.hosted.exlibrisgroup.com/primo-explore/search?tab=default_tab&amp;search_scope=EVERYTHING&amp;vid=01CRU&amp;lang=en_US&amp;offset=0&amp;query=any,contains,991001721589702656","Catalog Record")</f>
        <v>Catalog Record</v>
      </c>
      <c r="AV1774" s="5" t="str">
        <f>HYPERLINK("http://www.worldcat.org/oclc/50333760","WorldCat Record")</f>
        <v>WorldCat Record</v>
      </c>
      <c r="AW1774" s="2" t="s">
        <v>20972</v>
      </c>
      <c r="AX1774" s="2" t="s">
        <v>20994</v>
      </c>
      <c r="AY1774" s="2" t="s">
        <v>20995</v>
      </c>
      <c r="AZ1774" s="2" t="s">
        <v>20995</v>
      </c>
      <c r="BA1774" s="2" t="s">
        <v>20996</v>
      </c>
      <c r="BB1774" s="2" t="s">
        <v>21</v>
      </c>
      <c r="BD1774" s="2" t="s">
        <v>20997</v>
      </c>
      <c r="BE1774" s="2" t="s">
        <v>20998</v>
      </c>
      <c r="BF1774" s="2" t="s">
        <v>20999</v>
      </c>
    </row>
    <row r="1775" spans="1:58" ht="41.25" customHeight="1" x14ac:dyDescent="0.25">
      <c r="A1775" s="8" t="s">
        <v>5</v>
      </c>
      <c r="B1775" s="1" t="s">
        <v>0</v>
      </c>
      <c r="C1775" s="1" t="s">
        <v>1</v>
      </c>
      <c r="D1775" s="1" t="s">
        <v>21000</v>
      </c>
      <c r="E1775" s="1" t="s">
        <v>21001</v>
      </c>
      <c r="F1775" s="1" t="s">
        <v>21002</v>
      </c>
      <c r="H1775" s="2" t="s">
        <v>5</v>
      </c>
      <c r="I1775" s="2" t="s">
        <v>6</v>
      </c>
      <c r="J1775" s="2" t="s">
        <v>5</v>
      </c>
      <c r="K1775" s="2" t="s">
        <v>5</v>
      </c>
      <c r="L1775" s="2" t="s">
        <v>7</v>
      </c>
      <c r="N1775" s="1" t="s">
        <v>6594</v>
      </c>
      <c r="O1775" s="2" t="s">
        <v>734</v>
      </c>
      <c r="Q1775" s="2" t="s">
        <v>11</v>
      </c>
      <c r="R1775" s="2" t="s">
        <v>426</v>
      </c>
      <c r="T1775" s="2" t="s">
        <v>520</v>
      </c>
      <c r="U1775" s="3">
        <v>2</v>
      </c>
      <c r="V1775" s="3">
        <v>2</v>
      </c>
      <c r="W1775" s="4" t="s">
        <v>15182</v>
      </c>
      <c r="X1775" s="4" t="s">
        <v>15182</v>
      </c>
      <c r="Y1775" s="4" t="s">
        <v>96</v>
      </c>
      <c r="Z1775" s="4" t="s">
        <v>96</v>
      </c>
      <c r="AA1775" s="3">
        <v>171</v>
      </c>
      <c r="AB1775" s="3">
        <v>155</v>
      </c>
      <c r="AC1775" s="3">
        <v>157</v>
      </c>
      <c r="AD1775" s="3">
        <v>1</v>
      </c>
      <c r="AE1775" s="3">
        <v>1</v>
      </c>
      <c r="AF1775" s="3">
        <v>2</v>
      </c>
      <c r="AG1775" s="3">
        <v>2</v>
      </c>
      <c r="AH1775" s="3">
        <v>0</v>
      </c>
      <c r="AI1775" s="3">
        <v>0</v>
      </c>
      <c r="AJ1775" s="3">
        <v>1</v>
      </c>
      <c r="AK1775" s="3">
        <v>1</v>
      </c>
      <c r="AL1775" s="3">
        <v>2</v>
      </c>
      <c r="AM1775" s="3">
        <v>2</v>
      </c>
      <c r="AN1775" s="3">
        <v>0</v>
      </c>
      <c r="AO1775" s="3">
        <v>0</v>
      </c>
      <c r="AP1775" s="3">
        <v>0</v>
      </c>
      <c r="AQ1775" s="3">
        <v>0</v>
      </c>
      <c r="AR1775" s="2" t="s">
        <v>5</v>
      </c>
      <c r="AS1775" s="2" t="s">
        <v>16</v>
      </c>
      <c r="AT1775" s="5" t="str">
        <f>HYPERLINK("http://catalog.hathitrust.org/Record/000161534","HathiTrust Record")</f>
        <v>HathiTrust Record</v>
      </c>
      <c r="AU1775" s="5" t="str">
        <f>HYPERLINK("https://creighton-primo.hosted.exlibrisgroup.com/primo-explore/search?tab=default_tab&amp;search_scope=EVERYTHING&amp;vid=01CRU&amp;lang=en_US&amp;offset=0&amp;query=any,contains,991000927649702656","Catalog Record")</f>
        <v>Catalog Record</v>
      </c>
      <c r="AV1775" s="5" t="str">
        <f>HYPERLINK("http://www.worldcat.org/oclc/9412167","WorldCat Record")</f>
        <v>WorldCat Record</v>
      </c>
      <c r="AW1775" s="2" t="s">
        <v>21003</v>
      </c>
      <c r="AX1775" s="2" t="s">
        <v>21004</v>
      </c>
      <c r="AY1775" s="2" t="s">
        <v>21005</v>
      </c>
      <c r="AZ1775" s="2" t="s">
        <v>21005</v>
      </c>
      <c r="BA1775" s="2" t="s">
        <v>21006</v>
      </c>
      <c r="BB1775" s="2" t="s">
        <v>21</v>
      </c>
      <c r="BD1775" s="2" t="s">
        <v>21007</v>
      </c>
      <c r="BE1775" s="2" t="s">
        <v>21008</v>
      </c>
      <c r="BF1775" s="2" t="s">
        <v>21009</v>
      </c>
    </row>
    <row r="1776" spans="1:58" ht="41.25" customHeight="1" x14ac:dyDescent="0.25">
      <c r="A1776" s="8" t="s">
        <v>5</v>
      </c>
      <c r="B1776" s="1" t="s">
        <v>0</v>
      </c>
      <c r="C1776" s="1" t="s">
        <v>1</v>
      </c>
      <c r="D1776" s="1" t="s">
        <v>21010</v>
      </c>
      <c r="E1776" s="1" t="s">
        <v>21011</v>
      </c>
      <c r="F1776" s="1" t="s">
        <v>21012</v>
      </c>
      <c r="H1776" s="2" t="s">
        <v>5</v>
      </c>
      <c r="I1776" s="2" t="s">
        <v>6</v>
      </c>
      <c r="J1776" s="2" t="s">
        <v>5</v>
      </c>
      <c r="K1776" s="2" t="s">
        <v>5</v>
      </c>
      <c r="L1776" s="2" t="s">
        <v>7</v>
      </c>
      <c r="M1776" s="1" t="s">
        <v>21013</v>
      </c>
      <c r="N1776" s="1" t="s">
        <v>21014</v>
      </c>
      <c r="O1776" s="2" t="s">
        <v>62</v>
      </c>
      <c r="P1776" s="1" t="s">
        <v>2397</v>
      </c>
      <c r="Q1776" s="2" t="s">
        <v>11</v>
      </c>
      <c r="R1776" s="2" t="s">
        <v>3571</v>
      </c>
      <c r="T1776" s="2" t="s">
        <v>520</v>
      </c>
      <c r="U1776" s="3">
        <v>1</v>
      </c>
      <c r="V1776" s="3">
        <v>1</v>
      </c>
      <c r="W1776" s="4" t="s">
        <v>20813</v>
      </c>
      <c r="X1776" s="4" t="s">
        <v>20813</v>
      </c>
      <c r="Y1776" s="4" t="s">
        <v>96</v>
      </c>
      <c r="Z1776" s="4" t="s">
        <v>96</v>
      </c>
      <c r="AA1776" s="3">
        <v>73</v>
      </c>
      <c r="AB1776" s="3">
        <v>38</v>
      </c>
      <c r="AC1776" s="3">
        <v>66</v>
      </c>
      <c r="AD1776" s="3">
        <v>1</v>
      </c>
      <c r="AE1776" s="3">
        <v>1</v>
      </c>
      <c r="AF1776" s="3">
        <v>0</v>
      </c>
      <c r="AG1776" s="3">
        <v>0</v>
      </c>
      <c r="AH1776" s="3">
        <v>0</v>
      </c>
      <c r="AI1776" s="3">
        <v>0</v>
      </c>
      <c r="AJ1776" s="3">
        <v>0</v>
      </c>
      <c r="AK1776" s="3">
        <v>0</v>
      </c>
      <c r="AL1776" s="3">
        <v>0</v>
      </c>
      <c r="AM1776" s="3">
        <v>0</v>
      </c>
      <c r="AN1776" s="3">
        <v>0</v>
      </c>
      <c r="AO1776" s="3">
        <v>0</v>
      </c>
      <c r="AP1776" s="3">
        <v>0</v>
      </c>
      <c r="AQ1776" s="3">
        <v>0</v>
      </c>
      <c r="AR1776" s="2" t="s">
        <v>5</v>
      </c>
      <c r="AS1776" s="2" t="s">
        <v>5</v>
      </c>
      <c r="AU1776" s="5" t="str">
        <f>HYPERLINK("https://creighton-primo.hosted.exlibrisgroup.com/primo-explore/search?tab=default_tab&amp;search_scope=EVERYTHING&amp;vid=01CRU&amp;lang=en_US&amp;offset=0&amp;query=any,contains,991000927819702656","Catalog Record")</f>
        <v>Catalog Record</v>
      </c>
      <c r="AV1776" s="5" t="str">
        <f>HYPERLINK("http://www.worldcat.org/oclc/3223487","WorldCat Record")</f>
        <v>WorldCat Record</v>
      </c>
      <c r="AW1776" s="2" t="s">
        <v>21015</v>
      </c>
      <c r="AX1776" s="2" t="s">
        <v>21016</v>
      </c>
      <c r="AY1776" s="2" t="s">
        <v>21017</v>
      </c>
      <c r="AZ1776" s="2" t="s">
        <v>21017</v>
      </c>
      <c r="BA1776" s="2" t="s">
        <v>21018</v>
      </c>
      <c r="BB1776" s="2" t="s">
        <v>21</v>
      </c>
      <c r="BD1776" s="2" t="s">
        <v>21019</v>
      </c>
      <c r="BE1776" s="2" t="s">
        <v>21020</v>
      </c>
      <c r="BF1776" s="2" t="s">
        <v>21021</v>
      </c>
    </row>
    <row r="1777" spans="1:58" ht="41.25" customHeight="1" x14ac:dyDescent="0.25">
      <c r="A1777" s="8" t="s">
        <v>5</v>
      </c>
      <c r="B1777" s="1" t="s">
        <v>0</v>
      </c>
      <c r="C1777" s="1" t="s">
        <v>1</v>
      </c>
      <c r="D1777" s="1" t="s">
        <v>21022</v>
      </c>
      <c r="E1777" s="1" t="s">
        <v>21023</v>
      </c>
      <c r="F1777" s="1" t="s">
        <v>21024</v>
      </c>
      <c r="H1777" s="2" t="s">
        <v>5</v>
      </c>
      <c r="I1777" s="2" t="s">
        <v>6</v>
      </c>
      <c r="J1777" s="2" t="s">
        <v>5</v>
      </c>
      <c r="K1777" s="2" t="s">
        <v>5</v>
      </c>
      <c r="L1777" s="2" t="s">
        <v>7</v>
      </c>
      <c r="M1777" s="1" t="s">
        <v>21025</v>
      </c>
      <c r="N1777" s="1" t="s">
        <v>21026</v>
      </c>
      <c r="O1777" s="2" t="s">
        <v>136</v>
      </c>
      <c r="Q1777" s="2" t="s">
        <v>11</v>
      </c>
      <c r="R1777" s="2" t="s">
        <v>78</v>
      </c>
      <c r="T1777" s="2" t="s">
        <v>520</v>
      </c>
      <c r="U1777" s="3">
        <v>40</v>
      </c>
      <c r="V1777" s="3">
        <v>40</v>
      </c>
      <c r="W1777" s="4" t="s">
        <v>13346</v>
      </c>
      <c r="X1777" s="4" t="s">
        <v>13346</v>
      </c>
      <c r="Y1777" s="4" t="s">
        <v>21027</v>
      </c>
      <c r="Z1777" s="4" t="s">
        <v>21027</v>
      </c>
      <c r="AA1777" s="3">
        <v>225</v>
      </c>
      <c r="AB1777" s="3">
        <v>165</v>
      </c>
      <c r="AC1777" s="3">
        <v>293</v>
      </c>
      <c r="AD1777" s="3">
        <v>2</v>
      </c>
      <c r="AE1777" s="3">
        <v>2</v>
      </c>
      <c r="AF1777" s="3">
        <v>3</v>
      </c>
      <c r="AG1777" s="3">
        <v>5</v>
      </c>
      <c r="AH1777" s="3">
        <v>2</v>
      </c>
      <c r="AI1777" s="3">
        <v>2</v>
      </c>
      <c r="AJ1777" s="3">
        <v>0</v>
      </c>
      <c r="AK1777" s="3">
        <v>0</v>
      </c>
      <c r="AL1777" s="3">
        <v>2</v>
      </c>
      <c r="AM1777" s="3">
        <v>4</v>
      </c>
      <c r="AN1777" s="3">
        <v>0</v>
      </c>
      <c r="AO1777" s="3">
        <v>0</v>
      </c>
      <c r="AP1777" s="3">
        <v>0</v>
      </c>
      <c r="AQ1777" s="3">
        <v>0</v>
      </c>
      <c r="AR1777" s="2" t="s">
        <v>5</v>
      </c>
      <c r="AS1777" s="2" t="s">
        <v>16</v>
      </c>
      <c r="AT1777" s="5" t="str">
        <f>HYPERLINK("http://catalog.hathitrust.org/Record/004507327","HathiTrust Record")</f>
        <v>HathiTrust Record</v>
      </c>
      <c r="AU1777" s="5" t="str">
        <f>HYPERLINK("https://creighton-primo.hosted.exlibrisgroup.com/primo-explore/search?tab=default_tab&amp;search_scope=EVERYTHING&amp;vid=01CRU&amp;lang=en_US&amp;offset=0&amp;query=any,contains,991000935769702656","Catalog Record")</f>
        <v>Catalog Record</v>
      </c>
      <c r="AV1777" s="5" t="str">
        <f>HYPERLINK("http://www.worldcat.org/oclc/22184172","WorldCat Record")</f>
        <v>WorldCat Record</v>
      </c>
      <c r="AW1777" s="2" t="s">
        <v>21028</v>
      </c>
      <c r="AX1777" s="2" t="s">
        <v>21029</v>
      </c>
      <c r="AY1777" s="2" t="s">
        <v>21030</v>
      </c>
      <c r="AZ1777" s="2" t="s">
        <v>21030</v>
      </c>
      <c r="BA1777" s="2" t="s">
        <v>21031</v>
      </c>
      <c r="BB1777" s="2" t="s">
        <v>21</v>
      </c>
      <c r="BD1777" s="2" t="s">
        <v>21032</v>
      </c>
      <c r="BE1777" s="2" t="s">
        <v>21033</v>
      </c>
      <c r="BF1777" s="2" t="s">
        <v>21034</v>
      </c>
    </row>
    <row r="1778" spans="1:58" ht="41.25" customHeight="1" x14ac:dyDescent="0.25">
      <c r="A1778" s="8" t="s">
        <v>5</v>
      </c>
      <c r="B1778" s="1" t="s">
        <v>0</v>
      </c>
      <c r="C1778" s="1" t="s">
        <v>1</v>
      </c>
      <c r="D1778" s="1" t="s">
        <v>21035</v>
      </c>
      <c r="E1778" s="1" t="s">
        <v>21036</v>
      </c>
      <c r="F1778" s="1" t="s">
        <v>21037</v>
      </c>
      <c r="H1778" s="2" t="s">
        <v>5</v>
      </c>
      <c r="I1778" s="2" t="s">
        <v>6</v>
      </c>
      <c r="J1778" s="2" t="s">
        <v>5</v>
      </c>
      <c r="K1778" s="2" t="s">
        <v>5</v>
      </c>
      <c r="L1778" s="2" t="s">
        <v>7</v>
      </c>
      <c r="M1778" s="1" t="s">
        <v>21038</v>
      </c>
      <c r="N1778" s="1" t="s">
        <v>21039</v>
      </c>
      <c r="O1778" s="2" t="s">
        <v>1046</v>
      </c>
      <c r="P1778" s="1" t="s">
        <v>355</v>
      </c>
      <c r="Q1778" s="2" t="s">
        <v>11</v>
      </c>
      <c r="R1778" s="2" t="s">
        <v>1427</v>
      </c>
      <c r="T1778" s="2" t="s">
        <v>520</v>
      </c>
      <c r="U1778" s="3">
        <v>0</v>
      </c>
      <c r="V1778" s="3">
        <v>0</v>
      </c>
      <c r="W1778" s="4" t="s">
        <v>21040</v>
      </c>
      <c r="X1778" s="4" t="s">
        <v>21040</v>
      </c>
      <c r="Y1778" s="4" t="s">
        <v>21041</v>
      </c>
      <c r="Z1778" s="4" t="s">
        <v>21041</v>
      </c>
      <c r="AA1778" s="3">
        <v>152</v>
      </c>
      <c r="AB1778" s="3">
        <v>87</v>
      </c>
      <c r="AC1778" s="3">
        <v>525</v>
      </c>
      <c r="AD1778" s="3">
        <v>1</v>
      </c>
      <c r="AE1778" s="3">
        <v>5</v>
      </c>
      <c r="AF1778" s="3">
        <v>3</v>
      </c>
      <c r="AG1778" s="3">
        <v>23</v>
      </c>
      <c r="AH1778" s="3">
        <v>0</v>
      </c>
      <c r="AI1778" s="3">
        <v>8</v>
      </c>
      <c r="AJ1778" s="3">
        <v>1</v>
      </c>
      <c r="AK1778" s="3">
        <v>6</v>
      </c>
      <c r="AL1778" s="3">
        <v>2</v>
      </c>
      <c r="AM1778" s="3">
        <v>6</v>
      </c>
      <c r="AN1778" s="3">
        <v>0</v>
      </c>
      <c r="AO1778" s="3">
        <v>4</v>
      </c>
      <c r="AP1778" s="3">
        <v>0</v>
      </c>
      <c r="AQ1778" s="3">
        <v>1</v>
      </c>
      <c r="AR1778" s="2" t="s">
        <v>5</v>
      </c>
      <c r="AS1778" s="2" t="s">
        <v>5</v>
      </c>
      <c r="AU1778" s="5" t="str">
        <f>HYPERLINK("https://creighton-primo.hosted.exlibrisgroup.com/primo-explore/search?tab=default_tab&amp;search_scope=EVERYTHING&amp;vid=01CRU&amp;lang=en_US&amp;offset=0&amp;query=any,contains,991000435799702656","Catalog Record")</f>
        <v>Catalog Record</v>
      </c>
      <c r="AV1778" s="5" t="str">
        <f>HYPERLINK("http://www.worldcat.org/oclc/52208987","WorldCat Record")</f>
        <v>WorldCat Record</v>
      </c>
      <c r="AW1778" s="2" t="s">
        <v>21042</v>
      </c>
      <c r="AX1778" s="2" t="s">
        <v>21043</v>
      </c>
      <c r="AY1778" s="2" t="s">
        <v>21044</v>
      </c>
      <c r="AZ1778" s="2" t="s">
        <v>21044</v>
      </c>
      <c r="BA1778" s="2" t="s">
        <v>21045</v>
      </c>
      <c r="BB1778" s="2" t="s">
        <v>21</v>
      </c>
      <c r="BD1778" s="2" t="s">
        <v>21046</v>
      </c>
      <c r="BE1778" s="2" t="s">
        <v>21047</v>
      </c>
      <c r="BF1778" s="2" t="s">
        <v>21048</v>
      </c>
    </row>
    <row r="1779" spans="1:58" ht="41.25" customHeight="1" x14ac:dyDescent="0.25">
      <c r="A1779" s="8" t="s">
        <v>5</v>
      </c>
      <c r="B1779" s="1" t="s">
        <v>0</v>
      </c>
      <c r="C1779" s="1" t="s">
        <v>1</v>
      </c>
      <c r="D1779" s="1" t="s">
        <v>21049</v>
      </c>
      <c r="E1779" s="1" t="s">
        <v>21050</v>
      </c>
      <c r="F1779" s="1" t="s">
        <v>21051</v>
      </c>
      <c r="H1779" s="2" t="s">
        <v>5</v>
      </c>
      <c r="I1779" s="2" t="s">
        <v>6</v>
      </c>
      <c r="J1779" s="2" t="s">
        <v>5</v>
      </c>
      <c r="K1779" s="2" t="s">
        <v>5</v>
      </c>
      <c r="L1779" s="2" t="s">
        <v>7</v>
      </c>
      <c r="M1779" s="1" t="s">
        <v>21052</v>
      </c>
      <c r="N1779" s="1" t="s">
        <v>15134</v>
      </c>
      <c r="O1779" s="2" t="s">
        <v>1339</v>
      </c>
      <c r="Q1779" s="2" t="s">
        <v>11</v>
      </c>
      <c r="R1779" s="2" t="s">
        <v>426</v>
      </c>
      <c r="T1779" s="2" t="s">
        <v>520</v>
      </c>
      <c r="U1779" s="3">
        <v>2</v>
      </c>
      <c r="V1779" s="3">
        <v>2</v>
      </c>
      <c r="W1779" s="4" t="s">
        <v>21053</v>
      </c>
      <c r="X1779" s="4" t="s">
        <v>21053</v>
      </c>
      <c r="Y1779" s="4" t="s">
        <v>20392</v>
      </c>
      <c r="Z1779" s="4" t="s">
        <v>20392</v>
      </c>
      <c r="AA1779" s="3">
        <v>194</v>
      </c>
      <c r="AB1779" s="3">
        <v>160</v>
      </c>
      <c r="AC1779" s="3">
        <v>162</v>
      </c>
      <c r="AD1779" s="3">
        <v>2</v>
      </c>
      <c r="AE1779" s="3">
        <v>2</v>
      </c>
      <c r="AF1779" s="3">
        <v>6</v>
      </c>
      <c r="AG1779" s="3">
        <v>6</v>
      </c>
      <c r="AH1779" s="3">
        <v>3</v>
      </c>
      <c r="AI1779" s="3">
        <v>3</v>
      </c>
      <c r="AJ1779" s="3">
        <v>1</v>
      </c>
      <c r="AK1779" s="3">
        <v>1</v>
      </c>
      <c r="AL1779" s="3">
        <v>4</v>
      </c>
      <c r="AM1779" s="3">
        <v>4</v>
      </c>
      <c r="AN1779" s="3">
        <v>0</v>
      </c>
      <c r="AO1779" s="3">
        <v>0</v>
      </c>
      <c r="AP1779" s="3">
        <v>0</v>
      </c>
      <c r="AQ1779" s="3">
        <v>0</v>
      </c>
      <c r="AR1779" s="2" t="s">
        <v>5</v>
      </c>
      <c r="AS1779" s="2" t="s">
        <v>16</v>
      </c>
      <c r="AT1779" s="5" t="str">
        <f>HYPERLINK("http://catalog.hathitrust.org/Record/000814985","HathiTrust Record")</f>
        <v>HathiTrust Record</v>
      </c>
      <c r="AU1779" s="5" t="str">
        <f>HYPERLINK("https://creighton-primo.hosted.exlibrisgroup.com/primo-explore/search?tab=default_tab&amp;search_scope=EVERYTHING&amp;vid=01CRU&amp;lang=en_US&amp;offset=0&amp;query=any,contains,991000765959702656","Catalog Record")</f>
        <v>Catalog Record</v>
      </c>
      <c r="AV1779" s="5" t="str">
        <f>HYPERLINK("http://www.worldcat.org/oclc/13821747","WorldCat Record")</f>
        <v>WorldCat Record</v>
      </c>
      <c r="AW1779" s="2" t="s">
        <v>21054</v>
      </c>
      <c r="AX1779" s="2" t="s">
        <v>21055</v>
      </c>
      <c r="AY1779" s="2" t="s">
        <v>21056</v>
      </c>
      <c r="AZ1779" s="2" t="s">
        <v>21056</v>
      </c>
      <c r="BA1779" s="2" t="s">
        <v>21057</v>
      </c>
      <c r="BB1779" s="2" t="s">
        <v>21</v>
      </c>
      <c r="BD1779" s="2" t="s">
        <v>21058</v>
      </c>
      <c r="BE1779" s="2" t="s">
        <v>21059</v>
      </c>
      <c r="BF1779" s="2" t="s">
        <v>21060</v>
      </c>
    </row>
    <row r="1780" spans="1:58" ht="41.25" customHeight="1" x14ac:dyDescent="0.25">
      <c r="A1780" s="8" t="s">
        <v>5</v>
      </c>
      <c r="B1780" s="1" t="s">
        <v>0</v>
      </c>
      <c r="C1780" s="1" t="s">
        <v>1</v>
      </c>
      <c r="D1780" s="1" t="s">
        <v>21061</v>
      </c>
      <c r="E1780" s="1" t="s">
        <v>21062</v>
      </c>
      <c r="F1780" s="1" t="s">
        <v>21063</v>
      </c>
      <c r="G1780" s="2" t="s">
        <v>4558</v>
      </c>
      <c r="H1780" s="2" t="s">
        <v>16</v>
      </c>
      <c r="I1780" s="2" t="s">
        <v>6</v>
      </c>
      <c r="J1780" s="2" t="s">
        <v>5</v>
      </c>
      <c r="K1780" s="2" t="s">
        <v>5</v>
      </c>
      <c r="L1780" s="2" t="s">
        <v>7</v>
      </c>
      <c r="N1780" s="1" t="s">
        <v>21064</v>
      </c>
      <c r="O1780" s="2" t="s">
        <v>107</v>
      </c>
      <c r="P1780" s="1" t="s">
        <v>1284</v>
      </c>
      <c r="Q1780" s="2" t="s">
        <v>11</v>
      </c>
      <c r="R1780" s="2" t="s">
        <v>78</v>
      </c>
      <c r="T1780" s="2" t="s">
        <v>520</v>
      </c>
      <c r="U1780" s="3">
        <v>3</v>
      </c>
      <c r="V1780" s="3">
        <v>4</v>
      </c>
      <c r="W1780" s="4" t="s">
        <v>21065</v>
      </c>
      <c r="X1780" s="4" t="s">
        <v>21065</v>
      </c>
      <c r="Y1780" s="4" t="s">
        <v>21066</v>
      </c>
      <c r="Z1780" s="4" t="s">
        <v>21066</v>
      </c>
      <c r="AA1780" s="3">
        <v>382</v>
      </c>
      <c r="AB1780" s="3">
        <v>305</v>
      </c>
      <c r="AC1780" s="3">
        <v>478</v>
      </c>
      <c r="AD1780" s="3">
        <v>2</v>
      </c>
      <c r="AE1780" s="3">
        <v>2</v>
      </c>
      <c r="AF1780" s="3">
        <v>7</v>
      </c>
      <c r="AG1780" s="3">
        <v>12</v>
      </c>
      <c r="AH1780" s="3">
        <v>2</v>
      </c>
      <c r="AI1780" s="3">
        <v>4</v>
      </c>
      <c r="AJ1780" s="3">
        <v>1</v>
      </c>
      <c r="AK1780" s="3">
        <v>2</v>
      </c>
      <c r="AL1780" s="3">
        <v>3</v>
      </c>
      <c r="AM1780" s="3">
        <v>6</v>
      </c>
      <c r="AN1780" s="3">
        <v>1</v>
      </c>
      <c r="AO1780" s="3">
        <v>1</v>
      </c>
      <c r="AP1780" s="3">
        <v>0</v>
      </c>
      <c r="AQ1780" s="3">
        <v>0</v>
      </c>
      <c r="AR1780" s="2" t="s">
        <v>5</v>
      </c>
      <c r="AS1780" s="2" t="s">
        <v>16</v>
      </c>
      <c r="AT1780" s="5" t="str">
        <f>HYPERLINK("http://catalog.hathitrust.org/Record/004995162","HathiTrust Record")</f>
        <v>HathiTrust Record</v>
      </c>
      <c r="AU1780" s="5" t="str">
        <f>HYPERLINK("https://creighton-primo.hosted.exlibrisgroup.com/primo-explore/search?tab=default_tab&amp;search_scope=EVERYTHING&amp;vid=01CRU&amp;lang=en_US&amp;offset=0&amp;query=any,contains,991000457999702656","Catalog Record")</f>
        <v>Catalog Record</v>
      </c>
      <c r="AV1780" s="5" t="str">
        <f>HYPERLINK("http://www.worldcat.org/oclc/60755878","WorldCat Record")</f>
        <v>WorldCat Record</v>
      </c>
      <c r="AW1780" s="2" t="s">
        <v>21067</v>
      </c>
      <c r="AX1780" s="2" t="s">
        <v>21068</v>
      </c>
      <c r="AY1780" s="2" t="s">
        <v>21069</v>
      </c>
      <c r="AZ1780" s="2" t="s">
        <v>21069</v>
      </c>
      <c r="BA1780" s="2" t="s">
        <v>21070</v>
      </c>
      <c r="BB1780" s="2" t="s">
        <v>21</v>
      </c>
      <c r="BD1780" s="2" t="s">
        <v>21071</v>
      </c>
      <c r="BE1780" s="2" t="s">
        <v>21072</v>
      </c>
      <c r="BF1780" s="2" t="s">
        <v>21073</v>
      </c>
    </row>
    <row r="1781" spans="1:58" ht="41.25" customHeight="1" x14ac:dyDescent="0.25">
      <c r="A1781" s="8" t="s">
        <v>5</v>
      </c>
      <c r="B1781" s="1" t="s">
        <v>0</v>
      </c>
      <c r="C1781" s="1" t="s">
        <v>1</v>
      </c>
      <c r="D1781" s="1" t="s">
        <v>21061</v>
      </c>
      <c r="E1781" s="1" t="s">
        <v>21062</v>
      </c>
      <c r="F1781" s="1" t="s">
        <v>21063</v>
      </c>
      <c r="G1781" s="2" t="s">
        <v>4173</v>
      </c>
      <c r="H1781" s="2" t="s">
        <v>16</v>
      </c>
      <c r="I1781" s="2" t="s">
        <v>6</v>
      </c>
      <c r="J1781" s="2" t="s">
        <v>5</v>
      </c>
      <c r="K1781" s="2" t="s">
        <v>5</v>
      </c>
      <c r="L1781" s="2" t="s">
        <v>7</v>
      </c>
      <c r="N1781" s="1" t="s">
        <v>21064</v>
      </c>
      <c r="O1781" s="2" t="s">
        <v>107</v>
      </c>
      <c r="P1781" s="1" t="s">
        <v>1284</v>
      </c>
      <c r="Q1781" s="2" t="s">
        <v>11</v>
      </c>
      <c r="R1781" s="2" t="s">
        <v>78</v>
      </c>
      <c r="T1781" s="2" t="s">
        <v>520</v>
      </c>
      <c r="U1781" s="3">
        <v>1</v>
      </c>
      <c r="V1781" s="3">
        <v>4</v>
      </c>
      <c r="W1781" s="4" t="s">
        <v>9556</v>
      </c>
      <c r="X1781" s="4" t="s">
        <v>21065</v>
      </c>
      <c r="Y1781" s="4" t="s">
        <v>21066</v>
      </c>
      <c r="Z1781" s="4" t="s">
        <v>21066</v>
      </c>
      <c r="AA1781" s="3">
        <v>382</v>
      </c>
      <c r="AB1781" s="3">
        <v>305</v>
      </c>
      <c r="AC1781" s="3">
        <v>478</v>
      </c>
      <c r="AD1781" s="3">
        <v>2</v>
      </c>
      <c r="AE1781" s="3">
        <v>2</v>
      </c>
      <c r="AF1781" s="3">
        <v>7</v>
      </c>
      <c r="AG1781" s="3">
        <v>12</v>
      </c>
      <c r="AH1781" s="3">
        <v>2</v>
      </c>
      <c r="AI1781" s="3">
        <v>4</v>
      </c>
      <c r="AJ1781" s="3">
        <v>1</v>
      </c>
      <c r="AK1781" s="3">
        <v>2</v>
      </c>
      <c r="AL1781" s="3">
        <v>3</v>
      </c>
      <c r="AM1781" s="3">
        <v>6</v>
      </c>
      <c r="AN1781" s="3">
        <v>1</v>
      </c>
      <c r="AO1781" s="3">
        <v>1</v>
      </c>
      <c r="AP1781" s="3">
        <v>0</v>
      </c>
      <c r="AQ1781" s="3">
        <v>0</v>
      </c>
      <c r="AR1781" s="2" t="s">
        <v>5</v>
      </c>
      <c r="AS1781" s="2" t="s">
        <v>16</v>
      </c>
      <c r="AT1781" s="5" t="str">
        <f>HYPERLINK("http://catalog.hathitrust.org/Record/004995162","HathiTrust Record")</f>
        <v>HathiTrust Record</v>
      </c>
      <c r="AU1781" s="5" t="str">
        <f>HYPERLINK("https://creighton-primo.hosted.exlibrisgroup.com/primo-explore/search?tab=default_tab&amp;search_scope=EVERYTHING&amp;vid=01CRU&amp;lang=en_US&amp;offset=0&amp;query=any,contains,991000457999702656","Catalog Record")</f>
        <v>Catalog Record</v>
      </c>
      <c r="AV1781" s="5" t="str">
        <f>HYPERLINK("http://www.worldcat.org/oclc/60755878","WorldCat Record")</f>
        <v>WorldCat Record</v>
      </c>
      <c r="AW1781" s="2" t="s">
        <v>21067</v>
      </c>
      <c r="AX1781" s="2" t="s">
        <v>21068</v>
      </c>
      <c r="AY1781" s="2" t="s">
        <v>21069</v>
      </c>
      <c r="AZ1781" s="2" t="s">
        <v>21069</v>
      </c>
      <c r="BA1781" s="2" t="s">
        <v>21070</v>
      </c>
      <c r="BB1781" s="2" t="s">
        <v>21</v>
      </c>
      <c r="BD1781" s="2" t="s">
        <v>21071</v>
      </c>
      <c r="BE1781" s="2" t="s">
        <v>21074</v>
      </c>
      <c r="BF1781" s="2" t="s">
        <v>21075</v>
      </c>
    </row>
    <row r="1782" spans="1:58" ht="41.25" customHeight="1" x14ac:dyDescent="0.25">
      <c r="A1782" s="8" t="s">
        <v>5</v>
      </c>
      <c r="B1782" s="1" t="s">
        <v>0</v>
      </c>
      <c r="C1782" s="1" t="s">
        <v>1</v>
      </c>
      <c r="D1782" s="1" t="s">
        <v>21076</v>
      </c>
      <c r="E1782" s="1" t="s">
        <v>21077</v>
      </c>
      <c r="F1782" s="1" t="s">
        <v>21078</v>
      </c>
      <c r="H1782" s="2" t="s">
        <v>5</v>
      </c>
      <c r="I1782" s="2" t="s">
        <v>6</v>
      </c>
      <c r="J1782" s="2" t="s">
        <v>5</v>
      </c>
      <c r="K1782" s="2" t="s">
        <v>5</v>
      </c>
      <c r="L1782" s="2" t="s">
        <v>7</v>
      </c>
      <c r="N1782" s="1" t="s">
        <v>8145</v>
      </c>
      <c r="O1782" s="2" t="s">
        <v>1046</v>
      </c>
      <c r="P1782" s="1" t="s">
        <v>108</v>
      </c>
      <c r="Q1782" s="2" t="s">
        <v>11</v>
      </c>
      <c r="R1782" s="2" t="s">
        <v>31</v>
      </c>
      <c r="T1782" s="2" t="s">
        <v>520</v>
      </c>
      <c r="U1782" s="3">
        <v>3</v>
      </c>
      <c r="V1782" s="3">
        <v>3</v>
      </c>
      <c r="W1782" s="4" t="s">
        <v>21079</v>
      </c>
      <c r="X1782" s="4" t="s">
        <v>21079</v>
      </c>
      <c r="Y1782" s="4" t="s">
        <v>16171</v>
      </c>
      <c r="Z1782" s="4" t="s">
        <v>16171</v>
      </c>
      <c r="AA1782" s="3">
        <v>271</v>
      </c>
      <c r="AB1782" s="3">
        <v>217</v>
      </c>
      <c r="AC1782" s="3">
        <v>222</v>
      </c>
      <c r="AD1782" s="3">
        <v>1</v>
      </c>
      <c r="AE1782" s="3">
        <v>1</v>
      </c>
      <c r="AF1782" s="3">
        <v>6</v>
      </c>
      <c r="AG1782" s="3">
        <v>7</v>
      </c>
      <c r="AH1782" s="3">
        <v>2</v>
      </c>
      <c r="AI1782" s="3">
        <v>2</v>
      </c>
      <c r="AJ1782" s="3">
        <v>2</v>
      </c>
      <c r="AK1782" s="3">
        <v>2</v>
      </c>
      <c r="AL1782" s="3">
        <v>3</v>
      </c>
      <c r="AM1782" s="3">
        <v>4</v>
      </c>
      <c r="AN1782" s="3">
        <v>0</v>
      </c>
      <c r="AO1782" s="3">
        <v>0</v>
      </c>
      <c r="AP1782" s="3">
        <v>0</v>
      </c>
      <c r="AQ1782" s="3">
        <v>0</v>
      </c>
      <c r="AR1782" s="2" t="s">
        <v>5</v>
      </c>
      <c r="AS1782" s="2" t="s">
        <v>5</v>
      </c>
      <c r="AU1782" s="5" t="str">
        <f>HYPERLINK("https://creighton-primo.hosted.exlibrisgroup.com/primo-explore/search?tab=default_tab&amp;search_scope=EVERYTHING&amp;vid=01CRU&amp;lang=en_US&amp;offset=0&amp;query=any,contains,991000349259702656","Catalog Record")</f>
        <v>Catalog Record</v>
      </c>
      <c r="AV1782" s="5" t="str">
        <f>HYPERLINK("http://www.worldcat.org/oclc/50244328","WorldCat Record")</f>
        <v>WorldCat Record</v>
      </c>
      <c r="AW1782" s="2" t="s">
        <v>21080</v>
      </c>
      <c r="AX1782" s="2" t="s">
        <v>21081</v>
      </c>
      <c r="AY1782" s="2" t="s">
        <v>21082</v>
      </c>
      <c r="AZ1782" s="2" t="s">
        <v>21082</v>
      </c>
      <c r="BA1782" s="2" t="s">
        <v>21083</v>
      </c>
      <c r="BB1782" s="2" t="s">
        <v>21</v>
      </c>
      <c r="BD1782" s="2" t="s">
        <v>21084</v>
      </c>
      <c r="BE1782" s="2" t="s">
        <v>21085</v>
      </c>
      <c r="BF1782" s="2" t="s">
        <v>21086</v>
      </c>
    </row>
    <row r="1783" spans="1:58" ht="41.25" customHeight="1" x14ac:dyDescent="0.25">
      <c r="A1783" s="8" t="s">
        <v>5</v>
      </c>
      <c r="B1783" s="1" t="s">
        <v>0</v>
      </c>
      <c r="C1783" s="1" t="s">
        <v>1</v>
      </c>
      <c r="D1783" s="1" t="s">
        <v>21087</v>
      </c>
      <c r="E1783" s="1" t="s">
        <v>21088</v>
      </c>
      <c r="F1783" s="1" t="s">
        <v>21089</v>
      </c>
      <c r="H1783" s="2" t="s">
        <v>5</v>
      </c>
      <c r="I1783" s="2" t="s">
        <v>6</v>
      </c>
      <c r="J1783" s="2" t="s">
        <v>5</v>
      </c>
      <c r="K1783" s="2" t="s">
        <v>5</v>
      </c>
      <c r="L1783" s="2" t="s">
        <v>7</v>
      </c>
      <c r="M1783" s="1" t="s">
        <v>21090</v>
      </c>
      <c r="N1783" s="1" t="s">
        <v>1233</v>
      </c>
      <c r="O1783" s="2" t="s">
        <v>136</v>
      </c>
      <c r="P1783" s="1" t="s">
        <v>1652</v>
      </c>
      <c r="Q1783" s="2" t="s">
        <v>11</v>
      </c>
      <c r="R1783" s="2" t="s">
        <v>31</v>
      </c>
      <c r="T1783" s="2" t="s">
        <v>520</v>
      </c>
      <c r="U1783" s="3">
        <v>117</v>
      </c>
      <c r="V1783" s="3">
        <v>117</v>
      </c>
      <c r="W1783" s="4" t="s">
        <v>15948</v>
      </c>
      <c r="X1783" s="4" t="s">
        <v>15948</v>
      </c>
      <c r="Y1783" s="4" t="s">
        <v>21091</v>
      </c>
      <c r="Z1783" s="4" t="s">
        <v>21091</v>
      </c>
      <c r="AA1783" s="3">
        <v>378</v>
      </c>
      <c r="AB1783" s="3">
        <v>321</v>
      </c>
      <c r="AC1783" s="3">
        <v>323</v>
      </c>
      <c r="AD1783" s="3">
        <v>4</v>
      </c>
      <c r="AE1783" s="3">
        <v>4</v>
      </c>
      <c r="AF1783" s="3">
        <v>11</v>
      </c>
      <c r="AG1783" s="3">
        <v>11</v>
      </c>
      <c r="AH1783" s="3">
        <v>4</v>
      </c>
      <c r="AI1783" s="3">
        <v>4</v>
      </c>
      <c r="AJ1783" s="3">
        <v>3</v>
      </c>
      <c r="AK1783" s="3">
        <v>3</v>
      </c>
      <c r="AL1783" s="3">
        <v>5</v>
      </c>
      <c r="AM1783" s="3">
        <v>5</v>
      </c>
      <c r="AN1783" s="3">
        <v>2</v>
      </c>
      <c r="AO1783" s="3">
        <v>2</v>
      </c>
      <c r="AP1783" s="3">
        <v>0</v>
      </c>
      <c r="AQ1783" s="3">
        <v>0</v>
      </c>
      <c r="AR1783" s="2" t="s">
        <v>5</v>
      </c>
      <c r="AS1783" s="2" t="s">
        <v>16</v>
      </c>
      <c r="AT1783" s="5" t="str">
        <f>HYPERLINK("http://catalog.hathitrust.org/Record/002238709","HathiTrust Record")</f>
        <v>HathiTrust Record</v>
      </c>
      <c r="AU1783" s="5" t="str">
        <f>HYPERLINK("https://creighton-primo.hosted.exlibrisgroup.com/primo-explore/search?tab=default_tab&amp;search_scope=EVERYTHING&amp;vid=01CRU&amp;lang=en_US&amp;offset=0&amp;query=any,contains,991000816809702656","Catalog Record")</f>
        <v>Catalog Record</v>
      </c>
      <c r="AV1783" s="5" t="str">
        <f>HYPERLINK("http://www.worldcat.org/oclc/22422715","WorldCat Record")</f>
        <v>WorldCat Record</v>
      </c>
      <c r="AW1783" s="2" t="s">
        <v>21092</v>
      </c>
      <c r="AX1783" s="2" t="s">
        <v>21093</v>
      </c>
      <c r="AY1783" s="2" t="s">
        <v>21094</v>
      </c>
      <c r="AZ1783" s="2" t="s">
        <v>21094</v>
      </c>
      <c r="BA1783" s="2" t="s">
        <v>21095</v>
      </c>
      <c r="BB1783" s="2" t="s">
        <v>21</v>
      </c>
      <c r="BD1783" s="2" t="s">
        <v>21096</v>
      </c>
      <c r="BE1783" s="2" t="s">
        <v>21097</v>
      </c>
      <c r="BF1783" s="2" t="s">
        <v>21098</v>
      </c>
    </row>
    <row r="1784" spans="1:58" ht="41.25" customHeight="1" x14ac:dyDescent="0.25">
      <c r="A1784" s="8" t="s">
        <v>5</v>
      </c>
      <c r="B1784" s="1" t="s">
        <v>0</v>
      </c>
      <c r="C1784" s="1" t="s">
        <v>1</v>
      </c>
      <c r="D1784" s="1" t="s">
        <v>21099</v>
      </c>
      <c r="E1784" s="1" t="s">
        <v>21100</v>
      </c>
      <c r="F1784" s="1" t="s">
        <v>21101</v>
      </c>
      <c r="H1784" s="2" t="s">
        <v>5</v>
      </c>
      <c r="I1784" s="2" t="s">
        <v>6</v>
      </c>
      <c r="J1784" s="2" t="s">
        <v>5</v>
      </c>
      <c r="K1784" s="2" t="s">
        <v>5</v>
      </c>
      <c r="L1784" s="2" t="s">
        <v>7</v>
      </c>
      <c r="M1784" s="1" t="s">
        <v>21102</v>
      </c>
      <c r="N1784" s="1" t="s">
        <v>21103</v>
      </c>
      <c r="O1784" s="2" t="s">
        <v>354</v>
      </c>
      <c r="P1784" s="1" t="s">
        <v>108</v>
      </c>
      <c r="Q1784" s="2" t="s">
        <v>11</v>
      </c>
      <c r="R1784" s="2" t="s">
        <v>1427</v>
      </c>
      <c r="T1784" s="2" t="s">
        <v>520</v>
      </c>
      <c r="U1784" s="3">
        <v>4</v>
      </c>
      <c r="V1784" s="3">
        <v>4</v>
      </c>
      <c r="W1784" s="4" t="s">
        <v>2715</v>
      </c>
      <c r="X1784" s="4" t="s">
        <v>2715</v>
      </c>
      <c r="Y1784" s="4" t="s">
        <v>96</v>
      </c>
      <c r="Z1784" s="4" t="s">
        <v>96</v>
      </c>
      <c r="AA1784" s="3">
        <v>62</v>
      </c>
      <c r="AB1784" s="3">
        <v>22</v>
      </c>
      <c r="AC1784" s="3">
        <v>67</v>
      </c>
      <c r="AD1784" s="3">
        <v>1</v>
      </c>
      <c r="AE1784" s="3">
        <v>1</v>
      </c>
      <c r="AF1784" s="3">
        <v>0</v>
      </c>
      <c r="AG1784" s="3">
        <v>1</v>
      </c>
      <c r="AH1784" s="3">
        <v>0</v>
      </c>
      <c r="AI1784" s="3">
        <v>0</v>
      </c>
      <c r="AJ1784" s="3">
        <v>0</v>
      </c>
      <c r="AK1784" s="3">
        <v>1</v>
      </c>
      <c r="AL1784" s="3">
        <v>0</v>
      </c>
      <c r="AM1784" s="3">
        <v>0</v>
      </c>
      <c r="AN1784" s="3">
        <v>0</v>
      </c>
      <c r="AO1784" s="3">
        <v>0</v>
      </c>
      <c r="AP1784" s="3">
        <v>0</v>
      </c>
      <c r="AQ1784" s="3">
        <v>0</v>
      </c>
      <c r="AR1784" s="2" t="s">
        <v>5</v>
      </c>
      <c r="AS1784" s="2" t="s">
        <v>5</v>
      </c>
      <c r="AU1784" s="5" t="str">
        <f>HYPERLINK("https://creighton-primo.hosted.exlibrisgroup.com/primo-explore/search?tab=default_tab&amp;search_scope=EVERYTHING&amp;vid=01CRU&amp;lang=en_US&amp;offset=0&amp;query=any,contains,991000928089702656","Catalog Record")</f>
        <v>Catalog Record</v>
      </c>
      <c r="AV1784" s="5" t="str">
        <f>HYPERLINK("http://www.worldcat.org/oclc/7737509","WorldCat Record")</f>
        <v>WorldCat Record</v>
      </c>
      <c r="AW1784" s="2" t="s">
        <v>21104</v>
      </c>
      <c r="AX1784" s="2" t="s">
        <v>21105</v>
      </c>
      <c r="AY1784" s="2" t="s">
        <v>21106</v>
      </c>
      <c r="AZ1784" s="2" t="s">
        <v>21106</v>
      </c>
      <c r="BA1784" s="2" t="s">
        <v>21107</v>
      </c>
      <c r="BB1784" s="2" t="s">
        <v>21</v>
      </c>
      <c r="BD1784" s="2" t="s">
        <v>21108</v>
      </c>
      <c r="BE1784" s="2" t="s">
        <v>21109</v>
      </c>
      <c r="BF1784" s="2" t="s">
        <v>21110</v>
      </c>
    </row>
    <row r="1785" spans="1:58" ht="41.25" customHeight="1" x14ac:dyDescent="0.25">
      <c r="A1785" s="8" t="s">
        <v>5</v>
      </c>
      <c r="B1785" s="1" t="s">
        <v>0</v>
      </c>
      <c r="C1785" s="1" t="s">
        <v>1</v>
      </c>
      <c r="D1785" s="1" t="s">
        <v>21111</v>
      </c>
      <c r="E1785" s="1" t="s">
        <v>21112</v>
      </c>
      <c r="F1785" s="1" t="s">
        <v>21113</v>
      </c>
      <c r="H1785" s="2" t="s">
        <v>5</v>
      </c>
      <c r="I1785" s="2" t="s">
        <v>6</v>
      </c>
      <c r="J1785" s="2" t="s">
        <v>5</v>
      </c>
      <c r="K1785" s="2" t="s">
        <v>5</v>
      </c>
      <c r="L1785" s="2" t="s">
        <v>7</v>
      </c>
      <c r="N1785" s="1" t="s">
        <v>988</v>
      </c>
      <c r="O1785" s="2" t="s">
        <v>989</v>
      </c>
      <c r="Q1785" s="2" t="s">
        <v>11</v>
      </c>
      <c r="R1785" s="2" t="s">
        <v>426</v>
      </c>
      <c r="T1785" s="2" t="s">
        <v>520</v>
      </c>
      <c r="U1785" s="3">
        <v>3</v>
      </c>
      <c r="V1785" s="3">
        <v>3</v>
      </c>
      <c r="W1785" s="4" t="s">
        <v>21114</v>
      </c>
      <c r="X1785" s="4" t="s">
        <v>21114</v>
      </c>
      <c r="Y1785" s="4" t="s">
        <v>6241</v>
      </c>
      <c r="Z1785" s="4" t="s">
        <v>6241</v>
      </c>
      <c r="AA1785" s="3">
        <v>243</v>
      </c>
      <c r="AB1785" s="3">
        <v>190</v>
      </c>
      <c r="AC1785" s="3">
        <v>307</v>
      </c>
      <c r="AD1785" s="3">
        <v>2</v>
      </c>
      <c r="AE1785" s="3">
        <v>2</v>
      </c>
      <c r="AF1785" s="3">
        <v>6</v>
      </c>
      <c r="AG1785" s="3">
        <v>10</v>
      </c>
      <c r="AH1785" s="3">
        <v>3</v>
      </c>
      <c r="AI1785" s="3">
        <v>3</v>
      </c>
      <c r="AJ1785" s="3">
        <v>2</v>
      </c>
      <c r="AK1785" s="3">
        <v>3</v>
      </c>
      <c r="AL1785" s="3">
        <v>4</v>
      </c>
      <c r="AM1785" s="3">
        <v>7</v>
      </c>
      <c r="AN1785" s="3">
        <v>0</v>
      </c>
      <c r="AO1785" s="3">
        <v>0</v>
      </c>
      <c r="AP1785" s="3">
        <v>0</v>
      </c>
      <c r="AQ1785" s="3">
        <v>0</v>
      </c>
      <c r="AR1785" s="2" t="s">
        <v>5</v>
      </c>
      <c r="AS1785" s="2" t="s">
        <v>16</v>
      </c>
      <c r="AT1785" s="5" t="str">
        <f>HYPERLINK("http://catalog.hathitrust.org/Record/002422352","HathiTrust Record")</f>
        <v>HathiTrust Record</v>
      </c>
      <c r="AU1785" s="5" t="str">
        <f>HYPERLINK("https://creighton-primo.hosted.exlibrisgroup.com/primo-explore/search?tab=default_tab&amp;search_scope=EVERYTHING&amp;vid=01CRU&amp;lang=en_US&amp;offset=0&amp;query=any,contains,991001452889702656","Catalog Record")</f>
        <v>Catalog Record</v>
      </c>
      <c r="AV1785" s="5" t="str">
        <f>HYPERLINK("http://www.worldcat.org/oclc/20930504","WorldCat Record")</f>
        <v>WorldCat Record</v>
      </c>
      <c r="AW1785" s="2" t="s">
        <v>21115</v>
      </c>
      <c r="AX1785" s="2" t="s">
        <v>21116</v>
      </c>
      <c r="AY1785" s="2" t="s">
        <v>21117</v>
      </c>
      <c r="AZ1785" s="2" t="s">
        <v>21117</v>
      </c>
      <c r="BA1785" s="2" t="s">
        <v>21118</v>
      </c>
      <c r="BB1785" s="2" t="s">
        <v>21</v>
      </c>
      <c r="BD1785" s="2" t="s">
        <v>21119</v>
      </c>
      <c r="BE1785" s="2" t="s">
        <v>21120</v>
      </c>
      <c r="BF1785" s="2" t="s">
        <v>21121</v>
      </c>
    </row>
    <row r="1786" spans="1:58" ht="41.25" customHeight="1" x14ac:dyDescent="0.25">
      <c r="A1786" s="8" t="s">
        <v>5</v>
      </c>
      <c r="B1786" s="1" t="s">
        <v>0</v>
      </c>
      <c r="C1786" s="1" t="s">
        <v>1</v>
      </c>
      <c r="D1786" s="1" t="s">
        <v>21122</v>
      </c>
      <c r="E1786" s="1" t="s">
        <v>21123</v>
      </c>
      <c r="F1786" s="1" t="s">
        <v>21124</v>
      </c>
      <c r="H1786" s="2" t="s">
        <v>5</v>
      </c>
      <c r="I1786" s="2" t="s">
        <v>6</v>
      </c>
      <c r="J1786" s="2" t="s">
        <v>5</v>
      </c>
      <c r="K1786" s="2" t="s">
        <v>5</v>
      </c>
      <c r="L1786" s="2" t="s">
        <v>7</v>
      </c>
      <c r="N1786" s="1" t="s">
        <v>21125</v>
      </c>
      <c r="O1786" s="2" t="s">
        <v>107</v>
      </c>
      <c r="P1786" s="1" t="s">
        <v>771</v>
      </c>
      <c r="Q1786" s="2" t="s">
        <v>11</v>
      </c>
      <c r="R1786" s="2" t="s">
        <v>31</v>
      </c>
      <c r="T1786" s="2" t="s">
        <v>520</v>
      </c>
      <c r="U1786" s="3">
        <v>0</v>
      </c>
      <c r="V1786" s="3">
        <v>0</v>
      </c>
      <c r="W1786" s="4" t="s">
        <v>1353</v>
      </c>
      <c r="X1786" s="4" t="s">
        <v>1353</v>
      </c>
      <c r="Y1786" s="4" t="s">
        <v>21126</v>
      </c>
      <c r="Z1786" s="4" t="s">
        <v>21126</v>
      </c>
      <c r="AA1786" s="3">
        <v>311</v>
      </c>
      <c r="AB1786" s="3">
        <v>238</v>
      </c>
      <c r="AC1786" s="3">
        <v>260</v>
      </c>
      <c r="AD1786" s="3">
        <v>1</v>
      </c>
      <c r="AE1786" s="3">
        <v>1</v>
      </c>
      <c r="AF1786" s="3">
        <v>8</v>
      </c>
      <c r="AG1786" s="3">
        <v>8</v>
      </c>
      <c r="AH1786" s="3">
        <v>0</v>
      </c>
      <c r="AI1786" s="3">
        <v>0</v>
      </c>
      <c r="AJ1786" s="3">
        <v>4</v>
      </c>
      <c r="AK1786" s="3">
        <v>4</v>
      </c>
      <c r="AL1786" s="3">
        <v>5</v>
      </c>
      <c r="AM1786" s="3">
        <v>5</v>
      </c>
      <c r="AN1786" s="3">
        <v>0</v>
      </c>
      <c r="AO1786" s="3">
        <v>0</v>
      </c>
      <c r="AP1786" s="3">
        <v>0</v>
      </c>
      <c r="AQ1786" s="3">
        <v>0</v>
      </c>
      <c r="AR1786" s="2" t="s">
        <v>5</v>
      </c>
      <c r="AS1786" s="2" t="s">
        <v>5</v>
      </c>
      <c r="AU1786" s="5" t="str">
        <f>HYPERLINK("https://creighton-primo.hosted.exlibrisgroup.com/primo-explore/search?tab=default_tab&amp;search_scope=EVERYTHING&amp;vid=01CRU&amp;lang=en_US&amp;offset=0&amp;query=any,contains,991000572519702656","Catalog Record")</f>
        <v>Catalog Record</v>
      </c>
      <c r="AV1786" s="5" t="str">
        <f>HYPERLINK("http://www.worldcat.org/oclc/68705566","WorldCat Record")</f>
        <v>WorldCat Record</v>
      </c>
      <c r="AW1786" s="2" t="s">
        <v>21127</v>
      </c>
      <c r="AX1786" s="2" t="s">
        <v>21128</v>
      </c>
      <c r="AY1786" s="2" t="s">
        <v>21129</v>
      </c>
      <c r="AZ1786" s="2" t="s">
        <v>21129</v>
      </c>
      <c r="BA1786" s="2" t="s">
        <v>21130</v>
      </c>
      <c r="BB1786" s="2" t="s">
        <v>21</v>
      </c>
      <c r="BD1786" s="2" t="s">
        <v>21131</v>
      </c>
      <c r="BE1786" s="2" t="s">
        <v>21132</v>
      </c>
      <c r="BF1786" s="2" t="s">
        <v>21133</v>
      </c>
    </row>
    <row r="1787" spans="1:58" ht="41.25" customHeight="1" x14ac:dyDescent="0.25">
      <c r="A1787" s="8" t="s">
        <v>5</v>
      </c>
      <c r="B1787" s="1" t="s">
        <v>0</v>
      </c>
      <c r="C1787" s="1" t="s">
        <v>1</v>
      </c>
      <c r="D1787" s="1" t="s">
        <v>21134</v>
      </c>
      <c r="E1787" s="1" t="s">
        <v>21135</v>
      </c>
      <c r="F1787" s="1" t="s">
        <v>21136</v>
      </c>
      <c r="H1787" s="2" t="s">
        <v>5</v>
      </c>
      <c r="I1787" s="2" t="s">
        <v>6</v>
      </c>
      <c r="J1787" s="2" t="s">
        <v>5</v>
      </c>
      <c r="K1787" s="2" t="s">
        <v>5</v>
      </c>
      <c r="L1787" s="2" t="s">
        <v>7</v>
      </c>
      <c r="M1787" s="1" t="s">
        <v>21137</v>
      </c>
      <c r="N1787" s="1" t="s">
        <v>10984</v>
      </c>
      <c r="O1787" s="2" t="s">
        <v>1060</v>
      </c>
      <c r="P1787" s="1" t="s">
        <v>901</v>
      </c>
      <c r="Q1787" s="2" t="s">
        <v>11</v>
      </c>
      <c r="R1787" s="2" t="s">
        <v>31</v>
      </c>
      <c r="T1787" s="2" t="s">
        <v>520</v>
      </c>
      <c r="U1787" s="3">
        <v>5</v>
      </c>
      <c r="V1787" s="3">
        <v>5</v>
      </c>
      <c r="W1787" s="4" t="s">
        <v>21138</v>
      </c>
      <c r="X1787" s="4" t="s">
        <v>21138</v>
      </c>
      <c r="Y1787" s="4" t="s">
        <v>3573</v>
      </c>
      <c r="Z1787" s="4" t="s">
        <v>3573</v>
      </c>
      <c r="AA1787" s="3">
        <v>215</v>
      </c>
      <c r="AB1787" s="3">
        <v>170</v>
      </c>
      <c r="AC1787" s="3">
        <v>170</v>
      </c>
      <c r="AD1787" s="3">
        <v>1</v>
      </c>
      <c r="AE1787" s="3">
        <v>1</v>
      </c>
      <c r="AF1787" s="3">
        <v>6</v>
      </c>
      <c r="AG1787" s="3">
        <v>6</v>
      </c>
      <c r="AH1787" s="3">
        <v>3</v>
      </c>
      <c r="AI1787" s="3">
        <v>3</v>
      </c>
      <c r="AJ1787" s="3">
        <v>1</v>
      </c>
      <c r="AK1787" s="3">
        <v>1</v>
      </c>
      <c r="AL1787" s="3">
        <v>4</v>
      </c>
      <c r="AM1787" s="3">
        <v>4</v>
      </c>
      <c r="AN1787" s="3">
        <v>0</v>
      </c>
      <c r="AO1787" s="3">
        <v>0</v>
      </c>
      <c r="AP1787" s="3">
        <v>0</v>
      </c>
      <c r="AQ1787" s="3">
        <v>0</v>
      </c>
      <c r="AR1787" s="2" t="s">
        <v>5</v>
      </c>
      <c r="AS1787" s="2" t="s">
        <v>5</v>
      </c>
      <c r="AU1787" s="5" t="str">
        <f>HYPERLINK("https://creighton-primo.hosted.exlibrisgroup.com/primo-explore/search?tab=default_tab&amp;search_scope=EVERYTHING&amp;vid=01CRU&amp;lang=en_US&amp;offset=0&amp;query=any,contains,991001736289702656","Catalog Record")</f>
        <v>Catalog Record</v>
      </c>
      <c r="AV1787" s="5" t="str">
        <f>HYPERLINK("http://www.worldcat.org/oclc/56056039","WorldCat Record")</f>
        <v>WorldCat Record</v>
      </c>
      <c r="AW1787" s="2" t="s">
        <v>21139</v>
      </c>
      <c r="AX1787" s="2" t="s">
        <v>21140</v>
      </c>
      <c r="AY1787" s="2" t="s">
        <v>21141</v>
      </c>
      <c r="AZ1787" s="2" t="s">
        <v>21141</v>
      </c>
      <c r="BA1787" s="2" t="s">
        <v>21142</v>
      </c>
      <c r="BB1787" s="2" t="s">
        <v>21</v>
      </c>
      <c r="BD1787" s="2" t="s">
        <v>21143</v>
      </c>
      <c r="BE1787" s="2" t="s">
        <v>21144</v>
      </c>
      <c r="BF1787" s="2" t="s">
        <v>21145</v>
      </c>
    </row>
    <row r="1788" spans="1:58" ht="41.25" customHeight="1" x14ac:dyDescent="0.25">
      <c r="A1788" s="8" t="s">
        <v>5</v>
      </c>
      <c r="B1788" s="1" t="s">
        <v>0</v>
      </c>
      <c r="C1788" s="1" t="s">
        <v>1</v>
      </c>
      <c r="D1788" s="1" t="s">
        <v>21146</v>
      </c>
      <c r="E1788" s="1" t="s">
        <v>21147</v>
      </c>
      <c r="F1788" s="1" t="s">
        <v>21148</v>
      </c>
      <c r="H1788" s="2" t="s">
        <v>5</v>
      </c>
      <c r="I1788" s="2" t="s">
        <v>6</v>
      </c>
      <c r="J1788" s="2" t="s">
        <v>5</v>
      </c>
      <c r="K1788" s="2" t="s">
        <v>5</v>
      </c>
      <c r="L1788" s="2" t="s">
        <v>7</v>
      </c>
      <c r="N1788" s="1" t="s">
        <v>9810</v>
      </c>
      <c r="O1788" s="2" t="s">
        <v>393</v>
      </c>
      <c r="Q1788" s="2" t="s">
        <v>11</v>
      </c>
      <c r="R1788" s="2" t="s">
        <v>426</v>
      </c>
      <c r="S1788" s="1" t="s">
        <v>6595</v>
      </c>
      <c r="T1788" s="2" t="s">
        <v>520</v>
      </c>
      <c r="U1788" s="3">
        <v>6</v>
      </c>
      <c r="V1788" s="3">
        <v>6</v>
      </c>
      <c r="W1788" s="4" t="s">
        <v>21149</v>
      </c>
      <c r="X1788" s="4" t="s">
        <v>21149</v>
      </c>
      <c r="Y1788" s="4" t="s">
        <v>96</v>
      </c>
      <c r="Z1788" s="4" t="s">
        <v>96</v>
      </c>
      <c r="AA1788" s="3">
        <v>168</v>
      </c>
      <c r="AB1788" s="3">
        <v>127</v>
      </c>
      <c r="AC1788" s="3">
        <v>127</v>
      </c>
      <c r="AD1788" s="3">
        <v>1</v>
      </c>
      <c r="AE1788" s="3">
        <v>1</v>
      </c>
      <c r="AF1788" s="3">
        <v>6</v>
      </c>
      <c r="AG1788" s="3">
        <v>6</v>
      </c>
      <c r="AH1788" s="3">
        <v>1</v>
      </c>
      <c r="AI1788" s="3">
        <v>1</v>
      </c>
      <c r="AJ1788" s="3">
        <v>3</v>
      </c>
      <c r="AK1788" s="3">
        <v>3</v>
      </c>
      <c r="AL1788" s="3">
        <v>4</v>
      </c>
      <c r="AM1788" s="3">
        <v>4</v>
      </c>
      <c r="AN1788" s="3">
        <v>0</v>
      </c>
      <c r="AO1788" s="3">
        <v>0</v>
      </c>
      <c r="AP1788" s="3">
        <v>0</v>
      </c>
      <c r="AQ1788" s="3">
        <v>0</v>
      </c>
      <c r="AR1788" s="2" t="s">
        <v>5</v>
      </c>
      <c r="AS1788" s="2" t="s">
        <v>5</v>
      </c>
      <c r="AU1788" s="5" t="str">
        <f>HYPERLINK("https://creighton-primo.hosted.exlibrisgroup.com/primo-explore/search?tab=default_tab&amp;search_scope=EVERYTHING&amp;vid=01CRU&amp;lang=en_US&amp;offset=0&amp;query=any,contains,991000928219702656","Catalog Record")</f>
        <v>Catalog Record</v>
      </c>
      <c r="AV1788" s="5" t="str">
        <f>HYPERLINK("http://www.worldcat.org/oclc/6943410","WorldCat Record")</f>
        <v>WorldCat Record</v>
      </c>
      <c r="AW1788" s="2" t="s">
        <v>21150</v>
      </c>
      <c r="AX1788" s="2" t="s">
        <v>21151</v>
      </c>
      <c r="AY1788" s="2" t="s">
        <v>21152</v>
      </c>
      <c r="AZ1788" s="2" t="s">
        <v>21152</v>
      </c>
      <c r="BA1788" s="2" t="s">
        <v>21153</v>
      </c>
      <c r="BB1788" s="2" t="s">
        <v>21</v>
      </c>
      <c r="BD1788" s="2" t="s">
        <v>21154</v>
      </c>
      <c r="BE1788" s="2" t="s">
        <v>21155</v>
      </c>
      <c r="BF1788" s="2" t="s">
        <v>21156</v>
      </c>
    </row>
    <row r="1789" spans="1:58" ht="41.25" customHeight="1" x14ac:dyDescent="0.25">
      <c r="A1789" s="8" t="s">
        <v>5</v>
      </c>
      <c r="B1789" s="1" t="s">
        <v>0</v>
      </c>
      <c r="C1789" s="1" t="s">
        <v>1</v>
      </c>
      <c r="D1789" s="1" t="s">
        <v>21157</v>
      </c>
      <c r="E1789" s="1" t="s">
        <v>21158</v>
      </c>
      <c r="F1789" s="1" t="s">
        <v>21159</v>
      </c>
      <c r="H1789" s="2" t="s">
        <v>5</v>
      </c>
      <c r="I1789" s="2" t="s">
        <v>6</v>
      </c>
      <c r="J1789" s="2" t="s">
        <v>5</v>
      </c>
      <c r="K1789" s="2" t="s">
        <v>16</v>
      </c>
      <c r="L1789" s="2" t="s">
        <v>7</v>
      </c>
      <c r="M1789" s="1" t="s">
        <v>21160</v>
      </c>
      <c r="N1789" s="1" t="s">
        <v>10383</v>
      </c>
      <c r="O1789" s="2" t="s">
        <v>210</v>
      </c>
      <c r="P1789" s="1" t="s">
        <v>21161</v>
      </c>
      <c r="Q1789" s="2" t="s">
        <v>11</v>
      </c>
      <c r="R1789" s="2" t="s">
        <v>426</v>
      </c>
      <c r="T1789" s="2" t="s">
        <v>520</v>
      </c>
      <c r="U1789" s="3">
        <v>104</v>
      </c>
      <c r="V1789" s="3">
        <v>104</v>
      </c>
      <c r="W1789" s="4" t="s">
        <v>21162</v>
      </c>
      <c r="X1789" s="4" t="s">
        <v>21162</v>
      </c>
      <c r="Y1789" s="4" t="s">
        <v>8505</v>
      </c>
      <c r="Z1789" s="4" t="s">
        <v>8505</v>
      </c>
      <c r="AA1789" s="3">
        <v>314</v>
      </c>
      <c r="AB1789" s="3">
        <v>266</v>
      </c>
      <c r="AC1789" s="3">
        <v>1071</v>
      </c>
      <c r="AD1789" s="3">
        <v>3</v>
      </c>
      <c r="AE1789" s="3">
        <v>6</v>
      </c>
      <c r="AF1789" s="3">
        <v>6</v>
      </c>
      <c r="AG1789" s="3">
        <v>26</v>
      </c>
      <c r="AH1789" s="3">
        <v>3</v>
      </c>
      <c r="AI1789" s="3">
        <v>9</v>
      </c>
      <c r="AJ1789" s="3">
        <v>1</v>
      </c>
      <c r="AK1789" s="3">
        <v>6</v>
      </c>
      <c r="AL1789" s="3">
        <v>2</v>
      </c>
      <c r="AM1789" s="3">
        <v>12</v>
      </c>
      <c r="AN1789" s="3">
        <v>1</v>
      </c>
      <c r="AO1789" s="3">
        <v>3</v>
      </c>
      <c r="AP1789" s="3">
        <v>0</v>
      </c>
      <c r="AQ1789" s="3">
        <v>0</v>
      </c>
      <c r="AR1789" s="2" t="s">
        <v>5</v>
      </c>
      <c r="AS1789" s="2" t="s">
        <v>16</v>
      </c>
      <c r="AT1789" s="5" t="str">
        <f>HYPERLINK("http://catalog.hathitrust.org/Record/002499438","HathiTrust Record")</f>
        <v>HathiTrust Record</v>
      </c>
      <c r="AU1789" s="5" t="str">
        <f>HYPERLINK("https://creighton-primo.hosted.exlibrisgroup.com/primo-explore/search?tab=default_tab&amp;search_scope=EVERYTHING&amp;vid=01CRU&amp;lang=en_US&amp;offset=0&amp;query=any,contains,991001034359702656","Catalog Record")</f>
        <v>Catalog Record</v>
      </c>
      <c r="AV1789" s="5" t="str">
        <f>HYPERLINK("http://www.worldcat.org/oclc/24319415","WorldCat Record")</f>
        <v>WorldCat Record</v>
      </c>
      <c r="AW1789" s="2" t="s">
        <v>21163</v>
      </c>
      <c r="AX1789" s="2" t="s">
        <v>21164</v>
      </c>
      <c r="AY1789" s="2" t="s">
        <v>21165</v>
      </c>
      <c r="AZ1789" s="2" t="s">
        <v>21165</v>
      </c>
      <c r="BA1789" s="2" t="s">
        <v>21166</v>
      </c>
      <c r="BB1789" s="2" t="s">
        <v>21</v>
      </c>
      <c r="BD1789" s="2" t="s">
        <v>21167</v>
      </c>
      <c r="BE1789" s="2" t="s">
        <v>21168</v>
      </c>
      <c r="BF1789" s="2" t="s">
        <v>21169</v>
      </c>
    </row>
    <row r="1790" spans="1:58" ht="41.25" customHeight="1" x14ac:dyDescent="0.25">
      <c r="A1790" s="8" t="s">
        <v>5</v>
      </c>
      <c r="B1790" s="1" t="s">
        <v>0</v>
      </c>
      <c r="C1790" s="1" t="s">
        <v>1</v>
      </c>
      <c r="D1790" s="1" t="s">
        <v>21170</v>
      </c>
      <c r="E1790" s="1" t="s">
        <v>21171</v>
      </c>
      <c r="F1790" s="1" t="s">
        <v>21172</v>
      </c>
      <c r="H1790" s="2" t="s">
        <v>5</v>
      </c>
      <c r="I1790" s="2" t="s">
        <v>6</v>
      </c>
      <c r="J1790" s="2" t="s">
        <v>5</v>
      </c>
      <c r="K1790" s="2" t="s">
        <v>16</v>
      </c>
      <c r="L1790" s="2" t="s">
        <v>7</v>
      </c>
      <c r="M1790" s="1" t="s">
        <v>21160</v>
      </c>
      <c r="N1790" s="1" t="s">
        <v>11771</v>
      </c>
      <c r="O1790" s="2" t="s">
        <v>794</v>
      </c>
      <c r="P1790" s="1" t="s">
        <v>21173</v>
      </c>
      <c r="Q1790" s="2" t="s">
        <v>11</v>
      </c>
      <c r="R1790" s="2" t="s">
        <v>31</v>
      </c>
      <c r="T1790" s="2" t="s">
        <v>520</v>
      </c>
      <c r="U1790" s="3">
        <v>13</v>
      </c>
      <c r="V1790" s="3">
        <v>13</v>
      </c>
      <c r="W1790" s="4" t="s">
        <v>21174</v>
      </c>
      <c r="X1790" s="4" t="s">
        <v>21174</v>
      </c>
      <c r="Y1790" s="4" t="s">
        <v>11773</v>
      </c>
      <c r="Z1790" s="4" t="s">
        <v>11773</v>
      </c>
      <c r="AA1790" s="3">
        <v>276</v>
      </c>
      <c r="AB1790" s="3">
        <v>226</v>
      </c>
      <c r="AC1790" s="3">
        <v>1071</v>
      </c>
      <c r="AD1790" s="3">
        <v>2</v>
      </c>
      <c r="AE1790" s="3">
        <v>6</v>
      </c>
      <c r="AF1790" s="3">
        <v>4</v>
      </c>
      <c r="AG1790" s="3">
        <v>26</v>
      </c>
      <c r="AH1790" s="3">
        <v>1</v>
      </c>
      <c r="AI1790" s="3">
        <v>9</v>
      </c>
      <c r="AJ1790" s="3">
        <v>0</v>
      </c>
      <c r="AK1790" s="3">
        <v>6</v>
      </c>
      <c r="AL1790" s="3">
        <v>3</v>
      </c>
      <c r="AM1790" s="3">
        <v>12</v>
      </c>
      <c r="AN1790" s="3">
        <v>0</v>
      </c>
      <c r="AO1790" s="3">
        <v>3</v>
      </c>
      <c r="AP1790" s="3">
        <v>0</v>
      </c>
      <c r="AQ1790" s="3">
        <v>0</v>
      </c>
      <c r="AR1790" s="2" t="s">
        <v>5</v>
      </c>
      <c r="AS1790" s="2" t="s">
        <v>5</v>
      </c>
      <c r="AU1790" s="5" t="str">
        <f>HYPERLINK("https://creighton-primo.hosted.exlibrisgroup.com/primo-explore/search?tab=default_tab&amp;search_scope=EVERYTHING&amp;vid=01CRU&amp;lang=en_US&amp;offset=0&amp;query=any,contains,991000850849702656","Catalog Record")</f>
        <v>Catalog Record</v>
      </c>
      <c r="AV1790" s="5" t="str">
        <f>HYPERLINK("http://www.worldcat.org/oclc/33161922","WorldCat Record")</f>
        <v>WorldCat Record</v>
      </c>
      <c r="AW1790" s="2" t="s">
        <v>21163</v>
      </c>
      <c r="AX1790" s="2" t="s">
        <v>21175</v>
      </c>
      <c r="AY1790" s="2" t="s">
        <v>21176</v>
      </c>
      <c r="AZ1790" s="2" t="s">
        <v>21176</v>
      </c>
      <c r="BA1790" s="2" t="s">
        <v>21177</v>
      </c>
      <c r="BB1790" s="2" t="s">
        <v>21</v>
      </c>
      <c r="BD1790" s="2" t="s">
        <v>21178</v>
      </c>
      <c r="BE1790" s="2" t="s">
        <v>21179</v>
      </c>
      <c r="BF1790" s="2" t="s">
        <v>21180</v>
      </c>
    </row>
    <row r="1791" spans="1:58" ht="41.25" customHeight="1" x14ac:dyDescent="0.25">
      <c r="A1791" s="8" t="s">
        <v>5</v>
      </c>
      <c r="B1791" s="1" t="s">
        <v>0</v>
      </c>
      <c r="C1791" s="1" t="s">
        <v>1</v>
      </c>
      <c r="D1791" s="1" t="s">
        <v>21181</v>
      </c>
      <c r="E1791" s="1" t="s">
        <v>21182</v>
      </c>
      <c r="F1791" s="1" t="s">
        <v>21183</v>
      </c>
      <c r="H1791" s="2" t="s">
        <v>5</v>
      </c>
      <c r="I1791" s="2" t="s">
        <v>6</v>
      </c>
      <c r="J1791" s="2" t="s">
        <v>5</v>
      </c>
      <c r="K1791" s="2" t="s">
        <v>5</v>
      </c>
      <c r="L1791" s="2" t="s">
        <v>7</v>
      </c>
      <c r="M1791" s="1" t="s">
        <v>21184</v>
      </c>
      <c r="N1791" s="1" t="s">
        <v>13123</v>
      </c>
      <c r="O1791" s="2" t="s">
        <v>285</v>
      </c>
      <c r="P1791" s="1" t="s">
        <v>19580</v>
      </c>
      <c r="Q1791" s="2" t="s">
        <v>11</v>
      </c>
      <c r="R1791" s="2" t="s">
        <v>31</v>
      </c>
      <c r="T1791" s="2" t="s">
        <v>520</v>
      </c>
      <c r="U1791" s="3">
        <v>3</v>
      </c>
      <c r="V1791" s="3">
        <v>3</v>
      </c>
      <c r="W1791" s="4" t="s">
        <v>21185</v>
      </c>
      <c r="X1791" s="4" t="s">
        <v>21185</v>
      </c>
      <c r="Y1791" s="4" t="s">
        <v>96</v>
      </c>
      <c r="Z1791" s="4" t="s">
        <v>96</v>
      </c>
      <c r="AA1791" s="3">
        <v>179</v>
      </c>
      <c r="AB1791" s="3">
        <v>150</v>
      </c>
      <c r="AC1791" s="3">
        <v>222</v>
      </c>
      <c r="AD1791" s="3">
        <v>3</v>
      </c>
      <c r="AE1791" s="3">
        <v>4</v>
      </c>
      <c r="AF1791" s="3">
        <v>4</v>
      </c>
      <c r="AG1791" s="3">
        <v>6</v>
      </c>
      <c r="AH1791" s="3">
        <v>1</v>
      </c>
      <c r="AI1791" s="3">
        <v>1</v>
      </c>
      <c r="AJ1791" s="3">
        <v>0</v>
      </c>
      <c r="AK1791" s="3">
        <v>0</v>
      </c>
      <c r="AL1791" s="3">
        <v>2</v>
      </c>
      <c r="AM1791" s="3">
        <v>3</v>
      </c>
      <c r="AN1791" s="3">
        <v>1</v>
      </c>
      <c r="AO1791" s="3">
        <v>2</v>
      </c>
      <c r="AP1791" s="3">
        <v>0</v>
      </c>
      <c r="AQ1791" s="3">
        <v>0</v>
      </c>
      <c r="AR1791" s="2" t="s">
        <v>5</v>
      </c>
      <c r="AS1791" s="2" t="s">
        <v>16</v>
      </c>
      <c r="AT1791" s="5" t="str">
        <f>HYPERLINK("http://catalog.hathitrust.org/Record/000717818","HathiTrust Record")</f>
        <v>HathiTrust Record</v>
      </c>
      <c r="AU1791" s="5" t="str">
        <f>HYPERLINK("https://creighton-primo.hosted.exlibrisgroup.com/primo-explore/search?tab=default_tab&amp;search_scope=EVERYTHING&amp;vid=01CRU&amp;lang=en_US&amp;offset=0&amp;query=any,contains,991000928479702656","Catalog Record")</f>
        <v>Catalog Record</v>
      </c>
      <c r="AV1791" s="5" t="str">
        <f>HYPERLINK("http://www.worldcat.org/oclc/4638958","WorldCat Record")</f>
        <v>WorldCat Record</v>
      </c>
      <c r="AW1791" s="2" t="s">
        <v>21186</v>
      </c>
      <c r="AX1791" s="2" t="s">
        <v>21187</v>
      </c>
      <c r="AY1791" s="2" t="s">
        <v>21188</v>
      </c>
      <c r="AZ1791" s="2" t="s">
        <v>21188</v>
      </c>
      <c r="BA1791" s="2" t="s">
        <v>21189</v>
      </c>
      <c r="BB1791" s="2" t="s">
        <v>21</v>
      </c>
      <c r="BD1791" s="2" t="s">
        <v>21190</v>
      </c>
      <c r="BE1791" s="2" t="s">
        <v>21191</v>
      </c>
      <c r="BF1791" s="2" t="s">
        <v>21192</v>
      </c>
    </row>
    <row r="1792" spans="1:58" ht="41.25" customHeight="1" x14ac:dyDescent="0.25">
      <c r="A1792" s="8" t="s">
        <v>5</v>
      </c>
      <c r="B1792" s="1" t="s">
        <v>0</v>
      </c>
      <c r="C1792" s="1" t="s">
        <v>1</v>
      </c>
      <c r="D1792" s="1" t="s">
        <v>21193</v>
      </c>
      <c r="E1792" s="1" t="s">
        <v>21194</v>
      </c>
      <c r="F1792" s="1" t="s">
        <v>21195</v>
      </c>
      <c r="H1792" s="2" t="s">
        <v>5</v>
      </c>
      <c r="I1792" s="2" t="s">
        <v>6</v>
      </c>
      <c r="J1792" s="2" t="s">
        <v>5</v>
      </c>
      <c r="K1792" s="2" t="s">
        <v>5</v>
      </c>
      <c r="L1792" s="2" t="s">
        <v>7</v>
      </c>
      <c r="M1792" s="1" t="s">
        <v>21196</v>
      </c>
      <c r="N1792" s="1" t="s">
        <v>21197</v>
      </c>
      <c r="O1792" s="2" t="s">
        <v>228</v>
      </c>
      <c r="Q1792" s="2" t="s">
        <v>11</v>
      </c>
      <c r="R1792" s="2" t="s">
        <v>426</v>
      </c>
      <c r="T1792" s="2" t="s">
        <v>520</v>
      </c>
      <c r="U1792" s="3">
        <v>2</v>
      </c>
      <c r="V1792" s="3">
        <v>2</v>
      </c>
      <c r="W1792" s="4" t="s">
        <v>21198</v>
      </c>
      <c r="X1792" s="4" t="s">
        <v>21198</v>
      </c>
      <c r="Y1792" s="4" t="s">
        <v>96</v>
      </c>
      <c r="Z1792" s="4" t="s">
        <v>96</v>
      </c>
      <c r="AA1792" s="3">
        <v>100</v>
      </c>
      <c r="AB1792" s="3">
        <v>85</v>
      </c>
      <c r="AC1792" s="3">
        <v>85</v>
      </c>
      <c r="AD1792" s="3">
        <v>2</v>
      </c>
      <c r="AE1792" s="3">
        <v>2</v>
      </c>
      <c r="AF1792" s="3">
        <v>4</v>
      </c>
      <c r="AG1792" s="3">
        <v>4</v>
      </c>
      <c r="AH1792" s="3">
        <v>1</v>
      </c>
      <c r="AI1792" s="3">
        <v>1</v>
      </c>
      <c r="AJ1792" s="3">
        <v>2</v>
      </c>
      <c r="AK1792" s="3">
        <v>2</v>
      </c>
      <c r="AL1792" s="3">
        <v>2</v>
      </c>
      <c r="AM1792" s="3">
        <v>2</v>
      </c>
      <c r="AN1792" s="3">
        <v>0</v>
      </c>
      <c r="AO1792" s="3">
        <v>0</v>
      </c>
      <c r="AP1792" s="3">
        <v>0</v>
      </c>
      <c r="AQ1792" s="3">
        <v>0</v>
      </c>
      <c r="AR1792" s="2" t="s">
        <v>5</v>
      </c>
      <c r="AS1792" s="2" t="s">
        <v>5</v>
      </c>
      <c r="AU1792" s="5" t="str">
        <f>HYPERLINK("https://creighton-primo.hosted.exlibrisgroup.com/primo-explore/search?tab=default_tab&amp;search_scope=EVERYTHING&amp;vid=01CRU&amp;lang=en_US&amp;offset=0&amp;query=any,contains,991000928519702656","Catalog Record")</f>
        <v>Catalog Record</v>
      </c>
      <c r="AV1792" s="5" t="str">
        <f>HYPERLINK("http://www.worldcat.org/oclc/7572659","WorldCat Record")</f>
        <v>WorldCat Record</v>
      </c>
      <c r="AW1792" s="2" t="s">
        <v>21199</v>
      </c>
      <c r="AX1792" s="2" t="s">
        <v>21200</v>
      </c>
      <c r="AY1792" s="2" t="s">
        <v>21201</v>
      </c>
      <c r="AZ1792" s="2" t="s">
        <v>21201</v>
      </c>
      <c r="BA1792" s="2" t="s">
        <v>21202</v>
      </c>
      <c r="BB1792" s="2" t="s">
        <v>21</v>
      </c>
      <c r="BD1792" s="2" t="s">
        <v>21203</v>
      </c>
      <c r="BE1792" s="2" t="s">
        <v>21204</v>
      </c>
      <c r="BF1792" s="2" t="s">
        <v>21205</v>
      </c>
    </row>
    <row r="1793" spans="1:58" ht="41.25" customHeight="1" x14ac:dyDescent="0.25">
      <c r="A1793" s="8" t="s">
        <v>5</v>
      </c>
      <c r="B1793" s="1" t="s">
        <v>0</v>
      </c>
      <c r="C1793" s="1" t="s">
        <v>1</v>
      </c>
      <c r="D1793" s="1" t="s">
        <v>21206</v>
      </c>
      <c r="E1793" s="1" t="s">
        <v>21207</v>
      </c>
      <c r="F1793" s="1" t="s">
        <v>21208</v>
      </c>
      <c r="H1793" s="2" t="s">
        <v>5</v>
      </c>
      <c r="I1793" s="2" t="s">
        <v>6</v>
      </c>
      <c r="J1793" s="2" t="s">
        <v>5</v>
      </c>
      <c r="K1793" s="2" t="s">
        <v>5</v>
      </c>
      <c r="L1793" s="2" t="s">
        <v>7</v>
      </c>
      <c r="M1793" s="1" t="s">
        <v>21209</v>
      </c>
      <c r="N1793" s="1" t="s">
        <v>21210</v>
      </c>
      <c r="O1793" s="2" t="s">
        <v>794</v>
      </c>
      <c r="P1793" s="1" t="s">
        <v>211</v>
      </c>
      <c r="Q1793" s="2" t="s">
        <v>11</v>
      </c>
      <c r="R1793" s="2" t="s">
        <v>271</v>
      </c>
      <c r="T1793" s="2" t="s">
        <v>520</v>
      </c>
      <c r="U1793" s="3">
        <v>5</v>
      </c>
      <c r="V1793" s="3">
        <v>5</v>
      </c>
      <c r="W1793" s="4" t="s">
        <v>21162</v>
      </c>
      <c r="X1793" s="4" t="s">
        <v>21162</v>
      </c>
      <c r="Y1793" s="4" t="s">
        <v>8108</v>
      </c>
      <c r="Z1793" s="4" t="s">
        <v>8108</v>
      </c>
      <c r="AA1793" s="3">
        <v>229</v>
      </c>
      <c r="AB1793" s="3">
        <v>171</v>
      </c>
      <c r="AC1793" s="3">
        <v>313</v>
      </c>
      <c r="AD1793" s="3">
        <v>1</v>
      </c>
      <c r="AE1793" s="3">
        <v>1</v>
      </c>
      <c r="AF1793" s="3">
        <v>5</v>
      </c>
      <c r="AG1793" s="3">
        <v>11</v>
      </c>
      <c r="AH1793" s="3">
        <v>1</v>
      </c>
      <c r="AI1793" s="3">
        <v>4</v>
      </c>
      <c r="AJ1793" s="3">
        <v>2</v>
      </c>
      <c r="AK1793" s="3">
        <v>3</v>
      </c>
      <c r="AL1793" s="3">
        <v>3</v>
      </c>
      <c r="AM1793" s="3">
        <v>9</v>
      </c>
      <c r="AN1793" s="3">
        <v>0</v>
      </c>
      <c r="AO1793" s="3">
        <v>0</v>
      </c>
      <c r="AP1793" s="3">
        <v>0</v>
      </c>
      <c r="AQ1793" s="3">
        <v>0</v>
      </c>
      <c r="AR1793" s="2" t="s">
        <v>5</v>
      </c>
      <c r="AS1793" s="2" t="s">
        <v>5</v>
      </c>
      <c r="AU1793" s="5" t="str">
        <f>HYPERLINK("https://creighton-primo.hosted.exlibrisgroup.com/primo-explore/search?tab=default_tab&amp;search_scope=EVERYTHING&amp;vid=01CRU&amp;lang=en_US&amp;offset=0&amp;query=any,contains,991001556679702656","Catalog Record")</f>
        <v>Catalog Record</v>
      </c>
      <c r="AV1793" s="5" t="str">
        <f>HYPERLINK("http://www.worldcat.org/oclc/33838235","WorldCat Record")</f>
        <v>WorldCat Record</v>
      </c>
      <c r="AW1793" s="2" t="s">
        <v>21211</v>
      </c>
      <c r="AX1793" s="2" t="s">
        <v>21212</v>
      </c>
      <c r="AY1793" s="2" t="s">
        <v>21213</v>
      </c>
      <c r="AZ1793" s="2" t="s">
        <v>21213</v>
      </c>
      <c r="BA1793" s="2" t="s">
        <v>21214</v>
      </c>
      <c r="BB1793" s="2" t="s">
        <v>21</v>
      </c>
      <c r="BD1793" s="2" t="s">
        <v>21215</v>
      </c>
      <c r="BE1793" s="2" t="s">
        <v>21216</v>
      </c>
      <c r="BF1793" s="2" t="s">
        <v>21217</v>
      </c>
    </row>
    <row r="1794" spans="1:58" ht="41.25" customHeight="1" x14ac:dyDescent="0.25">
      <c r="A1794" s="8" t="s">
        <v>5</v>
      </c>
      <c r="B1794" s="1" t="s">
        <v>0</v>
      </c>
      <c r="C1794" s="1" t="s">
        <v>1</v>
      </c>
      <c r="D1794" s="1" t="s">
        <v>21218</v>
      </c>
      <c r="E1794" s="1" t="s">
        <v>21219</v>
      </c>
      <c r="F1794" s="1" t="s">
        <v>21220</v>
      </c>
      <c r="H1794" s="2" t="s">
        <v>5</v>
      </c>
      <c r="I1794" s="2" t="s">
        <v>6</v>
      </c>
      <c r="J1794" s="2" t="s">
        <v>5</v>
      </c>
      <c r="K1794" s="2" t="s">
        <v>16</v>
      </c>
      <c r="L1794" s="2" t="s">
        <v>7</v>
      </c>
      <c r="M1794" s="1" t="s">
        <v>21221</v>
      </c>
      <c r="N1794" s="1" t="s">
        <v>7880</v>
      </c>
      <c r="O1794" s="2" t="s">
        <v>546</v>
      </c>
      <c r="P1794" s="1" t="s">
        <v>901</v>
      </c>
      <c r="Q1794" s="2" t="s">
        <v>11</v>
      </c>
      <c r="R1794" s="2" t="s">
        <v>78</v>
      </c>
      <c r="T1794" s="2" t="s">
        <v>520</v>
      </c>
      <c r="U1794" s="3">
        <v>7</v>
      </c>
      <c r="V1794" s="3">
        <v>7</v>
      </c>
      <c r="W1794" s="4" t="s">
        <v>21162</v>
      </c>
      <c r="X1794" s="4" t="s">
        <v>21162</v>
      </c>
      <c r="Y1794" s="4" t="s">
        <v>21222</v>
      </c>
      <c r="Z1794" s="4" t="s">
        <v>21222</v>
      </c>
      <c r="AA1794" s="3">
        <v>229</v>
      </c>
      <c r="AB1794" s="3">
        <v>198</v>
      </c>
      <c r="AC1794" s="3">
        <v>539</v>
      </c>
      <c r="AD1794" s="3">
        <v>2</v>
      </c>
      <c r="AE1794" s="3">
        <v>4</v>
      </c>
      <c r="AF1794" s="3">
        <v>5</v>
      </c>
      <c r="AG1794" s="3">
        <v>10</v>
      </c>
      <c r="AH1794" s="3">
        <v>2</v>
      </c>
      <c r="AI1794" s="3">
        <v>3</v>
      </c>
      <c r="AJ1794" s="3">
        <v>1</v>
      </c>
      <c r="AK1794" s="3">
        <v>3</v>
      </c>
      <c r="AL1794" s="3">
        <v>5</v>
      </c>
      <c r="AM1794" s="3">
        <v>5</v>
      </c>
      <c r="AN1794" s="3">
        <v>0</v>
      </c>
      <c r="AO1794" s="3">
        <v>2</v>
      </c>
      <c r="AP1794" s="3">
        <v>0</v>
      </c>
      <c r="AQ1794" s="3">
        <v>0</v>
      </c>
      <c r="AR1794" s="2" t="s">
        <v>5</v>
      </c>
      <c r="AS1794" s="2" t="s">
        <v>16</v>
      </c>
      <c r="AT1794" s="5" t="str">
        <f>HYPERLINK("http://catalog.hathitrust.org/Record/002710517","HathiTrust Record")</f>
        <v>HathiTrust Record</v>
      </c>
      <c r="AU1794" s="5" t="str">
        <f>HYPERLINK("https://creighton-primo.hosted.exlibrisgroup.com/primo-explore/search?tab=default_tab&amp;search_scope=EVERYTHING&amp;vid=01CRU&amp;lang=en_US&amp;offset=0&amp;query=any,contains,991001770409702656","Catalog Record")</f>
        <v>Catalog Record</v>
      </c>
      <c r="AV1794" s="5" t="str">
        <f>HYPERLINK("http://www.worldcat.org/oclc/27034789","WorldCat Record")</f>
        <v>WorldCat Record</v>
      </c>
      <c r="AW1794" s="2" t="s">
        <v>21223</v>
      </c>
      <c r="AX1794" s="2" t="s">
        <v>21224</v>
      </c>
      <c r="AY1794" s="2" t="s">
        <v>21225</v>
      </c>
      <c r="AZ1794" s="2" t="s">
        <v>21225</v>
      </c>
      <c r="BA1794" s="2" t="s">
        <v>21226</v>
      </c>
      <c r="BB1794" s="2" t="s">
        <v>21</v>
      </c>
      <c r="BD1794" s="2" t="s">
        <v>21227</v>
      </c>
      <c r="BE1794" s="2" t="s">
        <v>21228</v>
      </c>
      <c r="BF1794" s="2" t="s">
        <v>21229</v>
      </c>
    </row>
    <row r="1795" spans="1:58" ht="41.25" customHeight="1" x14ac:dyDescent="0.25">
      <c r="A1795" s="8" t="s">
        <v>5</v>
      </c>
      <c r="B1795" s="1" t="s">
        <v>0</v>
      </c>
      <c r="C1795" s="1" t="s">
        <v>1</v>
      </c>
      <c r="D1795" s="1" t="s">
        <v>21230</v>
      </c>
      <c r="E1795" s="1" t="s">
        <v>21231</v>
      </c>
      <c r="F1795" s="1" t="s">
        <v>21232</v>
      </c>
      <c r="H1795" s="2" t="s">
        <v>5</v>
      </c>
      <c r="I1795" s="2" t="s">
        <v>6</v>
      </c>
      <c r="J1795" s="2" t="s">
        <v>5</v>
      </c>
      <c r="K1795" s="2" t="s">
        <v>5</v>
      </c>
      <c r="L1795" s="2" t="s">
        <v>7</v>
      </c>
      <c r="M1795" s="1" t="s">
        <v>21233</v>
      </c>
      <c r="N1795" s="1" t="s">
        <v>12988</v>
      </c>
      <c r="O1795" s="2" t="s">
        <v>734</v>
      </c>
      <c r="Q1795" s="2" t="s">
        <v>11</v>
      </c>
      <c r="R1795" s="2" t="s">
        <v>426</v>
      </c>
      <c r="T1795" s="2" t="s">
        <v>520</v>
      </c>
      <c r="U1795" s="3">
        <v>5</v>
      </c>
      <c r="V1795" s="3">
        <v>5</v>
      </c>
      <c r="W1795" s="4" t="s">
        <v>21234</v>
      </c>
      <c r="X1795" s="4" t="s">
        <v>21234</v>
      </c>
      <c r="Y1795" s="4" t="s">
        <v>96</v>
      </c>
      <c r="Z1795" s="4" t="s">
        <v>96</v>
      </c>
      <c r="AA1795" s="3">
        <v>214</v>
      </c>
      <c r="AB1795" s="3">
        <v>177</v>
      </c>
      <c r="AC1795" s="3">
        <v>179</v>
      </c>
      <c r="AD1795" s="3">
        <v>2</v>
      </c>
      <c r="AE1795" s="3">
        <v>2</v>
      </c>
      <c r="AF1795" s="3">
        <v>4</v>
      </c>
      <c r="AG1795" s="3">
        <v>4</v>
      </c>
      <c r="AH1795" s="3">
        <v>0</v>
      </c>
      <c r="AI1795" s="3">
        <v>0</v>
      </c>
      <c r="AJ1795" s="3">
        <v>2</v>
      </c>
      <c r="AK1795" s="3">
        <v>2</v>
      </c>
      <c r="AL1795" s="3">
        <v>3</v>
      </c>
      <c r="AM1795" s="3">
        <v>3</v>
      </c>
      <c r="AN1795" s="3">
        <v>0</v>
      </c>
      <c r="AO1795" s="3">
        <v>0</v>
      </c>
      <c r="AP1795" s="3">
        <v>0</v>
      </c>
      <c r="AQ1795" s="3">
        <v>0</v>
      </c>
      <c r="AR1795" s="2" t="s">
        <v>5</v>
      </c>
      <c r="AS1795" s="2" t="s">
        <v>16</v>
      </c>
      <c r="AT1795" s="5" t="str">
        <f>HYPERLINK("http://catalog.hathitrust.org/Record/000241759","HathiTrust Record")</f>
        <v>HathiTrust Record</v>
      </c>
      <c r="AU1795" s="5" t="str">
        <f>HYPERLINK("https://creighton-primo.hosted.exlibrisgroup.com/primo-explore/search?tab=default_tab&amp;search_scope=EVERYTHING&amp;vid=01CRU&amp;lang=en_US&amp;offset=0&amp;query=any,contains,991000928599702656","Catalog Record")</f>
        <v>Catalog Record</v>
      </c>
      <c r="AV1795" s="5" t="str">
        <f>HYPERLINK("http://www.worldcat.org/oclc/9111235","WorldCat Record")</f>
        <v>WorldCat Record</v>
      </c>
      <c r="AW1795" s="2" t="s">
        <v>21235</v>
      </c>
      <c r="AX1795" s="2" t="s">
        <v>21236</v>
      </c>
      <c r="AY1795" s="2" t="s">
        <v>21237</v>
      </c>
      <c r="AZ1795" s="2" t="s">
        <v>21237</v>
      </c>
      <c r="BA1795" s="2" t="s">
        <v>21238</v>
      </c>
      <c r="BB1795" s="2" t="s">
        <v>21</v>
      </c>
      <c r="BD1795" s="2" t="s">
        <v>21239</v>
      </c>
      <c r="BE1795" s="2" t="s">
        <v>21240</v>
      </c>
      <c r="BF1795" s="2" t="s">
        <v>21241</v>
      </c>
    </row>
    <row r="1796" spans="1:58" ht="41.25" customHeight="1" x14ac:dyDescent="0.25">
      <c r="A1796" s="8" t="s">
        <v>5</v>
      </c>
      <c r="B1796" s="1" t="s">
        <v>0</v>
      </c>
      <c r="C1796" s="1" t="s">
        <v>1</v>
      </c>
      <c r="D1796" s="1" t="s">
        <v>21242</v>
      </c>
      <c r="E1796" s="1" t="s">
        <v>21243</v>
      </c>
      <c r="F1796" s="1" t="s">
        <v>21244</v>
      </c>
      <c r="H1796" s="2" t="s">
        <v>5</v>
      </c>
      <c r="I1796" s="2" t="s">
        <v>6</v>
      </c>
      <c r="J1796" s="2" t="s">
        <v>5</v>
      </c>
      <c r="K1796" s="2" t="s">
        <v>5</v>
      </c>
      <c r="L1796" s="2" t="s">
        <v>7</v>
      </c>
      <c r="M1796" s="1" t="s">
        <v>21245</v>
      </c>
      <c r="N1796" s="1" t="s">
        <v>21246</v>
      </c>
      <c r="O1796" s="2" t="s">
        <v>1551</v>
      </c>
      <c r="P1796" s="1" t="s">
        <v>21247</v>
      </c>
      <c r="Q1796" s="2" t="s">
        <v>11</v>
      </c>
      <c r="R1796" s="2" t="s">
        <v>12</v>
      </c>
      <c r="T1796" s="2" t="s">
        <v>520</v>
      </c>
      <c r="U1796" s="3">
        <v>1</v>
      </c>
      <c r="V1796" s="3">
        <v>1</v>
      </c>
      <c r="W1796" s="4" t="s">
        <v>21248</v>
      </c>
      <c r="X1796" s="4" t="s">
        <v>21248</v>
      </c>
      <c r="Y1796" s="4" t="s">
        <v>21249</v>
      </c>
      <c r="Z1796" s="4" t="s">
        <v>21249</v>
      </c>
      <c r="AA1796" s="3">
        <v>94</v>
      </c>
      <c r="AB1796" s="3">
        <v>87</v>
      </c>
      <c r="AC1796" s="3">
        <v>101</v>
      </c>
      <c r="AD1796" s="3">
        <v>1</v>
      </c>
      <c r="AE1796" s="3">
        <v>2</v>
      </c>
      <c r="AF1796" s="3">
        <v>3</v>
      </c>
      <c r="AG1796" s="3">
        <v>4</v>
      </c>
      <c r="AH1796" s="3">
        <v>1</v>
      </c>
      <c r="AI1796" s="3">
        <v>1</v>
      </c>
      <c r="AJ1796" s="3">
        <v>1</v>
      </c>
      <c r="AK1796" s="3">
        <v>1</v>
      </c>
      <c r="AL1796" s="3">
        <v>1</v>
      </c>
      <c r="AM1796" s="3">
        <v>2</v>
      </c>
      <c r="AN1796" s="3">
        <v>0</v>
      </c>
      <c r="AO1796" s="3">
        <v>0</v>
      </c>
      <c r="AP1796" s="3">
        <v>0</v>
      </c>
      <c r="AQ1796" s="3">
        <v>0</v>
      </c>
      <c r="AR1796" s="2" t="s">
        <v>16</v>
      </c>
      <c r="AS1796" s="2" t="s">
        <v>5</v>
      </c>
      <c r="AT1796" s="5" t="str">
        <f>HYPERLINK("http://catalog.hathitrust.org/Record/001562858","HathiTrust Record")</f>
        <v>HathiTrust Record</v>
      </c>
      <c r="AU1796" s="5" t="str">
        <f>HYPERLINK("https://creighton-primo.hosted.exlibrisgroup.com/primo-explore/search?tab=default_tab&amp;search_scope=EVERYTHING&amp;vid=01CRU&amp;lang=en_US&amp;offset=0&amp;query=any,contains,991000928719702656","Catalog Record")</f>
        <v>Catalog Record</v>
      </c>
      <c r="AV1796" s="5" t="str">
        <f>HYPERLINK("http://www.worldcat.org/oclc/1592089","WorldCat Record")</f>
        <v>WorldCat Record</v>
      </c>
      <c r="AW1796" s="2" t="s">
        <v>21250</v>
      </c>
      <c r="AX1796" s="2" t="s">
        <v>21251</v>
      </c>
      <c r="AY1796" s="2" t="s">
        <v>21252</v>
      </c>
      <c r="AZ1796" s="2" t="s">
        <v>21252</v>
      </c>
      <c r="BA1796" s="2" t="s">
        <v>21253</v>
      </c>
      <c r="BB1796" s="2" t="s">
        <v>21</v>
      </c>
      <c r="BE1796" s="2" t="s">
        <v>21254</v>
      </c>
      <c r="BF1796" s="2" t="s">
        <v>21255</v>
      </c>
    </row>
    <row r="1797" spans="1:58" ht="41.25" customHeight="1" x14ac:dyDescent="0.25">
      <c r="A1797" s="8" t="s">
        <v>5</v>
      </c>
      <c r="B1797" s="1" t="s">
        <v>0</v>
      </c>
      <c r="C1797" s="1" t="s">
        <v>1</v>
      </c>
      <c r="D1797" s="1" t="s">
        <v>21256</v>
      </c>
      <c r="E1797" s="1" t="s">
        <v>21257</v>
      </c>
      <c r="F1797" s="1" t="s">
        <v>21258</v>
      </c>
      <c r="H1797" s="2" t="s">
        <v>5</v>
      </c>
      <c r="I1797" s="2" t="s">
        <v>6</v>
      </c>
      <c r="J1797" s="2" t="s">
        <v>5</v>
      </c>
      <c r="K1797" s="2" t="s">
        <v>5</v>
      </c>
      <c r="L1797" s="2" t="s">
        <v>7</v>
      </c>
      <c r="M1797" s="1" t="s">
        <v>21259</v>
      </c>
      <c r="N1797" s="1" t="s">
        <v>8713</v>
      </c>
      <c r="O1797" s="2" t="s">
        <v>888</v>
      </c>
      <c r="Q1797" s="2" t="s">
        <v>11</v>
      </c>
      <c r="R1797" s="2" t="s">
        <v>229</v>
      </c>
      <c r="T1797" s="2" t="s">
        <v>520</v>
      </c>
      <c r="U1797" s="3">
        <v>3</v>
      </c>
      <c r="V1797" s="3">
        <v>3</v>
      </c>
      <c r="W1797" s="4" t="s">
        <v>17855</v>
      </c>
      <c r="X1797" s="4" t="s">
        <v>17855</v>
      </c>
      <c r="Y1797" s="4" t="s">
        <v>96</v>
      </c>
      <c r="Z1797" s="4" t="s">
        <v>96</v>
      </c>
      <c r="AA1797" s="3">
        <v>137</v>
      </c>
      <c r="AB1797" s="3">
        <v>111</v>
      </c>
      <c r="AC1797" s="3">
        <v>113</v>
      </c>
      <c r="AD1797" s="3">
        <v>1</v>
      </c>
      <c r="AE1797" s="3">
        <v>1</v>
      </c>
      <c r="AF1797" s="3">
        <v>2</v>
      </c>
      <c r="AG1797" s="3">
        <v>2</v>
      </c>
      <c r="AH1797" s="3">
        <v>1</v>
      </c>
      <c r="AI1797" s="3">
        <v>1</v>
      </c>
      <c r="AJ1797" s="3">
        <v>1</v>
      </c>
      <c r="AK1797" s="3">
        <v>1</v>
      </c>
      <c r="AL1797" s="3">
        <v>2</v>
      </c>
      <c r="AM1797" s="3">
        <v>2</v>
      </c>
      <c r="AN1797" s="3">
        <v>0</v>
      </c>
      <c r="AO1797" s="3">
        <v>0</v>
      </c>
      <c r="AP1797" s="3">
        <v>0</v>
      </c>
      <c r="AQ1797" s="3">
        <v>0</v>
      </c>
      <c r="AR1797" s="2" t="s">
        <v>5</v>
      </c>
      <c r="AS1797" s="2" t="s">
        <v>16</v>
      </c>
      <c r="AT1797" s="5" t="str">
        <f>HYPERLINK("http://catalog.hathitrust.org/Record/000333697","HathiTrust Record")</f>
        <v>HathiTrust Record</v>
      </c>
      <c r="AU1797" s="5" t="str">
        <f>HYPERLINK("https://creighton-primo.hosted.exlibrisgroup.com/primo-explore/search?tab=default_tab&amp;search_scope=EVERYTHING&amp;vid=01CRU&amp;lang=en_US&amp;offset=0&amp;query=any,contains,991000928769702656","Catalog Record")</f>
        <v>Catalog Record</v>
      </c>
      <c r="AV1797" s="5" t="str">
        <f>HYPERLINK("http://www.worldcat.org/oclc/9852781","WorldCat Record")</f>
        <v>WorldCat Record</v>
      </c>
      <c r="AW1797" s="2" t="s">
        <v>21260</v>
      </c>
      <c r="AX1797" s="2" t="s">
        <v>21261</v>
      </c>
      <c r="AY1797" s="2" t="s">
        <v>21262</v>
      </c>
      <c r="AZ1797" s="2" t="s">
        <v>21262</v>
      </c>
      <c r="BA1797" s="2" t="s">
        <v>21263</v>
      </c>
      <c r="BB1797" s="2" t="s">
        <v>21</v>
      </c>
      <c r="BD1797" s="2" t="s">
        <v>21264</v>
      </c>
      <c r="BE1797" s="2" t="s">
        <v>21265</v>
      </c>
      <c r="BF1797" s="2" t="s">
        <v>21266</v>
      </c>
    </row>
    <row r="1798" spans="1:58" ht="41.25" customHeight="1" x14ac:dyDescent="0.25">
      <c r="A1798" s="8" t="s">
        <v>5</v>
      </c>
      <c r="B1798" s="1" t="s">
        <v>0</v>
      </c>
      <c r="C1798" s="1" t="s">
        <v>1</v>
      </c>
      <c r="D1798" s="1" t="s">
        <v>21267</v>
      </c>
      <c r="E1798" s="1" t="s">
        <v>21268</v>
      </c>
      <c r="F1798" s="1" t="s">
        <v>21269</v>
      </c>
      <c r="H1798" s="2" t="s">
        <v>5</v>
      </c>
      <c r="I1798" s="2" t="s">
        <v>6</v>
      </c>
      <c r="J1798" s="2" t="s">
        <v>5</v>
      </c>
      <c r="K1798" s="2" t="s">
        <v>5</v>
      </c>
      <c r="L1798" s="2" t="s">
        <v>7</v>
      </c>
      <c r="M1798" s="1" t="s">
        <v>21270</v>
      </c>
      <c r="N1798" s="1" t="s">
        <v>6543</v>
      </c>
      <c r="O1798" s="2" t="s">
        <v>872</v>
      </c>
      <c r="Q1798" s="2" t="s">
        <v>11</v>
      </c>
      <c r="R1798" s="2" t="s">
        <v>426</v>
      </c>
      <c r="T1798" s="2" t="s">
        <v>520</v>
      </c>
      <c r="U1798" s="3">
        <v>9</v>
      </c>
      <c r="V1798" s="3">
        <v>9</v>
      </c>
      <c r="W1798" s="4" t="s">
        <v>21271</v>
      </c>
      <c r="X1798" s="4" t="s">
        <v>21271</v>
      </c>
      <c r="Y1798" s="4" t="s">
        <v>21272</v>
      </c>
      <c r="Z1798" s="4" t="s">
        <v>21272</v>
      </c>
      <c r="AA1798" s="3">
        <v>372</v>
      </c>
      <c r="AB1798" s="3">
        <v>310</v>
      </c>
      <c r="AC1798" s="3">
        <v>318</v>
      </c>
      <c r="AD1798" s="3">
        <v>3</v>
      </c>
      <c r="AE1798" s="3">
        <v>3</v>
      </c>
      <c r="AF1798" s="3">
        <v>10</v>
      </c>
      <c r="AG1798" s="3">
        <v>10</v>
      </c>
      <c r="AH1798" s="3">
        <v>4</v>
      </c>
      <c r="AI1798" s="3">
        <v>4</v>
      </c>
      <c r="AJ1798" s="3">
        <v>2</v>
      </c>
      <c r="AK1798" s="3">
        <v>2</v>
      </c>
      <c r="AL1798" s="3">
        <v>7</v>
      </c>
      <c r="AM1798" s="3">
        <v>7</v>
      </c>
      <c r="AN1798" s="3">
        <v>1</v>
      </c>
      <c r="AO1798" s="3">
        <v>1</v>
      </c>
      <c r="AP1798" s="3">
        <v>0</v>
      </c>
      <c r="AQ1798" s="3">
        <v>0</v>
      </c>
      <c r="AR1798" s="2" t="s">
        <v>5</v>
      </c>
      <c r="AS1798" s="2" t="s">
        <v>16</v>
      </c>
      <c r="AT1798" s="5" t="str">
        <f>HYPERLINK("http://catalog.hathitrust.org/Record/001082542","HathiTrust Record")</f>
        <v>HathiTrust Record</v>
      </c>
      <c r="AU1798" s="5" t="str">
        <f>HYPERLINK("https://creighton-primo.hosted.exlibrisgroup.com/primo-explore/search?tab=default_tab&amp;search_scope=EVERYTHING&amp;vid=01CRU&amp;lang=en_US&amp;offset=0&amp;query=any,contains,991001312539702656","Catalog Record")</f>
        <v>Catalog Record</v>
      </c>
      <c r="AV1798" s="5" t="str">
        <f>HYPERLINK("http://www.worldcat.org/oclc/16831113","WorldCat Record")</f>
        <v>WorldCat Record</v>
      </c>
      <c r="AW1798" s="2" t="s">
        <v>21273</v>
      </c>
      <c r="AX1798" s="2" t="s">
        <v>21274</v>
      </c>
      <c r="AY1798" s="2" t="s">
        <v>21275</v>
      </c>
      <c r="AZ1798" s="2" t="s">
        <v>21275</v>
      </c>
      <c r="BA1798" s="2" t="s">
        <v>21276</v>
      </c>
      <c r="BB1798" s="2" t="s">
        <v>21</v>
      </c>
      <c r="BD1798" s="2" t="s">
        <v>21277</v>
      </c>
      <c r="BE1798" s="2" t="s">
        <v>21278</v>
      </c>
      <c r="BF1798" s="2" t="s">
        <v>21279</v>
      </c>
    </row>
    <row r="1799" spans="1:58" ht="41.25" customHeight="1" x14ac:dyDescent="0.25">
      <c r="A1799" s="8" t="s">
        <v>5</v>
      </c>
      <c r="B1799" s="1" t="s">
        <v>0</v>
      </c>
      <c r="C1799" s="1" t="s">
        <v>1</v>
      </c>
      <c r="D1799" s="1" t="s">
        <v>21280</v>
      </c>
      <c r="E1799" s="1" t="s">
        <v>21281</v>
      </c>
      <c r="F1799" s="1" t="s">
        <v>21282</v>
      </c>
      <c r="H1799" s="2" t="s">
        <v>5</v>
      </c>
      <c r="I1799" s="2" t="s">
        <v>6</v>
      </c>
      <c r="J1799" s="2" t="s">
        <v>5</v>
      </c>
      <c r="K1799" s="2" t="s">
        <v>5</v>
      </c>
      <c r="L1799" s="2" t="s">
        <v>7</v>
      </c>
      <c r="N1799" s="1" t="s">
        <v>8296</v>
      </c>
      <c r="O1799" s="2" t="s">
        <v>989</v>
      </c>
      <c r="Q1799" s="2" t="s">
        <v>11</v>
      </c>
      <c r="R1799" s="2" t="s">
        <v>3356</v>
      </c>
      <c r="T1799" s="2" t="s">
        <v>520</v>
      </c>
      <c r="U1799" s="3">
        <v>5</v>
      </c>
      <c r="V1799" s="3">
        <v>5</v>
      </c>
      <c r="W1799" s="4" t="s">
        <v>21271</v>
      </c>
      <c r="X1799" s="4" t="s">
        <v>21271</v>
      </c>
      <c r="Y1799" s="4" t="s">
        <v>21283</v>
      </c>
      <c r="Z1799" s="4" t="s">
        <v>21283</v>
      </c>
      <c r="AA1799" s="3">
        <v>285</v>
      </c>
      <c r="AB1799" s="3">
        <v>233</v>
      </c>
      <c r="AC1799" s="3">
        <v>236</v>
      </c>
      <c r="AD1799" s="3">
        <v>1</v>
      </c>
      <c r="AE1799" s="3">
        <v>1</v>
      </c>
      <c r="AF1799" s="3">
        <v>9</v>
      </c>
      <c r="AG1799" s="3">
        <v>9</v>
      </c>
      <c r="AH1799" s="3">
        <v>4</v>
      </c>
      <c r="AI1799" s="3">
        <v>4</v>
      </c>
      <c r="AJ1799" s="3">
        <v>1</v>
      </c>
      <c r="AK1799" s="3">
        <v>1</v>
      </c>
      <c r="AL1799" s="3">
        <v>7</v>
      </c>
      <c r="AM1799" s="3">
        <v>7</v>
      </c>
      <c r="AN1799" s="3">
        <v>0</v>
      </c>
      <c r="AO1799" s="3">
        <v>0</v>
      </c>
      <c r="AP1799" s="3">
        <v>0</v>
      </c>
      <c r="AQ1799" s="3">
        <v>0</v>
      </c>
      <c r="AR1799" s="2" t="s">
        <v>5</v>
      </c>
      <c r="AS1799" s="2" t="s">
        <v>16</v>
      </c>
      <c r="AT1799" s="5" t="str">
        <f>HYPERLINK("http://catalog.hathitrust.org/Record/001538697","HathiTrust Record")</f>
        <v>HathiTrust Record</v>
      </c>
      <c r="AU1799" s="5" t="str">
        <f>HYPERLINK("https://creighton-primo.hosted.exlibrisgroup.com/primo-explore/search?tab=default_tab&amp;search_scope=EVERYTHING&amp;vid=01CRU&amp;lang=en_US&amp;offset=0&amp;query=any,contains,991001365719702656","Catalog Record")</f>
        <v>Catalog Record</v>
      </c>
      <c r="AV1799" s="5" t="str">
        <f>HYPERLINK("http://www.worldcat.org/oclc/19270775","WorldCat Record")</f>
        <v>WorldCat Record</v>
      </c>
      <c r="AW1799" s="2" t="s">
        <v>21284</v>
      </c>
      <c r="AX1799" s="2" t="s">
        <v>21285</v>
      </c>
      <c r="AY1799" s="2" t="s">
        <v>21286</v>
      </c>
      <c r="AZ1799" s="2" t="s">
        <v>21286</v>
      </c>
      <c r="BA1799" s="2" t="s">
        <v>21287</v>
      </c>
      <c r="BB1799" s="2" t="s">
        <v>21</v>
      </c>
      <c r="BD1799" s="2" t="s">
        <v>21288</v>
      </c>
      <c r="BE1799" s="2" t="s">
        <v>21289</v>
      </c>
      <c r="BF1799" s="2" t="s">
        <v>21290</v>
      </c>
    </row>
    <row r="1800" spans="1:58" ht="41.25" customHeight="1" x14ac:dyDescent="0.25">
      <c r="A1800" s="8" t="s">
        <v>5</v>
      </c>
      <c r="B1800" s="1" t="s">
        <v>0</v>
      </c>
      <c r="C1800" s="1" t="s">
        <v>1</v>
      </c>
      <c r="D1800" s="1" t="s">
        <v>21291</v>
      </c>
      <c r="E1800" s="1" t="s">
        <v>21292</v>
      </c>
      <c r="F1800" s="1" t="s">
        <v>21293</v>
      </c>
      <c r="H1800" s="2" t="s">
        <v>5</v>
      </c>
      <c r="I1800" s="2" t="s">
        <v>6</v>
      </c>
      <c r="J1800" s="2" t="s">
        <v>5</v>
      </c>
      <c r="K1800" s="2" t="s">
        <v>5</v>
      </c>
      <c r="L1800" s="2" t="s">
        <v>7</v>
      </c>
      <c r="N1800" s="1" t="s">
        <v>20261</v>
      </c>
      <c r="O1800" s="2" t="s">
        <v>285</v>
      </c>
      <c r="Q1800" s="2" t="s">
        <v>11</v>
      </c>
      <c r="R1800" s="2" t="s">
        <v>78</v>
      </c>
      <c r="S1800" s="1" t="s">
        <v>21294</v>
      </c>
      <c r="T1800" s="2" t="s">
        <v>520</v>
      </c>
      <c r="U1800" s="3">
        <v>4</v>
      </c>
      <c r="V1800" s="3">
        <v>4</v>
      </c>
      <c r="W1800" s="4" t="s">
        <v>14376</v>
      </c>
      <c r="X1800" s="4" t="s">
        <v>14376</v>
      </c>
      <c r="Y1800" s="4" t="s">
        <v>96</v>
      </c>
      <c r="Z1800" s="4" t="s">
        <v>96</v>
      </c>
      <c r="AA1800" s="3">
        <v>274</v>
      </c>
      <c r="AB1800" s="3">
        <v>248</v>
      </c>
      <c r="AC1800" s="3">
        <v>250</v>
      </c>
      <c r="AD1800" s="3">
        <v>3</v>
      </c>
      <c r="AE1800" s="3">
        <v>3</v>
      </c>
      <c r="AF1800" s="3">
        <v>9</v>
      </c>
      <c r="AG1800" s="3">
        <v>9</v>
      </c>
      <c r="AH1800" s="3">
        <v>3</v>
      </c>
      <c r="AI1800" s="3">
        <v>3</v>
      </c>
      <c r="AJ1800" s="3">
        <v>0</v>
      </c>
      <c r="AK1800" s="3">
        <v>0</v>
      </c>
      <c r="AL1800" s="3">
        <v>5</v>
      </c>
      <c r="AM1800" s="3">
        <v>5</v>
      </c>
      <c r="AN1800" s="3">
        <v>1</v>
      </c>
      <c r="AO1800" s="3">
        <v>1</v>
      </c>
      <c r="AP1800" s="3">
        <v>0</v>
      </c>
      <c r="AQ1800" s="3">
        <v>0</v>
      </c>
      <c r="AR1800" s="2" t="s">
        <v>5</v>
      </c>
      <c r="AS1800" s="2" t="s">
        <v>16</v>
      </c>
      <c r="AT1800" s="5" t="str">
        <f>HYPERLINK("http://catalog.hathitrust.org/Record/000731476","HathiTrust Record")</f>
        <v>HathiTrust Record</v>
      </c>
      <c r="AU1800" s="5" t="str">
        <f>HYPERLINK("https://creighton-primo.hosted.exlibrisgroup.com/primo-explore/search?tab=default_tab&amp;search_scope=EVERYTHING&amp;vid=01CRU&amp;lang=en_US&amp;offset=0&amp;query=any,contains,991000928799702656","Catalog Record")</f>
        <v>Catalog Record</v>
      </c>
      <c r="AV1800" s="5" t="str">
        <f>HYPERLINK("http://www.worldcat.org/oclc/5447662","WorldCat Record")</f>
        <v>WorldCat Record</v>
      </c>
      <c r="AW1800" s="2" t="s">
        <v>21295</v>
      </c>
      <c r="AX1800" s="2" t="s">
        <v>21296</v>
      </c>
      <c r="AY1800" s="2" t="s">
        <v>21297</v>
      </c>
      <c r="AZ1800" s="2" t="s">
        <v>21297</v>
      </c>
      <c r="BA1800" s="2" t="s">
        <v>21298</v>
      </c>
      <c r="BB1800" s="2" t="s">
        <v>21</v>
      </c>
      <c r="BD1800" s="2" t="s">
        <v>21299</v>
      </c>
      <c r="BE1800" s="2" t="s">
        <v>21300</v>
      </c>
      <c r="BF1800" s="2" t="s">
        <v>21301</v>
      </c>
    </row>
    <row r="1801" spans="1:58" ht="41.25" customHeight="1" x14ac:dyDescent="0.25">
      <c r="A1801" s="8" t="s">
        <v>5</v>
      </c>
      <c r="B1801" s="1" t="s">
        <v>0</v>
      </c>
      <c r="C1801" s="1" t="s">
        <v>1</v>
      </c>
      <c r="D1801" s="1" t="s">
        <v>21302</v>
      </c>
      <c r="E1801" s="1" t="s">
        <v>21303</v>
      </c>
      <c r="F1801" s="1" t="s">
        <v>21304</v>
      </c>
      <c r="H1801" s="2" t="s">
        <v>5</v>
      </c>
      <c r="I1801" s="2" t="s">
        <v>6</v>
      </c>
      <c r="J1801" s="2" t="s">
        <v>5</v>
      </c>
      <c r="K1801" s="2" t="s">
        <v>5</v>
      </c>
      <c r="L1801" s="2" t="s">
        <v>7</v>
      </c>
      <c r="N1801" s="1" t="s">
        <v>21305</v>
      </c>
      <c r="O1801" s="2" t="s">
        <v>888</v>
      </c>
      <c r="Q1801" s="2" t="s">
        <v>11</v>
      </c>
      <c r="R1801" s="2" t="s">
        <v>426</v>
      </c>
      <c r="S1801" s="1" t="s">
        <v>21306</v>
      </c>
      <c r="T1801" s="2" t="s">
        <v>520</v>
      </c>
      <c r="U1801" s="3">
        <v>3</v>
      </c>
      <c r="V1801" s="3">
        <v>3</v>
      </c>
      <c r="W1801" s="4" t="s">
        <v>11476</v>
      </c>
      <c r="X1801" s="4" t="s">
        <v>11476</v>
      </c>
      <c r="Y1801" s="4" t="s">
        <v>4696</v>
      </c>
      <c r="Z1801" s="4" t="s">
        <v>4696</v>
      </c>
      <c r="AA1801" s="3">
        <v>339</v>
      </c>
      <c r="AB1801" s="3">
        <v>304</v>
      </c>
      <c r="AC1801" s="3">
        <v>306</v>
      </c>
      <c r="AD1801" s="3">
        <v>4</v>
      </c>
      <c r="AE1801" s="3">
        <v>4</v>
      </c>
      <c r="AF1801" s="3">
        <v>4</v>
      </c>
      <c r="AG1801" s="3">
        <v>4</v>
      </c>
      <c r="AH1801" s="3">
        <v>0</v>
      </c>
      <c r="AI1801" s="3">
        <v>0</v>
      </c>
      <c r="AJ1801" s="3">
        <v>2</v>
      </c>
      <c r="AK1801" s="3">
        <v>2</v>
      </c>
      <c r="AL1801" s="3">
        <v>3</v>
      </c>
      <c r="AM1801" s="3">
        <v>3</v>
      </c>
      <c r="AN1801" s="3">
        <v>0</v>
      </c>
      <c r="AO1801" s="3">
        <v>0</v>
      </c>
      <c r="AP1801" s="3">
        <v>0</v>
      </c>
      <c r="AQ1801" s="3">
        <v>0</v>
      </c>
      <c r="AR1801" s="2" t="s">
        <v>5</v>
      </c>
      <c r="AS1801" s="2" t="s">
        <v>16</v>
      </c>
      <c r="AT1801" s="5" t="str">
        <f>HYPERLINK("http://catalog.hathitrust.org/Record/000377625","HathiTrust Record")</f>
        <v>HathiTrust Record</v>
      </c>
      <c r="AU1801" s="5" t="str">
        <f>HYPERLINK("https://creighton-primo.hosted.exlibrisgroup.com/primo-explore/search?tab=default_tab&amp;search_scope=EVERYTHING&amp;vid=01CRU&amp;lang=en_US&amp;offset=0&amp;query=any,contains,991000771399702656","Catalog Record")</f>
        <v>Catalog Record</v>
      </c>
      <c r="AV1801" s="5" t="str">
        <f>HYPERLINK("http://www.worldcat.org/oclc/10230252","WorldCat Record")</f>
        <v>WorldCat Record</v>
      </c>
      <c r="AW1801" s="2" t="s">
        <v>21307</v>
      </c>
      <c r="AX1801" s="2" t="s">
        <v>21308</v>
      </c>
      <c r="AY1801" s="2" t="s">
        <v>21309</v>
      </c>
      <c r="AZ1801" s="2" t="s">
        <v>21309</v>
      </c>
      <c r="BA1801" s="2" t="s">
        <v>21310</v>
      </c>
      <c r="BB1801" s="2" t="s">
        <v>21</v>
      </c>
      <c r="BD1801" s="2" t="s">
        <v>21311</v>
      </c>
      <c r="BE1801" s="2" t="s">
        <v>21312</v>
      </c>
      <c r="BF1801" s="2" t="s">
        <v>21313</v>
      </c>
    </row>
    <row r="1802" spans="1:58" ht="41.25" customHeight="1" x14ac:dyDescent="0.25">
      <c r="A1802" s="8" t="s">
        <v>5</v>
      </c>
      <c r="B1802" s="1" t="s">
        <v>0</v>
      </c>
      <c r="C1802" s="1" t="s">
        <v>1</v>
      </c>
      <c r="D1802" s="1" t="s">
        <v>21314</v>
      </c>
      <c r="E1802" s="1" t="s">
        <v>21315</v>
      </c>
      <c r="F1802" s="1" t="s">
        <v>21316</v>
      </c>
      <c r="H1802" s="2" t="s">
        <v>5</v>
      </c>
      <c r="I1802" s="2" t="s">
        <v>6</v>
      </c>
      <c r="J1802" s="2" t="s">
        <v>5</v>
      </c>
      <c r="K1802" s="2" t="s">
        <v>5</v>
      </c>
      <c r="L1802" s="2" t="s">
        <v>7</v>
      </c>
      <c r="N1802" s="1" t="s">
        <v>9591</v>
      </c>
      <c r="O1802" s="2" t="s">
        <v>228</v>
      </c>
      <c r="Q1802" s="2" t="s">
        <v>11</v>
      </c>
      <c r="R1802" s="2" t="s">
        <v>426</v>
      </c>
      <c r="T1802" s="2" t="s">
        <v>520</v>
      </c>
      <c r="U1802" s="3">
        <v>5</v>
      </c>
      <c r="V1802" s="3">
        <v>5</v>
      </c>
      <c r="W1802" s="4" t="s">
        <v>19555</v>
      </c>
      <c r="X1802" s="4" t="s">
        <v>19555</v>
      </c>
      <c r="Y1802" s="4" t="s">
        <v>96</v>
      </c>
      <c r="Z1802" s="4" t="s">
        <v>96</v>
      </c>
      <c r="AA1802" s="3">
        <v>182</v>
      </c>
      <c r="AB1802" s="3">
        <v>149</v>
      </c>
      <c r="AC1802" s="3">
        <v>151</v>
      </c>
      <c r="AD1802" s="3">
        <v>2</v>
      </c>
      <c r="AE1802" s="3">
        <v>2</v>
      </c>
      <c r="AF1802" s="3">
        <v>5</v>
      </c>
      <c r="AG1802" s="3">
        <v>5</v>
      </c>
      <c r="AH1802" s="3">
        <v>1</v>
      </c>
      <c r="AI1802" s="3">
        <v>1</v>
      </c>
      <c r="AJ1802" s="3">
        <v>2</v>
      </c>
      <c r="AK1802" s="3">
        <v>2</v>
      </c>
      <c r="AL1802" s="3">
        <v>3</v>
      </c>
      <c r="AM1802" s="3">
        <v>3</v>
      </c>
      <c r="AN1802" s="3">
        <v>1</v>
      </c>
      <c r="AO1802" s="3">
        <v>1</v>
      </c>
      <c r="AP1802" s="3">
        <v>0</v>
      </c>
      <c r="AQ1802" s="3">
        <v>0</v>
      </c>
      <c r="AR1802" s="2" t="s">
        <v>5</v>
      </c>
      <c r="AS1802" s="2" t="s">
        <v>16</v>
      </c>
      <c r="AT1802" s="5" t="str">
        <f>HYPERLINK("http://catalog.hathitrust.org/Record/000313580","HathiTrust Record")</f>
        <v>HathiTrust Record</v>
      </c>
      <c r="AU1802" s="5" t="str">
        <f>HYPERLINK("https://creighton-primo.hosted.exlibrisgroup.com/primo-explore/search?tab=default_tab&amp;search_scope=EVERYTHING&amp;vid=01CRU&amp;lang=en_US&amp;offset=0&amp;query=any,contains,991000928829702656","Catalog Record")</f>
        <v>Catalog Record</v>
      </c>
      <c r="AV1802" s="5" t="str">
        <f>HYPERLINK("http://www.worldcat.org/oclc/7925442","WorldCat Record")</f>
        <v>WorldCat Record</v>
      </c>
      <c r="AW1802" s="2" t="s">
        <v>21317</v>
      </c>
      <c r="AX1802" s="2" t="s">
        <v>21318</v>
      </c>
      <c r="AY1802" s="2" t="s">
        <v>21319</v>
      </c>
      <c r="AZ1802" s="2" t="s">
        <v>21319</v>
      </c>
      <c r="BA1802" s="2" t="s">
        <v>21320</v>
      </c>
      <c r="BB1802" s="2" t="s">
        <v>21</v>
      </c>
      <c r="BD1802" s="2" t="s">
        <v>21321</v>
      </c>
      <c r="BE1802" s="2" t="s">
        <v>21322</v>
      </c>
      <c r="BF1802" s="2" t="s">
        <v>21323</v>
      </c>
    </row>
    <row r="1803" spans="1:58" ht="41.25" customHeight="1" x14ac:dyDescent="0.25">
      <c r="A1803" s="8" t="s">
        <v>5</v>
      </c>
      <c r="B1803" s="1" t="s">
        <v>0</v>
      </c>
      <c r="C1803" s="1" t="s">
        <v>1</v>
      </c>
      <c r="D1803" s="1" t="s">
        <v>21324</v>
      </c>
      <c r="E1803" s="1" t="s">
        <v>21325</v>
      </c>
      <c r="F1803" s="1" t="s">
        <v>21326</v>
      </c>
      <c r="H1803" s="2" t="s">
        <v>5</v>
      </c>
      <c r="I1803" s="2" t="s">
        <v>6</v>
      </c>
      <c r="J1803" s="2" t="s">
        <v>5</v>
      </c>
      <c r="K1803" s="2" t="s">
        <v>5</v>
      </c>
      <c r="L1803" s="2" t="s">
        <v>7</v>
      </c>
      <c r="M1803" s="1" t="s">
        <v>21327</v>
      </c>
      <c r="N1803" s="1" t="s">
        <v>2396</v>
      </c>
      <c r="O1803" s="2" t="s">
        <v>393</v>
      </c>
      <c r="Q1803" s="2" t="s">
        <v>11</v>
      </c>
      <c r="R1803" s="2" t="s">
        <v>426</v>
      </c>
      <c r="T1803" s="2" t="s">
        <v>520</v>
      </c>
      <c r="U1803" s="3">
        <v>6</v>
      </c>
      <c r="V1803" s="3">
        <v>6</v>
      </c>
      <c r="W1803" s="4" t="s">
        <v>21328</v>
      </c>
      <c r="X1803" s="4" t="s">
        <v>21328</v>
      </c>
      <c r="Y1803" s="4" t="s">
        <v>96</v>
      </c>
      <c r="Z1803" s="4" t="s">
        <v>96</v>
      </c>
      <c r="AA1803" s="3">
        <v>246</v>
      </c>
      <c r="AB1803" s="3">
        <v>196</v>
      </c>
      <c r="AC1803" s="3">
        <v>203</v>
      </c>
      <c r="AD1803" s="3">
        <v>3</v>
      </c>
      <c r="AE1803" s="3">
        <v>3</v>
      </c>
      <c r="AF1803" s="3">
        <v>7</v>
      </c>
      <c r="AG1803" s="3">
        <v>7</v>
      </c>
      <c r="AH1803" s="3">
        <v>3</v>
      </c>
      <c r="AI1803" s="3">
        <v>3</v>
      </c>
      <c r="AJ1803" s="3">
        <v>2</v>
      </c>
      <c r="AK1803" s="3">
        <v>2</v>
      </c>
      <c r="AL1803" s="3">
        <v>3</v>
      </c>
      <c r="AM1803" s="3">
        <v>3</v>
      </c>
      <c r="AN1803" s="3">
        <v>1</v>
      </c>
      <c r="AO1803" s="3">
        <v>1</v>
      </c>
      <c r="AP1803" s="3">
        <v>0</v>
      </c>
      <c r="AQ1803" s="3">
        <v>0</v>
      </c>
      <c r="AR1803" s="2" t="s">
        <v>5</v>
      </c>
      <c r="AS1803" s="2" t="s">
        <v>16</v>
      </c>
      <c r="AT1803" s="5" t="str">
        <f>HYPERLINK("http://catalog.hathitrust.org/Record/000264286","HathiTrust Record")</f>
        <v>HathiTrust Record</v>
      </c>
      <c r="AU1803" s="5" t="str">
        <f>HYPERLINK("https://creighton-primo.hosted.exlibrisgroup.com/primo-explore/search?tab=default_tab&amp;search_scope=EVERYTHING&amp;vid=01CRU&amp;lang=en_US&amp;offset=0&amp;query=any,contains,991000928859702656","Catalog Record")</f>
        <v>Catalog Record</v>
      </c>
      <c r="AV1803" s="5" t="str">
        <f>HYPERLINK("http://www.worldcat.org/oclc/6789027","WorldCat Record")</f>
        <v>WorldCat Record</v>
      </c>
      <c r="AW1803" s="2" t="s">
        <v>21329</v>
      </c>
      <c r="AX1803" s="2" t="s">
        <v>21330</v>
      </c>
      <c r="AY1803" s="2" t="s">
        <v>21331</v>
      </c>
      <c r="AZ1803" s="2" t="s">
        <v>21331</v>
      </c>
      <c r="BA1803" s="2" t="s">
        <v>21332</v>
      </c>
      <c r="BB1803" s="2" t="s">
        <v>21</v>
      </c>
      <c r="BD1803" s="2" t="s">
        <v>21333</v>
      </c>
      <c r="BE1803" s="2" t="s">
        <v>21334</v>
      </c>
      <c r="BF1803" s="2" t="s">
        <v>21335</v>
      </c>
    </row>
    <row r="1804" spans="1:58" ht="41.25" customHeight="1" x14ac:dyDescent="0.25">
      <c r="A1804" s="8" t="s">
        <v>5</v>
      </c>
      <c r="B1804" s="1" t="s">
        <v>0</v>
      </c>
      <c r="C1804" s="1" t="s">
        <v>1</v>
      </c>
      <c r="D1804" s="1" t="s">
        <v>21336</v>
      </c>
      <c r="E1804" s="1" t="s">
        <v>21337</v>
      </c>
      <c r="F1804" s="1" t="s">
        <v>21338</v>
      </c>
      <c r="H1804" s="2" t="s">
        <v>5</v>
      </c>
      <c r="I1804" s="2" t="s">
        <v>6</v>
      </c>
      <c r="J1804" s="2" t="s">
        <v>5</v>
      </c>
      <c r="K1804" s="2" t="s">
        <v>5</v>
      </c>
      <c r="L1804" s="2" t="s">
        <v>7</v>
      </c>
      <c r="M1804" s="1" t="s">
        <v>21339</v>
      </c>
      <c r="N1804" s="1" t="s">
        <v>1139</v>
      </c>
      <c r="O1804" s="2" t="s">
        <v>136</v>
      </c>
      <c r="Q1804" s="2" t="s">
        <v>11</v>
      </c>
      <c r="R1804" s="2" t="s">
        <v>1140</v>
      </c>
      <c r="T1804" s="2" t="s">
        <v>520</v>
      </c>
      <c r="U1804" s="3">
        <v>6</v>
      </c>
      <c r="V1804" s="3">
        <v>6</v>
      </c>
      <c r="W1804" s="4" t="s">
        <v>14376</v>
      </c>
      <c r="X1804" s="4" t="s">
        <v>14376</v>
      </c>
      <c r="Y1804" s="4" t="s">
        <v>7578</v>
      </c>
      <c r="Z1804" s="4" t="s">
        <v>7578</v>
      </c>
      <c r="AA1804" s="3">
        <v>225</v>
      </c>
      <c r="AB1804" s="3">
        <v>190</v>
      </c>
      <c r="AC1804" s="3">
        <v>197</v>
      </c>
      <c r="AD1804" s="3">
        <v>2</v>
      </c>
      <c r="AE1804" s="3">
        <v>2</v>
      </c>
      <c r="AF1804" s="3">
        <v>10</v>
      </c>
      <c r="AG1804" s="3">
        <v>10</v>
      </c>
      <c r="AH1804" s="3">
        <v>2</v>
      </c>
      <c r="AI1804" s="3">
        <v>2</v>
      </c>
      <c r="AJ1804" s="3">
        <v>4</v>
      </c>
      <c r="AK1804" s="3">
        <v>4</v>
      </c>
      <c r="AL1804" s="3">
        <v>6</v>
      </c>
      <c r="AM1804" s="3">
        <v>6</v>
      </c>
      <c r="AN1804" s="3">
        <v>1</v>
      </c>
      <c r="AO1804" s="3">
        <v>1</v>
      </c>
      <c r="AP1804" s="3">
        <v>0</v>
      </c>
      <c r="AQ1804" s="3">
        <v>0</v>
      </c>
      <c r="AR1804" s="2" t="s">
        <v>5</v>
      </c>
      <c r="AS1804" s="2" t="s">
        <v>16</v>
      </c>
      <c r="AT1804" s="5" t="str">
        <f>HYPERLINK("http://catalog.hathitrust.org/Record/002466566","HathiTrust Record")</f>
        <v>HathiTrust Record</v>
      </c>
      <c r="AU1804" s="5" t="str">
        <f>HYPERLINK("https://creighton-primo.hosted.exlibrisgroup.com/primo-explore/search?tab=default_tab&amp;search_scope=EVERYTHING&amp;vid=01CRU&amp;lang=en_US&amp;offset=0&amp;query=any,contains,991001481679702656","Catalog Record")</f>
        <v>Catalog Record</v>
      </c>
      <c r="AV1804" s="5" t="str">
        <f>HYPERLINK("http://www.worldcat.org/oclc/22813763","WorldCat Record")</f>
        <v>WorldCat Record</v>
      </c>
      <c r="AW1804" s="2" t="s">
        <v>21340</v>
      </c>
      <c r="AX1804" s="2" t="s">
        <v>21341</v>
      </c>
      <c r="AY1804" s="2" t="s">
        <v>21342</v>
      </c>
      <c r="AZ1804" s="2" t="s">
        <v>21342</v>
      </c>
      <c r="BA1804" s="2" t="s">
        <v>21343</v>
      </c>
      <c r="BB1804" s="2" t="s">
        <v>21</v>
      </c>
      <c r="BD1804" s="2" t="s">
        <v>21344</v>
      </c>
      <c r="BE1804" s="2" t="s">
        <v>21345</v>
      </c>
      <c r="BF1804" s="2" t="s">
        <v>21346</v>
      </c>
    </row>
    <row r="1805" spans="1:58" ht="41.25" customHeight="1" x14ac:dyDescent="0.25">
      <c r="A1805" s="8" t="s">
        <v>5</v>
      </c>
      <c r="B1805" s="1" t="s">
        <v>0</v>
      </c>
      <c r="C1805" s="1" t="s">
        <v>1</v>
      </c>
      <c r="D1805" s="1" t="s">
        <v>21347</v>
      </c>
      <c r="E1805" s="1" t="s">
        <v>21348</v>
      </c>
      <c r="F1805" s="1" t="s">
        <v>21349</v>
      </c>
      <c r="H1805" s="2" t="s">
        <v>5</v>
      </c>
      <c r="I1805" s="2" t="s">
        <v>6</v>
      </c>
      <c r="J1805" s="2" t="s">
        <v>5</v>
      </c>
      <c r="K1805" s="2" t="s">
        <v>5</v>
      </c>
      <c r="L1805" s="2" t="s">
        <v>7</v>
      </c>
      <c r="M1805" s="1" t="s">
        <v>12913</v>
      </c>
      <c r="N1805" s="1" t="s">
        <v>17180</v>
      </c>
      <c r="O1805" s="2" t="s">
        <v>989</v>
      </c>
      <c r="Q1805" s="2" t="s">
        <v>11</v>
      </c>
      <c r="R1805" s="2" t="s">
        <v>426</v>
      </c>
      <c r="S1805" s="1" t="s">
        <v>17181</v>
      </c>
      <c r="T1805" s="2" t="s">
        <v>520</v>
      </c>
      <c r="U1805" s="3">
        <v>4</v>
      </c>
      <c r="V1805" s="3">
        <v>4</v>
      </c>
      <c r="W1805" s="4" t="s">
        <v>21350</v>
      </c>
      <c r="X1805" s="4" t="s">
        <v>21350</v>
      </c>
      <c r="Y1805" s="4" t="s">
        <v>1470</v>
      </c>
      <c r="Z1805" s="4" t="s">
        <v>1470</v>
      </c>
      <c r="AA1805" s="3">
        <v>451</v>
      </c>
      <c r="AB1805" s="3">
        <v>365</v>
      </c>
      <c r="AC1805" s="3">
        <v>382</v>
      </c>
      <c r="AD1805" s="3">
        <v>2</v>
      </c>
      <c r="AE1805" s="3">
        <v>2</v>
      </c>
      <c r="AF1805" s="3">
        <v>9</v>
      </c>
      <c r="AG1805" s="3">
        <v>11</v>
      </c>
      <c r="AH1805" s="3">
        <v>4</v>
      </c>
      <c r="AI1805" s="3">
        <v>5</v>
      </c>
      <c r="AJ1805" s="3">
        <v>3</v>
      </c>
      <c r="AK1805" s="3">
        <v>4</v>
      </c>
      <c r="AL1805" s="3">
        <v>6</v>
      </c>
      <c r="AM1805" s="3">
        <v>6</v>
      </c>
      <c r="AN1805" s="3">
        <v>1</v>
      </c>
      <c r="AO1805" s="3">
        <v>1</v>
      </c>
      <c r="AP1805" s="3">
        <v>0</v>
      </c>
      <c r="AQ1805" s="3">
        <v>0</v>
      </c>
      <c r="AR1805" s="2" t="s">
        <v>5</v>
      </c>
      <c r="AS1805" s="2" t="s">
        <v>16</v>
      </c>
      <c r="AT1805" s="5" t="str">
        <f>HYPERLINK("http://catalog.hathitrust.org/Record/002215760","HathiTrust Record")</f>
        <v>HathiTrust Record</v>
      </c>
      <c r="AU1805" s="5" t="str">
        <f>HYPERLINK("https://creighton-primo.hosted.exlibrisgroup.com/primo-explore/search?tab=default_tab&amp;search_scope=EVERYTHING&amp;vid=01CRU&amp;lang=en_US&amp;offset=0&amp;query=any,contains,991001767829702656","Catalog Record")</f>
        <v>Catalog Record</v>
      </c>
      <c r="AV1805" s="5" t="str">
        <f>HYPERLINK("http://www.worldcat.org/oclc/21599950","WorldCat Record")</f>
        <v>WorldCat Record</v>
      </c>
      <c r="AW1805" s="2" t="s">
        <v>21351</v>
      </c>
      <c r="AX1805" s="2" t="s">
        <v>21352</v>
      </c>
      <c r="AY1805" s="2" t="s">
        <v>21353</v>
      </c>
      <c r="AZ1805" s="2" t="s">
        <v>21353</v>
      </c>
      <c r="BA1805" s="2" t="s">
        <v>21354</v>
      </c>
      <c r="BB1805" s="2" t="s">
        <v>21</v>
      </c>
      <c r="BD1805" s="2" t="s">
        <v>21355</v>
      </c>
      <c r="BE1805" s="2" t="s">
        <v>21356</v>
      </c>
      <c r="BF1805" s="2" t="s">
        <v>21357</v>
      </c>
    </row>
    <row r="1806" spans="1:58" ht="41.25" customHeight="1" x14ac:dyDescent="0.25">
      <c r="A1806" s="8" t="s">
        <v>5</v>
      </c>
      <c r="B1806" s="1" t="s">
        <v>0</v>
      </c>
      <c r="C1806" s="1" t="s">
        <v>1</v>
      </c>
      <c r="D1806" s="1" t="s">
        <v>21358</v>
      </c>
      <c r="E1806" s="1" t="s">
        <v>21359</v>
      </c>
      <c r="F1806" s="1" t="s">
        <v>21360</v>
      </c>
      <c r="H1806" s="2" t="s">
        <v>5</v>
      </c>
      <c r="I1806" s="2" t="s">
        <v>6</v>
      </c>
      <c r="J1806" s="2" t="s">
        <v>5</v>
      </c>
      <c r="K1806" s="2" t="s">
        <v>5</v>
      </c>
      <c r="L1806" s="2" t="s">
        <v>7</v>
      </c>
      <c r="N1806" s="1" t="s">
        <v>21361</v>
      </c>
      <c r="O1806" s="2" t="s">
        <v>107</v>
      </c>
      <c r="P1806" s="1" t="s">
        <v>211</v>
      </c>
      <c r="Q1806" s="2" t="s">
        <v>11</v>
      </c>
      <c r="R1806" s="2" t="s">
        <v>271</v>
      </c>
      <c r="T1806" s="2" t="s">
        <v>520</v>
      </c>
      <c r="U1806" s="3">
        <v>2</v>
      </c>
      <c r="V1806" s="3">
        <v>2</v>
      </c>
      <c r="W1806" s="4" t="s">
        <v>21362</v>
      </c>
      <c r="X1806" s="4" t="s">
        <v>21362</v>
      </c>
      <c r="Y1806" s="4" t="s">
        <v>9049</v>
      </c>
      <c r="Z1806" s="4" t="s">
        <v>9049</v>
      </c>
      <c r="AA1806" s="3">
        <v>212</v>
      </c>
      <c r="AB1806" s="3">
        <v>158</v>
      </c>
      <c r="AC1806" s="3">
        <v>266</v>
      </c>
      <c r="AD1806" s="3">
        <v>1</v>
      </c>
      <c r="AE1806" s="3">
        <v>1</v>
      </c>
      <c r="AF1806" s="3">
        <v>5</v>
      </c>
      <c r="AG1806" s="3">
        <v>12</v>
      </c>
      <c r="AH1806" s="3">
        <v>2</v>
      </c>
      <c r="AI1806" s="3">
        <v>4</v>
      </c>
      <c r="AJ1806" s="3">
        <v>3</v>
      </c>
      <c r="AK1806" s="3">
        <v>4</v>
      </c>
      <c r="AL1806" s="3">
        <v>1</v>
      </c>
      <c r="AM1806" s="3">
        <v>6</v>
      </c>
      <c r="AN1806" s="3">
        <v>0</v>
      </c>
      <c r="AO1806" s="3">
        <v>0</v>
      </c>
      <c r="AP1806" s="3">
        <v>0</v>
      </c>
      <c r="AQ1806" s="3">
        <v>0</v>
      </c>
      <c r="AR1806" s="2" t="s">
        <v>5</v>
      </c>
      <c r="AS1806" s="2" t="s">
        <v>16</v>
      </c>
      <c r="AT1806" s="5" t="str">
        <f>HYPERLINK("http://catalog.hathitrust.org/Record/005125127","HathiTrust Record")</f>
        <v>HathiTrust Record</v>
      </c>
      <c r="AU1806" s="5" t="str">
        <f>HYPERLINK("https://creighton-primo.hosted.exlibrisgroup.com/primo-explore/search?tab=default_tab&amp;search_scope=EVERYTHING&amp;vid=01CRU&amp;lang=en_US&amp;offset=0&amp;query=any,contains,991000471319702656","Catalog Record")</f>
        <v>Catalog Record</v>
      </c>
      <c r="AV1806" s="5" t="str">
        <f>HYPERLINK("http://www.worldcat.org/oclc/61404521","WorldCat Record")</f>
        <v>WorldCat Record</v>
      </c>
      <c r="AW1806" s="2" t="s">
        <v>21363</v>
      </c>
      <c r="AX1806" s="2" t="s">
        <v>21364</v>
      </c>
      <c r="AY1806" s="2" t="s">
        <v>21365</v>
      </c>
      <c r="AZ1806" s="2" t="s">
        <v>21365</v>
      </c>
      <c r="BA1806" s="2" t="s">
        <v>21366</v>
      </c>
      <c r="BB1806" s="2" t="s">
        <v>21</v>
      </c>
      <c r="BD1806" s="2" t="s">
        <v>21367</v>
      </c>
      <c r="BE1806" s="2" t="s">
        <v>21368</v>
      </c>
      <c r="BF1806" s="2" t="s">
        <v>21369</v>
      </c>
    </row>
    <row r="1807" spans="1:58" ht="41.25" customHeight="1" x14ac:dyDescent="0.25">
      <c r="A1807" s="8" t="s">
        <v>5</v>
      </c>
      <c r="B1807" s="1" t="s">
        <v>0</v>
      </c>
      <c r="C1807" s="1" t="s">
        <v>1</v>
      </c>
      <c r="D1807" s="1" t="s">
        <v>21370</v>
      </c>
      <c r="E1807" s="1" t="s">
        <v>21371</v>
      </c>
      <c r="F1807" s="1" t="s">
        <v>21372</v>
      </c>
      <c r="H1807" s="2" t="s">
        <v>5</v>
      </c>
      <c r="I1807" s="2" t="s">
        <v>6</v>
      </c>
      <c r="J1807" s="2" t="s">
        <v>5</v>
      </c>
      <c r="K1807" s="2" t="s">
        <v>5</v>
      </c>
      <c r="L1807" s="2" t="s">
        <v>7</v>
      </c>
      <c r="M1807" s="1" t="s">
        <v>21052</v>
      </c>
      <c r="N1807" s="1" t="s">
        <v>15998</v>
      </c>
      <c r="O1807" s="2" t="s">
        <v>734</v>
      </c>
      <c r="Q1807" s="2" t="s">
        <v>11</v>
      </c>
      <c r="R1807" s="2" t="s">
        <v>426</v>
      </c>
      <c r="T1807" s="2" t="s">
        <v>520</v>
      </c>
      <c r="U1807" s="3">
        <v>8</v>
      </c>
      <c r="V1807" s="3">
        <v>8</v>
      </c>
      <c r="W1807" s="4" t="s">
        <v>21373</v>
      </c>
      <c r="X1807" s="4" t="s">
        <v>21373</v>
      </c>
      <c r="Y1807" s="4" t="s">
        <v>96</v>
      </c>
      <c r="Z1807" s="4" t="s">
        <v>96</v>
      </c>
      <c r="AA1807" s="3">
        <v>41</v>
      </c>
      <c r="AB1807" s="3">
        <v>38</v>
      </c>
      <c r="AC1807" s="3">
        <v>222</v>
      </c>
      <c r="AD1807" s="3">
        <v>2</v>
      </c>
      <c r="AE1807" s="3">
        <v>2</v>
      </c>
      <c r="AF1807" s="3">
        <v>0</v>
      </c>
      <c r="AG1807" s="3">
        <v>9</v>
      </c>
      <c r="AH1807" s="3">
        <v>0</v>
      </c>
      <c r="AI1807" s="3">
        <v>6</v>
      </c>
      <c r="AJ1807" s="3">
        <v>0</v>
      </c>
      <c r="AK1807" s="3">
        <v>1</v>
      </c>
      <c r="AL1807" s="3">
        <v>0</v>
      </c>
      <c r="AM1807" s="3">
        <v>6</v>
      </c>
      <c r="AN1807" s="3">
        <v>0</v>
      </c>
      <c r="AO1807" s="3">
        <v>0</v>
      </c>
      <c r="AP1807" s="3">
        <v>0</v>
      </c>
      <c r="AQ1807" s="3">
        <v>0</v>
      </c>
      <c r="AR1807" s="2" t="s">
        <v>5</v>
      </c>
      <c r="AS1807" s="2" t="s">
        <v>5</v>
      </c>
      <c r="AU1807" s="5" t="str">
        <f>HYPERLINK("https://creighton-primo.hosted.exlibrisgroup.com/primo-explore/search?tab=default_tab&amp;search_scope=EVERYTHING&amp;vid=01CRU&amp;lang=en_US&amp;offset=0&amp;query=any,contains,991000929079702656","Catalog Record")</f>
        <v>Catalog Record</v>
      </c>
      <c r="AV1807" s="5" t="str">
        <f>HYPERLINK("http://www.worldcat.org/oclc/8032160","WorldCat Record")</f>
        <v>WorldCat Record</v>
      </c>
      <c r="AW1807" s="2" t="s">
        <v>21374</v>
      </c>
      <c r="AX1807" s="2" t="s">
        <v>21375</v>
      </c>
      <c r="AY1807" s="2" t="s">
        <v>21376</v>
      </c>
      <c r="AZ1807" s="2" t="s">
        <v>21376</v>
      </c>
      <c r="BA1807" s="2" t="s">
        <v>21377</v>
      </c>
      <c r="BB1807" s="2" t="s">
        <v>21</v>
      </c>
      <c r="BD1807" s="2" t="s">
        <v>21378</v>
      </c>
      <c r="BE1807" s="2" t="s">
        <v>21379</v>
      </c>
      <c r="BF1807" s="2" t="s">
        <v>21380</v>
      </c>
    </row>
    <row r="1808" spans="1:58" ht="41.25" customHeight="1" x14ac:dyDescent="0.25">
      <c r="A1808" s="8" t="s">
        <v>5</v>
      </c>
      <c r="B1808" s="1" t="s">
        <v>0</v>
      </c>
      <c r="C1808" s="1" t="s">
        <v>1</v>
      </c>
      <c r="D1808" s="1" t="s">
        <v>21381</v>
      </c>
      <c r="E1808" s="1" t="s">
        <v>21382</v>
      </c>
      <c r="F1808" s="1" t="s">
        <v>21383</v>
      </c>
      <c r="H1808" s="2" t="s">
        <v>5</v>
      </c>
      <c r="I1808" s="2" t="s">
        <v>6</v>
      </c>
      <c r="J1808" s="2" t="s">
        <v>5</v>
      </c>
      <c r="K1808" s="2" t="s">
        <v>5</v>
      </c>
      <c r="L1808" s="2" t="s">
        <v>7</v>
      </c>
      <c r="M1808" s="1" t="s">
        <v>21384</v>
      </c>
      <c r="N1808" s="1" t="s">
        <v>21385</v>
      </c>
      <c r="O1808" s="2" t="s">
        <v>989</v>
      </c>
      <c r="Q1808" s="2" t="s">
        <v>11</v>
      </c>
      <c r="R1808" s="2" t="s">
        <v>1427</v>
      </c>
      <c r="S1808" s="1" t="s">
        <v>21386</v>
      </c>
      <c r="T1808" s="2" t="s">
        <v>520</v>
      </c>
      <c r="U1808" s="3">
        <v>9</v>
      </c>
      <c r="V1808" s="3">
        <v>9</v>
      </c>
      <c r="W1808" s="4" t="s">
        <v>21373</v>
      </c>
      <c r="X1808" s="4" t="s">
        <v>21373</v>
      </c>
      <c r="Y1808" s="4" t="s">
        <v>1470</v>
      </c>
      <c r="Z1808" s="4" t="s">
        <v>1470</v>
      </c>
      <c r="AA1808" s="3">
        <v>41</v>
      </c>
      <c r="AB1808" s="3">
        <v>32</v>
      </c>
      <c r="AC1808" s="3">
        <v>64</v>
      </c>
      <c r="AD1808" s="3">
        <v>1</v>
      </c>
      <c r="AE1808" s="3">
        <v>1</v>
      </c>
      <c r="AF1808" s="3">
        <v>0</v>
      </c>
      <c r="AG1808" s="3">
        <v>3</v>
      </c>
      <c r="AH1808" s="3">
        <v>0</v>
      </c>
      <c r="AI1808" s="3">
        <v>1</v>
      </c>
      <c r="AJ1808" s="3">
        <v>0</v>
      </c>
      <c r="AK1808" s="3">
        <v>1</v>
      </c>
      <c r="AL1808" s="3">
        <v>0</v>
      </c>
      <c r="AM1808" s="3">
        <v>1</v>
      </c>
      <c r="AN1808" s="3">
        <v>0</v>
      </c>
      <c r="AO1808" s="3">
        <v>0</v>
      </c>
      <c r="AP1808" s="3">
        <v>0</v>
      </c>
      <c r="AQ1808" s="3">
        <v>0</v>
      </c>
      <c r="AR1808" s="2" t="s">
        <v>5</v>
      </c>
      <c r="AS1808" s="2" t="s">
        <v>16</v>
      </c>
      <c r="AT1808" s="5" t="str">
        <f>HYPERLINK("http://catalog.hathitrust.org/Record/002426462","HathiTrust Record")</f>
        <v>HathiTrust Record</v>
      </c>
      <c r="AU1808" s="5" t="str">
        <f>HYPERLINK("https://creighton-primo.hosted.exlibrisgroup.com/primo-explore/search?tab=default_tab&amp;search_scope=EVERYTHING&amp;vid=01CRU&amp;lang=en_US&amp;offset=0&amp;query=any,contains,991000820209702656","Catalog Record")</f>
        <v>Catalog Record</v>
      </c>
      <c r="AV1808" s="5" t="str">
        <f>HYPERLINK("http://www.worldcat.org/oclc/22813967","WorldCat Record")</f>
        <v>WorldCat Record</v>
      </c>
      <c r="AW1808" s="2" t="s">
        <v>21387</v>
      </c>
      <c r="AX1808" s="2" t="s">
        <v>21388</v>
      </c>
      <c r="AY1808" s="2" t="s">
        <v>21389</v>
      </c>
      <c r="AZ1808" s="2" t="s">
        <v>21389</v>
      </c>
      <c r="BA1808" s="2" t="s">
        <v>21390</v>
      </c>
      <c r="BB1808" s="2" t="s">
        <v>21</v>
      </c>
      <c r="BD1808" s="2" t="s">
        <v>21391</v>
      </c>
      <c r="BE1808" s="2" t="s">
        <v>21392</v>
      </c>
      <c r="BF1808" s="2" t="s">
        <v>21393</v>
      </c>
    </row>
    <row r="1809" spans="1:58" ht="41.25" customHeight="1" x14ac:dyDescent="0.25">
      <c r="A1809" s="8" t="s">
        <v>5</v>
      </c>
      <c r="B1809" s="1" t="s">
        <v>0</v>
      </c>
      <c r="C1809" s="1" t="s">
        <v>1</v>
      </c>
      <c r="D1809" s="1" t="s">
        <v>21394</v>
      </c>
      <c r="E1809" s="1" t="s">
        <v>21395</v>
      </c>
      <c r="F1809" s="1" t="s">
        <v>21396</v>
      </c>
      <c r="H1809" s="2" t="s">
        <v>5</v>
      </c>
      <c r="I1809" s="2" t="s">
        <v>6</v>
      </c>
      <c r="J1809" s="2" t="s">
        <v>5</v>
      </c>
      <c r="K1809" s="2" t="s">
        <v>5</v>
      </c>
      <c r="L1809" s="2" t="s">
        <v>7</v>
      </c>
      <c r="N1809" s="1" t="s">
        <v>11007</v>
      </c>
      <c r="O1809" s="2" t="s">
        <v>872</v>
      </c>
      <c r="Q1809" s="2" t="s">
        <v>11</v>
      </c>
      <c r="R1809" s="2" t="s">
        <v>426</v>
      </c>
      <c r="T1809" s="2" t="s">
        <v>520</v>
      </c>
      <c r="U1809" s="3">
        <v>12</v>
      </c>
      <c r="V1809" s="3">
        <v>12</v>
      </c>
      <c r="W1809" s="4" t="s">
        <v>21397</v>
      </c>
      <c r="X1809" s="4" t="s">
        <v>21397</v>
      </c>
      <c r="Y1809" s="4" t="s">
        <v>19426</v>
      </c>
      <c r="Z1809" s="4" t="s">
        <v>19426</v>
      </c>
      <c r="AA1809" s="3">
        <v>307</v>
      </c>
      <c r="AB1809" s="3">
        <v>266</v>
      </c>
      <c r="AC1809" s="3">
        <v>270</v>
      </c>
      <c r="AD1809" s="3">
        <v>1</v>
      </c>
      <c r="AE1809" s="3">
        <v>1</v>
      </c>
      <c r="AF1809" s="3">
        <v>12</v>
      </c>
      <c r="AG1809" s="3">
        <v>12</v>
      </c>
      <c r="AH1809" s="3">
        <v>5</v>
      </c>
      <c r="AI1809" s="3">
        <v>5</v>
      </c>
      <c r="AJ1809" s="3">
        <v>3</v>
      </c>
      <c r="AK1809" s="3">
        <v>3</v>
      </c>
      <c r="AL1809" s="3">
        <v>8</v>
      </c>
      <c r="AM1809" s="3">
        <v>8</v>
      </c>
      <c r="AN1809" s="3">
        <v>0</v>
      </c>
      <c r="AO1809" s="3">
        <v>0</v>
      </c>
      <c r="AP1809" s="3">
        <v>0</v>
      </c>
      <c r="AQ1809" s="3">
        <v>0</v>
      </c>
      <c r="AR1809" s="2" t="s">
        <v>5</v>
      </c>
      <c r="AS1809" s="2" t="s">
        <v>16</v>
      </c>
      <c r="AT1809" s="5" t="str">
        <f>HYPERLINK("http://catalog.hathitrust.org/Record/001528327","HathiTrust Record")</f>
        <v>HathiTrust Record</v>
      </c>
      <c r="AU1809" s="5" t="str">
        <f>HYPERLINK("https://creighton-primo.hosted.exlibrisgroup.com/primo-explore/search?tab=default_tab&amp;search_scope=EVERYTHING&amp;vid=01CRU&amp;lang=en_US&amp;offset=0&amp;query=any,contains,991001308519702656","Catalog Record")</f>
        <v>Catalog Record</v>
      </c>
      <c r="AV1809" s="5" t="str">
        <f>HYPERLINK("http://www.worldcat.org/oclc/17875888","WorldCat Record")</f>
        <v>WorldCat Record</v>
      </c>
      <c r="AW1809" s="2" t="s">
        <v>21398</v>
      </c>
      <c r="AX1809" s="2" t="s">
        <v>21399</v>
      </c>
      <c r="AY1809" s="2" t="s">
        <v>21400</v>
      </c>
      <c r="AZ1809" s="2" t="s">
        <v>21400</v>
      </c>
      <c r="BA1809" s="2" t="s">
        <v>21401</v>
      </c>
      <c r="BB1809" s="2" t="s">
        <v>21</v>
      </c>
      <c r="BD1809" s="2" t="s">
        <v>21402</v>
      </c>
      <c r="BE1809" s="2" t="s">
        <v>21403</v>
      </c>
      <c r="BF1809" s="2" t="s">
        <v>21404</v>
      </c>
    </row>
    <row r="1810" spans="1:58" ht="41.25" customHeight="1" x14ac:dyDescent="0.25">
      <c r="A1810" s="8" t="s">
        <v>5</v>
      </c>
      <c r="B1810" s="1" t="s">
        <v>0</v>
      </c>
      <c r="C1810" s="1" t="s">
        <v>1</v>
      </c>
      <c r="D1810" s="1" t="s">
        <v>21405</v>
      </c>
      <c r="E1810" s="1" t="s">
        <v>21406</v>
      </c>
      <c r="F1810" s="1" t="s">
        <v>21407</v>
      </c>
      <c r="H1810" s="2" t="s">
        <v>5</v>
      </c>
      <c r="I1810" s="2" t="s">
        <v>6</v>
      </c>
      <c r="J1810" s="2" t="s">
        <v>5</v>
      </c>
      <c r="K1810" s="2" t="s">
        <v>5</v>
      </c>
      <c r="L1810" s="2" t="s">
        <v>7</v>
      </c>
      <c r="N1810" s="1" t="s">
        <v>3819</v>
      </c>
      <c r="O1810" s="2" t="s">
        <v>989</v>
      </c>
      <c r="P1810" s="1" t="s">
        <v>355</v>
      </c>
      <c r="Q1810" s="2" t="s">
        <v>11</v>
      </c>
      <c r="R1810" s="2" t="s">
        <v>426</v>
      </c>
      <c r="T1810" s="2" t="s">
        <v>520</v>
      </c>
      <c r="U1810" s="3">
        <v>6</v>
      </c>
      <c r="V1810" s="3">
        <v>6</v>
      </c>
      <c r="W1810" s="4" t="s">
        <v>21373</v>
      </c>
      <c r="X1810" s="4" t="s">
        <v>21373</v>
      </c>
      <c r="Y1810" s="4" t="s">
        <v>6241</v>
      </c>
      <c r="Z1810" s="4" t="s">
        <v>6241</v>
      </c>
      <c r="AA1810" s="3">
        <v>234</v>
      </c>
      <c r="AB1810" s="3">
        <v>194</v>
      </c>
      <c r="AC1810" s="3">
        <v>204</v>
      </c>
      <c r="AD1810" s="3">
        <v>1</v>
      </c>
      <c r="AE1810" s="3">
        <v>1</v>
      </c>
      <c r="AF1810" s="3">
        <v>11</v>
      </c>
      <c r="AG1810" s="3">
        <v>11</v>
      </c>
      <c r="AH1810" s="3">
        <v>5</v>
      </c>
      <c r="AI1810" s="3">
        <v>5</v>
      </c>
      <c r="AJ1810" s="3">
        <v>3</v>
      </c>
      <c r="AK1810" s="3">
        <v>3</v>
      </c>
      <c r="AL1810" s="3">
        <v>7</v>
      </c>
      <c r="AM1810" s="3">
        <v>7</v>
      </c>
      <c r="AN1810" s="3">
        <v>0</v>
      </c>
      <c r="AO1810" s="3">
        <v>0</v>
      </c>
      <c r="AP1810" s="3">
        <v>0</v>
      </c>
      <c r="AQ1810" s="3">
        <v>0</v>
      </c>
      <c r="AR1810" s="2" t="s">
        <v>5</v>
      </c>
      <c r="AS1810" s="2" t="s">
        <v>16</v>
      </c>
      <c r="AT1810" s="5" t="str">
        <f>HYPERLINK("http://catalog.hathitrust.org/Record/002457980","HathiTrust Record")</f>
        <v>HathiTrust Record</v>
      </c>
      <c r="AU1810" s="5" t="str">
        <f>HYPERLINK("https://creighton-primo.hosted.exlibrisgroup.com/primo-explore/search?tab=default_tab&amp;search_scope=EVERYTHING&amp;vid=01CRU&amp;lang=en_US&amp;offset=0&amp;query=any,contains,991001453239702656","Catalog Record")</f>
        <v>Catalog Record</v>
      </c>
      <c r="AV1810" s="5" t="str">
        <f>HYPERLINK("http://www.worldcat.org/oclc/21078834","WorldCat Record")</f>
        <v>WorldCat Record</v>
      </c>
      <c r="AW1810" s="2" t="s">
        <v>21408</v>
      </c>
      <c r="AX1810" s="2" t="s">
        <v>21409</v>
      </c>
      <c r="AY1810" s="2" t="s">
        <v>21410</v>
      </c>
      <c r="AZ1810" s="2" t="s">
        <v>21410</v>
      </c>
      <c r="BA1810" s="2" t="s">
        <v>21411</v>
      </c>
      <c r="BB1810" s="2" t="s">
        <v>21</v>
      </c>
      <c r="BD1810" s="2" t="s">
        <v>21412</v>
      </c>
      <c r="BE1810" s="2" t="s">
        <v>21413</v>
      </c>
      <c r="BF1810" s="2" t="s">
        <v>21414</v>
      </c>
    </row>
    <row r="1811" spans="1:58" ht="41.25" customHeight="1" x14ac:dyDescent="0.25">
      <c r="A1811" s="8" t="s">
        <v>5</v>
      </c>
      <c r="B1811" s="1" t="s">
        <v>0</v>
      </c>
      <c r="C1811" s="1" t="s">
        <v>1</v>
      </c>
      <c r="D1811" s="1" t="s">
        <v>21415</v>
      </c>
      <c r="E1811" s="1" t="s">
        <v>21416</v>
      </c>
      <c r="F1811" s="1" t="s">
        <v>21417</v>
      </c>
      <c r="H1811" s="2" t="s">
        <v>5</v>
      </c>
      <c r="I1811" s="2" t="s">
        <v>6</v>
      </c>
      <c r="J1811" s="2" t="s">
        <v>5</v>
      </c>
      <c r="K1811" s="2" t="s">
        <v>5</v>
      </c>
      <c r="L1811" s="2" t="s">
        <v>7</v>
      </c>
      <c r="N1811" s="1" t="s">
        <v>13612</v>
      </c>
      <c r="O1811" s="2" t="s">
        <v>888</v>
      </c>
      <c r="P1811" s="1" t="s">
        <v>211</v>
      </c>
      <c r="Q1811" s="2" t="s">
        <v>11</v>
      </c>
      <c r="R1811" s="2" t="s">
        <v>426</v>
      </c>
      <c r="S1811" s="1" t="s">
        <v>3264</v>
      </c>
      <c r="T1811" s="2" t="s">
        <v>520</v>
      </c>
      <c r="U1811" s="3">
        <v>8</v>
      </c>
      <c r="V1811" s="3">
        <v>8</v>
      </c>
      <c r="W1811" s="4" t="s">
        <v>21418</v>
      </c>
      <c r="X1811" s="4" t="s">
        <v>21418</v>
      </c>
      <c r="Y1811" s="4" t="s">
        <v>96</v>
      </c>
      <c r="Z1811" s="4" t="s">
        <v>96</v>
      </c>
      <c r="AA1811" s="3">
        <v>263</v>
      </c>
      <c r="AB1811" s="3">
        <v>230</v>
      </c>
      <c r="AC1811" s="3">
        <v>316</v>
      </c>
      <c r="AD1811" s="3">
        <v>2</v>
      </c>
      <c r="AE1811" s="3">
        <v>4</v>
      </c>
      <c r="AF1811" s="3">
        <v>8</v>
      </c>
      <c r="AG1811" s="3">
        <v>14</v>
      </c>
      <c r="AH1811" s="3">
        <v>4</v>
      </c>
      <c r="AI1811" s="3">
        <v>6</v>
      </c>
      <c r="AJ1811" s="3">
        <v>2</v>
      </c>
      <c r="AK1811" s="3">
        <v>2</v>
      </c>
      <c r="AL1811" s="3">
        <v>5</v>
      </c>
      <c r="AM1811" s="3">
        <v>8</v>
      </c>
      <c r="AN1811" s="3">
        <v>0</v>
      </c>
      <c r="AO1811" s="3">
        <v>2</v>
      </c>
      <c r="AP1811" s="3">
        <v>0</v>
      </c>
      <c r="AQ1811" s="3">
        <v>0</v>
      </c>
      <c r="AR1811" s="2" t="s">
        <v>5</v>
      </c>
      <c r="AS1811" s="2" t="s">
        <v>16</v>
      </c>
      <c r="AT1811" s="5" t="str">
        <f>HYPERLINK("http://catalog.hathitrust.org/Record/000168197","HathiTrust Record")</f>
        <v>HathiTrust Record</v>
      </c>
      <c r="AU1811" s="5" t="str">
        <f>HYPERLINK("https://creighton-primo.hosted.exlibrisgroup.com/primo-explore/search?tab=default_tab&amp;search_scope=EVERYTHING&amp;vid=01CRU&amp;lang=en_US&amp;offset=0&amp;query=any,contains,991000929119702656","Catalog Record")</f>
        <v>Catalog Record</v>
      </c>
      <c r="AV1811" s="5" t="str">
        <f>HYPERLINK("http://www.worldcat.org/oclc/10727307","WorldCat Record")</f>
        <v>WorldCat Record</v>
      </c>
      <c r="AW1811" s="2" t="s">
        <v>21419</v>
      </c>
      <c r="AX1811" s="2" t="s">
        <v>21420</v>
      </c>
      <c r="AY1811" s="2" t="s">
        <v>21421</v>
      </c>
      <c r="AZ1811" s="2" t="s">
        <v>21421</v>
      </c>
      <c r="BA1811" s="2" t="s">
        <v>21422</v>
      </c>
      <c r="BB1811" s="2" t="s">
        <v>21</v>
      </c>
      <c r="BD1811" s="2" t="s">
        <v>21423</v>
      </c>
      <c r="BE1811" s="2" t="s">
        <v>21424</v>
      </c>
      <c r="BF1811" s="2" t="s">
        <v>21425</v>
      </c>
    </row>
    <row r="1812" spans="1:58" ht="41.25" customHeight="1" x14ac:dyDescent="0.25">
      <c r="A1812" s="8" t="s">
        <v>5</v>
      </c>
      <c r="B1812" s="1" t="s">
        <v>0</v>
      </c>
      <c r="C1812" s="1" t="s">
        <v>1</v>
      </c>
      <c r="D1812" s="1" t="s">
        <v>21426</v>
      </c>
      <c r="E1812" s="1" t="s">
        <v>21427</v>
      </c>
      <c r="F1812" s="1" t="s">
        <v>21428</v>
      </c>
      <c r="H1812" s="2" t="s">
        <v>5</v>
      </c>
      <c r="I1812" s="2" t="s">
        <v>6</v>
      </c>
      <c r="J1812" s="2" t="s">
        <v>5</v>
      </c>
      <c r="K1812" s="2" t="s">
        <v>5</v>
      </c>
      <c r="L1812" s="2" t="s">
        <v>7</v>
      </c>
      <c r="N1812" s="1" t="s">
        <v>8079</v>
      </c>
      <c r="O1812" s="2" t="s">
        <v>1004</v>
      </c>
      <c r="P1812" s="1" t="s">
        <v>63</v>
      </c>
      <c r="Q1812" s="2" t="s">
        <v>11</v>
      </c>
      <c r="R1812" s="2" t="s">
        <v>31</v>
      </c>
      <c r="T1812" s="2" t="s">
        <v>520</v>
      </c>
      <c r="U1812" s="3">
        <v>8</v>
      </c>
      <c r="V1812" s="3">
        <v>8</v>
      </c>
      <c r="W1812" s="4" t="s">
        <v>21429</v>
      </c>
      <c r="X1812" s="4" t="s">
        <v>21429</v>
      </c>
      <c r="Y1812" s="4" t="s">
        <v>1703</v>
      </c>
      <c r="Z1812" s="4" t="s">
        <v>1703</v>
      </c>
      <c r="AA1812" s="3">
        <v>330</v>
      </c>
      <c r="AB1812" s="3">
        <v>259</v>
      </c>
      <c r="AC1812" s="3">
        <v>539</v>
      </c>
      <c r="AD1812" s="3">
        <v>2</v>
      </c>
      <c r="AE1812" s="3">
        <v>5</v>
      </c>
      <c r="AF1812" s="3">
        <v>7</v>
      </c>
      <c r="AG1812" s="3">
        <v>17</v>
      </c>
      <c r="AH1812" s="3">
        <v>4</v>
      </c>
      <c r="AI1812" s="3">
        <v>7</v>
      </c>
      <c r="AJ1812" s="3">
        <v>1</v>
      </c>
      <c r="AK1812" s="3">
        <v>4</v>
      </c>
      <c r="AL1812" s="3">
        <v>4</v>
      </c>
      <c r="AM1812" s="3">
        <v>9</v>
      </c>
      <c r="AN1812" s="3">
        <v>0</v>
      </c>
      <c r="AO1812" s="3">
        <v>2</v>
      </c>
      <c r="AP1812" s="3">
        <v>0</v>
      </c>
      <c r="AQ1812" s="3">
        <v>0</v>
      </c>
      <c r="AR1812" s="2" t="s">
        <v>5</v>
      </c>
      <c r="AS1812" s="2" t="s">
        <v>16</v>
      </c>
      <c r="AT1812" s="5" t="str">
        <f>HYPERLINK("http://catalog.hathitrust.org/Record/003332602","HathiTrust Record")</f>
        <v>HathiTrust Record</v>
      </c>
      <c r="AU1812" s="5" t="str">
        <f>HYPERLINK("https://creighton-primo.hosted.exlibrisgroup.com/primo-explore/search?tab=default_tab&amp;search_scope=EVERYTHING&amp;vid=01CRU&amp;lang=en_US&amp;offset=0&amp;query=any,contains,991000503449702656","Catalog Record")</f>
        <v>Catalog Record</v>
      </c>
      <c r="AV1812" s="5" t="str">
        <f>HYPERLINK("http://www.worldcat.org/oclc/41137977","WorldCat Record")</f>
        <v>WorldCat Record</v>
      </c>
      <c r="AW1812" s="2" t="s">
        <v>21430</v>
      </c>
      <c r="AX1812" s="2" t="s">
        <v>21431</v>
      </c>
      <c r="AY1812" s="2" t="s">
        <v>21432</v>
      </c>
      <c r="AZ1812" s="2" t="s">
        <v>21432</v>
      </c>
      <c r="BA1812" s="2" t="s">
        <v>21433</v>
      </c>
      <c r="BB1812" s="2" t="s">
        <v>21</v>
      </c>
      <c r="BD1812" s="2" t="s">
        <v>21434</v>
      </c>
      <c r="BE1812" s="2" t="s">
        <v>21435</v>
      </c>
      <c r="BF1812" s="2" t="s">
        <v>21436</v>
      </c>
    </row>
    <row r="1813" spans="1:58" ht="41.25" customHeight="1" x14ac:dyDescent="0.25">
      <c r="A1813" s="8" t="s">
        <v>5</v>
      </c>
      <c r="B1813" s="1" t="s">
        <v>0</v>
      </c>
      <c r="C1813" s="1" t="s">
        <v>1</v>
      </c>
      <c r="D1813" s="1" t="s">
        <v>21437</v>
      </c>
      <c r="E1813" s="1" t="s">
        <v>21438</v>
      </c>
      <c r="F1813" s="1" t="s">
        <v>21439</v>
      </c>
      <c r="H1813" s="2" t="s">
        <v>5</v>
      </c>
      <c r="I1813" s="2" t="s">
        <v>6</v>
      </c>
      <c r="J1813" s="2" t="s">
        <v>5</v>
      </c>
      <c r="K1813" s="2" t="s">
        <v>5</v>
      </c>
      <c r="L1813" s="2" t="s">
        <v>7</v>
      </c>
      <c r="N1813" s="1" t="s">
        <v>21440</v>
      </c>
      <c r="O1813" s="2" t="s">
        <v>1060</v>
      </c>
      <c r="P1813" s="1" t="s">
        <v>108</v>
      </c>
      <c r="Q1813" s="2" t="s">
        <v>11</v>
      </c>
      <c r="R1813" s="2" t="s">
        <v>31</v>
      </c>
      <c r="T1813" s="2" t="s">
        <v>520</v>
      </c>
      <c r="U1813" s="3">
        <v>0</v>
      </c>
      <c r="V1813" s="3">
        <v>0</v>
      </c>
      <c r="W1813" s="4" t="s">
        <v>12019</v>
      </c>
      <c r="X1813" s="4" t="s">
        <v>12019</v>
      </c>
      <c r="Y1813" s="4" t="s">
        <v>12020</v>
      </c>
      <c r="Z1813" s="4" t="s">
        <v>12020</v>
      </c>
      <c r="AA1813" s="3">
        <v>293</v>
      </c>
      <c r="AB1813" s="3">
        <v>213</v>
      </c>
      <c r="AC1813" s="3">
        <v>382</v>
      </c>
      <c r="AD1813" s="3">
        <v>2</v>
      </c>
      <c r="AE1813" s="3">
        <v>2</v>
      </c>
      <c r="AF1813" s="3">
        <v>9</v>
      </c>
      <c r="AG1813" s="3">
        <v>12</v>
      </c>
      <c r="AH1813" s="3">
        <v>3</v>
      </c>
      <c r="AI1813" s="3">
        <v>3</v>
      </c>
      <c r="AJ1813" s="3">
        <v>3</v>
      </c>
      <c r="AK1813" s="3">
        <v>5</v>
      </c>
      <c r="AL1813" s="3">
        <v>5</v>
      </c>
      <c r="AM1813" s="3">
        <v>7</v>
      </c>
      <c r="AN1813" s="3">
        <v>1</v>
      </c>
      <c r="AO1813" s="3">
        <v>1</v>
      </c>
      <c r="AP1813" s="3">
        <v>0</v>
      </c>
      <c r="AQ1813" s="3">
        <v>0</v>
      </c>
      <c r="AR1813" s="2" t="s">
        <v>5</v>
      </c>
      <c r="AS1813" s="2" t="s">
        <v>16</v>
      </c>
      <c r="AT1813" s="5" t="str">
        <f>HYPERLINK("http://catalog.hathitrust.org/Record/004995202","HathiTrust Record")</f>
        <v>HathiTrust Record</v>
      </c>
      <c r="AU1813" s="5" t="str">
        <f>HYPERLINK("https://creighton-primo.hosted.exlibrisgroup.com/primo-explore/search?tab=default_tab&amp;search_scope=EVERYTHING&amp;vid=01CRU&amp;lang=en_US&amp;offset=0&amp;query=any,contains,991000458579702656","Catalog Record")</f>
        <v>Catalog Record</v>
      </c>
      <c r="AV1813" s="5" t="str">
        <f>HYPERLINK("http://www.worldcat.org/oclc/58454283","WorldCat Record")</f>
        <v>WorldCat Record</v>
      </c>
      <c r="AW1813" s="2" t="s">
        <v>21441</v>
      </c>
      <c r="AX1813" s="2" t="s">
        <v>21442</v>
      </c>
      <c r="AY1813" s="2" t="s">
        <v>21443</v>
      </c>
      <c r="AZ1813" s="2" t="s">
        <v>21443</v>
      </c>
      <c r="BA1813" s="2" t="s">
        <v>21444</v>
      </c>
      <c r="BB1813" s="2" t="s">
        <v>21</v>
      </c>
      <c r="BD1813" s="2" t="s">
        <v>21445</v>
      </c>
      <c r="BE1813" s="2" t="s">
        <v>21446</v>
      </c>
      <c r="BF1813" s="2" t="s">
        <v>21447</v>
      </c>
    </row>
    <row r="1814" spans="1:58" ht="41.25" customHeight="1" x14ac:dyDescent="0.25">
      <c r="A1814" s="8" t="s">
        <v>5</v>
      </c>
      <c r="B1814" s="1" t="s">
        <v>0</v>
      </c>
      <c r="C1814" s="1" t="s">
        <v>1</v>
      </c>
      <c r="D1814" s="1" t="s">
        <v>21448</v>
      </c>
      <c r="E1814" s="1" t="s">
        <v>21449</v>
      </c>
      <c r="F1814" s="1" t="s">
        <v>21450</v>
      </c>
      <c r="H1814" s="2" t="s">
        <v>5</v>
      </c>
      <c r="I1814" s="2" t="s">
        <v>6</v>
      </c>
      <c r="J1814" s="2" t="s">
        <v>5</v>
      </c>
      <c r="K1814" s="2" t="s">
        <v>5</v>
      </c>
      <c r="L1814" s="2" t="s">
        <v>7</v>
      </c>
      <c r="N1814" s="1" t="s">
        <v>1233</v>
      </c>
      <c r="O1814" s="2" t="s">
        <v>136</v>
      </c>
      <c r="Q1814" s="2" t="s">
        <v>11</v>
      </c>
      <c r="R1814" s="2" t="s">
        <v>31</v>
      </c>
      <c r="T1814" s="2" t="s">
        <v>520</v>
      </c>
      <c r="U1814" s="3">
        <v>8</v>
      </c>
      <c r="V1814" s="3">
        <v>8</v>
      </c>
      <c r="W1814" s="4" t="s">
        <v>21373</v>
      </c>
      <c r="X1814" s="4" t="s">
        <v>21373</v>
      </c>
      <c r="Y1814" s="4" t="s">
        <v>17236</v>
      </c>
      <c r="Z1814" s="4" t="s">
        <v>17236</v>
      </c>
      <c r="AA1814" s="3">
        <v>266</v>
      </c>
      <c r="AB1814" s="3">
        <v>217</v>
      </c>
      <c r="AC1814" s="3">
        <v>356</v>
      </c>
      <c r="AD1814" s="3">
        <v>2</v>
      </c>
      <c r="AE1814" s="3">
        <v>2</v>
      </c>
      <c r="AF1814" s="3">
        <v>8</v>
      </c>
      <c r="AG1814" s="3">
        <v>10</v>
      </c>
      <c r="AH1814" s="3">
        <v>3</v>
      </c>
      <c r="AI1814" s="3">
        <v>5</v>
      </c>
      <c r="AJ1814" s="3">
        <v>3</v>
      </c>
      <c r="AK1814" s="3">
        <v>3</v>
      </c>
      <c r="AL1814" s="3">
        <v>6</v>
      </c>
      <c r="AM1814" s="3">
        <v>6</v>
      </c>
      <c r="AN1814" s="3">
        <v>0</v>
      </c>
      <c r="AO1814" s="3">
        <v>0</v>
      </c>
      <c r="AP1814" s="3">
        <v>0</v>
      </c>
      <c r="AQ1814" s="3">
        <v>0</v>
      </c>
      <c r="AR1814" s="2" t="s">
        <v>5</v>
      </c>
      <c r="AS1814" s="2" t="s">
        <v>16</v>
      </c>
      <c r="AT1814" s="5" t="str">
        <f>HYPERLINK("http://catalog.hathitrust.org/Record/002482103","HathiTrust Record")</f>
        <v>HathiTrust Record</v>
      </c>
      <c r="AU1814" s="5" t="str">
        <f>HYPERLINK("https://creighton-primo.hosted.exlibrisgroup.com/primo-explore/search?tab=default_tab&amp;search_scope=EVERYTHING&amp;vid=01CRU&amp;lang=en_US&amp;offset=0&amp;query=any,contains,991001014869702656","Catalog Record")</f>
        <v>Catalog Record</v>
      </c>
      <c r="AV1814" s="5" t="str">
        <f>HYPERLINK("http://www.worldcat.org/oclc/23356893","WorldCat Record")</f>
        <v>WorldCat Record</v>
      </c>
      <c r="AW1814" s="2" t="s">
        <v>21451</v>
      </c>
      <c r="AX1814" s="2" t="s">
        <v>21452</v>
      </c>
      <c r="AY1814" s="2" t="s">
        <v>21453</v>
      </c>
      <c r="AZ1814" s="2" t="s">
        <v>21453</v>
      </c>
      <c r="BA1814" s="2" t="s">
        <v>21454</v>
      </c>
      <c r="BB1814" s="2" t="s">
        <v>21</v>
      </c>
      <c r="BD1814" s="2" t="s">
        <v>21455</v>
      </c>
      <c r="BE1814" s="2" t="s">
        <v>21456</v>
      </c>
      <c r="BF1814" s="2" t="s">
        <v>21457</v>
      </c>
    </row>
    <row r="1815" spans="1:58" ht="41.25" customHeight="1" x14ac:dyDescent="0.25">
      <c r="A1815" s="8" t="s">
        <v>5</v>
      </c>
      <c r="B1815" s="1" t="s">
        <v>0</v>
      </c>
      <c r="C1815" s="1" t="s">
        <v>1</v>
      </c>
      <c r="D1815" s="1" t="s">
        <v>21458</v>
      </c>
      <c r="E1815" s="1" t="s">
        <v>21459</v>
      </c>
      <c r="F1815" s="1" t="s">
        <v>21460</v>
      </c>
      <c r="H1815" s="2" t="s">
        <v>5</v>
      </c>
      <c r="I1815" s="2" t="s">
        <v>6</v>
      </c>
      <c r="J1815" s="2" t="s">
        <v>5</v>
      </c>
      <c r="K1815" s="2" t="s">
        <v>5</v>
      </c>
      <c r="L1815" s="2" t="s">
        <v>7</v>
      </c>
      <c r="M1815" s="1" t="s">
        <v>21461</v>
      </c>
      <c r="N1815" s="1" t="s">
        <v>21462</v>
      </c>
      <c r="O1815" s="2" t="s">
        <v>2738</v>
      </c>
      <c r="P1815" s="1" t="s">
        <v>1284</v>
      </c>
      <c r="Q1815" s="2" t="s">
        <v>11</v>
      </c>
      <c r="R1815" s="2" t="s">
        <v>78</v>
      </c>
      <c r="T1815" s="2" t="s">
        <v>520</v>
      </c>
      <c r="U1815" s="3">
        <v>2</v>
      </c>
      <c r="V1815" s="3">
        <v>2</v>
      </c>
      <c r="W1815" s="4" t="s">
        <v>21463</v>
      </c>
      <c r="X1815" s="4" t="s">
        <v>21463</v>
      </c>
      <c r="Y1815" s="4" t="s">
        <v>21249</v>
      </c>
      <c r="Z1815" s="4" t="s">
        <v>21249</v>
      </c>
      <c r="AA1815" s="3">
        <v>127</v>
      </c>
      <c r="AB1815" s="3">
        <v>98</v>
      </c>
      <c r="AC1815" s="3">
        <v>165</v>
      </c>
      <c r="AD1815" s="3">
        <v>1</v>
      </c>
      <c r="AE1815" s="3">
        <v>2</v>
      </c>
      <c r="AF1815" s="3">
        <v>0</v>
      </c>
      <c r="AG1815" s="3">
        <v>3</v>
      </c>
      <c r="AH1815" s="3">
        <v>0</v>
      </c>
      <c r="AI1815" s="3">
        <v>0</v>
      </c>
      <c r="AJ1815" s="3">
        <v>0</v>
      </c>
      <c r="AK1815" s="3">
        <v>1</v>
      </c>
      <c r="AL1815" s="3">
        <v>0</v>
      </c>
      <c r="AM1815" s="3">
        <v>1</v>
      </c>
      <c r="AN1815" s="3">
        <v>0</v>
      </c>
      <c r="AO1815" s="3">
        <v>1</v>
      </c>
      <c r="AP1815" s="3">
        <v>0</v>
      </c>
      <c r="AQ1815" s="3">
        <v>0</v>
      </c>
      <c r="AR1815" s="2" t="s">
        <v>5</v>
      </c>
      <c r="AS1815" s="2" t="s">
        <v>16</v>
      </c>
      <c r="AT1815" s="5" t="str">
        <f>HYPERLINK("http://catalog.hathitrust.org/Record/001574365","HathiTrust Record")</f>
        <v>HathiTrust Record</v>
      </c>
      <c r="AU1815" s="5" t="str">
        <f>HYPERLINK("https://creighton-primo.hosted.exlibrisgroup.com/primo-explore/search?tab=default_tab&amp;search_scope=EVERYTHING&amp;vid=01CRU&amp;lang=en_US&amp;offset=0&amp;query=any,contains,991000929279702656","Catalog Record")</f>
        <v>Catalog Record</v>
      </c>
      <c r="AV1815" s="5" t="str">
        <f>HYPERLINK("http://www.worldcat.org/oclc/145796","WorldCat Record")</f>
        <v>WorldCat Record</v>
      </c>
      <c r="AW1815" s="2" t="s">
        <v>21464</v>
      </c>
      <c r="AX1815" s="2" t="s">
        <v>21465</v>
      </c>
      <c r="AY1815" s="2" t="s">
        <v>21466</v>
      </c>
      <c r="AZ1815" s="2" t="s">
        <v>21466</v>
      </c>
      <c r="BA1815" s="2" t="s">
        <v>21467</v>
      </c>
      <c r="BB1815" s="2" t="s">
        <v>21</v>
      </c>
      <c r="BD1815" s="2" t="s">
        <v>21468</v>
      </c>
      <c r="BE1815" s="2" t="s">
        <v>21469</v>
      </c>
      <c r="BF1815" s="2" t="s">
        <v>21470</v>
      </c>
    </row>
    <row r="1816" spans="1:58" ht="41.25" customHeight="1" x14ac:dyDescent="0.25">
      <c r="A1816" s="8" t="s">
        <v>5</v>
      </c>
      <c r="B1816" s="1" t="s">
        <v>0</v>
      </c>
      <c r="C1816" s="1" t="s">
        <v>1</v>
      </c>
      <c r="D1816" s="1" t="s">
        <v>21471</v>
      </c>
      <c r="E1816" s="1" t="s">
        <v>21472</v>
      </c>
      <c r="F1816" s="1" t="s">
        <v>21473</v>
      </c>
      <c r="H1816" s="2" t="s">
        <v>5</v>
      </c>
      <c r="I1816" s="2" t="s">
        <v>6</v>
      </c>
      <c r="J1816" s="2" t="s">
        <v>5</v>
      </c>
      <c r="K1816" s="2" t="s">
        <v>5</v>
      </c>
      <c r="L1816" s="2" t="s">
        <v>7</v>
      </c>
      <c r="M1816" s="1" t="s">
        <v>21474</v>
      </c>
      <c r="N1816" s="1" t="s">
        <v>8552</v>
      </c>
      <c r="O1816" s="2" t="s">
        <v>228</v>
      </c>
      <c r="P1816" s="1" t="s">
        <v>901</v>
      </c>
      <c r="Q1816" s="2" t="s">
        <v>11</v>
      </c>
      <c r="R1816" s="2" t="s">
        <v>426</v>
      </c>
      <c r="T1816" s="2" t="s">
        <v>520</v>
      </c>
      <c r="U1816" s="3">
        <v>6</v>
      </c>
      <c r="V1816" s="3">
        <v>6</v>
      </c>
      <c r="W1816" s="4" t="s">
        <v>21475</v>
      </c>
      <c r="X1816" s="4" t="s">
        <v>21475</v>
      </c>
      <c r="Y1816" s="4" t="s">
        <v>96</v>
      </c>
      <c r="Z1816" s="4" t="s">
        <v>96</v>
      </c>
      <c r="AA1816" s="3">
        <v>18</v>
      </c>
      <c r="AB1816" s="3">
        <v>18</v>
      </c>
      <c r="AC1816" s="3">
        <v>234</v>
      </c>
      <c r="AD1816" s="3">
        <v>1</v>
      </c>
      <c r="AE1816" s="3">
        <v>1</v>
      </c>
      <c r="AF1816" s="3">
        <v>0</v>
      </c>
      <c r="AG1816" s="3">
        <v>2</v>
      </c>
      <c r="AH1816" s="3">
        <v>0</v>
      </c>
      <c r="AI1816" s="3">
        <v>0</v>
      </c>
      <c r="AJ1816" s="3">
        <v>0</v>
      </c>
      <c r="AK1816" s="3">
        <v>0</v>
      </c>
      <c r="AL1816" s="3">
        <v>0</v>
      </c>
      <c r="AM1816" s="3">
        <v>2</v>
      </c>
      <c r="AN1816" s="3">
        <v>0</v>
      </c>
      <c r="AO1816" s="3">
        <v>0</v>
      </c>
      <c r="AP1816" s="3">
        <v>0</v>
      </c>
      <c r="AQ1816" s="3">
        <v>0</v>
      </c>
      <c r="AR1816" s="2" t="s">
        <v>5</v>
      </c>
      <c r="AS1816" s="2" t="s">
        <v>5</v>
      </c>
      <c r="AU1816" s="5" t="str">
        <f>HYPERLINK("https://creighton-primo.hosted.exlibrisgroup.com/primo-explore/search?tab=default_tab&amp;search_scope=EVERYTHING&amp;vid=01CRU&amp;lang=en_US&amp;offset=0&amp;query=any,contains,991000929539702656","Catalog Record")</f>
        <v>Catalog Record</v>
      </c>
      <c r="AV1816" s="5" t="str">
        <f>HYPERLINK("http://www.worldcat.org/oclc/7739267","WorldCat Record")</f>
        <v>WorldCat Record</v>
      </c>
      <c r="AW1816" s="2" t="s">
        <v>21476</v>
      </c>
      <c r="AX1816" s="2" t="s">
        <v>21477</v>
      </c>
      <c r="AY1816" s="2" t="s">
        <v>21478</v>
      </c>
      <c r="AZ1816" s="2" t="s">
        <v>21478</v>
      </c>
      <c r="BA1816" s="2" t="s">
        <v>21479</v>
      </c>
      <c r="BB1816" s="2" t="s">
        <v>21</v>
      </c>
      <c r="BD1816" s="2" t="s">
        <v>21480</v>
      </c>
      <c r="BE1816" s="2" t="s">
        <v>21481</v>
      </c>
      <c r="BF1816" s="2" t="s">
        <v>21482</v>
      </c>
    </row>
    <row r="1817" spans="1:58" ht="41.25" customHeight="1" x14ac:dyDescent="0.25">
      <c r="A1817" s="8" t="s">
        <v>5</v>
      </c>
      <c r="B1817" s="1" t="s">
        <v>0</v>
      </c>
      <c r="C1817" s="1" t="s">
        <v>1</v>
      </c>
      <c r="D1817" s="1" t="s">
        <v>21483</v>
      </c>
      <c r="E1817" s="1" t="s">
        <v>21484</v>
      </c>
      <c r="F1817" s="1" t="s">
        <v>21485</v>
      </c>
      <c r="H1817" s="2" t="s">
        <v>5</v>
      </c>
      <c r="I1817" s="2" t="s">
        <v>6</v>
      </c>
      <c r="J1817" s="2" t="s">
        <v>5</v>
      </c>
      <c r="K1817" s="2" t="s">
        <v>5</v>
      </c>
      <c r="L1817" s="2" t="s">
        <v>7</v>
      </c>
      <c r="M1817" s="1" t="s">
        <v>21486</v>
      </c>
      <c r="N1817" s="1" t="s">
        <v>8145</v>
      </c>
      <c r="O1817" s="2" t="s">
        <v>1046</v>
      </c>
      <c r="P1817" s="1" t="s">
        <v>1208</v>
      </c>
      <c r="Q1817" s="2" t="s">
        <v>11</v>
      </c>
      <c r="R1817" s="2" t="s">
        <v>212</v>
      </c>
      <c r="T1817" s="2" t="s">
        <v>520</v>
      </c>
      <c r="U1817" s="3">
        <v>0</v>
      </c>
      <c r="V1817" s="3">
        <v>0</v>
      </c>
      <c r="W1817" s="4" t="s">
        <v>13452</v>
      </c>
      <c r="X1817" s="4" t="s">
        <v>13452</v>
      </c>
      <c r="Y1817" s="4" t="s">
        <v>6895</v>
      </c>
      <c r="Z1817" s="4" t="s">
        <v>6895</v>
      </c>
      <c r="AA1817" s="3">
        <v>155</v>
      </c>
      <c r="AB1817" s="3">
        <v>123</v>
      </c>
      <c r="AC1817" s="3">
        <v>301</v>
      </c>
      <c r="AD1817" s="3">
        <v>1</v>
      </c>
      <c r="AE1817" s="3">
        <v>2</v>
      </c>
      <c r="AF1817" s="3">
        <v>5</v>
      </c>
      <c r="AG1817" s="3">
        <v>6</v>
      </c>
      <c r="AH1817" s="3">
        <v>3</v>
      </c>
      <c r="AI1817" s="3">
        <v>3</v>
      </c>
      <c r="AJ1817" s="3">
        <v>0</v>
      </c>
      <c r="AK1817" s="3">
        <v>0</v>
      </c>
      <c r="AL1817" s="3">
        <v>2</v>
      </c>
      <c r="AM1817" s="3">
        <v>3</v>
      </c>
      <c r="AN1817" s="3">
        <v>0</v>
      </c>
      <c r="AO1817" s="3">
        <v>0</v>
      </c>
      <c r="AP1817" s="3">
        <v>0</v>
      </c>
      <c r="AQ1817" s="3">
        <v>0</v>
      </c>
      <c r="AR1817" s="2" t="s">
        <v>5</v>
      </c>
      <c r="AS1817" s="2" t="s">
        <v>16</v>
      </c>
      <c r="AT1817" s="5" t="str">
        <f>HYPERLINK("http://catalog.hathitrust.org/Record/004310007","HathiTrust Record")</f>
        <v>HathiTrust Record</v>
      </c>
      <c r="AU1817" s="5" t="str">
        <f>HYPERLINK("https://creighton-primo.hosted.exlibrisgroup.com/primo-explore/search?tab=default_tab&amp;search_scope=EVERYTHING&amp;vid=01CRU&amp;lang=en_US&amp;offset=0&amp;query=any,contains,991000345719702656","Catalog Record")</f>
        <v>Catalog Record</v>
      </c>
      <c r="AV1817" s="5" t="str">
        <f>HYPERLINK("http://www.worldcat.org/oclc/51685587","WorldCat Record")</f>
        <v>WorldCat Record</v>
      </c>
      <c r="AW1817" s="2" t="s">
        <v>21487</v>
      </c>
      <c r="AX1817" s="2" t="s">
        <v>21488</v>
      </c>
      <c r="AY1817" s="2" t="s">
        <v>21489</v>
      </c>
      <c r="AZ1817" s="2" t="s">
        <v>21489</v>
      </c>
      <c r="BA1817" s="2" t="s">
        <v>21490</v>
      </c>
      <c r="BB1817" s="2" t="s">
        <v>21</v>
      </c>
      <c r="BD1817" s="2" t="s">
        <v>21491</v>
      </c>
      <c r="BE1817" s="2" t="s">
        <v>21492</v>
      </c>
      <c r="BF1817" s="2" t="s">
        <v>21493</v>
      </c>
    </row>
    <row r="1818" spans="1:58" ht="41.25" customHeight="1" x14ac:dyDescent="0.25">
      <c r="A1818" s="8" t="s">
        <v>5</v>
      </c>
      <c r="B1818" s="1" t="s">
        <v>0</v>
      </c>
      <c r="C1818" s="1" t="s">
        <v>1</v>
      </c>
      <c r="D1818" s="1" t="s">
        <v>21494</v>
      </c>
      <c r="E1818" s="1" t="s">
        <v>21495</v>
      </c>
      <c r="F1818" s="1" t="s">
        <v>21496</v>
      </c>
      <c r="H1818" s="2" t="s">
        <v>5</v>
      </c>
      <c r="I1818" s="2" t="s">
        <v>6</v>
      </c>
      <c r="J1818" s="2" t="s">
        <v>5</v>
      </c>
      <c r="K1818" s="2" t="s">
        <v>5</v>
      </c>
      <c r="L1818" s="2" t="s">
        <v>7</v>
      </c>
      <c r="N1818" s="1" t="s">
        <v>21497</v>
      </c>
      <c r="O1818" s="2" t="s">
        <v>285</v>
      </c>
      <c r="Q1818" s="2" t="s">
        <v>11</v>
      </c>
      <c r="R1818" s="2" t="s">
        <v>12</v>
      </c>
      <c r="S1818" s="1" t="s">
        <v>21498</v>
      </c>
      <c r="T1818" s="2" t="s">
        <v>520</v>
      </c>
      <c r="U1818" s="3">
        <v>2</v>
      </c>
      <c r="V1818" s="3">
        <v>2</v>
      </c>
      <c r="W1818" s="4" t="s">
        <v>21499</v>
      </c>
      <c r="X1818" s="4" t="s">
        <v>21499</v>
      </c>
      <c r="Y1818" s="4" t="s">
        <v>736</v>
      </c>
      <c r="Z1818" s="4" t="s">
        <v>736</v>
      </c>
      <c r="AA1818" s="3">
        <v>59</v>
      </c>
      <c r="AB1818" s="3">
        <v>51</v>
      </c>
      <c r="AC1818" s="3">
        <v>59</v>
      </c>
      <c r="AD1818" s="3">
        <v>1</v>
      </c>
      <c r="AE1818" s="3">
        <v>1</v>
      </c>
      <c r="AF1818" s="3">
        <v>2</v>
      </c>
      <c r="AG1818" s="3">
        <v>2</v>
      </c>
      <c r="AH1818" s="3">
        <v>0</v>
      </c>
      <c r="AI1818" s="3">
        <v>0</v>
      </c>
      <c r="AJ1818" s="3">
        <v>0</v>
      </c>
      <c r="AK1818" s="3">
        <v>0</v>
      </c>
      <c r="AL1818" s="3">
        <v>2</v>
      </c>
      <c r="AM1818" s="3">
        <v>2</v>
      </c>
      <c r="AN1818" s="3">
        <v>0</v>
      </c>
      <c r="AO1818" s="3">
        <v>0</v>
      </c>
      <c r="AP1818" s="3">
        <v>0</v>
      </c>
      <c r="AQ1818" s="3">
        <v>0</v>
      </c>
      <c r="AR1818" s="2" t="s">
        <v>5</v>
      </c>
      <c r="AS1818" s="2" t="s">
        <v>5</v>
      </c>
      <c r="AU1818" s="5" t="str">
        <f>HYPERLINK("https://creighton-primo.hosted.exlibrisgroup.com/primo-explore/search?tab=default_tab&amp;search_scope=EVERYTHING&amp;vid=01CRU&amp;lang=en_US&amp;offset=0&amp;query=any,contains,991001389699702656","Catalog Record")</f>
        <v>Catalog Record</v>
      </c>
      <c r="AV1818" s="5" t="str">
        <f>HYPERLINK("http://www.worldcat.org/oclc/5726334","WorldCat Record")</f>
        <v>WorldCat Record</v>
      </c>
      <c r="AW1818" s="2" t="s">
        <v>21500</v>
      </c>
      <c r="AX1818" s="2" t="s">
        <v>21501</v>
      </c>
      <c r="AY1818" s="2" t="s">
        <v>21502</v>
      </c>
      <c r="AZ1818" s="2" t="s">
        <v>21502</v>
      </c>
      <c r="BA1818" s="2" t="s">
        <v>21503</v>
      </c>
      <c r="BB1818" s="2" t="s">
        <v>21</v>
      </c>
      <c r="BE1818" s="2" t="s">
        <v>21504</v>
      </c>
      <c r="BF1818" s="2" t="s">
        <v>21505</v>
      </c>
    </row>
    <row r="1819" spans="1:58" ht="41.25" customHeight="1" x14ac:dyDescent="0.25">
      <c r="A1819" s="8" t="s">
        <v>5</v>
      </c>
      <c r="B1819" s="1" t="s">
        <v>0</v>
      </c>
      <c r="C1819" s="1" t="s">
        <v>1</v>
      </c>
      <c r="D1819" s="1" t="s">
        <v>21506</v>
      </c>
      <c r="E1819" s="1" t="s">
        <v>21507</v>
      </c>
      <c r="F1819" s="1" t="s">
        <v>21508</v>
      </c>
      <c r="H1819" s="2" t="s">
        <v>5</v>
      </c>
      <c r="I1819" s="2" t="s">
        <v>6</v>
      </c>
      <c r="J1819" s="2" t="s">
        <v>5</v>
      </c>
      <c r="K1819" s="2" t="s">
        <v>5</v>
      </c>
      <c r="L1819" s="2" t="s">
        <v>7</v>
      </c>
      <c r="M1819" s="1" t="s">
        <v>21509</v>
      </c>
      <c r="N1819" s="1" t="s">
        <v>9120</v>
      </c>
      <c r="O1819" s="2" t="s">
        <v>393</v>
      </c>
      <c r="P1819" s="1" t="s">
        <v>1652</v>
      </c>
      <c r="Q1819" s="2" t="s">
        <v>11</v>
      </c>
      <c r="R1819" s="2" t="s">
        <v>426</v>
      </c>
      <c r="T1819" s="2" t="s">
        <v>520</v>
      </c>
      <c r="U1819" s="3">
        <v>1</v>
      </c>
      <c r="V1819" s="3">
        <v>1</v>
      </c>
      <c r="W1819" s="4" t="s">
        <v>15739</v>
      </c>
      <c r="X1819" s="4" t="s">
        <v>15739</v>
      </c>
      <c r="Y1819" s="4" t="s">
        <v>96</v>
      </c>
      <c r="Z1819" s="4" t="s">
        <v>96</v>
      </c>
      <c r="AA1819" s="3">
        <v>73</v>
      </c>
      <c r="AB1819" s="3">
        <v>62</v>
      </c>
      <c r="AC1819" s="3">
        <v>123</v>
      </c>
      <c r="AD1819" s="3">
        <v>1</v>
      </c>
      <c r="AE1819" s="3">
        <v>1</v>
      </c>
      <c r="AF1819" s="3">
        <v>0</v>
      </c>
      <c r="AG1819" s="3">
        <v>0</v>
      </c>
      <c r="AH1819" s="3">
        <v>0</v>
      </c>
      <c r="AI1819" s="3">
        <v>0</v>
      </c>
      <c r="AJ1819" s="3">
        <v>0</v>
      </c>
      <c r="AK1819" s="3">
        <v>0</v>
      </c>
      <c r="AL1819" s="3">
        <v>0</v>
      </c>
      <c r="AM1819" s="3">
        <v>0</v>
      </c>
      <c r="AN1819" s="3">
        <v>0</v>
      </c>
      <c r="AO1819" s="3">
        <v>0</v>
      </c>
      <c r="AP1819" s="3">
        <v>0</v>
      </c>
      <c r="AQ1819" s="3">
        <v>0</v>
      </c>
      <c r="AR1819" s="2" t="s">
        <v>5</v>
      </c>
      <c r="AS1819" s="2" t="s">
        <v>5</v>
      </c>
      <c r="AU1819" s="5" t="str">
        <f>HYPERLINK("https://creighton-primo.hosted.exlibrisgroup.com/primo-explore/search?tab=default_tab&amp;search_scope=EVERYTHING&amp;vid=01CRU&amp;lang=en_US&amp;offset=0&amp;query=any,contains,991000929569702656","Catalog Record")</f>
        <v>Catalog Record</v>
      </c>
      <c r="AV1819" s="5" t="str">
        <f>HYPERLINK("http://www.worldcat.org/oclc/7170947","WorldCat Record")</f>
        <v>WorldCat Record</v>
      </c>
      <c r="AW1819" s="2" t="s">
        <v>21510</v>
      </c>
      <c r="AX1819" s="2" t="s">
        <v>21511</v>
      </c>
      <c r="AY1819" s="2" t="s">
        <v>21512</v>
      </c>
      <c r="AZ1819" s="2" t="s">
        <v>21512</v>
      </c>
      <c r="BA1819" s="2" t="s">
        <v>21513</v>
      </c>
      <c r="BB1819" s="2" t="s">
        <v>21</v>
      </c>
      <c r="BD1819" s="2" t="s">
        <v>21514</v>
      </c>
      <c r="BE1819" s="2" t="s">
        <v>21515</v>
      </c>
      <c r="BF1819" s="2" t="s">
        <v>21516</v>
      </c>
    </row>
    <row r="1820" spans="1:58" ht="41.25" customHeight="1" x14ac:dyDescent="0.25">
      <c r="A1820" s="8" t="s">
        <v>5</v>
      </c>
      <c r="B1820" s="1" t="s">
        <v>0</v>
      </c>
      <c r="C1820" s="1" t="s">
        <v>1</v>
      </c>
      <c r="D1820" s="1" t="s">
        <v>21517</v>
      </c>
      <c r="E1820" s="1" t="s">
        <v>21518</v>
      </c>
      <c r="F1820" s="1" t="s">
        <v>21519</v>
      </c>
      <c r="H1820" s="2" t="s">
        <v>5</v>
      </c>
      <c r="I1820" s="2" t="s">
        <v>6</v>
      </c>
      <c r="J1820" s="2" t="s">
        <v>5</v>
      </c>
      <c r="K1820" s="2" t="s">
        <v>16</v>
      </c>
      <c r="L1820" s="2" t="s">
        <v>7</v>
      </c>
      <c r="N1820" s="1" t="s">
        <v>21520</v>
      </c>
      <c r="O1820" s="2" t="s">
        <v>4990</v>
      </c>
      <c r="P1820" s="1" t="s">
        <v>771</v>
      </c>
      <c r="Q1820" s="2" t="s">
        <v>11</v>
      </c>
      <c r="R1820" s="2" t="s">
        <v>1140</v>
      </c>
      <c r="T1820" s="2" t="s">
        <v>520</v>
      </c>
      <c r="U1820" s="3">
        <v>0</v>
      </c>
      <c r="V1820" s="3">
        <v>0</v>
      </c>
      <c r="W1820" s="4" t="s">
        <v>12646</v>
      </c>
      <c r="X1820" s="4" t="s">
        <v>12646</v>
      </c>
      <c r="Y1820" s="4" t="s">
        <v>12647</v>
      </c>
      <c r="Z1820" s="4" t="s">
        <v>12647</v>
      </c>
      <c r="AA1820" s="3">
        <v>196</v>
      </c>
      <c r="AB1820" s="3">
        <v>151</v>
      </c>
      <c r="AC1820" s="3">
        <v>559</v>
      </c>
      <c r="AD1820" s="3">
        <v>1</v>
      </c>
      <c r="AE1820" s="3">
        <v>4</v>
      </c>
      <c r="AF1820" s="3">
        <v>2</v>
      </c>
      <c r="AG1820" s="3">
        <v>10</v>
      </c>
      <c r="AH1820" s="3">
        <v>1</v>
      </c>
      <c r="AI1820" s="3">
        <v>1</v>
      </c>
      <c r="AJ1820" s="3">
        <v>0</v>
      </c>
      <c r="AK1820" s="3">
        <v>3</v>
      </c>
      <c r="AL1820" s="3">
        <v>1</v>
      </c>
      <c r="AM1820" s="3">
        <v>7</v>
      </c>
      <c r="AN1820" s="3">
        <v>0</v>
      </c>
      <c r="AO1820" s="3">
        <v>2</v>
      </c>
      <c r="AP1820" s="3">
        <v>0</v>
      </c>
      <c r="AQ1820" s="3">
        <v>0</v>
      </c>
      <c r="AR1820" s="2" t="s">
        <v>5</v>
      </c>
      <c r="AS1820" s="2" t="s">
        <v>5</v>
      </c>
      <c r="AU1820" s="5" t="str">
        <f>HYPERLINK("https://creighton-primo.hosted.exlibrisgroup.com/primo-explore/search?tab=default_tab&amp;search_scope=EVERYTHING&amp;vid=01CRU&amp;lang=en_US&amp;offset=0&amp;query=any,contains,991000351029702656","Catalog Record")</f>
        <v>Catalog Record</v>
      </c>
      <c r="AV1820" s="5" t="str">
        <f>HYPERLINK("http://www.worldcat.org/oclc/50519125","WorldCat Record")</f>
        <v>WorldCat Record</v>
      </c>
      <c r="AW1820" s="2" t="s">
        <v>21521</v>
      </c>
      <c r="AX1820" s="2" t="s">
        <v>21522</v>
      </c>
      <c r="AY1820" s="2" t="s">
        <v>21523</v>
      </c>
      <c r="AZ1820" s="2" t="s">
        <v>21523</v>
      </c>
      <c r="BA1820" s="2" t="s">
        <v>21524</v>
      </c>
      <c r="BB1820" s="2" t="s">
        <v>21</v>
      </c>
      <c r="BD1820" s="2" t="s">
        <v>21525</v>
      </c>
      <c r="BE1820" s="2" t="s">
        <v>21526</v>
      </c>
      <c r="BF1820" s="2" t="s">
        <v>21527</v>
      </c>
    </row>
    <row r="1821" spans="1:58" ht="41.25" customHeight="1" x14ac:dyDescent="0.25">
      <c r="A1821" s="8" t="s">
        <v>5</v>
      </c>
      <c r="B1821" s="1" t="s">
        <v>0</v>
      </c>
      <c r="C1821" s="1" t="s">
        <v>1</v>
      </c>
      <c r="D1821" s="1" t="s">
        <v>21528</v>
      </c>
      <c r="E1821" s="1" t="s">
        <v>21529</v>
      </c>
      <c r="F1821" s="1" t="s">
        <v>21530</v>
      </c>
      <c r="H1821" s="2" t="s">
        <v>5</v>
      </c>
      <c r="I1821" s="2" t="s">
        <v>6</v>
      </c>
      <c r="J1821" s="2" t="s">
        <v>5</v>
      </c>
      <c r="K1821" s="2" t="s">
        <v>5</v>
      </c>
      <c r="L1821" s="2" t="s">
        <v>7</v>
      </c>
      <c r="N1821" s="1" t="s">
        <v>9760</v>
      </c>
      <c r="O1821" s="2" t="s">
        <v>888</v>
      </c>
      <c r="P1821" s="1" t="s">
        <v>21531</v>
      </c>
      <c r="Q1821" s="2" t="s">
        <v>11</v>
      </c>
      <c r="R1821" s="2" t="s">
        <v>426</v>
      </c>
      <c r="T1821" s="2" t="s">
        <v>520</v>
      </c>
      <c r="U1821" s="3">
        <v>1</v>
      </c>
      <c r="V1821" s="3">
        <v>1</v>
      </c>
      <c r="W1821" s="4" t="s">
        <v>1783</v>
      </c>
      <c r="X1821" s="4" t="s">
        <v>1783</v>
      </c>
      <c r="Y1821" s="4" t="s">
        <v>96</v>
      </c>
      <c r="Z1821" s="4" t="s">
        <v>96</v>
      </c>
      <c r="AA1821" s="3">
        <v>130</v>
      </c>
      <c r="AB1821" s="3">
        <v>108</v>
      </c>
      <c r="AC1821" s="3">
        <v>342</v>
      </c>
      <c r="AD1821" s="3">
        <v>1</v>
      </c>
      <c r="AE1821" s="3">
        <v>4</v>
      </c>
      <c r="AF1821" s="3">
        <v>1</v>
      </c>
      <c r="AG1821" s="3">
        <v>5</v>
      </c>
      <c r="AH1821" s="3">
        <v>0</v>
      </c>
      <c r="AI1821" s="3">
        <v>2</v>
      </c>
      <c r="AJ1821" s="3">
        <v>0</v>
      </c>
      <c r="AK1821" s="3">
        <v>0</v>
      </c>
      <c r="AL1821" s="3">
        <v>1</v>
      </c>
      <c r="AM1821" s="3">
        <v>1</v>
      </c>
      <c r="AN1821" s="3">
        <v>0</v>
      </c>
      <c r="AO1821" s="3">
        <v>2</v>
      </c>
      <c r="AP1821" s="3">
        <v>0</v>
      </c>
      <c r="AQ1821" s="3">
        <v>0</v>
      </c>
      <c r="AR1821" s="2" t="s">
        <v>5</v>
      </c>
      <c r="AS1821" s="2" t="s">
        <v>16</v>
      </c>
      <c r="AT1821" s="5" t="str">
        <f>HYPERLINK("http://catalog.hathitrust.org/Record/000167870","HathiTrust Record")</f>
        <v>HathiTrust Record</v>
      </c>
      <c r="AU1821" s="5" t="str">
        <f>HYPERLINK("https://creighton-primo.hosted.exlibrisgroup.com/primo-explore/search?tab=default_tab&amp;search_scope=EVERYTHING&amp;vid=01CRU&amp;lang=en_US&amp;offset=0&amp;query=any,contains,991000929809702656","Catalog Record")</f>
        <v>Catalog Record</v>
      </c>
      <c r="AV1821" s="5" t="str">
        <f>HYPERLINK("http://www.worldcat.org/oclc/9970099","WorldCat Record")</f>
        <v>WorldCat Record</v>
      </c>
      <c r="AW1821" s="2" t="s">
        <v>21532</v>
      </c>
      <c r="AX1821" s="2" t="s">
        <v>21533</v>
      </c>
      <c r="AY1821" s="2" t="s">
        <v>21534</v>
      </c>
      <c r="AZ1821" s="2" t="s">
        <v>21534</v>
      </c>
      <c r="BA1821" s="2" t="s">
        <v>21535</v>
      </c>
      <c r="BB1821" s="2" t="s">
        <v>21</v>
      </c>
      <c r="BD1821" s="2" t="s">
        <v>21536</v>
      </c>
      <c r="BE1821" s="2" t="s">
        <v>21537</v>
      </c>
      <c r="BF1821" s="2" t="s">
        <v>21538</v>
      </c>
    </row>
    <row r="1822" spans="1:58" ht="41.25" customHeight="1" x14ac:dyDescent="0.25">
      <c r="A1822" s="8" t="s">
        <v>5</v>
      </c>
      <c r="B1822" s="1" t="s">
        <v>0</v>
      </c>
      <c r="C1822" s="1" t="s">
        <v>1</v>
      </c>
      <c r="D1822" s="1" t="s">
        <v>21539</v>
      </c>
      <c r="E1822" s="1" t="s">
        <v>21540</v>
      </c>
      <c r="F1822" s="1" t="s">
        <v>21541</v>
      </c>
      <c r="H1822" s="2" t="s">
        <v>5</v>
      </c>
      <c r="I1822" s="2" t="s">
        <v>6</v>
      </c>
      <c r="J1822" s="2" t="s">
        <v>5</v>
      </c>
      <c r="K1822" s="2" t="s">
        <v>5</v>
      </c>
      <c r="L1822" s="2" t="s">
        <v>7</v>
      </c>
      <c r="M1822" s="1" t="s">
        <v>21542</v>
      </c>
      <c r="N1822" s="1" t="s">
        <v>21543</v>
      </c>
      <c r="O1822" s="2" t="s">
        <v>1378</v>
      </c>
      <c r="Q1822" s="2" t="s">
        <v>11</v>
      </c>
      <c r="R1822" s="2" t="s">
        <v>1140</v>
      </c>
      <c r="T1822" s="2" t="s">
        <v>520</v>
      </c>
      <c r="U1822" s="3">
        <v>2</v>
      </c>
      <c r="V1822" s="3">
        <v>2</v>
      </c>
      <c r="W1822" s="4" t="s">
        <v>21544</v>
      </c>
      <c r="X1822" s="4" t="s">
        <v>21544</v>
      </c>
      <c r="Y1822" s="4" t="s">
        <v>6386</v>
      </c>
      <c r="Z1822" s="4" t="s">
        <v>6386</v>
      </c>
      <c r="AA1822" s="3">
        <v>126</v>
      </c>
      <c r="AB1822" s="3">
        <v>113</v>
      </c>
      <c r="AC1822" s="3">
        <v>115</v>
      </c>
      <c r="AD1822" s="3">
        <v>1</v>
      </c>
      <c r="AE1822" s="3">
        <v>1</v>
      </c>
      <c r="AF1822" s="3">
        <v>4</v>
      </c>
      <c r="AG1822" s="3">
        <v>4</v>
      </c>
      <c r="AH1822" s="3">
        <v>1</v>
      </c>
      <c r="AI1822" s="3">
        <v>1</v>
      </c>
      <c r="AJ1822" s="3">
        <v>1</v>
      </c>
      <c r="AK1822" s="3">
        <v>1</v>
      </c>
      <c r="AL1822" s="3">
        <v>2</v>
      </c>
      <c r="AM1822" s="3">
        <v>2</v>
      </c>
      <c r="AN1822" s="3">
        <v>0</v>
      </c>
      <c r="AO1822" s="3">
        <v>0</v>
      </c>
      <c r="AP1822" s="3">
        <v>0</v>
      </c>
      <c r="AQ1822" s="3">
        <v>0</v>
      </c>
      <c r="AR1822" s="2" t="s">
        <v>5</v>
      </c>
      <c r="AS1822" s="2" t="s">
        <v>16</v>
      </c>
      <c r="AT1822" s="5" t="str">
        <f>HYPERLINK("http://catalog.hathitrust.org/Record/003979467","HathiTrust Record")</f>
        <v>HathiTrust Record</v>
      </c>
      <c r="AU1822" s="5" t="str">
        <f>HYPERLINK("https://creighton-primo.hosted.exlibrisgroup.com/primo-explore/search?tab=default_tab&amp;search_scope=EVERYTHING&amp;vid=01CRU&amp;lang=en_US&amp;offset=0&amp;query=any,contains,991000692039702656","Catalog Record")</f>
        <v>Catalog Record</v>
      </c>
      <c r="AV1822" s="5" t="str">
        <f>HYPERLINK("http://www.worldcat.org/oclc/38732176","WorldCat Record")</f>
        <v>WorldCat Record</v>
      </c>
      <c r="AW1822" s="2" t="s">
        <v>21545</v>
      </c>
      <c r="AX1822" s="2" t="s">
        <v>21546</v>
      </c>
      <c r="AY1822" s="2" t="s">
        <v>21547</v>
      </c>
      <c r="AZ1822" s="2" t="s">
        <v>21547</v>
      </c>
      <c r="BA1822" s="2" t="s">
        <v>21548</v>
      </c>
      <c r="BB1822" s="2" t="s">
        <v>21</v>
      </c>
      <c r="BD1822" s="2" t="s">
        <v>21549</v>
      </c>
      <c r="BE1822" s="2" t="s">
        <v>21550</v>
      </c>
      <c r="BF1822" s="2" t="s">
        <v>21551</v>
      </c>
    </row>
    <row r="1823" spans="1:58" ht="41.25" customHeight="1" x14ac:dyDescent="0.25">
      <c r="A1823" s="8" t="s">
        <v>5</v>
      </c>
      <c r="B1823" s="1" t="s">
        <v>0</v>
      </c>
      <c r="C1823" s="1" t="s">
        <v>1</v>
      </c>
      <c r="D1823" s="1" t="s">
        <v>21552</v>
      </c>
      <c r="E1823" s="1" t="s">
        <v>21553</v>
      </c>
      <c r="F1823" s="1" t="s">
        <v>21554</v>
      </c>
      <c r="H1823" s="2" t="s">
        <v>5</v>
      </c>
      <c r="I1823" s="2" t="s">
        <v>6</v>
      </c>
      <c r="J1823" s="2" t="s">
        <v>5</v>
      </c>
      <c r="K1823" s="2" t="s">
        <v>5</v>
      </c>
      <c r="L1823" s="2" t="s">
        <v>7</v>
      </c>
      <c r="M1823" s="1" t="s">
        <v>14350</v>
      </c>
      <c r="N1823" s="1" t="s">
        <v>21555</v>
      </c>
      <c r="O1823" s="2" t="s">
        <v>136</v>
      </c>
      <c r="Q1823" s="2" t="s">
        <v>11</v>
      </c>
      <c r="R1823" s="2" t="s">
        <v>31</v>
      </c>
      <c r="T1823" s="2" t="s">
        <v>520</v>
      </c>
      <c r="U1823" s="3">
        <v>0</v>
      </c>
      <c r="V1823" s="3">
        <v>0</v>
      </c>
      <c r="W1823" s="4" t="s">
        <v>903</v>
      </c>
      <c r="X1823" s="4" t="s">
        <v>903</v>
      </c>
      <c r="Y1823" s="4" t="s">
        <v>604</v>
      </c>
      <c r="Z1823" s="4" t="s">
        <v>604</v>
      </c>
      <c r="AA1823" s="3">
        <v>107</v>
      </c>
      <c r="AB1823" s="3">
        <v>103</v>
      </c>
      <c r="AC1823" s="3">
        <v>114</v>
      </c>
      <c r="AD1823" s="3">
        <v>2</v>
      </c>
      <c r="AE1823" s="3">
        <v>2</v>
      </c>
      <c r="AF1823" s="3">
        <v>5</v>
      </c>
      <c r="AG1823" s="3">
        <v>5</v>
      </c>
      <c r="AH1823" s="3">
        <v>1</v>
      </c>
      <c r="AI1823" s="3">
        <v>1</v>
      </c>
      <c r="AJ1823" s="3">
        <v>2</v>
      </c>
      <c r="AK1823" s="3">
        <v>2</v>
      </c>
      <c r="AL1823" s="3">
        <v>2</v>
      </c>
      <c r="AM1823" s="3">
        <v>2</v>
      </c>
      <c r="AN1823" s="3">
        <v>0</v>
      </c>
      <c r="AO1823" s="3">
        <v>0</v>
      </c>
      <c r="AP1823" s="3">
        <v>0</v>
      </c>
      <c r="AQ1823" s="3">
        <v>0</v>
      </c>
      <c r="AR1823" s="2" t="s">
        <v>5</v>
      </c>
      <c r="AS1823" s="2" t="s">
        <v>16</v>
      </c>
      <c r="AT1823" s="5" t="str">
        <f>HYPERLINK("http://catalog.hathitrust.org/Record/002565178","HathiTrust Record")</f>
        <v>HathiTrust Record</v>
      </c>
      <c r="AU1823" s="5" t="str">
        <f>HYPERLINK("https://creighton-primo.hosted.exlibrisgroup.com/primo-explore/search?tab=default_tab&amp;search_scope=EVERYTHING&amp;vid=01CRU&amp;lang=en_US&amp;offset=0&amp;query=any,contains,991000232259702656","Catalog Record")</f>
        <v>Catalog Record</v>
      </c>
      <c r="AV1823" s="5" t="str">
        <f>HYPERLINK("http://www.worldcat.org/oclc/25094924","WorldCat Record")</f>
        <v>WorldCat Record</v>
      </c>
      <c r="AW1823" s="2" t="s">
        <v>21556</v>
      </c>
      <c r="AX1823" s="2" t="s">
        <v>21557</v>
      </c>
      <c r="AY1823" s="2" t="s">
        <v>21558</v>
      </c>
      <c r="AZ1823" s="2" t="s">
        <v>21558</v>
      </c>
      <c r="BA1823" s="2" t="s">
        <v>21559</v>
      </c>
      <c r="BB1823" s="2" t="s">
        <v>21</v>
      </c>
      <c r="BE1823" s="2" t="s">
        <v>21560</v>
      </c>
      <c r="BF1823" s="2" t="s">
        <v>21561</v>
      </c>
    </row>
    <row r="1824" spans="1:58" ht="41.25" customHeight="1" x14ac:dyDescent="0.25">
      <c r="A1824" s="8" t="s">
        <v>5</v>
      </c>
      <c r="B1824" s="1" t="s">
        <v>0</v>
      </c>
      <c r="C1824" s="1" t="s">
        <v>1</v>
      </c>
      <c r="D1824" s="1" t="s">
        <v>21562</v>
      </c>
      <c r="E1824" s="1" t="s">
        <v>21563</v>
      </c>
      <c r="F1824" s="1" t="s">
        <v>21564</v>
      </c>
      <c r="H1824" s="2" t="s">
        <v>5</v>
      </c>
      <c r="I1824" s="2" t="s">
        <v>974</v>
      </c>
      <c r="J1824" s="2" t="s">
        <v>5</v>
      </c>
      <c r="K1824" s="2" t="s">
        <v>5</v>
      </c>
      <c r="L1824" s="2" t="s">
        <v>7</v>
      </c>
      <c r="N1824" s="1" t="s">
        <v>21565</v>
      </c>
      <c r="O1824" s="2" t="s">
        <v>1391</v>
      </c>
      <c r="Q1824" s="2" t="s">
        <v>11</v>
      </c>
      <c r="R1824" s="2" t="s">
        <v>1140</v>
      </c>
      <c r="T1824" s="2" t="s">
        <v>520</v>
      </c>
      <c r="U1824" s="3">
        <v>0</v>
      </c>
      <c r="V1824" s="3">
        <v>0</v>
      </c>
      <c r="W1824" s="4" t="s">
        <v>21566</v>
      </c>
      <c r="X1824" s="4" t="s">
        <v>21566</v>
      </c>
      <c r="Y1824" s="4" t="s">
        <v>21567</v>
      </c>
      <c r="Z1824" s="4" t="s">
        <v>21567</v>
      </c>
      <c r="AA1824" s="3">
        <v>524</v>
      </c>
      <c r="AB1824" s="3">
        <v>434</v>
      </c>
      <c r="AC1824" s="3">
        <v>492</v>
      </c>
      <c r="AD1824" s="3">
        <v>1</v>
      </c>
      <c r="AE1824" s="3">
        <v>1</v>
      </c>
      <c r="AF1824" s="3">
        <v>27</v>
      </c>
      <c r="AG1824" s="3">
        <v>27</v>
      </c>
      <c r="AH1824" s="3">
        <v>13</v>
      </c>
      <c r="AI1824" s="3">
        <v>13</v>
      </c>
      <c r="AJ1824" s="3">
        <v>6</v>
      </c>
      <c r="AK1824" s="3">
        <v>6</v>
      </c>
      <c r="AL1824" s="3">
        <v>13</v>
      </c>
      <c r="AM1824" s="3">
        <v>13</v>
      </c>
      <c r="AN1824" s="3">
        <v>0</v>
      </c>
      <c r="AO1824" s="3">
        <v>0</v>
      </c>
      <c r="AP1824" s="3">
        <v>0</v>
      </c>
      <c r="AQ1824" s="3">
        <v>0</v>
      </c>
      <c r="AR1824" s="2" t="s">
        <v>5</v>
      </c>
      <c r="AS1824" s="2" t="s">
        <v>16</v>
      </c>
      <c r="AT1824" s="5" t="str">
        <f>HYPERLINK("http://catalog.hathitrust.org/Record/004379797","HathiTrust Record")</f>
        <v>HathiTrust Record</v>
      </c>
      <c r="AU1824" s="5" t="str">
        <f>HYPERLINK("https://creighton-primo.hosted.exlibrisgroup.com/primo-explore/search?tab=default_tab&amp;search_scope=EVERYTHING&amp;vid=01CRU&amp;lang=en_US&amp;offset=0&amp;query=any,contains,991001738789702656","Catalog Record")</f>
        <v>Catalog Record</v>
      </c>
      <c r="AV1824" s="5" t="str">
        <f>HYPERLINK("http://www.worldcat.org/oclc/52720972","WorldCat Record")</f>
        <v>WorldCat Record</v>
      </c>
      <c r="AW1824" s="2" t="s">
        <v>21568</v>
      </c>
      <c r="AX1824" s="2" t="s">
        <v>21569</v>
      </c>
      <c r="AY1824" s="2" t="s">
        <v>21570</v>
      </c>
      <c r="AZ1824" s="2" t="s">
        <v>21570</v>
      </c>
      <c r="BA1824" s="2" t="s">
        <v>21571</v>
      </c>
      <c r="BB1824" s="2" t="s">
        <v>21</v>
      </c>
      <c r="BD1824" s="2" t="s">
        <v>21572</v>
      </c>
      <c r="BE1824" s="2" t="s">
        <v>21573</v>
      </c>
      <c r="BF1824" s="2" t="s">
        <v>21574</v>
      </c>
    </row>
    <row r="1825" spans="1:58" ht="41.25" customHeight="1" x14ac:dyDescent="0.25">
      <c r="A1825" s="8" t="s">
        <v>5</v>
      </c>
      <c r="B1825" s="1" t="s">
        <v>0</v>
      </c>
      <c r="C1825" s="1" t="s">
        <v>1</v>
      </c>
      <c r="D1825" s="1" t="s">
        <v>21575</v>
      </c>
      <c r="E1825" s="1" t="s">
        <v>21576</v>
      </c>
      <c r="F1825" s="1" t="s">
        <v>21577</v>
      </c>
      <c r="H1825" s="2" t="s">
        <v>5</v>
      </c>
      <c r="I1825" s="2" t="s">
        <v>6</v>
      </c>
      <c r="J1825" s="2" t="s">
        <v>5</v>
      </c>
      <c r="K1825" s="2" t="s">
        <v>5</v>
      </c>
      <c r="L1825" s="2" t="s">
        <v>7</v>
      </c>
      <c r="M1825" s="1" t="s">
        <v>21578</v>
      </c>
      <c r="N1825" s="1" t="s">
        <v>21579</v>
      </c>
      <c r="O1825" s="2" t="s">
        <v>734</v>
      </c>
      <c r="Q1825" s="2" t="s">
        <v>11</v>
      </c>
      <c r="R1825" s="2" t="s">
        <v>426</v>
      </c>
      <c r="T1825" s="2" t="s">
        <v>520</v>
      </c>
      <c r="U1825" s="3">
        <v>3</v>
      </c>
      <c r="V1825" s="3">
        <v>3</v>
      </c>
      <c r="W1825" s="4" t="s">
        <v>21580</v>
      </c>
      <c r="X1825" s="4" t="s">
        <v>21580</v>
      </c>
      <c r="Y1825" s="4" t="s">
        <v>96</v>
      </c>
      <c r="Z1825" s="4" t="s">
        <v>96</v>
      </c>
      <c r="AA1825" s="3">
        <v>170</v>
      </c>
      <c r="AB1825" s="3">
        <v>158</v>
      </c>
      <c r="AC1825" s="3">
        <v>158</v>
      </c>
      <c r="AD1825" s="3">
        <v>2</v>
      </c>
      <c r="AE1825" s="3">
        <v>2</v>
      </c>
      <c r="AF1825" s="3">
        <v>0</v>
      </c>
      <c r="AG1825" s="3">
        <v>0</v>
      </c>
      <c r="AH1825" s="3">
        <v>0</v>
      </c>
      <c r="AI1825" s="3">
        <v>0</v>
      </c>
      <c r="AJ1825" s="3">
        <v>0</v>
      </c>
      <c r="AK1825" s="3">
        <v>0</v>
      </c>
      <c r="AL1825" s="3">
        <v>0</v>
      </c>
      <c r="AM1825" s="3">
        <v>0</v>
      </c>
      <c r="AN1825" s="3">
        <v>0</v>
      </c>
      <c r="AO1825" s="3">
        <v>0</v>
      </c>
      <c r="AP1825" s="3">
        <v>0</v>
      </c>
      <c r="AQ1825" s="3">
        <v>0</v>
      </c>
      <c r="AR1825" s="2" t="s">
        <v>5</v>
      </c>
      <c r="AS1825" s="2" t="s">
        <v>5</v>
      </c>
      <c r="AU1825" s="5" t="str">
        <f>HYPERLINK("https://creighton-primo.hosted.exlibrisgroup.com/primo-explore/search?tab=default_tab&amp;search_scope=EVERYTHING&amp;vid=01CRU&amp;lang=en_US&amp;offset=0&amp;query=any,contains,991000929979702656","Catalog Record")</f>
        <v>Catalog Record</v>
      </c>
      <c r="AV1825" s="5" t="str">
        <f>HYPERLINK("http://www.worldcat.org/oclc/9111906","WorldCat Record")</f>
        <v>WorldCat Record</v>
      </c>
      <c r="AW1825" s="2" t="s">
        <v>21581</v>
      </c>
      <c r="AX1825" s="2" t="s">
        <v>21582</v>
      </c>
      <c r="AY1825" s="2" t="s">
        <v>21583</v>
      </c>
      <c r="AZ1825" s="2" t="s">
        <v>21583</v>
      </c>
      <c r="BA1825" s="2" t="s">
        <v>21584</v>
      </c>
      <c r="BB1825" s="2" t="s">
        <v>21</v>
      </c>
      <c r="BD1825" s="2" t="s">
        <v>21585</v>
      </c>
      <c r="BE1825" s="2" t="s">
        <v>21586</v>
      </c>
      <c r="BF1825" s="2" t="s">
        <v>21587</v>
      </c>
    </row>
    <row r="1826" spans="1:58" ht="41.25" customHeight="1" x14ac:dyDescent="0.25">
      <c r="A1826" s="8" t="s">
        <v>5</v>
      </c>
      <c r="B1826" s="1" t="s">
        <v>0</v>
      </c>
      <c r="C1826" s="1" t="s">
        <v>1</v>
      </c>
      <c r="D1826" s="1" t="s">
        <v>21588</v>
      </c>
      <c r="E1826" s="1" t="s">
        <v>21589</v>
      </c>
      <c r="F1826" s="1" t="s">
        <v>21590</v>
      </c>
      <c r="H1826" s="2" t="s">
        <v>5</v>
      </c>
      <c r="I1826" s="2" t="s">
        <v>6</v>
      </c>
      <c r="J1826" s="2" t="s">
        <v>5</v>
      </c>
      <c r="K1826" s="2" t="s">
        <v>5</v>
      </c>
      <c r="L1826" s="2" t="s">
        <v>7</v>
      </c>
      <c r="N1826" s="1" t="s">
        <v>6543</v>
      </c>
      <c r="O1826" s="2" t="s">
        <v>872</v>
      </c>
      <c r="Q1826" s="2" t="s">
        <v>11</v>
      </c>
      <c r="R1826" s="2" t="s">
        <v>78</v>
      </c>
      <c r="T1826" s="2" t="s">
        <v>520</v>
      </c>
      <c r="U1826" s="3">
        <v>2</v>
      </c>
      <c r="V1826" s="3">
        <v>2</v>
      </c>
      <c r="W1826" s="4" t="s">
        <v>992</v>
      </c>
      <c r="X1826" s="4" t="s">
        <v>992</v>
      </c>
      <c r="Y1826" s="4" t="s">
        <v>15702</v>
      </c>
      <c r="Z1826" s="4" t="s">
        <v>15702</v>
      </c>
      <c r="AA1826" s="3">
        <v>250</v>
      </c>
      <c r="AB1826" s="3">
        <v>203</v>
      </c>
      <c r="AC1826" s="3">
        <v>381</v>
      </c>
      <c r="AD1826" s="3">
        <v>2</v>
      </c>
      <c r="AE1826" s="3">
        <v>2</v>
      </c>
      <c r="AF1826" s="3">
        <v>7</v>
      </c>
      <c r="AG1826" s="3">
        <v>16</v>
      </c>
      <c r="AH1826" s="3">
        <v>1</v>
      </c>
      <c r="AI1826" s="3">
        <v>8</v>
      </c>
      <c r="AJ1826" s="3">
        <v>3</v>
      </c>
      <c r="AK1826" s="3">
        <v>3</v>
      </c>
      <c r="AL1826" s="3">
        <v>4</v>
      </c>
      <c r="AM1826" s="3">
        <v>8</v>
      </c>
      <c r="AN1826" s="3">
        <v>1</v>
      </c>
      <c r="AO1826" s="3">
        <v>1</v>
      </c>
      <c r="AP1826" s="3">
        <v>0</v>
      </c>
      <c r="AQ1826" s="3">
        <v>0</v>
      </c>
      <c r="AR1826" s="2" t="s">
        <v>5</v>
      </c>
      <c r="AS1826" s="2" t="s">
        <v>16</v>
      </c>
      <c r="AT1826" s="5" t="str">
        <f>HYPERLINK("http://catalog.hathitrust.org/Record/001550679","HathiTrust Record")</f>
        <v>HathiTrust Record</v>
      </c>
      <c r="AU1826" s="5" t="str">
        <f>HYPERLINK("https://creighton-primo.hosted.exlibrisgroup.com/primo-explore/search?tab=default_tab&amp;search_scope=EVERYTHING&amp;vid=01CRU&amp;lang=en_US&amp;offset=0&amp;query=any,contains,991001355509702656","Catalog Record")</f>
        <v>Catalog Record</v>
      </c>
      <c r="AV1826" s="5" t="str">
        <f>HYPERLINK("http://www.worldcat.org/oclc/18463743","WorldCat Record")</f>
        <v>WorldCat Record</v>
      </c>
      <c r="AW1826" s="2" t="s">
        <v>21591</v>
      </c>
      <c r="AX1826" s="2" t="s">
        <v>21592</v>
      </c>
      <c r="AY1826" s="2" t="s">
        <v>21593</v>
      </c>
      <c r="AZ1826" s="2" t="s">
        <v>21593</v>
      </c>
      <c r="BA1826" s="2" t="s">
        <v>21594</v>
      </c>
      <c r="BB1826" s="2" t="s">
        <v>21</v>
      </c>
      <c r="BD1826" s="2" t="s">
        <v>21595</v>
      </c>
      <c r="BE1826" s="2" t="s">
        <v>21596</v>
      </c>
      <c r="BF1826" s="2" t="s">
        <v>21597</v>
      </c>
    </row>
    <row r="1827" spans="1:58" ht="41.25" customHeight="1" x14ac:dyDescent="0.25">
      <c r="A1827" s="8" t="s">
        <v>5</v>
      </c>
      <c r="B1827" s="1" t="s">
        <v>0</v>
      </c>
      <c r="C1827" s="1" t="s">
        <v>1</v>
      </c>
      <c r="D1827" s="1" t="s">
        <v>21598</v>
      </c>
      <c r="E1827" s="1" t="s">
        <v>21599</v>
      </c>
      <c r="F1827" s="1" t="s">
        <v>21600</v>
      </c>
      <c r="H1827" s="2" t="s">
        <v>5</v>
      </c>
      <c r="I1827" s="2" t="s">
        <v>6</v>
      </c>
      <c r="J1827" s="2" t="s">
        <v>5</v>
      </c>
      <c r="K1827" s="2" t="s">
        <v>5</v>
      </c>
      <c r="L1827" s="2" t="s">
        <v>7</v>
      </c>
      <c r="N1827" s="1" t="s">
        <v>21601</v>
      </c>
      <c r="O1827" s="2" t="s">
        <v>546</v>
      </c>
      <c r="Q1827" s="2" t="s">
        <v>11</v>
      </c>
      <c r="R1827" s="2" t="s">
        <v>1140</v>
      </c>
      <c r="T1827" s="2" t="s">
        <v>520</v>
      </c>
      <c r="U1827" s="3">
        <v>4</v>
      </c>
      <c r="V1827" s="3">
        <v>4</v>
      </c>
      <c r="W1827" s="4" t="s">
        <v>21602</v>
      </c>
      <c r="X1827" s="4" t="s">
        <v>21602</v>
      </c>
      <c r="Y1827" s="4" t="s">
        <v>5247</v>
      </c>
      <c r="Z1827" s="4" t="s">
        <v>5247</v>
      </c>
      <c r="AA1827" s="3">
        <v>36</v>
      </c>
      <c r="AB1827" s="3">
        <v>30</v>
      </c>
      <c r="AC1827" s="3">
        <v>30</v>
      </c>
      <c r="AD1827" s="3">
        <v>1</v>
      </c>
      <c r="AE1827" s="3">
        <v>1</v>
      </c>
      <c r="AF1827" s="3">
        <v>0</v>
      </c>
      <c r="AG1827" s="3">
        <v>0</v>
      </c>
      <c r="AH1827" s="3">
        <v>0</v>
      </c>
      <c r="AI1827" s="3">
        <v>0</v>
      </c>
      <c r="AJ1827" s="3">
        <v>0</v>
      </c>
      <c r="AK1827" s="3">
        <v>0</v>
      </c>
      <c r="AL1827" s="3">
        <v>0</v>
      </c>
      <c r="AM1827" s="3">
        <v>0</v>
      </c>
      <c r="AN1827" s="3">
        <v>0</v>
      </c>
      <c r="AO1827" s="3">
        <v>0</v>
      </c>
      <c r="AP1827" s="3">
        <v>0</v>
      </c>
      <c r="AQ1827" s="3">
        <v>0</v>
      </c>
      <c r="AR1827" s="2" t="s">
        <v>5</v>
      </c>
      <c r="AS1827" s="2" t="s">
        <v>5</v>
      </c>
      <c r="AU1827" s="5" t="str">
        <f>HYPERLINK("https://creighton-primo.hosted.exlibrisgroup.com/primo-explore/search?tab=default_tab&amp;search_scope=EVERYTHING&amp;vid=01CRU&amp;lang=en_US&amp;offset=0&amp;query=any,contains,991001402849702656","Catalog Record")</f>
        <v>Catalog Record</v>
      </c>
      <c r="AV1827" s="5" t="str">
        <f>HYPERLINK("http://www.worldcat.org/oclc/30399219","WorldCat Record")</f>
        <v>WorldCat Record</v>
      </c>
      <c r="AW1827" s="2" t="s">
        <v>21603</v>
      </c>
      <c r="AX1827" s="2" t="s">
        <v>21604</v>
      </c>
      <c r="AY1827" s="2" t="s">
        <v>21605</v>
      </c>
      <c r="AZ1827" s="2" t="s">
        <v>21605</v>
      </c>
      <c r="BA1827" s="2" t="s">
        <v>21606</v>
      </c>
      <c r="BB1827" s="2" t="s">
        <v>21</v>
      </c>
      <c r="BD1827" s="2" t="s">
        <v>21607</v>
      </c>
      <c r="BE1827" s="2" t="s">
        <v>21608</v>
      </c>
      <c r="BF1827" s="2" t="s">
        <v>21609</v>
      </c>
    </row>
    <row r="1828" spans="1:58" ht="41.25" customHeight="1" x14ac:dyDescent="0.25">
      <c r="A1828" s="8" t="s">
        <v>5</v>
      </c>
      <c r="B1828" s="1" t="s">
        <v>0</v>
      </c>
      <c r="C1828" s="1" t="s">
        <v>1</v>
      </c>
      <c r="D1828" s="1" t="s">
        <v>21610</v>
      </c>
      <c r="E1828" s="1" t="s">
        <v>21611</v>
      </c>
      <c r="F1828" s="1" t="s">
        <v>21612</v>
      </c>
      <c r="H1828" s="2" t="s">
        <v>5</v>
      </c>
      <c r="I1828" s="2" t="s">
        <v>6</v>
      </c>
      <c r="J1828" s="2" t="s">
        <v>5</v>
      </c>
      <c r="K1828" s="2" t="s">
        <v>5</v>
      </c>
      <c r="L1828" s="2" t="s">
        <v>7</v>
      </c>
      <c r="M1828" s="1" t="s">
        <v>21613</v>
      </c>
      <c r="N1828" s="1" t="s">
        <v>21614</v>
      </c>
      <c r="O1828" s="2" t="s">
        <v>939</v>
      </c>
      <c r="Q1828" s="2" t="s">
        <v>11</v>
      </c>
      <c r="R1828" s="2" t="s">
        <v>12</v>
      </c>
      <c r="S1828" s="1" t="s">
        <v>21615</v>
      </c>
      <c r="T1828" s="2" t="s">
        <v>520</v>
      </c>
      <c r="U1828" s="3">
        <v>7</v>
      </c>
      <c r="V1828" s="3">
        <v>7</v>
      </c>
      <c r="W1828" s="4" t="s">
        <v>21616</v>
      </c>
      <c r="X1828" s="4" t="s">
        <v>21616</v>
      </c>
      <c r="Y1828" s="4" t="s">
        <v>7273</v>
      </c>
      <c r="Z1828" s="4" t="s">
        <v>7273</v>
      </c>
      <c r="AA1828" s="3">
        <v>173</v>
      </c>
      <c r="AB1828" s="3">
        <v>155</v>
      </c>
      <c r="AC1828" s="3">
        <v>157</v>
      </c>
      <c r="AD1828" s="3">
        <v>2</v>
      </c>
      <c r="AE1828" s="3">
        <v>2</v>
      </c>
      <c r="AF1828" s="3">
        <v>7</v>
      </c>
      <c r="AG1828" s="3">
        <v>7</v>
      </c>
      <c r="AH1828" s="3">
        <v>3</v>
      </c>
      <c r="AI1828" s="3">
        <v>3</v>
      </c>
      <c r="AJ1828" s="3">
        <v>0</v>
      </c>
      <c r="AK1828" s="3">
        <v>0</v>
      </c>
      <c r="AL1828" s="3">
        <v>5</v>
      </c>
      <c r="AM1828" s="3">
        <v>5</v>
      </c>
      <c r="AN1828" s="3">
        <v>0</v>
      </c>
      <c r="AO1828" s="3">
        <v>0</v>
      </c>
      <c r="AP1828" s="3">
        <v>0</v>
      </c>
      <c r="AQ1828" s="3">
        <v>0</v>
      </c>
      <c r="AR1828" s="2" t="s">
        <v>5</v>
      </c>
      <c r="AS1828" s="2" t="s">
        <v>16</v>
      </c>
      <c r="AT1828" s="5" t="str">
        <f>HYPERLINK("http://catalog.hathitrust.org/Record/004383416","HathiTrust Record")</f>
        <v>HathiTrust Record</v>
      </c>
      <c r="AU1828" s="5" t="str">
        <f>HYPERLINK("https://creighton-primo.hosted.exlibrisgroup.com/primo-explore/search?tab=default_tab&amp;search_scope=EVERYTHING&amp;vid=01CRU&amp;lang=en_US&amp;offset=0&amp;query=any,contains,991001539249702656","Catalog Record")</f>
        <v>Catalog Record</v>
      </c>
      <c r="AV1828" s="5" t="str">
        <f>HYPERLINK("http://www.worldcat.org/oclc/17336720","WorldCat Record")</f>
        <v>WorldCat Record</v>
      </c>
      <c r="AW1828" s="2" t="s">
        <v>21617</v>
      </c>
      <c r="AX1828" s="2" t="s">
        <v>21618</v>
      </c>
      <c r="AY1828" s="2" t="s">
        <v>21619</v>
      </c>
      <c r="AZ1828" s="2" t="s">
        <v>21619</v>
      </c>
      <c r="BA1828" s="2" t="s">
        <v>21620</v>
      </c>
      <c r="BB1828" s="2" t="s">
        <v>21</v>
      </c>
      <c r="BD1828" s="2" t="s">
        <v>21621</v>
      </c>
      <c r="BE1828" s="2" t="s">
        <v>21622</v>
      </c>
      <c r="BF1828" s="2" t="s">
        <v>21623</v>
      </c>
    </row>
    <row r="1829" spans="1:58" ht="41.25" customHeight="1" x14ac:dyDescent="0.25">
      <c r="A1829" s="8" t="s">
        <v>5</v>
      </c>
      <c r="B1829" s="1" t="s">
        <v>0</v>
      </c>
      <c r="C1829" s="1" t="s">
        <v>1</v>
      </c>
      <c r="D1829" s="1" t="s">
        <v>21624</v>
      </c>
      <c r="E1829" s="1" t="s">
        <v>21625</v>
      </c>
      <c r="F1829" s="1" t="s">
        <v>21626</v>
      </c>
      <c r="H1829" s="2" t="s">
        <v>5</v>
      </c>
      <c r="I1829" s="2" t="s">
        <v>6</v>
      </c>
      <c r="J1829" s="2" t="s">
        <v>5</v>
      </c>
      <c r="K1829" s="2" t="s">
        <v>5</v>
      </c>
      <c r="L1829" s="2" t="s">
        <v>7</v>
      </c>
      <c r="N1829" s="1" t="s">
        <v>21627</v>
      </c>
      <c r="O1829" s="2" t="s">
        <v>1887</v>
      </c>
      <c r="Q1829" s="2" t="s">
        <v>11</v>
      </c>
      <c r="R1829" s="2" t="s">
        <v>78</v>
      </c>
      <c r="T1829" s="2" t="s">
        <v>520</v>
      </c>
      <c r="U1829" s="3">
        <v>9</v>
      </c>
      <c r="V1829" s="3">
        <v>9</v>
      </c>
      <c r="W1829" s="4" t="s">
        <v>21628</v>
      </c>
      <c r="X1829" s="4" t="s">
        <v>21628</v>
      </c>
      <c r="Y1829" s="4" t="s">
        <v>10878</v>
      </c>
      <c r="Z1829" s="4" t="s">
        <v>10878</v>
      </c>
      <c r="AA1829" s="3">
        <v>294</v>
      </c>
      <c r="AB1829" s="3">
        <v>264</v>
      </c>
      <c r="AC1829" s="3">
        <v>271</v>
      </c>
      <c r="AD1829" s="3">
        <v>2</v>
      </c>
      <c r="AE1829" s="3">
        <v>2</v>
      </c>
      <c r="AF1829" s="3">
        <v>7</v>
      </c>
      <c r="AG1829" s="3">
        <v>7</v>
      </c>
      <c r="AH1829" s="3">
        <v>1</v>
      </c>
      <c r="AI1829" s="3">
        <v>1</v>
      </c>
      <c r="AJ1829" s="3">
        <v>2</v>
      </c>
      <c r="AK1829" s="3">
        <v>2</v>
      </c>
      <c r="AL1829" s="3">
        <v>4</v>
      </c>
      <c r="AM1829" s="3">
        <v>4</v>
      </c>
      <c r="AN1829" s="3">
        <v>1</v>
      </c>
      <c r="AO1829" s="3">
        <v>1</v>
      </c>
      <c r="AP1829" s="3">
        <v>0</v>
      </c>
      <c r="AQ1829" s="3">
        <v>0</v>
      </c>
      <c r="AR1829" s="2" t="s">
        <v>5</v>
      </c>
      <c r="AS1829" s="2" t="s">
        <v>16</v>
      </c>
      <c r="AT1829" s="5" t="str">
        <f>HYPERLINK("http://catalog.hathitrust.org/Record/002698660","HathiTrust Record")</f>
        <v>HathiTrust Record</v>
      </c>
      <c r="AU1829" s="5" t="str">
        <f>HYPERLINK("https://creighton-primo.hosted.exlibrisgroup.com/primo-explore/search?tab=default_tab&amp;search_scope=EVERYTHING&amp;vid=01CRU&amp;lang=en_US&amp;offset=0&amp;query=any,contains,991001485779702656","Catalog Record")</f>
        <v>Catalog Record</v>
      </c>
      <c r="AV1829" s="5" t="str">
        <f>HYPERLINK("http://www.worldcat.org/oclc/27216589","WorldCat Record")</f>
        <v>WorldCat Record</v>
      </c>
      <c r="AW1829" s="2" t="s">
        <v>21629</v>
      </c>
      <c r="AX1829" s="2" t="s">
        <v>21630</v>
      </c>
      <c r="AY1829" s="2" t="s">
        <v>21631</v>
      </c>
      <c r="AZ1829" s="2" t="s">
        <v>21631</v>
      </c>
      <c r="BA1829" s="2" t="s">
        <v>21632</v>
      </c>
      <c r="BB1829" s="2" t="s">
        <v>21</v>
      </c>
      <c r="BD1829" s="2" t="s">
        <v>21633</v>
      </c>
      <c r="BE1829" s="2" t="s">
        <v>21634</v>
      </c>
      <c r="BF1829" s="2" t="s">
        <v>21635</v>
      </c>
    </row>
    <row r="1830" spans="1:58" ht="41.25" customHeight="1" x14ac:dyDescent="0.25">
      <c r="A1830" s="8" t="s">
        <v>5</v>
      </c>
      <c r="B1830" s="1" t="s">
        <v>0</v>
      </c>
      <c r="C1830" s="1" t="s">
        <v>1</v>
      </c>
      <c r="D1830" s="1" t="s">
        <v>21636</v>
      </c>
      <c r="E1830" s="1" t="s">
        <v>21637</v>
      </c>
      <c r="F1830" s="1" t="s">
        <v>21638</v>
      </c>
      <c r="H1830" s="2" t="s">
        <v>5</v>
      </c>
      <c r="I1830" s="2" t="s">
        <v>6</v>
      </c>
      <c r="J1830" s="2" t="s">
        <v>5</v>
      </c>
      <c r="K1830" s="2" t="s">
        <v>5</v>
      </c>
      <c r="L1830" s="2" t="s">
        <v>7</v>
      </c>
      <c r="N1830" s="1" t="s">
        <v>21639</v>
      </c>
      <c r="O1830" s="2" t="s">
        <v>1863</v>
      </c>
      <c r="Q1830" s="2" t="s">
        <v>11</v>
      </c>
      <c r="R1830" s="2" t="s">
        <v>1427</v>
      </c>
      <c r="T1830" s="2" t="s">
        <v>520</v>
      </c>
      <c r="U1830" s="3">
        <v>0</v>
      </c>
      <c r="V1830" s="3">
        <v>0</v>
      </c>
      <c r="W1830" s="4" t="s">
        <v>9354</v>
      </c>
      <c r="X1830" s="4" t="s">
        <v>9354</v>
      </c>
      <c r="Y1830" s="4" t="s">
        <v>5117</v>
      </c>
      <c r="Z1830" s="4" t="s">
        <v>5117</v>
      </c>
      <c r="AA1830" s="3">
        <v>144</v>
      </c>
      <c r="AB1830" s="3">
        <v>69</v>
      </c>
      <c r="AC1830" s="3">
        <v>158</v>
      </c>
      <c r="AD1830" s="3">
        <v>1</v>
      </c>
      <c r="AE1830" s="3">
        <v>1</v>
      </c>
      <c r="AF1830" s="3">
        <v>3</v>
      </c>
      <c r="AG1830" s="3">
        <v>5</v>
      </c>
      <c r="AH1830" s="3">
        <v>1</v>
      </c>
      <c r="AI1830" s="3">
        <v>3</v>
      </c>
      <c r="AJ1830" s="3">
        <v>1</v>
      </c>
      <c r="AK1830" s="3">
        <v>2</v>
      </c>
      <c r="AL1830" s="3">
        <v>1</v>
      </c>
      <c r="AM1830" s="3">
        <v>1</v>
      </c>
      <c r="AN1830" s="3">
        <v>0</v>
      </c>
      <c r="AO1830" s="3">
        <v>0</v>
      </c>
      <c r="AP1830" s="3">
        <v>0</v>
      </c>
      <c r="AQ1830" s="3">
        <v>0</v>
      </c>
      <c r="AR1830" s="2" t="s">
        <v>5</v>
      </c>
      <c r="AS1830" s="2" t="s">
        <v>5</v>
      </c>
      <c r="AU1830" s="5" t="str">
        <f>HYPERLINK("https://creighton-primo.hosted.exlibrisgroup.com/primo-explore/search?tab=default_tab&amp;search_scope=EVERYTHING&amp;vid=01CRU&amp;lang=en_US&amp;offset=0&amp;query=any,contains,991000319139702656","Catalog Record")</f>
        <v>Catalog Record</v>
      </c>
      <c r="AV1830" s="5" t="str">
        <f>HYPERLINK("http://www.worldcat.org/oclc/45589628","WorldCat Record")</f>
        <v>WorldCat Record</v>
      </c>
      <c r="AW1830" s="2" t="s">
        <v>21640</v>
      </c>
      <c r="AX1830" s="2" t="s">
        <v>21641</v>
      </c>
      <c r="AY1830" s="2" t="s">
        <v>21642</v>
      </c>
      <c r="AZ1830" s="2" t="s">
        <v>21642</v>
      </c>
      <c r="BA1830" s="2" t="s">
        <v>21643</v>
      </c>
      <c r="BB1830" s="2" t="s">
        <v>21</v>
      </c>
      <c r="BD1830" s="2" t="s">
        <v>21644</v>
      </c>
      <c r="BE1830" s="2" t="s">
        <v>21645</v>
      </c>
      <c r="BF1830" s="2" t="s">
        <v>21646</v>
      </c>
    </row>
    <row r="1831" spans="1:58" ht="41.25" customHeight="1" x14ac:dyDescent="0.25">
      <c r="A1831" s="8" t="s">
        <v>5</v>
      </c>
      <c r="B1831" s="1" t="s">
        <v>0</v>
      </c>
      <c r="C1831" s="1" t="s">
        <v>1</v>
      </c>
      <c r="D1831" s="1" t="s">
        <v>21647</v>
      </c>
      <c r="E1831" s="1" t="s">
        <v>21648</v>
      </c>
      <c r="F1831" s="1" t="s">
        <v>21649</v>
      </c>
      <c r="H1831" s="2" t="s">
        <v>5</v>
      </c>
      <c r="I1831" s="2" t="s">
        <v>6</v>
      </c>
      <c r="J1831" s="2" t="s">
        <v>5</v>
      </c>
      <c r="K1831" s="2" t="s">
        <v>5</v>
      </c>
      <c r="L1831" s="2" t="s">
        <v>7</v>
      </c>
      <c r="N1831" s="1" t="s">
        <v>21650</v>
      </c>
      <c r="O1831" s="2" t="s">
        <v>210</v>
      </c>
      <c r="Q1831" s="2" t="s">
        <v>11</v>
      </c>
      <c r="R1831" s="2" t="s">
        <v>1427</v>
      </c>
      <c r="T1831" s="2" t="s">
        <v>520</v>
      </c>
      <c r="U1831" s="3">
        <v>3</v>
      </c>
      <c r="V1831" s="3">
        <v>3</v>
      </c>
      <c r="W1831" s="4" t="s">
        <v>21651</v>
      </c>
      <c r="X1831" s="4" t="s">
        <v>21651</v>
      </c>
      <c r="Y1831" s="4" t="s">
        <v>21652</v>
      </c>
      <c r="Z1831" s="4" t="s">
        <v>21652</v>
      </c>
      <c r="AA1831" s="3">
        <v>128</v>
      </c>
      <c r="AB1831" s="3">
        <v>46</v>
      </c>
      <c r="AC1831" s="3">
        <v>47</v>
      </c>
      <c r="AD1831" s="3">
        <v>1</v>
      </c>
      <c r="AE1831" s="3">
        <v>1</v>
      </c>
      <c r="AF1831" s="3">
        <v>0</v>
      </c>
      <c r="AG1831" s="3">
        <v>0</v>
      </c>
      <c r="AH1831" s="3">
        <v>0</v>
      </c>
      <c r="AI1831" s="3">
        <v>0</v>
      </c>
      <c r="AJ1831" s="3">
        <v>0</v>
      </c>
      <c r="AK1831" s="3">
        <v>0</v>
      </c>
      <c r="AL1831" s="3">
        <v>0</v>
      </c>
      <c r="AM1831" s="3">
        <v>0</v>
      </c>
      <c r="AN1831" s="3">
        <v>0</v>
      </c>
      <c r="AO1831" s="3">
        <v>0</v>
      </c>
      <c r="AP1831" s="3">
        <v>0</v>
      </c>
      <c r="AQ1831" s="3">
        <v>0</v>
      </c>
      <c r="AR1831" s="2" t="s">
        <v>5</v>
      </c>
      <c r="AS1831" s="2" t="s">
        <v>5</v>
      </c>
      <c r="AU1831" s="5" t="str">
        <f>HYPERLINK("https://creighton-primo.hosted.exlibrisgroup.com/primo-explore/search?tab=default_tab&amp;search_scope=EVERYTHING&amp;vid=01CRU&amp;lang=en_US&amp;offset=0&amp;query=any,contains,991001431999702656","Catalog Record")</f>
        <v>Catalog Record</v>
      </c>
      <c r="AV1831" s="5" t="str">
        <f>HYPERLINK("http://www.worldcat.org/oclc/24009987","WorldCat Record")</f>
        <v>WorldCat Record</v>
      </c>
      <c r="AW1831" s="2" t="s">
        <v>21653</v>
      </c>
      <c r="AX1831" s="2" t="s">
        <v>21654</v>
      </c>
      <c r="AY1831" s="2" t="s">
        <v>21655</v>
      </c>
      <c r="AZ1831" s="2" t="s">
        <v>21655</v>
      </c>
      <c r="BA1831" s="2" t="s">
        <v>21656</v>
      </c>
      <c r="BB1831" s="2" t="s">
        <v>21</v>
      </c>
      <c r="BD1831" s="2" t="s">
        <v>21657</v>
      </c>
      <c r="BE1831" s="2" t="s">
        <v>21658</v>
      </c>
      <c r="BF1831" s="2" t="s">
        <v>21659</v>
      </c>
    </row>
    <row r="1832" spans="1:58" ht="41.25" customHeight="1" x14ac:dyDescent="0.25">
      <c r="A1832" s="8" t="s">
        <v>5</v>
      </c>
      <c r="B1832" s="1" t="s">
        <v>0</v>
      </c>
      <c r="C1832" s="1" t="s">
        <v>1</v>
      </c>
      <c r="D1832" s="1" t="s">
        <v>21660</v>
      </c>
      <c r="E1832" s="1" t="s">
        <v>21661</v>
      </c>
      <c r="F1832" s="1" t="s">
        <v>21662</v>
      </c>
      <c r="H1832" s="2" t="s">
        <v>5</v>
      </c>
      <c r="I1832" s="2" t="s">
        <v>6</v>
      </c>
      <c r="J1832" s="2" t="s">
        <v>5</v>
      </c>
      <c r="K1832" s="2" t="s">
        <v>16</v>
      </c>
      <c r="L1832" s="2" t="s">
        <v>6</v>
      </c>
      <c r="N1832" s="1" t="s">
        <v>21663</v>
      </c>
      <c r="O1832" s="2" t="s">
        <v>1060</v>
      </c>
      <c r="P1832" s="1" t="s">
        <v>901</v>
      </c>
      <c r="Q1832" s="2" t="s">
        <v>11</v>
      </c>
      <c r="R1832" s="2" t="s">
        <v>12</v>
      </c>
      <c r="T1832" s="2" t="s">
        <v>520</v>
      </c>
      <c r="U1832" s="3">
        <v>2</v>
      </c>
      <c r="V1832" s="3">
        <v>2</v>
      </c>
      <c r="W1832" s="4" t="s">
        <v>21664</v>
      </c>
      <c r="X1832" s="4" t="s">
        <v>21664</v>
      </c>
      <c r="Y1832" s="4" t="s">
        <v>12458</v>
      </c>
      <c r="Z1832" s="4" t="s">
        <v>12458</v>
      </c>
      <c r="AA1832" s="3">
        <v>270</v>
      </c>
      <c r="AB1832" s="3">
        <v>210</v>
      </c>
      <c r="AC1832" s="3">
        <v>456</v>
      </c>
      <c r="AD1832" s="3">
        <v>5</v>
      </c>
      <c r="AE1832" s="3">
        <v>5</v>
      </c>
      <c r="AF1832" s="3">
        <v>12</v>
      </c>
      <c r="AG1832" s="3">
        <v>15</v>
      </c>
      <c r="AH1832" s="3">
        <v>5</v>
      </c>
      <c r="AI1832" s="3">
        <v>6</v>
      </c>
      <c r="AJ1832" s="3">
        <v>3</v>
      </c>
      <c r="AK1832" s="3">
        <v>3</v>
      </c>
      <c r="AL1832" s="3">
        <v>4</v>
      </c>
      <c r="AM1832" s="3">
        <v>6</v>
      </c>
      <c r="AN1832" s="3">
        <v>4</v>
      </c>
      <c r="AO1832" s="3">
        <v>4</v>
      </c>
      <c r="AP1832" s="3">
        <v>0</v>
      </c>
      <c r="AQ1832" s="3">
        <v>0</v>
      </c>
      <c r="AR1832" s="2" t="s">
        <v>5</v>
      </c>
      <c r="AS1832" s="2" t="s">
        <v>16</v>
      </c>
      <c r="AT1832" s="5" t="str">
        <f>HYPERLINK("http://catalog.hathitrust.org/Record/004923541","HathiTrust Record")</f>
        <v>HathiTrust Record</v>
      </c>
      <c r="AU1832" s="5" t="str">
        <f>HYPERLINK("https://creighton-primo.hosted.exlibrisgroup.com/primo-explore/search?tab=default_tab&amp;search_scope=EVERYTHING&amp;vid=01CRU&amp;lang=en_US&amp;offset=0&amp;query=any,contains,991000423529702656","Catalog Record")</f>
        <v>Catalog Record</v>
      </c>
      <c r="AV1832" s="5" t="str">
        <f>HYPERLINK("http://www.worldcat.org/oclc/57071469","WorldCat Record")</f>
        <v>WorldCat Record</v>
      </c>
      <c r="AW1832" s="2" t="s">
        <v>21665</v>
      </c>
      <c r="AX1832" s="2" t="s">
        <v>21666</v>
      </c>
      <c r="AY1832" s="2" t="s">
        <v>21667</v>
      </c>
      <c r="AZ1832" s="2" t="s">
        <v>21667</v>
      </c>
      <c r="BA1832" s="2" t="s">
        <v>21668</v>
      </c>
      <c r="BB1832" s="2" t="s">
        <v>21</v>
      </c>
      <c r="BD1832" s="2" t="s">
        <v>21669</v>
      </c>
      <c r="BE1832" s="2" t="s">
        <v>21670</v>
      </c>
      <c r="BF1832" s="2" t="s">
        <v>21671</v>
      </c>
    </row>
    <row r="1833" spans="1:58" ht="41.25" customHeight="1" x14ac:dyDescent="0.25">
      <c r="A1833" s="8" t="s">
        <v>5</v>
      </c>
      <c r="B1833" s="1" t="s">
        <v>0</v>
      </c>
      <c r="C1833" s="1" t="s">
        <v>1</v>
      </c>
      <c r="D1833" s="1" t="s">
        <v>21672</v>
      </c>
      <c r="E1833" s="1" t="s">
        <v>21673</v>
      </c>
      <c r="F1833" s="1" t="s">
        <v>21674</v>
      </c>
      <c r="H1833" s="2" t="s">
        <v>5</v>
      </c>
      <c r="I1833" s="2" t="s">
        <v>6</v>
      </c>
      <c r="J1833" s="2" t="s">
        <v>5</v>
      </c>
      <c r="K1833" s="2" t="s">
        <v>16</v>
      </c>
      <c r="L1833" s="2" t="s">
        <v>7</v>
      </c>
      <c r="M1833" s="1" t="s">
        <v>924</v>
      </c>
      <c r="N1833" s="1" t="s">
        <v>11771</v>
      </c>
      <c r="O1833" s="2" t="s">
        <v>794</v>
      </c>
      <c r="P1833" s="1" t="s">
        <v>211</v>
      </c>
      <c r="Q1833" s="2" t="s">
        <v>11</v>
      </c>
      <c r="R1833" s="2" t="s">
        <v>31</v>
      </c>
      <c r="T1833" s="2" t="s">
        <v>520</v>
      </c>
      <c r="U1833" s="3">
        <v>1</v>
      </c>
      <c r="V1833" s="3">
        <v>1</v>
      </c>
      <c r="W1833" s="4" t="s">
        <v>12019</v>
      </c>
      <c r="X1833" s="4" t="s">
        <v>12019</v>
      </c>
      <c r="Y1833" s="4" t="s">
        <v>12020</v>
      </c>
      <c r="Z1833" s="4" t="s">
        <v>12020</v>
      </c>
      <c r="AA1833" s="3">
        <v>675</v>
      </c>
      <c r="AB1833" s="3">
        <v>566</v>
      </c>
      <c r="AC1833" s="3">
        <v>1918</v>
      </c>
      <c r="AD1833" s="3">
        <v>9</v>
      </c>
      <c r="AE1833" s="3">
        <v>18</v>
      </c>
      <c r="AF1833" s="3">
        <v>21</v>
      </c>
      <c r="AG1833" s="3">
        <v>45</v>
      </c>
      <c r="AH1833" s="3">
        <v>7</v>
      </c>
      <c r="AI1833" s="3">
        <v>18</v>
      </c>
      <c r="AJ1833" s="3">
        <v>3</v>
      </c>
      <c r="AK1833" s="3">
        <v>7</v>
      </c>
      <c r="AL1833" s="3">
        <v>6</v>
      </c>
      <c r="AM1833" s="3">
        <v>15</v>
      </c>
      <c r="AN1833" s="3">
        <v>7</v>
      </c>
      <c r="AO1833" s="3">
        <v>11</v>
      </c>
      <c r="AP1833" s="3">
        <v>0</v>
      </c>
      <c r="AQ1833" s="3">
        <v>0</v>
      </c>
      <c r="AR1833" s="2" t="s">
        <v>5</v>
      </c>
      <c r="AS1833" s="2" t="s">
        <v>16</v>
      </c>
      <c r="AT1833" s="5" t="str">
        <f>HYPERLINK("http://catalog.hathitrust.org/Record/003031296","HathiTrust Record")</f>
        <v>HathiTrust Record</v>
      </c>
      <c r="AU1833" s="5" t="str">
        <f>HYPERLINK("https://creighton-primo.hosted.exlibrisgroup.com/primo-explore/search?tab=default_tab&amp;search_scope=EVERYTHING&amp;vid=01CRU&amp;lang=en_US&amp;offset=0&amp;query=any,contains,991000458459702656","Catalog Record")</f>
        <v>Catalog Record</v>
      </c>
      <c r="AV1833" s="5" t="str">
        <f>HYPERLINK("http://www.worldcat.org/oclc/33404614","WorldCat Record")</f>
        <v>WorldCat Record</v>
      </c>
      <c r="AW1833" s="2" t="s">
        <v>928</v>
      </c>
      <c r="AX1833" s="2" t="s">
        <v>21675</v>
      </c>
      <c r="AY1833" s="2" t="s">
        <v>21676</v>
      </c>
      <c r="AZ1833" s="2" t="s">
        <v>21676</v>
      </c>
      <c r="BA1833" s="2" t="s">
        <v>21677</v>
      </c>
      <c r="BB1833" s="2" t="s">
        <v>21</v>
      </c>
      <c r="BD1833" s="2" t="s">
        <v>21678</v>
      </c>
      <c r="BE1833" s="2" t="s">
        <v>21679</v>
      </c>
      <c r="BF1833" s="2" t="s">
        <v>21680</v>
      </c>
    </row>
  </sheetData>
  <sheetProtection sheet="1" objects="1" scenarios="1"/>
  <protectedRanges>
    <protectedRange sqref="A2:A1048576" name="Range1"/>
    <protectedRange sqref="A1" name="Range1_1"/>
  </protectedRanges>
  <dataValidations count="1">
    <dataValidation type="list" allowBlank="1" showInputMessage="1" showErrorMessage="1" sqref="A2:A1048576" xr:uid="{CEFCCB7C-E53A-4BAD-B242-4075E38F3917}">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1FEB3A6F-793D-4AC8-912D-FB6BAF0B5D12}"/>
</file>

<file path=customXml/itemProps2.xml><?xml version="1.0" encoding="utf-8"?>
<ds:datastoreItem xmlns:ds="http://schemas.openxmlformats.org/officeDocument/2006/customXml" ds:itemID="{BCCB5243-DCE1-423E-90CE-0B12D738F039}"/>
</file>

<file path=customXml/itemProps3.xml><?xml version="1.0" encoding="utf-8"?>
<ds:datastoreItem xmlns:ds="http://schemas.openxmlformats.org/officeDocument/2006/customXml" ds:itemID="{8183259F-20D7-434B-A8FC-0FEEF1CCE9F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Kiscaden, Elizabeth J</dc:creator>
  <cp:lastModifiedBy>Kiscaden, Elizabeth</cp:lastModifiedBy>
  <dcterms:created xsi:type="dcterms:W3CDTF">2022-03-03T17:46:30Z</dcterms:created>
  <dcterms:modified xsi:type="dcterms:W3CDTF">2022-03-03T22:37:55Z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291600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