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8E0E58D6-494A-40AD-B850-D90768AEEA86}" xr6:coauthVersionLast="47" xr6:coauthVersionMax="47" xr10:uidLastSave="{00000000-0000-0000-0000-000000000000}"/>
  <bookViews>
    <workbookView xWindow="-120" yWindow="-120" windowWidth="29040" windowHeight="15840" xr2:uid="{850D751B-0577-4A50-920C-13DBEFECCF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49" i="1" l="1"/>
  <c r="AS449" i="1"/>
  <c r="AT448" i="1"/>
  <c r="AS448" i="1"/>
  <c r="AT447" i="1"/>
  <c r="AS447" i="1"/>
  <c r="AT446" i="1"/>
  <c r="AS446" i="1"/>
  <c r="AR446" i="1"/>
  <c r="AT445" i="1"/>
  <c r="AS445" i="1"/>
  <c r="AR445" i="1"/>
  <c r="AT444" i="1"/>
  <c r="AS444" i="1"/>
  <c r="AT443" i="1"/>
  <c r="AS443" i="1"/>
  <c r="AR443" i="1"/>
  <c r="AT442" i="1"/>
  <c r="AS442" i="1"/>
  <c r="AT441" i="1"/>
  <c r="AS441" i="1"/>
  <c r="AT440" i="1"/>
  <c r="AS440" i="1"/>
  <c r="AR440" i="1"/>
  <c r="AT439" i="1"/>
  <c r="AS439" i="1"/>
  <c r="AR439" i="1"/>
  <c r="AT438" i="1"/>
  <c r="AS438" i="1"/>
  <c r="AR438" i="1"/>
  <c r="AT437" i="1"/>
  <c r="AS437" i="1"/>
  <c r="AR437" i="1"/>
  <c r="AT436" i="1"/>
  <c r="AS436" i="1"/>
  <c r="AR436" i="1"/>
  <c r="AT435" i="1"/>
  <c r="AS435" i="1"/>
  <c r="AR435" i="1"/>
  <c r="AT434" i="1"/>
  <c r="AS434" i="1"/>
  <c r="AT433" i="1"/>
  <c r="AS433" i="1"/>
  <c r="AT432" i="1"/>
  <c r="AS432" i="1"/>
  <c r="AR432" i="1"/>
  <c r="AT431" i="1"/>
  <c r="AS431" i="1"/>
  <c r="AR431" i="1"/>
  <c r="AT430" i="1"/>
  <c r="AS430" i="1"/>
  <c r="AT429" i="1"/>
  <c r="AS429" i="1"/>
  <c r="AR429" i="1"/>
  <c r="AT428" i="1"/>
  <c r="AS428" i="1"/>
  <c r="AR428" i="1"/>
  <c r="AT427" i="1"/>
  <c r="AS427" i="1"/>
  <c r="AT426" i="1"/>
  <c r="AS426" i="1"/>
  <c r="AR426" i="1"/>
  <c r="AT425" i="1"/>
  <c r="AS425" i="1"/>
  <c r="AT424" i="1"/>
  <c r="AS424" i="1"/>
  <c r="AR424" i="1"/>
  <c r="AT423" i="1"/>
  <c r="AS423" i="1"/>
  <c r="AT422" i="1"/>
  <c r="AS422" i="1"/>
  <c r="AR422" i="1"/>
  <c r="AT421" i="1"/>
  <c r="AS421" i="1"/>
  <c r="AT420" i="1"/>
  <c r="AS420" i="1"/>
  <c r="AR420" i="1"/>
  <c r="AT419" i="1"/>
  <c r="AS419" i="1"/>
  <c r="AR419" i="1"/>
  <c r="AT418" i="1"/>
  <c r="AS418" i="1"/>
  <c r="AR418" i="1"/>
  <c r="AT417" i="1"/>
  <c r="AS417" i="1"/>
  <c r="AR417" i="1"/>
  <c r="AT416" i="1"/>
  <c r="AS416" i="1"/>
  <c r="AR416" i="1"/>
  <c r="AT415" i="1"/>
  <c r="AS415" i="1"/>
  <c r="AR415" i="1"/>
  <c r="AT414" i="1"/>
  <c r="AS414" i="1"/>
  <c r="AR414" i="1"/>
  <c r="AT413" i="1"/>
  <c r="AS413" i="1"/>
  <c r="AR413" i="1"/>
  <c r="AT412" i="1"/>
  <c r="AS412" i="1"/>
  <c r="AR412" i="1"/>
  <c r="AT411" i="1"/>
  <c r="AS411" i="1"/>
  <c r="AR411" i="1"/>
  <c r="AT410" i="1"/>
  <c r="AS410" i="1"/>
  <c r="AR410" i="1"/>
  <c r="AT409" i="1"/>
  <c r="AS409" i="1"/>
  <c r="AR409" i="1"/>
  <c r="AT408" i="1"/>
  <c r="AS408" i="1"/>
  <c r="AT407" i="1"/>
  <c r="AS407" i="1"/>
  <c r="AR407" i="1"/>
  <c r="AT406" i="1"/>
  <c r="AS406" i="1"/>
  <c r="AT405" i="1"/>
  <c r="AS405" i="1"/>
  <c r="AT404" i="1"/>
  <c r="AS404" i="1"/>
  <c r="AT403" i="1"/>
  <c r="AS403" i="1"/>
  <c r="AR403" i="1"/>
  <c r="AT402" i="1"/>
  <c r="AS402" i="1"/>
  <c r="AR402" i="1"/>
  <c r="AT401" i="1"/>
  <c r="AS401" i="1"/>
  <c r="AT400" i="1"/>
  <c r="AS400" i="1"/>
  <c r="AR400" i="1"/>
  <c r="AT399" i="1"/>
  <c r="AS399" i="1"/>
  <c r="AR399" i="1"/>
  <c r="AT398" i="1"/>
  <c r="AS398" i="1"/>
  <c r="AT397" i="1"/>
  <c r="AS397" i="1"/>
  <c r="AR397" i="1"/>
  <c r="AT396" i="1"/>
  <c r="AS396" i="1"/>
  <c r="AR396" i="1"/>
  <c r="AT395" i="1"/>
  <c r="AS395" i="1"/>
  <c r="AR395" i="1"/>
  <c r="AT394" i="1"/>
  <c r="AS394" i="1"/>
  <c r="AR394" i="1"/>
  <c r="AT393" i="1"/>
  <c r="AS393" i="1"/>
  <c r="AR393" i="1"/>
  <c r="AT392" i="1"/>
  <c r="AS392" i="1"/>
  <c r="AR392" i="1"/>
  <c r="AT391" i="1"/>
  <c r="AS391" i="1"/>
  <c r="AR391" i="1"/>
  <c r="AT390" i="1"/>
  <c r="AS390" i="1"/>
  <c r="AR390" i="1"/>
  <c r="AT389" i="1"/>
  <c r="AS389" i="1"/>
  <c r="AT388" i="1"/>
  <c r="AS388" i="1"/>
  <c r="AT387" i="1"/>
  <c r="AS387" i="1"/>
  <c r="AR387" i="1"/>
  <c r="AT386" i="1"/>
  <c r="AS386" i="1"/>
  <c r="AR386" i="1"/>
  <c r="AT385" i="1"/>
  <c r="AS385" i="1"/>
  <c r="AR385" i="1"/>
  <c r="AT384" i="1"/>
  <c r="AS384" i="1"/>
  <c r="AR384" i="1"/>
  <c r="AT383" i="1"/>
  <c r="AS383" i="1"/>
  <c r="AT382" i="1"/>
  <c r="AS382" i="1"/>
  <c r="AT381" i="1"/>
  <c r="AS381" i="1"/>
  <c r="AR381" i="1"/>
  <c r="AT380" i="1"/>
  <c r="AS380" i="1"/>
  <c r="AR380" i="1"/>
  <c r="AT379" i="1"/>
  <c r="AS379" i="1"/>
  <c r="AR379" i="1"/>
  <c r="AT378" i="1"/>
  <c r="AS378" i="1"/>
  <c r="AR378" i="1"/>
  <c r="AT377" i="1"/>
  <c r="AS377" i="1"/>
  <c r="AT376" i="1"/>
  <c r="AS376" i="1"/>
  <c r="AR376" i="1"/>
  <c r="AT375" i="1"/>
  <c r="AS375" i="1"/>
  <c r="AR375" i="1"/>
  <c r="AT374" i="1"/>
  <c r="AS374" i="1"/>
  <c r="AR374" i="1"/>
  <c r="AT373" i="1"/>
  <c r="AS373" i="1"/>
  <c r="AR373" i="1"/>
  <c r="AT372" i="1"/>
  <c r="AS372" i="1"/>
  <c r="AR372" i="1"/>
  <c r="AT371" i="1"/>
  <c r="AS371" i="1"/>
  <c r="AT370" i="1"/>
  <c r="AS370" i="1"/>
  <c r="AT369" i="1"/>
  <c r="AS369" i="1"/>
  <c r="AT368" i="1"/>
  <c r="AS368" i="1"/>
  <c r="AT367" i="1"/>
  <c r="AS367" i="1"/>
  <c r="AR367" i="1"/>
  <c r="AT366" i="1"/>
  <c r="AS366" i="1"/>
  <c r="AR366" i="1"/>
  <c r="AT365" i="1"/>
  <c r="AS365" i="1"/>
  <c r="AT364" i="1"/>
  <c r="AS364" i="1"/>
  <c r="AT363" i="1"/>
  <c r="AS363" i="1"/>
  <c r="AT362" i="1"/>
  <c r="AS362" i="1"/>
  <c r="AT361" i="1"/>
  <c r="AS361" i="1"/>
  <c r="AR361" i="1"/>
  <c r="AT360" i="1"/>
  <c r="AS360" i="1"/>
  <c r="AR360" i="1"/>
  <c r="AT359" i="1"/>
  <c r="AS359" i="1"/>
  <c r="AR359" i="1"/>
  <c r="AT358" i="1"/>
  <c r="AS358" i="1"/>
  <c r="AR358" i="1"/>
  <c r="AT357" i="1"/>
  <c r="AS357" i="1"/>
  <c r="AR357" i="1"/>
  <c r="AT356" i="1"/>
  <c r="AS356" i="1"/>
  <c r="AR356" i="1"/>
  <c r="AT355" i="1"/>
  <c r="AS355" i="1"/>
  <c r="AT354" i="1"/>
  <c r="AS354" i="1"/>
  <c r="AR354" i="1"/>
  <c r="AT353" i="1"/>
  <c r="AS353" i="1"/>
  <c r="AR353" i="1"/>
  <c r="AT352" i="1"/>
  <c r="AS352" i="1"/>
  <c r="AT351" i="1"/>
  <c r="AS351" i="1"/>
  <c r="AR351" i="1"/>
  <c r="AT350" i="1"/>
  <c r="AS350" i="1"/>
  <c r="AT349" i="1"/>
  <c r="AS349" i="1"/>
  <c r="AT348" i="1"/>
  <c r="AS348" i="1"/>
  <c r="AT347" i="1"/>
  <c r="AS347" i="1"/>
  <c r="AT346" i="1"/>
  <c r="AS346" i="1"/>
  <c r="AT345" i="1"/>
  <c r="AS345" i="1"/>
  <c r="AR345" i="1"/>
  <c r="AT344" i="1"/>
  <c r="AS344" i="1"/>
  <c r="AT343" i="1"/>
  <c r="AS343" i="1"/>
  <c r="AR343" i="1"/>
  <c r="AT342" i="1"/>
  <c r="AS342" i="1"/>
  <c r="AR342" i="1"/>
  <c r="AT341" i="1"/>
  <c r="AS341" i="1"/>
  <c r="AT340" i="1"/>
  <c r="AS340" i="1"/>
  <c r="AT339" i="1"/>
  <c r="AS339" i="1"/>
  <c r="AR339" i="1"/>
  <c r="AT338" i="1"/>
  <c r="AS338" i="1"/>
  <c r="AR338" i="1"/>
  <c r="AT337" i="1"/>
  <c r="AS337" i="1"/>
  <c r="AT336" i="1"/>
  <c r="AS336" i="1"/>
  <c r="AR336" i="1"/>
  <c r="AT335" i="1"/>
  <c r="AS335" i="1"/>
  <c r="AT334" i="1"/>
  <c r="AS334" i="1"/>
  <c r="AR334" i="1"/>
  <c r="AT333" i="1"/>
  <c r="AS333" i="1"/>
  <c r="AR333" i="1"/>
  <c r="AT332" i="1"/>
  <c r="AS332" i="1"/>
  <c r="AR332" i="1"/>
  <c r="AT331" i="1"/>
  <c r="AS331" i="1"/>
  <c r="AT330" i="1"/>
  <c r="AS330" i="1"/>
  <c r="AR330" i="1"/>
  <c r="AT329" i="1"/>
  <c r="AS329" i="1"/>
  <c r="AR329" i="1"/>
  <c r="AT328" i="1"/>
  <c r="AS328" i="1"/>
  <c r="AT327" i="1"/>
  <c r="AS327" i="1"/>
  <c r="AR327" i="1"/>
  <c r="AT326" i="1"/>
  <c r="AS326" i="1"/>
  <c r="AR326" i="1"/>
  <c r="AT325" i="1"/>
  <c r="AS325" i="1"/>
  <c r="AR325" i="1"/>
  <c r="AT324" i="1"/>
  <c r="AS324" i="1"/>
  <c r="AR324" i="1"/>
  <c r="AT323" i="1"/>
  <c r="AS323" i="1"/>
  <c r="AT322" i="1"/>
  <c r="AS322" i="1"/>
  <c r="AR322" i="1"/>
  <c r="AT321" i="1"/>
  <c r="AS321" i="1"/>
  <c r="AR321" i="1"/>
  <c r="AT320" i="1"/>
  <c r="AS320" i="1"/>
  <c r="AR320" i="1"/>
  <c r="AT319" i="1"/>
  <c r="AS319" i="1"/>
  <c r="AT318" i="1"/>
  <c r="AS318" i="1"/>
  <c r="AT317" i="1"/>
  <c r="AS317" i="1"/>
  <c r="AR317" i="1"/>
  <c r="AT316" i="1"/>
  <c r="AS316" i="1"/>
  <c r="AR316" i="1"/>
  <c r="AT315" i="1"/>
  <c r="AS315" i="1"/>
  <c r="AR315" i="1"/>
  <c r="AT314" i="1"/>
  <c r="AS314" i="1"/>
  <c r="AR314" i="1"/>
  <c r="AT313" i="1"/>
  <c r="AS313" i="1"/>
  <c r="AR313" i="1"/>
  <c r="AT312" i="1"/>
  <c r="AS312" i="1"/>
  <c r="AR312" i="1"/>
  <c r="AT311" i="1"/>
  <c r="AS311" i="1"/>
  <c r="AR311" i="1"/>
  <c r="AT310" i="1"/>
  <c r="AS310" i="1"/>
  <c r="AT309" i="1"/>
  <c r="AS309" i="1"/>
  <c r="AT308" i="1"/>
  <c r="AS308" i="1"/>
  <c r="AR308" i="1"/>
  <c r="AT307" i="1"/>
  <c r="AS307" i="1"/>
  <c r="AR307" i="1"/>
  <c r="AT306" i="1"/>
  <c r="AS306" i="1"/>
  <c r="AR306" i="1"/>
  <c r="AT305" i="1"/>
  <c r="AS305" i="1"/>
  <c r="AT304" i="1"/>
  <c r="AS304" i="1"/>
  <c r="AT303" i="1"/>
  <c r="AS303" i="1"/>
  <c r="AT302" i="1"/>
  <c r="AS302" i="1"/>
  <c r="AR302" i="1"/>
  <c r="AT301" i="1"/>
  <c r="AS301" i="1"/>
  <c r="AR301" i="1"/>
  <c r="AT300" i="1"/>
  <c r="AS300" i="1"/>
  <c r="AR300" i="1"/>
  <c r="AT299" i="1"/>
  <c r="AS299" i="1"/>
  <c r="AT298" i="1"/>
  <c r="AS298" i="1"/>
  <c r="AR298" i="1"/>
  <c r="AT297" i="1"/>
  <c r="AS297" i="1"/>
  <c r="AR297" i="1"/>
  <c r="AT296" i="1"/>
  <c r="AS296" i="1"/>
  <c r="AR296" i="1"/>
  <c r="AT295" i="1"/>
  <c r="AS295" i="1"/>
  <c r="AR295" i="1"/>
  <c r="AT294" i="1"/>
  <c r="AS294" i="1"/>
  <c r="AR294" i="1"/>
  <c r="AT293" i="1"/>
  <c r="AS293" i="1"/>
  <c r="AR293" i="1"/>
  <c r="AT292" i="1"/>
  <c r="AS292" i="1"/>
  <c r="AT291" i="1"/>
  <c r="AS291" i="1"/>
  <c r="AR291" i="1"/>
  <c r="AT290" i="1"/>
  <c r="AS290" i="1"/>
  <c r="AR290" i="1"/>
  <c r="AT289" i="1"/>
  <c r="AS289" i="1"/>
  <c r="AT288" i="1"/>
  <c r="AS288" i="1"/>
  <c r="AT287" i="1"/>
  <c r="AS287" i="1"/>
  <c r="AR287" i="1"/>
  <c r="AT286" i="1"/>
  <c r="AS286" i="1"/>
  <c r="AR286" i="1"/>
  <c r="AT285" i="1"/>
  <c r="AS285" i="1"/>
  <c r="AR285" i="1"/>
  <c r="AT284" i="1"/>
  <c r="AS284" i="1"/>
  <c r="AR284" i="1"/>
  <c r="AT283" i="1"/>
  <c r="AS283" i="1"/>
  <c r="AT282" i="1"/>
  <c r="AS282" i="1"/>
  <c r="AR282" i="1"/>
  <c r="AT281" i="1"/>
  <c r="AS281" i="1"/>
  <c r="AR281" i="1"/>
  <c r="AT280" i="1"/>
  <c r="AS280" i="1"/>
  <c r="AR280" i="1"/>
  <c r="AT279" i="1"/>
  <c r="AS279" i="1"/>
  <c r="AR279" i="1"/>
  <c r="AT278" i="1"/>
  <c r="AS278" i="1"/>
  <c r="AT277" i="1"/>
  <c r="AS277" i="1"/>
  <c r="AT276" i="1"/>
  <c r="AS276" i="1"/>
  <c r="AR276" i="1"/>
  <c r="AT275" i="1"/>
  <c r="AS275" i="1"/>
  <c r="AR275" i="1"/>
  <c r="AT274" i="1"/>
  <c r="AS274" i="1"/>
  <c r="AR274" i="1"/>
  <c r="AT273" i="1"/>
  <c r="AS273" i="1"/>
  <c r="AR273" i="1"/>
  <c r="AT272" i="1"/>
  <c r="AS272" i="1"/>
  <c r="AR272" i="1"/>
  <c r="AT271" i="1"/>
  <c r="AS271" i="1"/>
  <c r="AR271" i="1"/>
  <c r="AT270" i="1"/>
  <c r="AS270" i="1"/>
  <c r="AT269" i="1"/>
  <c r="AS269" i="1"/>
  <c r="AR269" i="1"/>
  <c r="AT268" i="1"/>
  <c r="AS268" i="1"/>
  <c r="AR268" i="1"/>
  <c r="AT267" i="1"/>
  <c r="AS267" i="1"/>
  <c r="AR267" i="1"/>
  <c r="AT266" i="1"/>
  <c r="AS266" i="1"/>
  <c r="AR266" i="1"/>
  <c r="AT265" i="1"/>
  <c r="AS265" i="1"/>
  <c r="AT264" i="1"/>
  <c r="AS264" i="1"/>
  <c r="AT263" i="1"/>
  <c r="AS263" i="1"/>
  <c r="AT262" i="1"/>
  <c r="AS262" i="1"/>
  <c r="AT261" i="1"/>
  <c r="AS261" i="1"/>
  <c r="AT260" i="1"/>
  <c r="AS260" i="1"/>
  <c r="AT259" i="1"/>
  <c r="AS259" i="1"/>
  <c r="AT258" i="1"/>
  <c r="AS258" i="1"/>
  <c r="AT257" i="1"/>
  <c r="AS257" i="1"/>
  <c r="AT256" i="1"/>
  <c r="AS256" i="1"/>
  <c r="AR256" i="1"/>
  <c r="AT255" i="1"/>
  <c r="AS255" i="1"/>
  <c r="AR255" i="1"/>
  <c r="AT254" i="1"/>
  <c r="AS254" i="1"/>
  <c r="AT253" i="1"/>
  <c r="AS253" i="1"/>
  <c r="AR253" i="1"/>
  <c r="AT252" i="1"/>
  <c r="AS252" i="1"/>
  <c r="AR252" i="1"/>
  <c r="AT251" i="1"/>
  <c r="AS251" i="1"/>
  <c r="AT250" i="1"/>
  <c r="AS250" i="1"/>
  <c r="AT249" i="1"/>
  <c r="AS249" i="1"/>
  <c r="AT248" i="1"/>
  <c r="AS248" i="1"/>
  <c r="AR248" i="1"/>
  <c r="AT247" i="1"/>
  <c r="AS247" i="1"/>
  <c r="AR247" i="1"/>
  <c r="AT246" i="1"/>
  <c r="AS246" i="1"/>
  <c r="AT245" i="1"/>
  <c r="AS245" i="1"/>
  <c r="AT244" i="1"/>
  <c r="AS244" i="1"/>
  <c r="AT243" i="1"/>
  <c r="AS243" i="1"/>
  <c r="AR243" i="1"/>
  <c r="AT242" i="1"/>
  <c r="AS242" i="1"/>
  <c r="AT241" i="1"/>
  <c r="AS241" i="1"/>
  <c r="AT240" i="1"/>
  <c r="AS240" i="1"/>
  <c r="AR240" i="1"/>
  <c r="AT239" i="1"/>
  <c r="AS239" i="1"/>
  <c r="AR239" i="1"/>
  <c r="AT238" i="1"/>
  <c r="AS238" i="1"/>
  <c r="AT237" i="1"/>
  <c r="AS237" i="1"/>
  <c r="AT236" i="1"/>
  <c r="AS236" i="1"/>
  <c r="AR236" i="1"/>
  <c r="AT235" i="1"/>
  <c r="AS235" i="1"/>
  <c r="AT234" i="1"/>
  <c r="AS234" i="1"/>
  <c r="AR234" i="1"/>
  <c r="AT233" i="1"/>
  <c r="AS233" i="1"/>
  <c r="AR233" i="1"/>
  <c r="AT232" i="1"/>
  <c r="AS232" i="1"/>
  <c r="AR232" i="1"/>
  <c r="AT231" i="1"/>
  <c r="AS231" i="1"/>
  <c r="AT230" i="1"/>
  <c r="AS230" i="1"/>
  <c r="AR230" i="1"/>
  <c r="AT229" i="1"/>
  <c r="AS229" i="1"/>
  <c r="AR229" i="1"/>
  <c r="AT228" i="1"/>
  <c r="AS228" i="1"/>
  <c r="AR228" i="1"/>
  <c r="AT227" i="1"/>
  <c r="AS227" i="1"/>
  <c r="AR227" i="1"/>
  <c r="AT226" i="1"/>
  <c r="AS226" i="1"/>
  <c r="AR226" i="1"/>
  <c r="AT225" i="1"/>
  <c r="AS225" i="1"/>
  <c r="AR225" i="1"/>
  <c r="AT224" i="1"/>
  <c r="AS224" i="1"/>
  <c r="AR224" i="1"/>
  <c r="AT223" i="1"/>
  <c r="AS223" i="1"/>
  <c r="AT222" i="1"/>
  <c r="AS222" i="1"/>
  <c r="AR222" i="1"/>
  <c r="AT221" i="1"/>
  <c r="AS221" i="1"/>
  <c r="AR221" i="1"/>
  <c r="AT220" i="1"/>
  <c r="AS220" i="1"/>
  <c r="AT219" i="1"/>
  <c r="AS219" i="1"/>
  <c r="AR219" i="1"/>
  <c r="AT218" i="1"/>
  <c r="AS218" i="1"/>
  <c r="AR218" i="1"/>
  <c r="AT217" i="1"/>
  <c r="AS217" i="1"/>
  <c r="AR217" i="1"/>
  <c r="AT216" i="1"/>
  <c r="AS216" i="1"/>
  <c r="AR216" i="1"/>
  <c r="AT215" i="1"/>
  <c r="AS215" i="1"/>
  <c r="AR215" i="1"/>
  <c r="AT214" i="1"/>
  <c r="AS214" i="1"/>
  <c r="AR214" i="1"/>
  <c r="AT213" i="1"/>
  <c r="AS213" i="1"/>
  <c r="AT212" i="1"/>
  <c r="AS212" i="1"/>
  <c r="AT211" i="1"/>
  <c r="AS211" i="1"/>
  <c r="AT210" i="1"/>
  <c r="AS210" i="1"/>
  <c r="AT209" i="1"/>
  <c r="AS209" i="1"/>
  <c r="AT208" i="1"/>
  <c r="AS208" i="1"/>
  <c r="AT207" i="1"/>
  <c r="AS207" i="1"/>
  <c r="AR207" i="1"/>
  <c r="AT206" i="1"/>
  <c r="AS206" i="1"/>
  <c r="AR206" i="1"/>
  <c r="AT205" i="1"/>
  <c r="AS205" i="1"/>
  <c r="AR205" i="1"/>
  <c r="AT204" i="1"/>
  <c r="AS204" i="1"/>
  <c r="AR204" i="1"/>
  <c r="AT203" i="1"/>
  <c r="AS203" i="1"/>
  <c r="AR203" i="1"/>
  <c r="AT202" i="1"/>
  <c r="AS202" i="1"/>
  <c r="AR202" i="1"/>
  <c r="AT201" i="1"/>
  <c r="AS201" i="1"/>
  <c r="AR201" i="1"/>
  <c r="AT200" i="1"/>
  <c r="AS200" i="1"/>
  <c r="AT199" i="1"/>
  <c r="AS199" i="1"/>
  <c r="AR199" i="1"/>
  <c r="AT198" i="1"/>
  <c r="AS198" i="1"/>
  <c r="AR198" i="1"/>
  <c r="AT197" i="1"/>
  <c r="AS197" i="1"/>
  <c r="AR197" i="1"/>
  <c r="AT196" i="1"/>
  <c r="AS196" i="1"/>
  <c r="AT195" i="1"/>
  <c r="AS195" i="1"/>
  <c r="AR195" i="1"/>
  <c r="AT194" i="1"/>
  <c r="AS194" i="1"/>
  <c r="AT193" i="1"/>
  <c r="AS193" i="1"/>
  <c r="AT192" i="1"/>
  <c r="AS192" i="1"/>
  <c r="AT191" i="1"/>
  <c r="AS191" i="1"/>
  <c r="AR191" i="1"/>
  <c r="AT190" i="1"/>
  <c r="AS190" i="1"/>
  <c r="AR190" i="1"/>
  <c r="AT189" i="1"/>
  <c r="AS189" i="1"/>
  <c r="AR189" i="1"/>
  <c r="AT188" i="1"/>
  <c r="AS188" i="1"/>
  <c r="AT187" i="1"/>
  <c r="AS187" i="1"/>
  <c r="AT186" i="1"/>
  <c r="AS186" i="1"/>
  <c r="AR186" i="1"/>
  <c r="AT185" i="1"/>
  <c r="AS185" i="1"/>
  <c r="AR185" i="1"/>
  <c r="AT184" i="1"/>
  <c r="AS184" i="1"/>
  <c r="AT183" i="1"/>
  <c r="AS183" i="1"/>
  <c r="AR183" i="1"/>
  <c r="AT182" i="1"/>
  <c r="AS182" i="1"/>
  <c r="AT181" i="1"/>
  <c r="AS181" i="1"/>
  <c r="AR181" i="1"/>
  <c r="AT180" i="1"/>
  <c r="AS180" i="1"/>
  <c r="AR180" i="1"/>
  <c r="AT179" i="1"/>
  <c r="AS179" i="1"/>
  <c r="AR179" i="1"/>
  <c r="AT178" i="1"/>
  <c r="AS178" i="1"/>
  <c r="AT177" i="1"/>
  <c r="AS177" i="1"/>
  <c r="AR177" i="1"/>
  <c r="AT176" i="1"/>
  <c r="AS176" i="1"/>
  <c r="AR176" i="1"/>
  <c r="AT175" i="1"/>
  <c r="AS175" i="1"/>
  <c r="AT174" i="1"/>
  <c r="AS174" i="1"/>
  <c r="AT173" i="1"/>
  <c r="AS173" i="1"/>
  <c r="AR173" i="1"/>
  <c r="AT172" i="1"/>
  <c r="AS172" i="1"/>
  <c r="AT171" i="1"/>
  <c r="AS171" i="1"/>
  <c r="AR171" i="1"/>
  <c r="AT170" i="1"/>
  <c r="AS170" i="1"/>
  <c r="AT169" i="1"/>
  <c r="AS169" i="1"/>
  <c r="AR169" i="1"/>
  <c r="AT168" i="1"/>
  <c r="AS168" i="1"/>
  <c r="AR168" i="1"/>
  <c r="AT167" i="1"/>
  <c r="AS167" i="1"/>
  <c r="AT166" i="1"/>
  <c r="AS166" i="1"/>
  <c r="AT165" i="1"/>
  <c r="AS165" i="1"/>
  <c r="AT164" i="1"/>
  <c r="AS164" i="1"/>
  <c r="AT163" i="1"/>
  <c r="AS163" i="1"/>
  <c r="AR163" i="1"/>
  <c r="AT162" i="1"/>
  <c r="AS162" i="1"/>
  <c r="AR162" i="1"/>
  <c r="AT161" i="1"/>
  <c r="AS161" i="1"/>
  <c r="AR161" i="1"/>
  <c r="AT160" i="1"/>
  <c r="AS160" i="1"/>
  <c r="AT159" i="1"/>
  <c r="AS159" i="1"/>
  <c r="AR159" i="1"/>
  <c r="AT158" i="1"/>
  <c r="AS158" i="1"/>
  <c r="AT157" i="1"/>
  <c r="AS157" i="1"/>
  <c r="AR157" i="1"/>
  <c r="AT156" i="1"/>
  <c r="AS156" i="1"/>
  <c r="AT155" i="1"/>
  <c r="AS155" i="1"/>
  <c r="AR155" i="1"/>
  <c r="AT154" i="1"/>
  <c r="AS154" i="1"/>
  <c r="AR154" i="1"/>
  <c r="AT153" i="1"/>
  <c r="AS153" i="1"/>
  <c r="AR153" i="1"/>
  <c r="AT152" i="1"/>
  <c r="AS152" i="1"/>
  <c r="AT151" i="1"/>
  <c r="AS151" i="1"/>
  <c r="AR151" i="1"/>
  <c r="AT150" i="1"/>
  <c r="AS150" i="1"/>
  <c r="AR150" i="1"/>
  <c r="AT149" i="1"/>
  <c r="AS149" i="1"/>
  <c r="AT148" i="1"/>
  <c r="AS148" i="1"/>
  <c r="AR148" i="1"/>
  <c r="AT147" i="1"/>
  <c r="AS147" i="1"/>
  <c r="AR147" i="1"/>
  <c r="AT146" i="1"/>
  <c r="AS146" i="1"/>
  <c r="AR146" i="1"/>
  <c r="AT145" i="1"/>
  <c r="AS145" i="1"/>
  <c r="AR145" i="1"/>
  <c r="AT144" i="1"/>
  <c r="AS144" i="1"/>
  <c r="AR144" i="1"/>
  <c r="AT143" i="1"/>
  <c r="AS143" i="1"/>
  <c r="AT142" i="1"/>
  <c r="AS142" i="1"/>
  <c r="AT141" i="1"/>
  <c r="AS141" i="1"/>
  <c r="AT140" i="1"/>
  <c r="AS140" i="1"/>
  <c r="AR140" i="1"/>
  <c r="AT139" i="1"/>
  <c r="AS139" i="1"/>
  <c r="AR139" i="1"/>
  <c r="AT138" i="1"/>
  <c r="AS138" i="1"/>
  <c r="AT137" i="1"/>
  <c r="AS137" i="1"/>
  <c r="AT136" i="1"/>
  <c r="AS136" i="1"/>
  <c r="AR136" i="1"/>
  <c r="AT135" i="1"/>
  <c r="AS135" i="1"/>
  <c r="AR135" i="1"/>
  <c r="AT134" i="1"/>
  <c r="AS134" i="1"/>
  <c r="AR134" i="1"/>
  <c r="AT133" i="1"/>
  <c r="AS133" i="1"/>
  <c r="AR133" i="1"/>
  <c r="AT132" i="1"/>
  <c r="AS132" i="1"/>
  <c r="AR132" i="1"/>
  <c r="AT131" i="1"/>
  <c r="AS131" i="1"/>
  <c r="AT130" i="1"/>
  <c r="AS130" i="1"/>
  <c r="AT129" i="1"/>
  <c r="AS129" i="1"/>
  <c r="AR129" i="1"/>
  <c r="AT128" i="1"/>
  <c r="AS128" i="1"/>
  <c r="AT127" i="1"/>
  <c r="AS127" i="1"/>
  <c r="AR127" i="1"/>
  <c r="AT126" i="1"/>
  <c r="AS126" i="1"/>
  <c r="AT125" i="1"/>
  <c r="AS125" i="1"/>
  <c r="AR125" i="1"/>
  <c r="AT124" i="1"/>
  <c r="AS124" i="1"/>
  <c r="AT123" i="1"/>
  <c r="AS123" i="1"/>
  <c r="AR123" i="1"/>
  <c r="AT122" i="1"/>
  <c r="AS122" i="1"/>
  <c r="AR122" i="1"/>
  <c r="AT121" i="1"/>
  <c r="AS121" i="1"/>
  <c r="AT120" i="1"/>
  <c r="AS120" i="1"/>
  <c r="AT119" i="1"/>
  <c r="AS119" i="1"/>
  <c r="AT118" i="1"/>
  <c r="AS118" i="1"/>
  <c r="AT117" i="1"/>
  <c r="AS117" i="1"/>
  <c r="AT116" i="1"/>
  <c r="AS116" i="1"/>
  <c r="AR116" i="1"/>
  <c r="AT115" i="1"/>
  <c r="AS115" i="1"/>
  <c r="AT114" i="1"/>
  <c r="AS114" i="1"/>
  <c r="AR114" i="1"/>
  <c r="AT113" i="1"/>
  <c r="AS113" i="1"/>
  <c r="AR113" i="1"/>
  <c r="AT112" i="1"/>
  <c r="AS112" i="1"/>
  <c r="AR112" i="1"/>
  <c r="AT111" i="1"/>
  <c r="AS111" i="1"/>
  <c r="AR111" i="1"/>
  <c r="AT110" i="1"/>
  <c r="AS110" i="1"/>
  <c r="AR110" i="1"/>
  <c r="AT109" i="1"/>
  <c r="AS109" i="1"/>
  <c r="AR109" i="1"/>
  <c r="AT108" i="1"/>
  <c r="AS108" i="1"/>
  <c r="AT107" i="1"/>
  <c r="AS107" i="1"/>
  <c r="AR107" i="1"/>
  <c r="AT106" i="1"/>
  <c r="AS106" i="1"/>
  <c r="AT105" i="1"/>
  <c r="AS105" i="1"/>
  <c r="AR105" i="1"/>
  <c r="AT104" i="1"/>
  <c r="AS104" i="1"/>
  <c r="AT103" i="1"/>
  <c r="AS103" i="1"/>
  <c r="AR103" i="1"/>
  <c r="AT102" i="1"/>
  <c r="AS102" i="1"/>
  <c r="AR102" i="1"/>
  <c r="AT101" i="1"/>
  <c r="AS101" i="1"/>
  <c r="AR101" i="1"/>
  <c r="AT100" i="1"/>
  <c r="AS100" i="1"/>
  <c r="AR100" i="1"/>
  <c r="AT99" i="1"/>
  <c r="AS99" i="1"/>
  <c r="AT98" i="1"/>
  <c r="AS98" i="1"/>
  <c r="AT97" i="1"/>
  <c r="AS97" i="1"/>
  <c r="AR97" i="1"/>
  <c r="AT96" i="1"/>
  <c r="AS96" i="1"/>
  <c r="AT95" i="1"/>
  <c r="AS95" i="1"/>
  <c r="AT94" i="1"/>
  <c r="AS94" i="1"/>
  <c r="AT93" i="1"/>
  <c r="AS93" i="1"/>
  <c r="AR93" i="1"/>
  <c r="AT92" i="1"/>
  <c r="AS92" i="1"/>
  <c r="AT91" i="1"/>
  <c r="AS91" i="1"/>
  <c r="AT90" i="1"/>
  <c r="AS90" i="1"/>
  <c r="AT89" i="1"/>
  <c r="AS89" i="1"/>
  <c r="AT88" i="1"/>
  <c r="AS88" i="1"/>
  <c r="AR88" i="1"/>
  <c r="AT87" i="1"/>
  <c r="AS87" i="1"/>
  <c r="AR87" i="1"/>
  <c r="AT86" i="1"/>
  <c r="AS86" i="1"/>
  <c r="AT85" i="1"/>
  <c r="AS85" i="1"/>
  <c r="AT84" i="1"/>
  <c r="AS84" i="1"/>
  <c r="AR84" i="1"/>
  <c r="AT83" i="1"/>
  <c r="AS83" i="1"/>
  <c r="AR83" i="1"/>
  <c r="AT82" i="1"/>
  <c r="AS82" i="1"/>
  <c r="AR82" i="1"/>
  <c r="AT81" i="1"/>
  <c r="AS81" i="1"/>
  <c r="AT80" i="1"/>
  <c r="AS80" i="1"/>
  <c r="AR80" i="1"/>
  <c r="AT79" i="1"/>
  <c r="AS79" i="1"/>
  <c r="AR79" i="1"/>
  <c r="AT78" i="1"/>
  <c r="AS78" i="1"/>
  <c r="AT77" i="1"/>
  <c r="AS77" i="1"/>
  <c r="AT76" i="1"/>
  <c r="AS76" i="1"/>
  <c r="AT75" i="1"/>
  <c r="AS75" i="1"/>
  <c r="AR75" i="1"/>
  <c r="AT74" i="1"/>
  <c r="AS74" i="1"/>
  <c r="AT73" i="1"/>
  <c r="AS73" i="1"/>
  <c r="AR73" i="1"/>
  <c r="AT72" i="1"/>
  <c r="AS72" i="1"/>
  <c r="AR72" i="1"/>
  <c r="AT71" i="1"/>
  <c r="AS71" i="1"/>
  <c r="AR71" i="1"/>
  <c r="AT70" i="1"/>
  <c r="AS70" i="1"/>
  <c r="AR70" i="1"/>
  <c r="AT69" i="1"/>
  <c r="AS69" i="1"/>
  <c r="AR69" i="1"/>
  <c r="AT68" i="1"/>
  <c r="AS68" i="1"/>
  <c r="AT67" i="1"/>
  <c r="AS67" i="1"/>
  <c r="AT66" i="1"/>
  <c r="AS66" i="1"/>
  <c r="AT65" i="1"/>
  <c r="AS65" i="1"/>
  <c r="AT64" i="1"/>
  <c r="AS64" i="1"/>
  <c r="AR64" i="1"/>
  <c r="AT63" i="1"/>
  <c r="AS63" i="1"/>
  <c r="AT62" i="1"/>
  <c r="AS62" i="1"/>
  <c r="AT61" i="1"/>
  <c r="AS61" i="1"/>
  <c r="AR61" i="1"/>
  <c r="AT60" i="1"/>
  <c r="AS60" i="1"/>
  <c r="AR60" i="1"/>
  <c r="AT59" i="1"/>
  <c r="AS59" i="1"/>
  <c r="AR59" i="1"/>
  <c r="AT58" i="1"/>
  <c r="AS58" i="1"/>
  <c r="AT57" i="1"/>
  <c r="AS57" i="1"/>
  <c r="AR57" i="1"/>
  <c r="AT56" i="1"/>
  <c r="AS56" i="1"/>
  <c r="AR56" i="1"/>
  <c r="AT55" i="1"/>
  <c r="AS55" i="1"/>
  <c r="AT54" i="1"/>
  <c r="AS54" i="1"/>
  <c r="AR54" i="1"/>
  <c r="AT53" i="1"/>
  <c r="AS53" i="1"/>
  <c r="AR53" i="1"/>
  <c r="AT52" i="1"/>
  <c r="AS52" i="1"/>
  <c r="AR52" i="1"/>
  <c r="AT51" i="1"/>
  <c r="AS51" i="1"/>
  <c r="AR51" i="1"/>
  <c r="AT50" i="1"/>
  <c r="AS50" i="1"/>
  <c r="AR50" i="1"/>
  <c r="AT49" i="1"/>
  <c r="AS49" i="1"/>
  <c r="AT48" i="1"/>
  <c r="AS48" i="1"/>
  <c r="AT47" i="1"/>
  <c r="AS47" i="1"/>
  <c r="AT46" i="1"/>
  <c r="AS46" i="1"/>
  <c r="AR46" i="1"/>
  <c r="AT45" i="1"/>
  <c r="AS45" i="1"/>
  <c r="AT44" i="1"/>
  <c r="AS44" i="1"/>
  <c r="AR44" i="1"/>
  <c r="AT43" i="1"/>
  <c r="AS43" i="1"/>
  <c r="AT42" i="1"/>
  <c r="AS42" i="1"/>
  <c r="AT41" i="1"/>
  <c r="AS41" i="1"/>
  <c r="AT40" i="1"/>
  <c r="AS40" i="1"/>
  <c r="AT39" i="1"/>
  <c r="AS39" i="1"/>
  <c r="AT38" i="1"/>
  <c r="AS38" i="1"/>
  <c r="AR38" i="1"/>
  <c r="AT37" i="1"/>
  <c r="AS37" i="1"/>
  <c r="AR37" i="1"/>
  <c r="AT36" i="1"/>
  <c r="AS36" i="1"/>
  <c r="AT35" i="1"/>
  <c r="AS35" i="1"/>
  <c r="AT34" i="1"/>
  <c r="AS34" i="1"/>
  <c r="AT33" i="1"/>
  <c r="AS33" i="1"/>
  <c r="AR33" i="1"/>
  <c r="AT32" i="1"/>
  <c r="AS32" i="1"/>
  <c r="AR32" i="1"/>
  <c r="AT31" i="1"/>
  <c r="AS31" i="1"/>
  <c r="AR31" i="1"/>
  <c r="AT30" i="1"/>
  <c r="AS30" i="1"/>
  <c r="AT29" i="1"/>
  <c r="AS29" i="1"/>
  <c r="AR29" i="1"/>
  <c r="AT28" i="1"/>
  <c r="AS28" i="1"/>
  <c r="AR28" i="1"/>
  <c r="AT27" i="1"/>
  <c r="AS27" i="1"/>
  <c r="AR27" i="1"/>
  <c r="AT26" i="1"/>
  <c r="AS26" i="1"/>
  <c r="AT25" i="1"/>
  <c r="AS25" i="1"/>
  <c r="AR25" i="1"/>
  <c r="AT24" i="1"/>
  <c r="AS24" i="1"/>
  <c r="AR24" i="1"/>
  <c r="AT23" i="1"/>
  <c r="AS23" i="1"/>
  <c r="AR23" i="1"/>
  <c r="AT22" i="1"/>
  <c r="AS22" i="1"/>
  <c r="AR22" i="1"/>
  <c r="AT21" i="1"/>
  <c r="AS21" i="1"/>
  <c r="AT20" i="1"/>
  <c r="AS20" i="1"/>
  <c r="AR20" i="1"/>
  <c r="AT19" i="1"/>
  <c r="AS19" i="1"/>
  <c r="AT18" i="1"/>
  <c r="AS18" i="1"/>
  <c r="AR18" i="1"/>
  <c r="AT17" i="1"/>
  <c r="AS17" i="1"/>
  <c r="AR17" i="1"/>
  <c r="AT16" i="1"/>
  <c r="AS16" i="1"/>
  <c r="AR16" i="1"/>
  <c r="AT15" i="1"/>
  <c r="AS15" i="1"/>
  <c r="AR15" i="1"/>
  <c r="AT14" i="1"/>
  <c r="AS14" i="1"/>
  <c r="AR14" i="1"/>
  <c r="AT13" i="1"/>
  <c r="AS13" i="1"/>
  <c r="AT12" i="1"/>
  <c r="AS12" i="1"/>
  <c r="AR12" i="1"/>
  <c r="AT11" i="1"/>
  <c r="AS11" i="1"/>
  <c r="AR11" i="1"/>
  <c r="AT10" i="1"/>
  <c r="AS10" i="1"/>
  <c r="AT9" i="1"/>
  <c r="AS9" i="1"/>
  <c r="AR9" i="1"/>
  <c r="AT8" i="1"/>
  <c r="AS8" i="1"/>
  <c r="AT7" i="1"/>
  <c r="AS7" i="1"/>
  <c r="AT6" i="1"/>
  <c r="AS6" i="1"/>
  <c r="AR6" i="1"/>
  <c r="AT5" i="1"/>
  <c r="AS5" i="1"/>
  <c r="AT4" i="1"/>
  <c r="AS4" i="1"/>
  <c r="AR4" i="1"/>
  <c r="AT3" i="1"/>
  <c r="AS3" i="1"/>
  <c r="AR3" i="1"/>
  <c r="AT2" i="1"/>
  <c r="AS2" i="1"/>
  <c r="AR2" i="1"/>
</calcChain>
</file>

<file path=xl/sharedStrings.xml><?xml version="1.0" encoding="utf-8"?>
<sst xmlns="http://schemas.openxmlformats.org/spreadsheetml/2006/main" count="9660" uniqueCount="2787">
  <si>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</si>
  <si>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</si>
  <si>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</si>
  <si>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</si>
  <si>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</si>
  <si>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</si>
  <si>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</si>
  <si>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</si>
  <si>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</si>
  <si>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</si>
  <si>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</si>
  <si>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</si>
  <si>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</si>
  <si>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</si>
  <si>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</si>
  <si>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</si>
  <si>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</si>
  <si>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</si>
  <si>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</si>
  <si>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</si>
  <si>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</si>
  <si>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</si>
  <si>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</si>
  <si>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</si>
  <si>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</si>
  <si>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</si>
  <si>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</si>
  <si>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</si>
  <si>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</si>
  <si>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</si>
  <si>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</si>
  <si>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</si>
  <si>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</si>
  <si>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</si>
  <si>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</si>
  <si>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</si>
  <si>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</si>
  <si>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</si>
  <si>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</si>
  <si>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</si>
  <si>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</si>
  <si>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</si>
  <si>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</si>
  <si>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</si>
  <si>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</si>
  <si>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R111 .N58</t>
  </si>
  <si>
    <t>0                      R  0111000N  58</t>
  </si>
  <si>
    <t>Physiology or medicine.</t>
  </si>
  <si>
    <t>V. 1</t>
  </si>
  <si>
    <t>Yes</t>
  </si>
  <si>
    <t>1</t>
  </si>
  <si>
    <t>No</t>
  </si>
  <si>
    <t>0</t>
  </si>
  <si>
    <t>Nobelstiftelsen.</t>
  </si>
  <si>
    <t>Amsterdam ; New York : Published for the Nobel Foundation by Elsevier Pub. Co., 1964-</t>
  </si>
  <si>
    <t>1964</t>
  </si>
  <si>
    <t>eng</t>
  </si>
  <si>
    <t xml:space="preserve">ne </t>
  </si>
  <si>
    <t>Nobel lectures, including presentation speeches and laureates' biographies</t>
  </si>
  <si>
    <t xml:space="preserve">R  </t>
  </si>
  <si>
    <t>2010-12-21</t>
  </si>
  <si>
    <t>2000-02-02</t>
  </si>
  <si>
    <t>V. 2</t>
  </si>
  <si>
    <t>V. 3</t>
  </si>
  <si>
    <t>R117 .M392 1968</t>
  </si>
  <si>
    <t>0                      R  0117000M  392         1968</t>
  </si>
  <si>
    <t>Medicine, science, and culture; historical essays in honor of Owsei Temkin / edited by Lloyd G. Stevenson and Robert P. Multhauf.</t>
  </si>
  <si>
    <t>Baltimore : Johns Hopkins Press, c1968.</t>
  </si>
  <si>
    <t>1968</t>
  </si>
  <si>
    <t>mdu</t>
  </si>
  <si>
    <t>1995-04-17</t>
  </si>
  <si>
    <t>1993-03-05</t>
  </si>
  <si>
    <t>R119 .K55 1991</t>
  </si>
  <si>
    <t>0                      R  0119000K  55          1991</t>
  </si>
  <si>
    <t>Why not say it clearly : a guide to expository writing / Lester S. King.</t>
  </si>
  <si>
    <t>King, Lester S. (Lester Snow), 1908-2002.</t>
  </si>
  <si>
    <t>Boston : Little, Brown, 1991.</t>
  </si>
  <si>
    <t>1991</t>
  </si>
  <si>
    <t>2nd ed.</t>
  </si>
  <si>
    <t>mau</t>
  </si>
  <si>
    <t>1995-12-15</t>
  </si>
  <si>
    <t>1993-08-16</t>
  </si>
  <si>
    <t>R121 .N466 1988</t>
  </si>
  <si>
    <t>0                      R  0121000N  466         1988</t>
  </si>
  <si>
    <t>New American pocket medical dictionary / edited by Nancy Roper ; adapted from the fourteenth British edition by Jane Clark Jackson.</t>
  </si>
  <si>
    <t>New York : Scribner, c1988.</t>
  </si>
  <si>
    <t>1988</t>
  </si>
  <si>
    <t>nyu</t>
  </si>
  <si>
    <t>2007-04-12</t>
  </si>
  <si>
    <t>1999-06-21</t>
  </si>
  <si>
    <t>R121 .U73 1990</t>
  </si>
  <si>
    <t>0                      R  0121000U  73          1990</t>
  </si>
  <si>
    <t>The Bantam medical dictionary / prepared by the editors of Market House Books Ltd.</t>
  </si>
  <si>
    <t>New York : Bantam Books, c1990.</t>
  </si>
  <si>
    <t>1990</t>
  </si>
  <si>
    <t>Rev. ed.</t>
  </si>
  <si>
    <t>2007-05-10</t>
  </si>
  <si>
    <t>1996-08-05</t>
  </si>
  <si>
    <t>R126 .A93 1984</t>
  </si>
  <si>
    <t>0                      R  0126000A  93          1984</t>
  </si>
  <si>
    <t>Commentaria Averrois in Galenum / edidit Ma. de la Concepción Vázquez de Benito.</t>
  </si>
  <si>
    <t>Averroës, 1126-1198.</t>
  </si>
  <si>
    <t>Madrid : Consejo Superior de Investigaciones Científicas, Instituto "Miguel Asín" : Instituto Hispano-Arabe de Cultura, 1984.</t>
  </si>
  <si>
    <t>1984</t>
  </si>
  <si>
    <t>ara</t>
  </si>
  <si>
    <t xml:space="preserve">sp </t>
  </si>
  <si>
    <t>Corpus philosophorum Medii Aevi</t>
  </si>
  <si>
    <t>R126.G8 B74 1986</t>
  </si>
  <si>
    <t>0                      R  0126000G  8                  B  74          1986</t>
  </si>
  <si>
    <t>Galen on bloodletting : a study of the origins, development, and validity of his opinions, with a translation of the three works / Peter Brain.</t>
  </si>
  <si>
    <t>Brain, Peter.</t>
  </si>
  <si>
    <t>Cambridge [Cambridgeshire] ; New York : Cambridge University Press, 1986.</t>
  </si>
  <si>
    <t>1986</t>
  </si>
  <si>
    <t>enk</t>
  </si>
  <si>
    <t>2007-03-17</t>
  </si>
  <si>
    <t>1992-02-19</t>
  </si>
  <si>
    <t>R126.H59 M313 1971</t>
  </si>
  <si>
    <t>0                      R  0126000H  59                 M  313         1971</t>
  </si>
  <si>
    <t>Kitāb Buqrāṭ fiʼl-akhlāt (Hippocrates: On humours); and, Kitāb al-ghidhaʼ li-Buqrāṭ (Hippocrates: On nutriment) / edited and translated [from the ancient Greek] with introduction, notes and glossary by J. N. Mattock.</t>
  </si>
  <si>
    <t>Hippocrates.</t>
  </si>
  <si>
    <t>Cambridge : (20 Trinity St., Cambridge, CB2 3NG), W. Heffer and Sons Ltd [for] Cambridge Middle East Centre, 1971.</t>
  </si>
  <si>
    <t>1971</t>
  </si>
  <si>
    <t>Arabic technical and scientific texts ; v. 6</t>
  </si>
  <si>
    <t>1995-09-09</t>
  </si>
  <si>
    <t>1993-08-20</t>
  </si>
  <si>
    <t>R126.H8 A1 1985</t>
  </si>
  <si>
    <t>0                      R  0126000H  8                  A  1           1985</t>
  </si>
  <si>
    <t>Hippocrates Latinus : repertorium of Hippocratic writings in the Latin Middle Ages / by Pearl Kibre.</t>
  </si>
  <si>
    <t>Kibre, Pearl, 1903-</t>
  </si>
  <si>
    <t>1985</t>
  </si>
  <si>
    <t>1993-04-16</t>
  </si>
  <si>
    <t>1992-05-12</t>
  </si>
  <si>
    <t>R126.H8 C65 1987</t>
  </si>
  <si>
    <t>0                      R  0126000H  8                  C  65          1987</t>
  </si>
  <si>
    <t>La maladie et les maladies dans la Collection hippocratique : actes du VIe Colloque international hippocratique (Québec, du 28 septembre au 3 octobre 1987 / édition préparée par Paul Potter, Gilles Maloney, Jacques Desautels.</t>
  </si>
  <si>
    <t>International Hippocrates Colloquium (6th : 1987 : Québec, Québec)</t>
  </si>
  <si>
    <t>Québec : Éditions du sphinx, 1990.</t>
  </si>
  <si>
    <t>fre</t>
  </si>
  <si>
    <t>quc</t>
  </si>
  <si>
    <t>2008-07-01</t>
  </si>
  <si>
    <t>1992-03-06</t>
  </si>
  <si>
    <t>R128.3 .A953 1987</t>
  </si>
  <si>
    <t>0                      R  0128300A  953         1987</t>
  </si>
  <si>
    <t>Kitāb al-Kullīyyāt fī l-tibb / Ibn Rušd ; J.M. Fórneas Besteiro, C. Álvarez de Morales.</t>
  </si>
  <si>
    <t>V.2</t>
  </si>
  <si>
    <t>Madrid : Consejo Superior de Investigaciones Cientificas, Escuela de Estudios Árabes de Granada, c1987.</t>
  </si>
  <si>
    <t>1987</t>
  </si>
  <si>
    <t>2001-04-27</t>
  </si>
  <si>
    <t>V.1</t>
  </si>
  <si>
    <t>R128.3 .A97 1982 v...</t>
  </si>
  <si>
    <t>0                      R  0128300A  97          1982                                        v...</t>
  </si>
  <si>
    <t>al-Qānūn fī al-ṭibb / taʼlīf Abū ʻAlī al-Ḥusayn ibn ʻAbd ʻAllāh ibn Sīnā.</t>
  </si>
  <si>
    <t>Avicenna, 980-1037.</t>
  </si>
  <si>
    <t>New Delhi : Vikas, c1982-</t>
  </si>
  <si>
    <t>1982</t>
  </si>
  <si>
    <t>al-Ṭabʻah al-munaqqaḥah.</t>
  </si>
  <si>
    <t xml:space="preserve">ii </t>
  </si>
  <si>
    <t>2003-03-05</t>
  </si>
  <si>
    <t>R128.3 .A9814 1956</t>
  </si>
  <si>
    <t>0                      R  0128300A  9814        1956</t>
  </si>
  <si>
    <t>Poème de la médecine : Urǧūza fī ʹṭ-ṭibb. Cantica Avicennæ / texte arabe, traduction française, traduction latine du XIIIe siècle avec introductons, notes et index établi et présenté par Henri Jahier [et] Abdelkader Noureddine.</t>
  </si>
  <si>
    <t>Paris : Société d'édition "Les Belles Lettres," 1956.</t>
  </si>
  <si>
    <t>1956</t>
  </si>
  <si>
    <t>mul</t>
  </si>
  <si>
    <t xml:space="preserve">fr </t>
  </si>
  <si>
    <t>Collection arabe pub. sous le patronage de l'Association Guillaume Budé</t>
  </si>
  <si>
    <t>R128.3 .H8613 1980</t>
  </si>
  <si>
    <t>0                      R  0128300H  8613        1980</t>
  </si>
  <si>
    <t>Questions on medicine for scholars / by Ḥunayn ibn Isḥāq ; translated into English, with a preface and historical note, by Paul Ghalioungui, from a critical edition by Galal M. Moussa, of the ninth century Arabic text, "al Masaʼil fi al-tibb lil mutaʼallimin".</t>
  </si>
  <si>
    <t>Ḥunayn ibn Isḥāq al-ʻIbādī, 809?-873.</t>
  </si>
  <si>
    <t>Cairo, A.R.E. : al-Ahram Center for Scientific Translations ; Springfield, Va. : available from the U.S. Dept. of Commerce, National Technical Information Service, 1980.</t>
  </si>
  <si>
    <t>1980</t>
  </si>
  <si>
    <t xml:space="preserve">ua </t>
  </si>
  <si>
    <t>R128.3 .I13415 1984</t>
  </si>
  <si>
    <t>0                      R  0128300I  13415       1984</t>
  </si>
  <si>
    <t>Das Ärztebankett / Ibn Buṭlān ; aus arabischen Handschriften übersetzt und mit einer Einleitung sowie Anmerkungen versehen von Felix Klein-Franke.</t>
  </si>
  <si>
    <t>Ibn Buṭlān, -approximately 1068.</t>
  </si>
  <si>
    <t>Stuttgart : Hippokrates, c1984.</t>
  </si>
  <si>
    <t>ger</t>
  </si>
  <si>
    <t xml:space="preserve">gw </t>
  </si>
  <si>
    <t>1996-03-11</t>
  </si>
  <si>
    <t>R128.3 .I253 1983</t>
  </si>
  <si>
    <t>0                      R  0128300I  253         1983</t>
  </si>
  <si>
    <t>Treatise to Ṣalāḥ ad-Dīn on the revival of the art of medicine / by Ibn Jumayʻ ; edited and translated by Hartmut Fähndrich.</t>
  </si>
  <si>
    <t>Ibn Jumayʻ, Hibat Allāh ibn Zayn, -1198.</t>
  </si>
  <si>
    <t>Wiesbaden : Kommissionsverlag F. Steiner, 1983.</t>
  </si>
  <si>
    <t>1983</t>
  </si>
  <si>
    <t>Abhandlungen für die Kunde des Morgenlandes, 0567-4980 ; XLVI, 3</t>
  </si>
  <si>
    <t>2008-05-20</t>
  </si>
  <si>
    <t>R128.3 .W8</t>
  </si>
  <si>
    <t>0                      R  0128300W  8</t>
  </si>
  <si>
    <t>Geschichte der Arabischen aerzte und naturforscher / Nach den quellen bearbeitet von Ferdinand Wüstenfeld.</t>
  </si>
  <si>
    <t>Wüstenfeld, Ferdinand, 1808-1899.</t>
  </si>
  <si>
    <t>New York : Georg Olms Verlag, 1978.</t>
  </si>
  <si>
    <t>1978</t>
  </si>
  <si>
    <t>1992-03-13</t>
  </si>
  <si>
    <t>R131 .C7</t>
  </si>
  <si>
    <t>0                      R  0131000C  7</t>
  </si>
  <si>
    <t>Divided legacy : a history of the schism in medical thought/ Harris L. Coulter.</t>
  </si>
  <si>
    <t>Coulter, Harris L. (Harris Livermore), 1932-</t>
  </si>
  <si>
    <t>Washington, Wehawken Book Co., 1973-94 [v. 1, 1975]</t>
  </si>
  <si>
    <t>1973</t>
  </si>
  <si>
    <t>dcu</t>
  </si>
  <si>
    <t>1999-03-18</t>
  </si>
  <si>
    <t>1998-02-11</t>
  </si>
  <si>
    <t>V.3</t>
  </si>
  <si>
    <t>R131 .D78 1979</t>
  </si>
  <si>
    <t>0                      R  0131000D  78          1979</t>
  </si>
  <si>
    <t>Mirage of health : utopias, progress, and biological change / by René Dubos.</t>
  </si>
  <si>
    <t>Dubos, René J. (René Jules), 1901-1982.</t>
  </si>
  <si>
    <t>New York : Harper &amp; Row, 1979, c1959.</t>
  </si>
  <si>
    <t>1979</t>
  </si>
  <si>
    <t>Harper colophon books ; CN 677</t>
  </si>
  <si>
    <t>2003-02-26</t>
  </si>
  <si>
    <t>R131 .E78</t>
  </si>
  <si>
    <t>0                      R  0131000E  78</t>
  </si>
  <si>
    <t>Essays on the history of medicine : selected from the Bulletin of the New York Academy of Medicine / edited by Saul Jarcho.</t>
  </si>
  <si>
    <t>New York : Science History Publications, c1976.</t>
  </si>
  <si>
    <t>1976</t>
  </si>
  <si>
    <t>The History of medicine series ; no. 47</t>
  </si>
  <si>
    <t>2005-03-14</t>
  </si>
  <si>
    <t>1994-05-04</t>
  </si>
  <si>
    <t>R131 .G3 1929</t>
  </si>
  <si>
    <t>0                      R  0131000G  3           1929</t>
  </si>
  <si>
    <t>An introduction to the history of medicine : with medical chronology, suggestions for study and bibliographic data / by Fielding H. Garrison.</t>
  </si>
  <si>
    <t>Garrison, Fielding H. (Fielding Hudson), 1870-1935.</t>
  </si>
  <si>
    <t>Philadelphia ; London : W.B. Saunders Company, 1929.</t>
  </si>
  <si>
    <t>1929</t>
  </si>
  <si>
    <t>4th ed., rev. and enl.</t>
  </si>
  <si>
    <t>pau</t>
  </si>
  <si>
    <t>1994-11-01</t>
  </si>
  <si>
    <t>1992-12-17</t>
  </si>
  <si>
    <t>R131 .M27</t>
  </si>
  <si>
    <t>0                      R  0131000M  27</t>
  </si>
  <si>
    <t>Centaur; essays on the history of medical ideas.</t>
  </si>
  <si>
    <t>Martí-Ibáñez, Félix, 1915-1972.</t>
  </si>
  <si>
    <t>New York, MD Publications [1958]</t>
  </si>
  <si>
    <t>1958</t>
  </si>
  <si>
    <t>2010-04-10</t>
  </si>
  <si>
    <t>1997-08-07</t>
  </si>
  <si>
    <t>R133.6 .H53 1995</t>
  </si>
  <si>
    <t>0                      R  0133600H  53          1995</t>
  </si>
  <si>
    <t>Hidden histories of science / edited by Robert B. Silvers.</t>
  </si>
  <si>
    <t>New York : New York Review of Books, c1995.</t>
  </si>
  <si>
    <t>1995</t>
  </si>
  <si>
    <t>1st ed.</t>
  </si>
  <si>
    <t>2000-02-01</t>
  </si>
  <si>
    <t>1995-12-05</t>
  </si>
  <si>
    <t>R134 .A43 2001</t>
  </si>
  <si>
    <t>0                      R  0134000A  43          2001</t>
  </si>
  <si>
    <t>Medicos en la historia y en la vida / Rafael Alfáu Cambiaso.</t>
  </si>
  <si>
    <t>Alfáu Cambiaso, Rafael, 1923-</t>
  </si>
  <si>
    <t>Santo Domingo, R.D. : Cocolo Editorial, 2001.</t>
  </si>
  <si>
    <t>2001</t>
  </si>
  <si>
    <t>1. ed.</t>
  </si>
  <si>
    <t>spa</t>
  </si>
  <si>
    <t xml:space="preserve">dr </t>
  </si>
  <si>
    <t>2002-02-19</t>
  </si>
  <si>
    <t>R135 .M34</t>
  </si>
  <si>
    <t>0                      R  0135000M  34</t>
  </si>
  <si>
    <t>The healing hand : man and wound in the ancient world / Guido Majno.</t>
  </si>
  <si>
    <t>Majno, Guido.</t>
  </si>
  <si>
    <t>Cambridge, Mass. : Harvard University Press, 1975.</t>
  </si>
  <si>
    <t>1975</t>
  </si>
  <si>
    <t>2006-03-13</t>
  </si>
  <si>
    <t>1994-02-14</t>
  </si>
  <si>
    <t>R135.5 .G72 1977</t>
  </si>
  <si>
    <t>0                      R  0135500G  72          1977</t>
  </si>
  <si>
    <t>Search the Scriptures : modern medicine and Biblical personages / Robert B. Greenblatt ; foreword by Henry King Stanford.</t>
  </si>
  <si>
    <t>Greenblatt, Robert B. (Robert Benjamin), 1906-1987.</t>
  </si>
  <si>
    <t>Philadelphia : Lippincott, c1977.</t>
  </si>
  <si>
    <t>1977</t>
  </si>
  <si>
    <t>3d and enl. ed.</t>
  </si>
  <si>
    <t>2002-09-13</t>
  </si>
  <si>
    <t>1992-10-26</t>
  </si>
  <si>
    <t>R135.5 .J3 1975</t>
  </si>
  <si>
    <t>0                      R  0135500J  3           1975</t>
  </si>
  <si>
    <t>Jewish medical ethics : a comparative and historical study of the Jewish religious attitude to medicine and its practice / by Immanuel Jakobovits.</t>
  </si>
  <si>
    <t>Jakobovits, Immanuel, Sir, 1921-1999.</t>
  </si>
  <si>
    <t>New York : Bloch Pub. Co., c1975.</t>
  </si>
  <si>
    <t>2000-04-21</t>
  </si>
  <si>
    <t>1992-09-14</t>
  </si>
  <si>
    <t>R135.5 .K44 1986</t>
  </si>
  <si>
    <t>0                      R  0135500K  44          1986</t>
  </si>
  <si>
    <t>Medicine, miracle, and magic in New Testament times / H.C. Kee.</t>
  </si>
  <si>
    <t>Kee, Howard Clark.</t>
  </si>
  <si>
    <t>Monograph series (Society for New Testament Studies) ; 55</t>
  </si>
  <si>
    <t>1993-02-17</t>
  </si>
  <si>
    <t>R135.5 .P7413 1978</t>
  </si>
  <si>
    <t>0                      R  0135500P  7413        1978</t>
  </si>
  <si>
    <t>Julius Preuss' Biblical and Talmudic medicine / translated and edited by Fred Rosner. --</t>
  </si>
  <si>
    <t>Preuss, Julius, 1861-1913.</t>
  </si>
  <si>
    <t>New York : Sanhedrin Press, [1978] c1977.</t>
  </si>
  <si>
    <t>2010-03-28</t>
  </si>
  <si>
    <t>R141 .H43 1992</t>
  </si>
  <si>
    <t>0                      R  0141000H  43          1992</t>
  </si>
  <si>
    <t>Health, disease, and healing in medieval culture / edited by Sheila Campbell, Bert Hall, David Klausner.</t>
  </si>
  <si>
    <t>New York : St. Martin's Press, 1992.</t>
  </si>
  <si>
    <t>1992</t>
  </si>
  <si>
    <t>2010-05-03</t>
  </si>
  <si>
    <t>1992-05-15</t>
  </si>
  <si>
    <t>R141 .H46 1972</t>
  </si>
  <si>
    <t>0                      R  0141000H  46          1972</t>
  </si>
  <si>
    <t>Medical works of the fourteenth century : together with a list of plants recorded in contemporary writings, with their identifications / by G. Henslow.</t>
  </si>
  <si>
    <t>Henslow, George, 1835-1925.</t>
  </si>
  <si>
    <t>New York : B. Franklin, [1972]</t>
  </si>
  <si>
    <t>1972</t>
  </si>
  <si>
    <t>Burt Franklin: bibliography &amp; reference series, 458. Science classic series, 11</t>
  </si>
  <si>
    <t>R141 .R8 1974</t>
  </si>
  <si>
    <t>0                      R  0141000R  8           1974</t>
  </si>
  <si>
    <t>Medieval English medicine / Stanley Rubin.</t>
  </si>
  <si>
    <t>Rubin, Stanley.</t>
  </si>
  <si>
    <t>Newton Abbot : David &amp; Charles ; New York : Barnes &amp; Noble Books, 1974.</t>
  </si>
  <si>
    <t>1974</t>
  </si>
  <si>
    <t>1994-04-27</t>
  </si>
  <si>
    <t>R141 .T49 2005</t>
  </si>
  <si>
    <t>0                      R  0141000T  49          2005</t>
  </si>
  <si>
    <t>Textual healing : essays on medieval and early modern medicine / edited by Elizabeth Lane Furdell.</t>
  </si>
  <si>
    <t>Leiden ; Boston : Brill, 2005.</t>
  </si>
  <si>
    <t>2005</t>
  </si>
  <si>
    <t>Studies in medieval and Reformation traditions, 1573-4188 ; v. 110</t>
  </si>
  <si>
    <t>2005-11-17</t>
  </si>
  <si>
    <t>R143 .K33 1975</t>
  </si>
  <si>
    <t>0                      R  0143000K  33          1975</t>
  </si>
  <si>
    <t>Encyclopaedia of Islamic medicine : with a Greco-Roman back-ground / by Hassan Kamal.</t>
  </si>
  <si>
    <t>Kamal Hassan.</t>
  </si>
  <si>
    <t>[Cairo] : General Egyptian Book Organization, 1975.</t>
  </si>
  <si>
    <t>2008-03-04</t>
  </si>
  <si>
    <t>R143 .T21 1968</t>
  </si>
  <si>
    <t>0                      R  0143000T  21          1968</t>
  </si>
  <si>
    <t>Kitāb al-tashwiq al-tibbī.</t>
  </si>
  <si>
    <t>Sāʻid ibn al-Ḥasan, active 11th century.</t>
  </si>
  <si>
    <t>Bonn : Selbstverlag des Orientalischen Seminars der Universitat, 1968.</t>
  </si>
  <si>
    <t>Bonner orientalistische Studien. Neue Serie ; Bd. 16</t>
  </si>
  <si>
    <t>R145 .R44</t>
  </si>
  <si>
    <t>0                      R  0145000R  44</t>
  </si>
  <si>
    <t>Medicine and the reign of technology / Stanley Joel Reiser.</t>
  </si>
  <si>
    <t>Reiser, Stanley Joel.</t>
  </si>
  <si>
    <t>Cambridge ; New York : Cambridge University Press, 1978.</t>
  </si>
  <si>
    <t>1994-05-24</t>
  </si>
  <si>
    <t>1992-02-06</t>
  </si>
  <si>
    <t>R145 .S45 1979</t>
  </si>
  <si>
    <t>0                      R  0145000S  45          1979</t>
  </si>
  <si>
    <t>The development of modern medicine : an interpretation of the social and scientific factors involved / by Richard Harrison Shryock.</t>
  </si>
  <si>
    <t>Shryock, Richard Harrison, 1893-1972.</t>
  </si>
  <si>
    <t>Madison : The University of Wisconsin Press, 1979.</t>
  </si>
  <si>
    <t>wiu</t>
  </si>
  <si>
    <t>2007-04-19</t>
  </si>
  <si>
    <t>1992-12-16</t>
  </si>
  <si>
    <t>R147.M38 R52</t>
  </si>
  <si>
    <t>0                      R  0147000M  38                 R  52</t>
  </si>
  <si>
    <t>Vida y milagros de un pícaro del siglo XVI : biografía del bachiller Juan Méndez Nieto / Carlos Rico-Avello.</t>
  </si>
  <si>
    <t>Rico-Avello, Carlos.</t>
  </si>
  <si>
    <t>Madrid : Cultura Hispánica, 1974.</t>
  </si>
  <si>
    <t>2010-04-20</t>
  </si>
  <si>
    <t>R148 .K5</t>
  </si>
  <si>
    <t>0                      R  0148000K  5</t>
  </si>
  <si>
    <t>The medical world of the eighteenth century / Lester S. King.</t>
  </si>
  <si>
    <t>Chicago : University of Chicago Press, 1958.</t>
  </si>
  <si>
    <t>ilu</t>
  </si>
  <si>
    <t>1991-11-12</t>
  </si>
  <si>
    <t>R148 .K515</t>
  </si>
  <si>
    <t>0                      R  0148000K  515</t>
  </si>
  <si>
    <t>The philosophy of medicine : the early eighteenth century / Lester S. King.</t>
  </si>
  <si>
    <t>Cambridge, Mass. : Harvard University Press, 1978.</t>
  </si>
  <si>
    <t>2006-11-21</t>
  </si>
  <si>
    <t>R148 .S45 1972</t>
  </si>
  <si>
    <t>0                      R  0148000S  45          1972</t>
  </si>
  <si>
    <t>Medicine and society in America, 1660-1860 / Richard Harrison Shryock.</t>
  </si>
  <si>
    <t>Ithaca, N. Y. : Cornell University Press, c1972, 1984 printing.</t>
  </si>
  <si>
    <t>Cornell paperbacks</t>
  </si>
  <si>
    <t>1999-04-20</t>
  </si>
  <si>
    <t>R148 .W54 1986</t>
  </si>
  <si>
    <t>0                      R  0148000W  54          1986</t>
  </si>
  <si>
    <t>The age of agony : the art of healing, c. 1700-1800 / Guy Williams.</t>
  </si>
  <si>
    <t>Williams, Guy R.</t>
  </si>
  <si>
    <t>Chicago, Ill. : Academy Chicago Publishers, 1986, c1975.</t>
  </si>
  <si>
    <t>2010-11-01</t>
  </si>
  <si>
    <t>2001-07-16</t>
  </si>
  <si>
    <t>R149 .W45 1987</t>
  </si>
  <si>
    <t>0                      R  0149000W  45          1987</t>
  </si>
  <si>
    <t>The age of miracles : medicine and surgery in the nineteenth century / Guy Williams.</t>
  </si>
  <si>
    <t>Chicago, Ill. : Academy Chicago Publishers, 1987, c1981.</t>
  </si>
  <si>
    <t>2008-11-07</t>
  </si>
  <si>
    <t>R15.A55 W58 1994</t>
  </si>
  <si>
    <t>0                      R  0015000A  55                 W  58          1994</t>
  </si>
  <si>
    <t>The serpent on the staff : the unhealthy politics of the American Medical Association / Howard Wolinsky and Tom Brune.</t>
  </si>
  <si>
    <t>Wolinsky, Howard.</t>
  </si>
  <si>
    <t>New York : G.P. Putnam's Sons, c1994.</t>
  </si>
  <si>
    <t>1994</t>
  </si>
  <si>
    <t>2009-04-19</t>
  </si>
  <si>
    <t>1994-06-10</t>
  </si>
  <si>
    <t>R150 .C65 1995</t>
  </si>
  <si>
    <t>0                      R  0150000C  65          1995</t>
  </si>
  <si>
    <t>Columbus and the New World : medical implications / edited by Guy A. Settipane.</t>
  </si>
  <si>
    <t>Providence, RI : OceanSide Publications, 1995.</t>
  </si>
  <si>
    <t>riu</t>
  </si>
  <si>
    <t>2004-11-21</t>
  </si>
  <si>
    <t>1999-04-28</t>
  </si>
  <si>
    <t>R151 .B58 1976</t>
  </si>
  <si>
    <t>0                      R  0151000B  58          1976</t>
  </si>
  <si>
    <t>Two centuries of American medicine, 1776-1976 / James Bordley III, A. McGehee Harvey.</t>
  </si>
  <si>
    <t>Bordley, James, 1900-1979.</t>
  </si>
  <si>
    <t>Philadelphia : Saunders, 1976.</t>
  </si>
  <si>
    <t>1993-07-12</t>
  </si>
  <si>
    <t>1992-01-27</t>
  </si>
  <si>
    <t>R151 .B75 1972</t>
  </si>
  <si>
    <t>0                      R  0151000B  75          1972</t>
  </si>
  <si>
    <t>Medical America in the nineteenth century : readings from the literature / edited by Gert H. Brieger.</t>
  </si>
  <si>
    <t>Brieger, Gert H., compiler.</t>
  </si>
  <si>
    <t>Baltimore : Johns Hopkins Press, [1972]</t>
  </si>
  <si>
    <t>2005-10-10</t>
  </si>
  <si>
    <t>1991-12-10</t>
  </si>
  <si>
    <t>R151 .R68 1972</t>
  </si>
  <si>
    <t>0                      R  0151000R  68          1972</t>
  </si>
  <si>
    <t>American physicians in the nineteenth century : from sects to science / [by] William G. Rothstein.</t>
  </si>
  <si>
    <t>Rothstein, William G.</t>
  </si>
  <si>
    <t>Baltimore : Johns Hopkins University Press, [1972]</t>
  </si>
  <si>
    <t>1996-11-19</t>
  </si>
  <si>
    <t>R152 .H354 1981</t>
  </si>
  <si>
    <t>0                      R  0152000H  354         1981</t>
  </si>
  <si>
    <t>American medicine in transition 1840-1910 / by John S. Haller, Jr.</t>
  </si>
  <si>
    <t>Haller, John S., Jr., 1940-</t>
  </si>
  <si>
    <t>Urbana : University of Illinois Press, c1981.</t>
  </si>
  <si>
    <t>1981</t>
  </si>
  <si>
    <t>R152 .K56 1984</t>
  </si>
  <si>
    <t>0                      R  0152000K  56          1984</t>
  </si>
  <si>
    <t>American medicine comes of age, 1840-1920 : essays to commemorate the founding of the Journal of the American Medical Association, July 14, 1883 / Lester S. King.</t>
  </si>
  <si>
    <t>[Chicago, Ill.] : AMA, c1984.</t>
  </si>
  <si>
    <t>2001-04-18</t>
  </si>
  <si>
    <t>R152 .W45 1984</t>
  </si>
  <si>
    <t>0                      R  0152000W  45          1984</t>
  </si>
  <si>
    <t>Conversations in medicine : the story of twentieth-century American medicine in the words of those who created it / Allen B. Weisse.</t>
  </si>
  <si>
    <t>Weisse, Allen B.</t>
  </si>
  <si>
    <t>New York : New York University Press, 1984.</t>
  </si>
  <si>
    <t>2002-03-28</t>
  </si>
  <si>
    <t>R154.C17 A3 2005</t>
  </si>
  <si>
    <t>0                      R  0154000C  17                 A  3           2005</t>
  </si>
  <si>
    <t>To bear witness : a journey of healing and solidarity / Kevin M. Cahill.</t>
  </si>
  <si>
    <t>Cahill, Kevin M.</t>
  </si>
  <si>
    <t>New York : Fordham University Press, 2005.</t>
  </si>
  <si>
    <t>2009-10-01</t>
  </si>
  <si>
    <t>R154.C96 F8</t>
  </si>
  <si>
    <t>0                      R  0154000C  96                 F  8</t>
  </si>
  <si>
    <t>Harvey Cushing : a biography / by John F. Fulton. --</t>
  </si>
  <si>
    <t>Fulton, John F. (John Farquhar), 1899-1960.</t>
  </si>
  <si>
    <t>Springfield, Ill. : C. C. Thomas, 1946.</t>
  </si>
  <si>
    <t>1946</t>
  </si>
  <si>
    <t>___</t>
  </si>
  <si>
    <t>Yale university. School of medicine. Yale medical library. Historical library. Publication no. 13</t>
  </si>
  <si>
    <t>1993-09-05</t>
  </si>
  <si>
    <t>R154.R355 A3 1987</t>
  </si>
  <si>
    <t>0                      R  0154000R  355                A  3           1987</t>
  </si>
  <si>
    <t>To do no harm : a journey through medical school / Philip Reilly.</t>
  </si>
  <si>
    <t>Reilly, Philip, 1947-</t>
  </si>
  <si>
    <t>Dover, Mass. : Auburn House Pub. Co., c1987.</t>
  </si>
  <si>
    <t>2007-03-02</t>
  </si>
  <si>
    <t>1990-07-17</t>
  </si>
  <si>
    <t>R154.S358 A3 1992</t>
  </si>
  <si>
    <t>0                      R  0154000S  358                A  3           1992</t>
  </si>
  <si>
    <t>Down from Troy : a doctor comes of age / Richard Selzer.</t>
  </si>
  <si>
    <t>Selzer, Richard, 1928-2016.</t>
  </si>
  <si>
    <t>New York : William Morrow, c1992.</t>
  </si>
  <si>
    <t>1995-04-25</t>
  </si>
  <si>
    <t>1993-07-14</t>
  </si>
  <si>
    <t>R154.V57 A33</t>
  </si>
  <si>
    <t>0                      R  0154000V  57                 A  33</t>
  </si>
  <si>
    <t>The making of a psychiatrist [by] David S. Viscott.</t>
  </si>
  <si>
    <t>Viscott, David S., 1938-</t>
  </si>
  <si>
    <t>New York, Arbor House [1972]</t>
  </si>
  <si>
    <t>2003-09-17</t>
  </si>
  <si>
    <t>R154.W298 A33</t>
  </si>
  <si>
    <t>0                      R  0154000W  298                A  33</t>
  </si>
  <si>
    <t>A doctor on the California trail : the diary of Dr. John Hudson Wayman from Cambridge City, Indiana, to the gold fields in 1852 / edited by Edgeley Woodman Todd.</t>
  </si>
  <si>
    <t>Wayman, John Hudson, 1820-1867.</t>
  </si>
  <si>
    <t>Denver : Old West Pub. Co., [1971]</t>
  </si>
  <si>
    <t>cou</t>
  </si>
  <si>
    <t>2005-12-14</t>
  </si>
  <si>
    <t>R314.P5 K66 1977</t>
  </si>
  <si>
    <t>0                      R  0314000P  5                  K  66          1977</t>
  </si>
  <si>
    <t>Standard history of the medical profession of Philadelphia / by Burton A. Konkle, with the collaboration of James M. Anders ... [et al.] ; edited by Frederick P. Henry.</t>
  </si>
  <si>
    <t>Konkle, Burton Alva, 1861-1944.</t>
  </si>
  <si>
    <t>New York : AMS Press, 1977.</t>
  </si>
  <si>
    <t>2d ed., enl. and corr., 1973-1974 / by Lisabeth M. Holloway ; with an index and bibliography.</t>
  </si>
  <si>
    <t>2009-03-16</t>
  </si>
  <si>
    <t>1993-03-08</t>
  </si>
  <si>
    <t>R471.G8 S5</t>
  </si>
  <si>
    <t>0                      R  0471000G  8                  S  5</t>
  </si>
  <si>
    <t>Illness and curing in a Guatemalan village : a study in ethnomedicine / George Simeon.</t>
  </si>
  <si>
    <t>Simeon, George.</t>
  </si>
  <si>
    <t>Honolulu : University of Hawaii, 1977.</t>
  </si>
  <si>
    <t>hiu</t>
  </si>
  <si>
    <t>2003-04-23</t>
  </si>
  <si>
    <t>R476.R657 Z34 1997</t>
  </si>
  <si>
    <t>0                      R  0476000R  657                Z  34          1997</t>
  </si>
  <si>
    <t>Despreciada en la vida y olvidada en la muerte : biografía de Evangelina Rodríguez, la primera médica dominicana / Antonio Zaglul.</t>
  </si>
  <si>
    <t>Zaglul, Antonio.</t>
  </si>
  <si>
    <t>Santo Domingo, República Dominicana : Taller, 1997.</t>
  </si>
  <si>
    <t>1997</t>
  </si>
  <si>
    <t>3. ed.</t>
  </si>
  <si>
    <t>Biblioteca Taller ; 117</t>
  </si>
  <si>
    <t>2002-06-03</t>
  </si>
  <si>
    <t>2002-05-23</t>
  </si>
  <si>
    <t>R484 .D57 1988</t>
  </si>
  <si>
    <t>0                      R  0484000D  57          1988</t>
  </si>
  <si>
    <t>Disease, medicine, and empire : perspectives on Western medicine and the experience of European expansion / edited by Roy MacLeod and Milton Lewis.</t>
  </si>
  <si>
    <t>London ; New York : Routledge, 1988.</t>
  </si>
  <si>
    <t>2009-04-07</t>
  </si>
  <si>
    <t>R484 .M43 1985</t>
  </si>
  <si>
    <t>0                      R  0484000M  43          1985</t>
  </si>
  <si>
    <t>The Medical renaissance of the sixteenth century / edited by A. Wear, R.K. French, and I.M. Lonie.</t>
  </si>
  <si>
    <t>Cambridge [Cambridgeshire] ; New York : Cambridge University Press, 1985.</t>
  </si>
  <si>
    <t>2007-02-23</t>
  </si>
  <si>
    <t>R484 .W55 1985</t>
  </si>
  <si>
    <t>0                      R  0484000W  55          1985</t>
  </si>
  <si>
    <t>William Hunter and the eighteenth-century medical world / edited by W.F. Bynum and Roy Porter.</t>
  </si>
  <si>
    <t>Cambridge ; New York : Cambridge University Press, 1985.</t>
  </si>
  <si>
    <t>R487 .C37</t>
  </si>
  <si>
    <t>0                      R  0487000C  37</t>
  </si>
  <si>
    <t>A social history of medicine / Frederick F. Cartwright.</t>
  </si>
  <si>
    <t>Cartwright, Frederick F. (Frederick Fox), 1909-2001.</t>
  </si>
  <si>
    <t>London ; New York : Longman, 1977.</t>
  </si>
  <si>
    <t>Themes in British social history</t>
  </si>
  <si>
    <t>1996-11-12</t>
  </si>
  <si>
    <t>R487 .H4 1977</t>
  </si>
  <si>
    <t>0                      R  0487000H  4           1977</t>
  </si>
  <si>
    <t>Health care and popular medicine in nineteenth century England : essays in the social history of medicine / edited by John Woodward and David Richards.</t>
  </si>
  <si>
    <t>New York : Holmes &amp; Meier Publishers, c1977.</t>
  </si>
  <si>
    <t>R487 .Y68 1979</t>
  </si>
  <si>
    <t>0                      R  0487000Y  68          1979</t>
  </si>
  <si>
    <t>The scientific revolution in Victorian medicine / A. J. Youngson.</t>
  </si>
  <si>
    <t>Youngson, A. J.</t>
  </si>
  <si>
    <t>New York : Holmes &amp; Meier Publishers, 1979.</t>
  </si>
  <si>
    <t>R488.L6 P4</t>
  </si>
  <si>
    <t>0                      R  0488000L  6                  P  4</t>
  </si>
  <si>
    <t>The medical profession in mid-Victorian London / M. Jeanne Peterson. --</t>
  </si>
  <si>
    <t>Peterson, M. Jeanne (Mildred Jeanne), 1937-</t>
  </si>
  <si>
    <t>Berkeley : University of California Press, c1978.</t>
  </si>
  <si>
    <t>cau</t>
  </si>
  <si>
    <t>2008-09-29</t>
  </si>
  <si>
    <t>R489.B73 A83 1986</t>
  </si>
  <si>
    <t>0                      R  0489000B  73                 A  83          1986</t>
  </si>
  <si>
    <t>The Bramwells of Edinburgh : a medical dynasty / Bryan Ashworth.</t>
  </si>
  <si>
    <t>Ashworth, Bryan.</t>
  </si>
  <si>
    <t>Edinburgh : Royal College of Physicians of Edinburgh, 1986.</t>
  </si>
  <si>
    <t>stk</t>
  </si>
  <si>
    <t>Publication (Royal College of Physicians of Edinburgh) ; no. 60</t>
  </si>
  <si>
    <t>2009-02-06</t>
  </si>
  <si>
    <t>R489.R34 R45 1989</t>
  </si>
  <si>
    <t>0                      R  0489000R  34                 R  45          1989</t>
  </si>
  <si>
    <t>Ask Sir James : Sir James Reid, personal physician to Queen Victoria and physician-in-ordinary to three monarchs / Michaela Reid.</t>
  </si>
  <si>
    <t>Reid, Michaela.</t>
  </si>
  <si>
    <t>New York, N.Y., U.S.A. : Viking, 1989, c1987.</t>
  </si>
  <si>
    <t>1989</t>
  </si>
  <si>
    <t>1st American ed.</t>
  </si>
  <si>
    <t>1993-04-18</t>
  </si>
  <si>
    <t>R505 .E44 1990</t>
  </si>
  <si>
    <t>0                      R  0505000E  44          1990</t>
  </si>
  <si>
    <t>The physician-legislators of France : medicine and politics in the early Third Republic, 1870-1914 / Jack D. Ellis.</t>
  </si>
  <si>
    <t>Ellis, Jack D.</t>
  </si>
  <si>
    <t>Cambridge ; New York : Cambridge University Press, 1990.</t>
  </si>
  <si>
    <t>Cambridge history of medicine</t>
  </si>
  <si>
    <t>1997-03-31</t>
  </si>
  <si>
    <t>1991-10-16</t>
  </si>
  <si>
    <t>R507.C34 D8</t>
  </si>
  <si>
    <t>0                      R  0507000C  34                 D  8</t>
  </si>
  <si>
    <t>Hope for our time: Alexis Carrel on man and society, by Joseph T. Durkin.</t>
  </si>
  <si>
    <t>Durkin, Joseph T. (Joseph Thomas), 1903-2003.</t>
  </si>
  <si>
    <t>New York, Harper &amp; Row [1965]</t>
  </si>
  <si>
    <t>1965</t>
  </si>
  <si>
    <t>[1st ed.].</t>
  </si>
  <si>
    <t>1998-11-15</t>
  </si>
  <si>
    <t>R507.M39 T74 2006</t>
  </si>
  <si>
    <t>0                      R  0507000M  39                 T  74          2006</t>
  </si>
  <si>
    <t>Europe's physician : the various life of Sir Theodore de Mayerne / Hugh Trevor-Roper.</t>
  </si>
  <si>
    <t>Trevor-Roper, H. R. (Hugh Redwald), 1914-2003.</t>
  </si>
  <si>
    <t>New Haven [Conn.] ; London : Yale University Press, c2006.</t>
  </si>
  <si>
    <t>2006</t>
  </si>
  <si>
    <t>ctu</t>
  </si>
  <si>
    <t>2010-03-05</t>
  </si>
  <si>
    <t>2006-11-20</t>
  </si>
  <si>
    <t>R511.B33 T8 1993</t>
  </si>
  <si>
    <t>0                      R  0511000B  33                 T  8           1993</t>
  </si>
  <si>
    <t>Science, medicine, and the state in Germany : the case of Baden, 1815-1871 / Arleen Marcia Tuchman.</t>
  </si>
  <si>
    <t>Tuchman, Arleen, 1956-</t>
  </si>
  <si>
    <t>New York : Oxford University Press, 1993.</t>
  </si>
  <si>
    <t>1993</t>
  </si>
  <si>
    <t>2004-02-23</t>
  </si>
  <si>
    <t>R556 .G384 1984</t>
  </si>
  <si>
    <t>0                      R  0556000G  384         1984</t>
  </si>
  <si>
    <t>Los moriscos y la medicina : un capítulo de la medicina y la ciencia marginadas en la España del siglo XVI / Luis García Ballester ; documentos por Rosa Blasco y Luis García Ballester.</t>
  </si>
  <si>
    <t>García Ballester, Luis.</t>
  </si>
  <si>
    <t>Barcelona : Labor, 1984.</t>
  </si>
  <si>
    <t>1a ed.</t>
  </si>
  <si>
    <t>Labor universitaria. Monografías</t>
  </si>
  <si>
    <t>R581 .A85</t>
  </si>
  <si>
    <t>0                      R  0581000A  85</t>
  </si>
  <si>
    <t>Asian medical systems : a comparative study / edited by Charles Leslie.</t>
  </si>
  <si>
    <t>Berkeley : University of California Press, c1976.</t>
  </si>
  <si>
    <t>2007-04-16</t>
  </si>
  <si>
    <t>1993-04-26</t>
  </si>
  <si>
    <t>R601 .C76</t>
  </si>
  <si>
    <t>0                      R  0601000C  76</t>
  </si>
  <si>
    <t>Traditional medicine in modern China : science, nationalism, and the tensions of cultural change / [by] Ralph C. Croizier.</t>
  </si>
  <si>
    <t>Croizier, Ralph C.</t>
  </si>
  <si>
    <t>Cambridge : Harvard University Press, 1968.</t>
  </si>
  <si>
    <t>Harvard East Asian series ; 34</t>
  </si>
  <si>
    <t>2006-04-12</t>
  </si>
  <si>
    <t>1990-02-22</t>
  </si>
  <si>
    <t>R601 .S57</t>
  </si>
  <si>
    <t>0                      R  0601000S  57</t>
  </si>
  <si>
    <t>Serve the people; observations on medicine in the People's Republic of China [by] Victor W. Sidel and Ruth Sidel.</t>
  </si>
  <si>
    <t>Sidel, Victor W.</t>
  </si>
  <si>
    <t>New York, Josiah Macy, Jr. Foundation [c1973]</t>
  </si>
  <si>
    <t>Macy Foundation series on medicine and public health in China</t>
  </si>
  <si>
    <t>1999-09-22</t>
  </si>
  <si>
    <t>R601 .W263</t>
  </si>
  <si>
    <t>0                      R  0601000W  263</t>
  </si>
  <si>
    <t>Chinese folk medicine / by Heinrich Wallnöfer and Anna von Rottauscher. Translated by Marion Palmedo.</t>
  </si>
  <si>
    <t>Wallnöfer, Heinrich.</t>
  </si>
  <si>
    <t>New York : Crown Publishers, [1965]</t>
  </si>
  <si>
    <t>R602 .L58 1988</t>
  </si>
  <si>
    <t>0                      R  0602000L  58          1988</t>
  </si>
  <si>
    <t>The essential book of traditional Chinese medicine / Liu Yanchi ; translated by Fang Tingyu and Chen Laidi ; written and edited in collaboration with Kathleen Vian and Peter Eckman ; [illustrations drawn by Cheng Duoduo].</t>
  </si>
  <si>
    <t>Liu, Yanchi.</t>
  </si>
  <si>
    <t>New York : Columbia University Press, 1988.</t>
  </si>
  <si>
    <t>2007-02-12</t>
  </si>
  <si>
    <t>R605 .D46 1989</t>
  </si>
  <si>
    <t>0                      R  0605000D  46          1989</t>
  </si>
  <si>
    <t>Health and medicine in the Hindu tradition : continuity and cohesion / Prakash N. Desai.</t>
  </si>
  <si>
    <t>Desai, Prakash N.</t>
  </si>
  <si>
    <t>New York : Crossroad, 1989.</t>
  </si>
  <si>
    <t>Health/medicine and the faith traditions</t>
  </si>
  <si>
    <t>1990-01-18</t>
  </si>
  <si>
    <t>R651 .A37 1979</t>
  </si>
  <si>
    <t>0                      R  0651000A  37          1979</t>
  </si>
  <si>
    <t>African therapeutic systems / edited by Z.A. Ademuwagun ... [et al.].</t>
  </si>
  <si>
    <t>[Los Angeles, Calif.] : Crossroads Press, c1979.</t>
  </si>
  <si>
    <t>1992-04-03</t>
  </si>
  <si>
    <t>R651 .B44 1999</t>
  </si>
  <si>
    <t>0                      R  0651000B  44          1999</t>
  </si>
  <si>
    <t>Frontiers of medicine in the Anglo-Eqyptian Sudan, 1899-1940 / Heather Bell.</t>
  </si>
  <si>
    <t>Bell, Heather.</t>
  </si>
  <si>
    <t>Oxford : Clarendon Press ; New York : Oxford University Press, 1999.</t>
  </si>
  <si>
    <t>1999</t>
  </si>
  <si>
    <t>Oxford historical monographs</t>
  </si>
  <si>
    <t>2006-04-29</t>
  </si>
  <si>
    <t>2002-03-07</t>
  </si>
  <si>
    <t>R651 .F45 1984</t>
  </si>
  <si>
    <t>0                      R  0651000F  45          1984</t>
  </si>
  <si>
    <t>The social origins of health and healing in Africa / by Steven Feierman.</t>
  </si>
  <si>
    <t>Feierman, Steven, 1940-</t>
  </si>
  <si>
    <t>[Madison, Wis. : S. Feierman, 1984]</t>
  </si>
  <si>
    <t xml:space="preserve">xx </t>
  </si>
  <si>
    <t>1992-09-29</t>
  </si>
  <si>
    <t>R690 .H334 2002</t>
  </si>
  <si>
    <t>0                      R  0690000H  334         2002</t>
  </si>
  <si>
    <t>Careers in healthcare management : how to find your path and follow it / Cynthia Carter Haddock, Robert A. McLean, and Robert C. Chapman.</t>
  </si>
  <si>
    <t>Haddock, Cynthia Carter, 1954-</t>
  </si>
  <si>
    <t>Chicago, Ill. : Health Administration Press, 2002.</t>
  </si>
  <si>
    <t>2002</t>
  </si>
  <si>
    <t>2008-01-10</t>
  </si>
  <si>
    <t>2003-01-07</t>
  </si>
  <si>
    <t>R692 .W34 1977</t>
  </si>
  <si>
    <t>0                      R  0692000W  34          1977</t>
  </si>
  <si>
    <t>"Doctors wanted, no women need apply" : sexual barriers in the medical profession, 1835-1975 / Mary Roth Walsh.</t>
  </si>
  <si>
    <t>Walsh, Mary Roth.</t>
  </si>
  <si>
    <t>New Haven : Yale University Press, 1977.</t>
  </si>
  <si>
    <t>1995-10-23</t>
  </si>
  <si>
    <t>2006-02-24</t>
  </si>
  <si>
    <t>R702 .B56</t>
  </si>
  <si>
    <t>0                      R  0702000B  56</t>
  </si>
  <si>
    <t>Biology of man in history : selections from the Annales, économies, sociétés, civilisations edited by Robert Forster and Orest Ranum ; translated by Elborg Forster and Patricia M. Ranum.</t>
  </si>
  <si>
    <t>Baltimore : The Johns Hopkins University Press, [1975]</t>
  </si>
  <si>
    <t>1998-01-31</t>
  </si>
  <si>
    <t>R703 .L66 1976</t>
  </si>
  <si>
    <t>0                      R  0703000L  66          1976</t>
  </si>
  <si>
    <t>Famous flaws / Alice Loomer.</t>
  </si>
  <si>
    <t>Loomer, Alice.</t>
  </si>
  <si>
    <t>New York : Macmillan, c1976.</t>
  </si>
  <si>
    <t>2005-09-16</t>
  </si>
  <si>
    <t>R703 .L96 1991</t>
  </si>
  <si>
    <t>0                      R  0703000L  96          1991</t>
  </si>
  <si>
    <t>What did I die of? : the deaths of Parnell, Wilde, Synge, and other literary pathologies / J.B. Lyons.</t>
  </si>
  <si>
    <t>Lyons, J. B. (John Benignus)</t>
  </si>
  <si>
    <t>Dublin : Lilliput Press, 1991.</t>
  </si>
  <si>
    <t xml:space="preserve">ie </t>
  </si>
  <si>
    <t>2004-11-22</t>
  </si>
  <si>
    <t>R705 .G647 1997</t>
  </si>
  <si>
    <t>0                      R  0705000G  647         1997</t>
  </si>
  <si>
    <t>An alarming history of famous and difficult! patients : amusing medical anecdotes from Typhoid Mary to FDR / Richard Gordon.</t>
  </si>
  <si>
    <t>Gordon, Richard, 1921-2017.</t>
  </si>
  <si>
    <t>New York : St. Martin's Press, 1997.</t>
  </si>
  <si>
    <t>1998-04-15</t>
  </si>
  <si>
    <t>1997-07-02</t>
  </si>
  <si>
    <t>R722 .S43</t>
  </si>
  <si>
    <t>0                      R  0722000S  43</t>
  </si>
  <si>
    <t>Burma surgeon [by] Gordon Seagrave...</t>
  </si>
  <si>
    <t>Seagrave, Gordon Stifler, 1897-1965.</t>
  </si>
  <si>
    <t>New York, W.W. Norton and Company, inc. [1943]</t>
  </si>
  <si>
    <t>1943</t>
  </si>
  <si>
    <t>2001-09-30</t>
  </si>
  <si>
    <t>R722.D65 D65</t>
  </si>
  <si>
    <t>0                      R  0722000D  65                 D  65</t>
  </si>
  <si>
    <t>Promises to keep; the life of Doctor Thomas A. Dooley, by Agnes W. Dooley.</t>
  </si>
  <si>
    <t>Dooley, Agnes W. (Agnes Wise), -1964.</t>
  </si>
  <si>
    <t>New York, Farrar, Straus [1962]</t>
  </si>
  <si>
    <t>1962</t>
  </si>
  <si>
    <t>R723 .B68 1980</t>
  </si>
  <si>
    <t>0                      R  0723000B  68          1980</t>
  </si>
  <si>
    <t>Placebos and the philosophy of medicine : clinical, conceptual, and ethical issues / Howard Brody.</t>
  </si>
  <si>
    <t>Brody, Howard.</t>
  </si>
  <si>
    <t>Chicago : University of Chicago Press, 1980.</t>
  </si>
  <si>
    <t>2006-02-21</t>
  </si>
  <si>
    <t>R723 .C428 1983</t>
  </si>
  <si>
    <t>0                      R  0723000C  428         1983</t>
  </si>
  <si>
    <t>Descartes' medical philosophy : the organic solution to the mind-body problem / Richard B. Carter.</t>
  </si>
  <si>
    <t>Carter, Richard B. (Richard Burnett), 1931-</t>
  </si>
  <si>
    <t>Baltimore : Johns Hopkins University Press, c1983.</t>
  </si>
  <si>
    <t>2003-12-14</t>
  </si>
  <si>
    <t>R723 .C4283 1984</t>
  </si>
  <si>
    <t>0                      R  0723000C  4283        1984</t>
  </si>
  <si>
    <t>The place of the humanities in medicine / Eric J. Cassell.</t>
  </si>
  <si>
    <t>Cassell, Eric J., 1928-</t>
  </si>
  <si>
    <t>Hastings-on-Hudson, N.Y. : Hastings Center, Institute of Society, Ethics, and Life Sciences, c1984.</t>
  </si>
  <si>
    <t>1996-07-25</t>
  </si>
  <si>
    <t>R723 .D77 1980</t>
  </si>
  <si>
    <t>0                      R  0723000D  77          1980</t>
  </si>
  <si>
    <t>Man adapting / by René Dubos ; with a new chapter by the author.</t>
  </si>
  <si>
    <t>New Haven : Yale University Press, c1980.</t>
  </si>
  <si>
    <t>Yale University, Mrs. Hepsa Ely Silliman memorial lectures</t>
  </si>
  <si>
    <t>2008-02-24</t>
  </si>
  <si>
    <t>R723 .E92 1985</t>
  </si>
  <si>
    <t>0                      R  0723000E  92          1985</t>
  </si>
  <si>
    <t>Examining holistic medicine / edited by Douglas Stalker and Clark Glymour.</t>
  </si>
  <si>
    <t>Buffalo, N.Y. : Prometheus Books, 1985.</t>
  </si>
  <si>
    <t>2000-04-17</t>
  </si>
  <si>
    <t>R723 .M36 1990</t>
  </si>
  <si>
    <t>0                      R  0723000M  36          1990</t>
  </si>
  <si>
    <t>Medical choices, medical chances : how patients, families, and physicians can cope with uncertainty / Harold J. Bursztajn ... [et al.] ; with a new preface by Hilary Putnam.</t>
  </si>
  <si>
    <t>New York : Routledge, 1990.</t>
  </si>
  <si>
    <t>2008-11-22</t>
  </si>
  <si>
    <t>1991-04-29</t>
  </si>
  <si>
    <t>R723 .M617 1983</t>
  </si>
  <si>
    <t>0                      R  0723000M  617         1983</t>
  </si>
  <si>
    <t>The complete handbook of holistic health / Michael C. Moore, Lynda J. Moore.</t>
  </si>
  <si>
    <t>Moore, Michael C., 1947-</t>
  </si>
  <si>
    <t>Englewood Cliffs, N.J. : Prentice-Hall, 1983.</t>
  </si>
  <si>
    <t>nju</t>
  </si>
  <si>
    <t>2000-10-29</t>
  </si>
  <si>
    <t>R723 .P38</t>
  </si>
  <si>
    <t>0                      R  0723000P  38</t>
  </si>
  <si>
    <t>Humanism and the physician / Edmund D. Pellegrino.</t>
  </si>
  <si>
    <t>Pellegrino, Edmund D., 1920-2013.</t>
  </si>
  <si>
    <t>Knoxville : University of Tennessee Press, c1979.</t>
  </si>
  <si>
    <t>tnu</t>
  </si>
  <si>
    <t>1993-06-01</t>
  </si>
  <si>
    <t>2006-08-06</t>
  </si>
  <si>
    <t>1992-04-13</t>
  </si>
  <si>
    <t>R723 .P382</t>
  </si>
  <si>
    <t>0                      R  0723000P  382</t>
  </si>
  <si>
    <t>Holistic medicine : from stress to optimum health / Kenneth R. Pelletier.</t>
  </si>
  <si>
    <t>Pelletier, Kenneth R.</t>
  </si>
  <si>
    <t>New York : Delacorte Press/S. Lawrence, c1979.</t>
  </si>
  <si>
    <t>2000-02-13</t>
  </si>
  <si>
    <t>1992-04-08</t>
  </si>
  <si>
    <t>R723 .P386 2002</t>
  </si>
  <si>
    <t>0                      R  0723000P  386         2002</t>
  </si>
  <si>
    <t>Person, society, and value : towards a personalist concept of health / edited by Paulina Taboada, Kateryna Fedoryka Cuddeback, and Patricia Donohue-White.</t>
  </si>
  <si>
    <t>Dordrecht ; Boston : Kluwer Academic Pub., 2002.</t>
  </si>
  <si>
    <t>Philosophy and medicine ; v. 72</t>
  </si>
  <si>
    <t>2003-10-13</t>
  </si>
  <si>
    <t>R723 .Y36</t>
  </si>
  <si>
    <t>0                      R  0723000Y  36</t>
  </si>
  <si>
    <t>Medicine, science, and life / by V. S. Yanovsky. --</t>
  </si>
  <si>
    <t>I͡Anovskiĭ, V. S. (Vasiliĭ S.), 1906-1989.</t>
  </si>
  <si>
    <t>New York : Paulist Press, c1978.</t>
  </si>
  <si>
    <t>2007-01-10</t>
  </si>
  <si>
    <t>1995-07-31</t>
  </si>
  <si>
    <t>R723.5 .D4 1987</t>
  </si>
  <si>
    <t>0                      R  0723500D  4           1987</t>
  </si>
  <si>
    <t>Life-death decisions in health care / Lesley F. Degner, Janet I. Beaton.</t>
  </si>
  <si>
    <t>Degner, Lesley F., 1947-</t>
  </si>
  <si>
    <t>Washington : Hemisphere Pub. Corp., c1987.</t>
  </si>
  <si>
    <t>Series in death education, aging, and health care, 0275-3510</t>
  </si>
  <si>
    <t>2001-04-20</t>
  </si>
  <si>
    <t>R724 .B358 1984</t>
  </si>
  <si>
    <t>0                      R  0724000B  358         1984</t>
  </si>
  <si>
    <t>Medical ethics : the moral responsibilities of physicians / Tom L. Beauchamp, Laurence B. McCullough.</t>
  </si>
  <si>
    <t>Beauchamp, Tom L.</t>
  </si>
  <si>
    <t>Englewood Cliffs, N.J. : Prentice-Hall, c1984.</t>
  </si>
  <si>
    <t>Occupational ethics series</t>
  </si>
  <si>
    <t>2004-12-08</t>
  </si>
  <si>
    <t>1990-07-20</t>
  </si>
  <si>
    <t>R724 .B4583 1997</t>
  </si>
  <si>
    <t>0                      R  0724000B  4583        1997</t>
  </si>
  <si>
    <t>Bioethics : an introduction to the history, methods, and practice / [edited by] Nancy S. Jecker, Albert R. Jonsen, Robert A. Pearlman.</t>
  </si>
  <si>
    <t>Sudbury, Mass. : Jones and Bartlett Publishers, c1997.</t>
  </si>
  <si>
    <t>Jones and Bartlett series in philosophy</t>
  </si>
  <si>
    <t>2008-12-12</t>
  </si>
  <si>
    <t>1997-03-18</t>
  </si>
  <si>
    <t>R724 .B46</t>
  </si>
  <si>
    <t>0                      R  0724000B  46</t>
  </si>
  <si>
    <t>Bioethics and human rights : a reader for health professionals / edited by Elsie L. Bandman, Bertram Bandman.</t>
  </si>
  <si>
    <t>Boston : Little, Brown, c1978.</t>
  </si>
  <si>
    <t>2004-02-17</t>
  </si>
  <si>
    <t>1991-12-06</t>
  </si>
  <si>
    <t>R724 .B47 1987</t>
  </si>
  <si>
    <t>0                      R  0724000B  47          1987</t>
  </si>
  <si>
    <t>Bioethics : basic writings on the key ethical questions that surround the major, modern biological possibilities and problems / edited by Thomas A. Shannon.</t>
  </si>
  <si>
    <t>Mahwah, N.J. : Paulist Press, 1987</t>
  </si>
  <si>
    <t>3rd ed.</t>
  </si>
  <si>
    <t>2000-06-15</t>
  </si>
  <si>
    <t>R724 .B475 1999</t>
  </si>
  <si>
    <t>0                      R  0724000B  475         1999</t>
  </si>
  <si>
    <t>Bioethics for medical education / [volume editor: Rem. B. Edwards].</t>
  </si>
  <si>
    <t>Stamford, Conn. : JAI Press Inc., c1999.</t>
  </si>
  <si>
    <t>Advances in bioethics ; v. 5</t>
  </si>
  <si>
    <t>2008-06-04</t>
  </si>
  <si>
    <t>1999-11-30</t>
  </si>
  <si>
    <t>R724 .B49 2001</t>
  </si>
  <si>
    <t>0                      R  0724000B  49          2001</t>
  </si>
  <si>
    <t>Biomedical ethics / [edited by] Thomas A. Mappes, David DeGrazia.</t>
  </si>
  <si>
    <t>Boston : McGraw-Hill, c2001.</t>
  </si>
  <si>
    <t>5th ed.</t>
  </si>
  <si>
    <t>2001-10-17</t>
  </si>
  <si>
    <t>2004-09-02</t>
  </si>
  <si>
    <t>R724 .B494 1983</t>
  </si>
  <si>
    <t>0                      R  0724000B  494         1983</t>
  </si>
  <si>
    <t>Biomedical ethics reviews 1983 / edited by James M. Humber and Robert F. Almeder.</t>
  </si>
  <si>
    <t>Clifton, N.J. : Humana Press, c1983.</t>
  </si>
  <si>
    <t>1992-01-06</t>
  </si>
  <si>
    <t>R724 .B494 1991</t>
  </si>
  <si>
    <t>0                      R  0724000B  494         1991</t>
  </si>
  <si>
    <t>Bioethics and the fetus : medical, moral, and legal issues / edited by James M. Humber and Robert F. Almeder.</t>
  </si>
  <si>
    <t>Totowa, N.J. : Humana Press, c1991.</t>
  </si>
  <si>
    <t>Biomedical ethics reviews, 0742-1796 ; 1991</t>
  </si>
  <si>
    <t>2003-11-23</t>
  </si>
  <si>
    <t>1998-12-01</t>
  </si>
  <si>
    <t>R724 .B494 1993</t>
  </si>
  <si>
    <t>0                      R  0724000B  494         1993</t>
  </si>
  <si>
    <t>Physician-assisted death / edited by James M. Humber, Robert F. Almeder, and Gregg A. Kasting.</t>
  </si>
  <si>
    <t>Totowa, N.J. : Humana Press, c1994.</t>
  </si>
  <si>
    <t>xxu</t>
  </si>
  <si>
    <t>Biomedical ethics reviews, 0742-1796 ; 1993</t>
  </si>
  <si>
    <t>2009-11-16</t>
  </si>
  <si>
    <t>1995-02-28</t>
  </si>
  <si>
    <t>R724 .B494 1996</t>
  </si>
  <si>
    <t>0                      R  0724000B  494         1996</t>
  </si>
  <si>
    <t>Reproduction, technology, and rights / edited by James M. Humber and Robert F. Almeder.</t>
  </si>
  <si>
    <t>Totowa, N.J. : Humana Press, c1996</t>
  </si>
  <si>
    <t>1996</t>
  </si>
  <si>
    <t>Biomedical ethics reviews ; 1996</t>
  </si>
  <si>
    <t>2004-11-08</t>
  </si>
  <si>
    <t>R724 .B494 1998</t>
  </si>
  <si>
    <t>0                      R  0724000B  494         1998</t>
  </si>
  <si>
    <t>Human cloning / edited by James M. Humber and Robert F. Almeder.</t>
  </si>
  <si>
    <t>Totowa, N.J. Humana Press, c1998.</t>
  </si>
  <si>
    <t>1998</t>
  </si>
  <si>
    <t>Biomedical ethics reviews ; 1998</t>
  </si>
  <si>
    <t>2009-03-29</t>
  </si>
  <si>
    <t>R724 .C33</t>
  </si>
  <si>
    <t>0                      R  0724000C  33</t>
  </si>
  <si>
    <t>Moral dilemmas in medicine : a coursebook in ethics for doctors and nurses / [by] Alastair V. Campbell.</t>
  </si>
  <si>
    <t>Campbell, Alastair V.</t>
  </si>
  <si>
    <t>Edinburgh : Churchill Livingstone, [c1972]</t>
  </si>
  <si>
    <t>2001-03-15</t>
  </si>
  <si>
    <t>1992-04-26</t>
  </si>
  <si>
    <t>R724 .C48</t>
  </si>
  <si>
    <t>0                      R  0724000C  48</t>
  </si>
  <si>
    <t>Priorities in biomedical ethics / by James F. Childress.</t>
  </si>
  <si>
    <t>Childress, James F.</t>
  </si>
  <si>
    <t>Philadelphia : Westminster Press, c1981.</t>
  </si>
  <si>
    <t>2003-04-16</t>
  </si>
  <si>
    <t>R724 .C824 2005</t>
  </si>
  <si>
    <t>0                      R  0724000C  824         2005</t>
  </si>
  <si>
    <t>Health and the good society : setting healthcare ethics in social context / Alan Cribb.</t>
  </si>
  <si>
    <t>Cribb, Alan.</t>
  </si>
  <si>
    <t>Oxford : Clarendon Press ; New York : Oxford University Press, 2005.</t>
  </si>
  <si>
    <t>Issues in biomedical ethics</t>
  </si>
  <si>
    <t>2008-03-31</t>
  </si>
  <si>
    <t>R724 .D68 1985</t>
  </si>
  <si>
    <t>0                      R  0724000D  68          1985</t>
  </si>
  <si>
    <t>Ideal, fact, and medicine : a philosophy for health care / Charles J. Dougherty.</t>
  </si>
  <si>
    <t>Dougherty, Charles J., 1949-</t>
  </si>
  <si>
    <t>Lanham, MD : University Press of America, c1985.</t>
  </si>
  <si>
    <t>2001-04-04</t>
  </si>
  <si>
    <t>R724 .E43 1983</t>
  </si>
  <si>
    <t>0                      R  0724000E  43          1983</t>
  </si>
  <si>
    <t>El ejercicio de la medicina en la República Dominicana / [editor Frank Moya Pons]</t>
  </si>
  <si>
    <t>Santo Domingo, República Dominicana : FORUM, 1983.</t>
  </si>
  <si>
    <t>FORUM ; 10</t>
  </si>
  <si>
    <t>2001-06-21</t>
  </si>
  <si>
    <t>R724 .E5 1991</t>
  </si>
  <si>
    <t>0                      R  0724000E  5           1991</t>
  </si>
  <si>
    <t>The ends of human life : medical ethics in a liberal polity / Ezekiel J. Emanuel.</t>
  </si>
  <si>
    <t>Emanuel, Ezekiel J., 1957-</t>
  </si>
  <si>
    <t>Cambridge, Mass. : Harvard University Press, 1991.</t>
  </si>
  <si>
    <t>2002-07-03</t>
  </si>
  <si>
    <t>1992-02-13</t>
  </si>
  <si>
    <t>R724 .E515 1995</t>
  </si>
  <si>
    <t>0                      R  0724000E  515         1995</t>
  </si>
  <si>
    <t>Embodiment, morality, and medicine / edited by Lisa Sowle Cahill and Margaret A. Farley.</t>
  </si>
  <si>
    <t>Dordrecht ; Boston : Kluwer Academic Publishers, c1995.</t>
  </si>
  <si>
    <t>Theology and medicine ; v. 6</t>
  </si>
  <si>
    <t>2005-07-13</t>
  </si>
  <si>
    <t>1997-10-23</t>
  </si>
  <si>
    <t>R724 .E54 1996</t>
  </si>
  <si>
    <t>0                      R  0724000E  54          1996</t>
  </si>
  <si>
    <t>The foundation of bioethics / H. Tristram Engelhardt, Jr.</t>
  </si>
  <si>
    <t>Engelhardt, H. Tristram (Hugo Tristram), Jr., 1941-2018.</t>
  </si>
  <si>
    <t>New York : Oxford University Press, 1996.</t>
  </si>
  <si>
    <t>2002-03-26</t>
  </si>
  <si>
    <t>2006-10-02</t>
  </si>
  <si>
    <t>1997-02-18</t>
  </si>
  <si>
    <t>2000-03-16</t>
  </si>
  <si>
    <t>R724 .E7879 2000</t>
  </si>
  <si>
    <t>0                      R  0724000E  7879        2000</t>
  </si>
  <si>
    <t>Ethical issues in health care on the frontiers of the twenty-first century / edited by Stephen Wear ... [et al.].</t>
  </si>
  <si>
    <t>Dordrecht ; Boston, Mass : Kluwer Academic, c2000.</t>
  </si>
  <si>
    <t>2000</t>
  </si>
  <si>
    <t>Philosophy and medicine ; v. 65</t>
  </si>
  <si>
    <t>2001-04-16</t>
  </si>
  <si>
    <t>R724 .E788</t>
  </si>
  <si>
    <t>0                      R  0724000E  788</t>
  </si>
  <si>
    <t>Ethical issues in modern medicine / edited, with introd. by Robert Hunt and John Arras.</t>
  </si>
  <si>
    <t>Palo Alto, Calif. : Mayfield Pub. Co., 1977.</t>
  </si>
  <si>
    <t>2001-05-14</t>
  </si>
  <si>
    <t>1990-02-06</t>
  </si>
  <si>
    <t>R724 .E823</t>
  </si>
  <si>
    <t>0                      R  0724000E  823</t>
  </si>
  <si>
    <t>Ethics in medicine : historical perspectives and contemporary concerns / edited by Stanley Joel Reiser, Arthur J. Dyck, and William J. Curran.</t>
  </si>
  <si>
    <t>Cambridge, Mass. : MIT Press, c1977.</t>
  </si>
  <si>
    <t>1993-04-28</t>
  </si>
  <si>
    <t>R724 .F5 1956</t>
  </si>
  <si>
    <t>0                      R  0724000F  5           1956</t>
  </si>
  <si>
    <t>Moral problems in hospital practice : a practical handbook / Patrick A. Finney.</t>
  </si>
  <si>
    <t>Finney, Patrick A.</t>
  </si>
  <si>
    <t>St. Louis : Herder, [c1956]</t>
  </si>
  <si>
    <t>Rev. and enl. by Patrick O'Brien.</t>
  </si>
  <si>
    <t>2001-04-10</t>
  </si>
  <si>
    <t>R724 .F54</t>
  </si>
  <si>
    <t>0                      R  0724000F  54</t>
  </si>
  <si>
    <t>Humanhood : essays in biomedical ethics / Joseph Fletcher.</t>
  </si>
  <si>
    <t>Fletcher, Joseph F.</t>
  </si>
  <si>
    <t>New York : Prometheus Books, c1979.</t>
  </si>
  <si>
    <t>2000-08-31</t>
  </si>
  <si>
    <t>1992-09-10</t>
  </si>
  <si>
    <t>R724 .F55 1960</t>
  </si>
  <si>
    <t>0                      R  0724000F  55          1960</t>
  </si>
  <si>
    <t>Morals and medicine : the moral problems of: the patient's right to know the truth, contraception, artificial insemination, sterilization, euthanasia / With a foreword by Karl Menninger.</t>
  </si>
  <si>
    <t>Boston : Beacon Press, [1960]</t>
  </si>
  <si>
    <t>1960</t>
  </si>
  <si>
    <t>Beacon series in liberal religion ; LR7</t>
  </si>
  <si>
    <t>2003-03-31</t>
  </si>
  <si>
    <t>1994-05-06</t>
  </si>
  <si>
    <t>R724 .F68</t>
  </si>
  <si>
    <t>0                      R  0724000F  68</t>
  </si>
  <si>
    <t>Is it moral to modify man? Edited by Claude A. Frazier. With forewords by Joseph Fletcher, C. A. Hoffman [and] Cecil E. Sherman.</t>
  </si>
  <si>
    <t>Frazier, Claude A. (Claude Albee), 1920-2005.</t>
  </si>
  <si>
    <t>Springfield, Ill., Thomas [1973]</t>
  </si>
  <si>
    <t>2004-04-05</t>
  </si>
  <si>
    <t>R724 .F76</t>
  </si>
  <si>
    <t>0                      R  0724000F  76</t>
  </si>
  <si>
    <t>Frontiers in medical ethics : applications in a medical setting / Virginia Abernethy, editor.</t>
  </si>
  <si>
    <t>Cambridge, Mass. : Ballinger Pub., c1980.</t>
  </si>
  <si>
    <t>1994-01-23</t>
  </si>
  <si>
    <t>R724 .G46 1997</t>
  </si>
  <si>
    <t>0                      R  0724000G  46          1997</t>
  </si>
  <si>
    <t>Bioethics : a return to fundamentals / Bernard Gert, Charles M. Culver, K. Danner Clouser.</t>
  </si>
  <si>
    <t>Gert, Bernard, 1934-</t>
  </si>
  <si>
    <t>New York : Oxford University Press, 1997.</t>
  </si>
  <si>
    <t>2003-04-25</t>
  </si>
  <si>
    <t>1998-11-17</t>
  </si>
  <si>
    <t>R724 .G549 2004</t>
  </si>
  <si>
    <t>0                      R  0724000G  549         2004</t>
  </si>
  <si>
    <t>Bioethics in the clinic : Hippocratic reflections / Grant R. Gillett.</t>
  </si>
  <si>
    <t>Gillett, Grant, 1950-</t>
  </si>
  <si>
    <t>Baltimore : Johns Hopkins University Press, c2004.</t>
  </si>
  <si>
    <t>2004</t>
  </si>
  <si>
    <t>2008-04-06</t>
  </si>
  <si>
    <t>2006-07-17</t>
  </si>
  <si>
    <t>R724 .G68</t>
  </si>
  <si>
    <t>0                      R  0724000G  68</t>
  </si>
  <si>
    <t>Doctors' dilemmas : moral conflict and medical care / Samuel Gorovitz.</t>
  </si>
  <si>
    <t>Gorovitz, Samuel.</t>
  </si>
  <si>
    <t>New York : Macmillan, c1982.</t>
  </si>
  <si>
    <t>R724 .H16</t>
  </si>
  <si>
    <t>0                      R  0724000H  16</t>
  </si>
  <si>
    <t>Medical ethics / [by] Bernard Häring ; edited by Gabrielle L. Jean.</t>
  </si>
  <si>
    <t>Häring, Bernhard, 1912-1998.</t>
  </si>
  <si>
    <t>[Notre Dame, Ind.] : Fides Publishers, [1973]</t>
  </si>
  <si>
    <t>inu</t>
  </si>
  <si>
    <t>2010-10-04</t>
  </si>
  <si>
    <t>1990-09-20</t>
  </si>
  <si>
    <t>R724 .H255 1983</t>
  </si>
  <si>
    <t>0                      R  0724000H  255         1983</t>
  </si>
  <si>
    <t>Health and human values : a guide to making your own decisions / Frank Harron, John Burnside, and Tom Beauchamp.</t>
  </si>
  <si>
    <t>Harron, Frank.</t>
  </si>
  <si>
    <t>New Haven : Yale University Press, c1983.</t>
  </si>
  <si>
    <t>2005-10-18</t>
  </si>
  <si>
    <t>1990-07-18</t>
  </si>
  <si>
    <t>R724 .H34 1987</t>
  </si>
  <si>
    <t>0                      R  0724000H  34          1987</t>
  </si>
  <si>
    <t>Health care ethics : an introduction / edited by Donald VanDeVeer and Tom Regan.</t>
  </si>
  <si>
    <t>Philadelphia : Temple Univ. Press, 1987.</t>
  </si>
  <si>
    <t>1990-03-23</t>
  </si>
  <si>
    <t>R724 .H47 2001</t>
  </si>
  <si>
    <t>0                      R  0724000H  47          2001</t>
  </si>
  <si>
    <t>Community as healing : pragmatist ethics in medical encounters / D. Micah Hester.</t>
  </si>
  <si>
    <t>Hester, D. Micah.</t>
  </si>
  <si>
    <t>Lanham, MD : Rowman &amp; Littlefield, c2001.</t>
  </si>
  <si>
    <t>2003-12-02</t>
  </si>
  <si>
    <t>R724 .I56 1984</t>
  </si>
  <si>
    <t>0                      R  0724000I  56          1984</t>
  </si>
  <si>
    <t>Institutional ethics committees and health care decision making / edited by Ronald E. Cranford and A. Edward Doudera.</t>
  </si>
  <si>
    <t>Ann Arbor, Mich. : Health Administration Press, 1984.</t>
  </si>
  <si>
    <t>miu</t>
  </si>
  <si>
    <t>2001-03-21</t>
  </si>
  <si>
    <t>1992-09-03</t>
  </si>
  <si>
    <t>R724 .J657 1998</t>
  </si>
  <si>
    <t>0                      R  0724000J  657         1998</t>
  </si>
  <si>
    <t>The birth of bioethics / Albert R. Jonsen.</t>
  </si>
  <si>
    <t>Jonsen, Albert R.</t>
  </si>
  <si>
    <t>New York : Oxford University Press, 1998.</t>
  </si>
  <si>
    <t>2010-12-17</t>
  </si>
  <si>
    <t>1998-08-20</t>
  </si>
  <si>
    <t>R724 .K4</t>
  </si>
  <si>
    <t>0                      R  0724000K  4</t>
  </si>
  <si>
    <t>Principles of medical ethics.</t>
  </si>
  <si>
    <t>Kenny, John Paulinus, 1909-</t>
  </si>
  <si>
    <t>Westminster, Md., Newman Press, 1952.</t>
  </si>
  <si>
    <t>1952</t>
  </si>
  <si>
    <t>1995-03-15</t>
  </si>
  <si>
    <t>R724 .K83 1987</t>
  </si>
  <si>
    <t>0                      R  0724000K  83          1987</t>
  </si>
  <si>
    <t>The sanctity-of-life doctrine in medicine : a critique / Helga Kuhse.</t>
  </si>
  <si>
    <t>Kuhse, Helga.</t>
  </si>
  <si>
    <t>Oxford : Clarendon Press ; Oxford ; New York : Oxford University Press, c1987.</t>
  </si>
  <si>
    <t>2002-11-05</t>
  </si>
  <si>
    <t>R724 .M15 1956</t>
  </si>
  <si>
    <t>0                      R  0724000M  15          1956</t>
  </si>
  <si>
    <t>Medical ethics / forward by Bishop Fulton J. Sheen.</t>
  </si>
  <si>
    <t>McFadden, Charles Joseph, 1909-</t>
  </si>
  <si>
    <t>Philadelphia, F.A. Davis Co., 1956.</t>
  </si>
  <si>
    <t>4th. ed.</t>
  </si>
  <si>
    <t>1998-04-09</t>
  </si>
  <si>
    <t>1997-09-22</t>
  </si>
  <si>
    <t>R724 .M15 1967</t>
  </si>
  <si>
    <t>0                      R  0724000M  15          1967</t>
  </si>
  <si>
    <t>Medical ethics / [by] Charles J. McFadden. Foreword by Fulton J. Sheen.</t>
  </si>
  <si>
    <t>2</t>
  </si>
  <si>
    <t>Philadelphia : F. A. Davis Co., [1967]</t>
  </si>
  <si>
    <t>1967</t>
  </si>
  <si>
    <t>Ed. 6.</t>
  </si>
  <si>
    <t>1992-09-08</t>
  </si>
  <si>
    <t>1990-10-05</t>
  </si>
  <si>
    <t>R724 .M1614 1987</t>
  </si>
  <si>
    <t>0                      R  0724000M  1614        1987</t>
  </si>
  <si>
    <t>Mortal choices : bioethics in today's world / Ruth Macklin.</t>
  </si>
  <si>
    <t>Macklin, Ruth, 1938-</t>
  </si>
  <si>
    <t>New York : Pantheon Books, c1987.</t>
  </si>
  <si>
    <t>1998-04-23</t>
  </si>
  <si>
    <t>1990-03-13</t>
  </si>
  <si>
    <t>R724 .M165 1984b</t>
  </si>
  <si>
    <t>0                      R  0724000M  165         1984b</t>
  </si>
  <si>
    <t>Bio-ethics and belief : religion and medicine in dialogue / John Mahoney.</t>
  </si>
  <si>
    <t>Mahoney, John.</t>
  </si>
  <si>
    <t>Westminster, Md. : Christian Classics, [1984?]</t>
  </si>
  <si>
    <t>1997-10-08</t>
  </si>
  <si>
    <t>R724 .M286 1996</t>
  </si>
  <si>
    <t>0                      R  0724000M  286         1996</t>
  </si>
  <si>
    <t>Testing the medical covenant : active euthanasia and health care reform / William F. May.</t>
  </si>
  <si>
    <t>May, William F.</t>
  </si>
  <si>
    <t>Grand Rapids, Mich. : William B. Eerdmans Pub. Co., c1996.</t>
  </si>
  <si>
    <t>The Institute of Religion series on religion and health care ; #2</t>
  </si>
  <si>
    <t>2000-12-20</t>
  </si>
  <si>
    <t>R724 .M292 1997</t>
  </si>
  <si>
    <t>0                      R  0724000M  292         1997</t>
  </si>
  <si>
    <t>Moral issues in health care : an introduction to medical ethics / Terrance McConnell.</t>
  </si>
  <si>
    <t>McConnell, Terrance C.</t>
  </si>
  <si>
    <t>Belmont, CA : Wadsworth Pub. Co., c1997.</t>
  </si>
  <si>
    <t>2006-10-24</t>
  </si>
  <si>
    <t>1997-03-19</t>
  </si>
  <si>
    <t>R724 .M2927 1989</t>
  </si>
  <si>
    <t>0                      R  0724000M  2927        1989</t>
  </si>
  <si>
    <t>Medical ethics / edited by Robert M. Veatch.</t>
  </si>
  <si>
    <t>Boston, MA : Jones and Bartlett, c1989.</t>
  </si>
  <si>
    <t>2006-03-27</t>
  </si>
  <si>
    <t>1991-02-23</t>
  </si>
  <si>
    <t>R724 .M2928 1983</t>
  </si>
  <si>
    <t>0                      R  0724000M  2928        1983</t>
  </si>
  <si>
    <t>Medical ethics : a clinical textbook and reference for the health care professions / edited by Natalie Abrams, Michael D. Buckner.</t>
  </si>
  <si>
    <t>Cambridge, Mass. : MIT Press, c1983.</t>
  </si>
  <si>
    <t>1992-03-27</t>
  </si>
  <si>
    <t>R724 .M293</t>
  </si>
  <si>
    <t>0                      R  0724000M  293</t>
  </si>
  <si>
    <t>Medical ethics and the law : implications for public policy / [compiled by] Marc D. Hiller.</t>
  </si>
  <si>
    <t>Cambridge, Mass. : Ballinger Pub. Co., [1981]</t>
  </si>
  <si>
    <t>2000-04-01</t>
  </si>
  <si>
    <t>1991-12-04</t>
  </si>
  <si>
    <t>R724 .M2993 1994</t>
  </si>
  <si>
    <t>0                      R  0724000M  2993        1994</t>
  </si>
  <si>
    <t>Medicine and moral reasoning / edited by K.W.M. Fulford, Grant R. Gillett, and Janet Martin Soskice.</t>
  </si>
  <si>
    <t>Cambridge [England] ; New York : Cambridge University Press, 1994.</t>
  </si>
  <si>
    <t>1995-01-10</t>
  </si>
  <si>
    <t>1995-02-13</t>
  </si>
  <si>
    <t>R724 .M35 1995</t>
  </si>
  <si>
    <t>0                      R  0724000M  35          1995</t>
  </si>
  <si>
    <t>Body, soul, and bioethics / Gilbert C. Meilaender.</t>
  </si>
  <si>
    <t>Meilaender, Gilbert, 1946-</t>
  </si>
  <si>
    <t>Notre Dame : University of Notre Dame Press, c1995.</t>
  </si>
  <si>
    <t>2000-11-02</t>
  </si>
  <si>
    <t>1996-06-12</t>
  </si>
  <si>
    <t>2009-10-08</t>
  </si>
  <si>
    <t>R724 .M4</t>
  </si>
  <si>
    <t>0                      R  0724000M  4</t>
  </si>
  <si>
    <t>Medical ethics and social change / special editor, Bernard Barber.</t>
  </si>
  <si>
    <t>Philadelphia : American Academy of Political and Social Science, 1978.</t>
  </si>
  <si>
    <t>The Annals of the American Academy of Political and Social Science ; v. 437</t>
  </si>
  <si>
    <t>R724 .M82</t>
  </si>
  <si>
    <t>0                      R  0724000M  82</t>
  </si>
  <si>
    <t>Moral problems in medicine / edited with introductions by Samuel Gorovitz ... [et al.].</t>
  </si>
  <si>
    <t>Englewood Cliffs, N.J. : Prentice-Hall, c1976.</t>
  </si>
  <si>
    <t>2005-09-15</t>
  </si>
  <si>
    <t>R724 .N44</t>
  </si>
  <si>
    <t>0                      R  0724000N  44</t>
  </si>
  <si>
    <t>Human medicine; ethical perspectives on new medical issues [by] James B. Nelson.</t>
  </si>
  <si>
    <t>Nelson, James B.</t>
  </si>
  <si>
    <t>Minneapolis, Augsburg Pub. House [1973]</t>
  </si>
  <si>
    <t>mnu</t>
  </si>
  <si>
    <t>1999-04-05</t>
  </si>
  <si>
    <t>1991-12-13</t>
  </si>
  <si>
    <t>R724 .N46</t>
  </si>
  <si>
    <t>0                      R  0724000N  46</t>
  </si>
  <si>
    <t>Rediscovering the person in medical care : patient, family, physician, nurse, chaplain, pastor / James B. Nelson.</t>
  </si>
  <si>
    <t>Minneapolis : Augsburg Pub. House, c1976.</t>
  </si>
  <si>
    <t>2006-10-13</t>
  </si>
  <si>
    <t>R724 .O28</t>
  </si>
  <si>
    <t>0                      R  0724000O  28</t>
  </si>
  <si>
    <t>Medicine and Christian morality / Thomas J. O'Donnell.</t>
  </si>
  <si>
    <t>O'Donnell, Thomas J. (Thomas Joseph), 1918-</t>
  </si>
  <si>
    <t>New York : Alba House, c1976.</t>
  </si>
  <si>
    <t>2001-11-04</t>
  </si>
  <si>
    <t>R724 .O94 2006</t>
  </si>
  <si>
    <t>0                      R  0724000O  94          2006</t>
  </si>
  <si>
    <t>Ethics and AIDS : compassion and justice in a global crisis / Kenneth R. Overberg.</t>
  </si>
  <si>
    <t>Overberg, Kenneth R.</t>
  </si>
  <si>
    <t>Lanham, Md. : Rowman &amp; Littlefield, c2006.</t>
  </si>
  <si>
    <t>2010-10-12</t>
  </si>
  <si>
    <t>R724 .P38</t>
  </si>
  <si>
    <t>0                      R  0724000P  38</t>
  </si>
  <si>
    <t>Ethical options in medicine / Gregory E. Pence.</t>
  </si>
  <si>
    <t>Pence, Gregory E.</t>
  </si>
  <si>
    <t>Oradell, N.J. : Medical Economics Co., Book Division, c1980.</t>
  </si>
  <si>
    <t>1999-03-22</t>
  </si>
  <si>
    <t>R724 .P436 1998</t>
  </si>
  <si>
    <t>0                      R  0724000P  436         1998</t>
  </si>
  <si>
    <t>Living and dying well / Lewis Petrinovich.</t>
  </si>
  <si>
    <t>Petrinovich, Lewis F.</t>
  </si>
  <si>
    <t>Cambridge, Mass. : MIT Press, 1998.</t>
  </si>
  <si>
    <t>1st MIT Press ed.</t>
  </si>
  <si>
    <t>2005-04-20</t>
  </si>
  <si>
    <t>1998-12-14</t>
  </si>
  <si>
    <t>R724 .P79 1981</t>
  </si>
  <si>
    <t>0                      R  0724000P  79          1981</t>
  </si>
  <si>
    <t>Psychiatric ethics / edited by Sidney Bloch and Paul Chodoff.</t>
  </si>
  <si>
    <t>Oxford ; New York : Oxford University Press, 1981.</t>
  </si>
  <si>
    <t>1992-04-07</t>
  </si>
  <si>
    <t>R724 .R3</t>
  </si>
  <si>
    <t>0                      R  0724000R  3</t>
  </si>
  <si>
    <t>Ethics at the edges of life : medical and legal intersections / Paul Ramsey.</t>
  </si>
  <si>
    <t>Ramsey, Paul.</t>
  </si>
  <si>
    <t>New Haven : Yale University Press, 1978.</t>
  </si>
  <si>
    <t>The Bampton lectures in America</t>
  </si>
  <si>
    <t>1998-11-02</t>
  </si>
  <si>
    <t>2012-11-27</t>
  </si>
  <si>
    <t>R724 .S394 1982</t>
  </si>
  <si>
    <t>0                      R  0724000S  394         1982</t>
  </si>
  <si>
    <t>Science and morality : new directions in bioethics / edited by Doris Teichler-Zallen, Colleen D. Clements.</t>
  </si>
  <si>
    <t>Lexington, Mass. : Lexington Books, c1982.</t>
  </si>
  <si>
    <t>R724 .S396 1987</t>
  </si>
  <si>
    <t>0                      R  0724000S  396         1987</t>
  </si>
  <si>
    <t>Playing God : the new world of medical choices / Thomas Scully and Celia Scully.</t>
  </si>
  <si>
    <t>Scully, Thomas J., 1932-</t>
  </si>
  <si>
    <t>New York : Simon and Schuster, c1987.</t>
  </si>
  <si>
    <t>2002-04-11</t>
  </si>
  <si>
    <t>R724 .S455 1997</t>
  </si>
  <si>
    <t>0                      R  0724000S  455         1997</t>
  </si>
  <si>
    <t>An introduction to bioethics / Thomas A. Shannon.</t>
  </si>
  <si>
    <t>Shannon, Thomas A. (Thomas Anthony), 1940-</t>
  </si>
  <si>
    <t>New York : Paulist Press, 1997.</t>
  </si>
  <si>
    <t>3rd ed., rev. and updated.</t>
  </si>
  <si>
    <t>2003-11-13</t>
  </si>
  <si>
    <t>1997-04-28</t>
  </si>
  <si>
    <t>R724 .S599 1998</t>
  </si>
  <si>
    <t>0                      R  0724000S  599         1998</t>
  </si>
  <si>
    <t>Source book in bioethics : [a documentary history] / edited by Albert R. Jonsen, Robert M. Veatch, LeRoy Walters.</t>
  </si>
  <si>
    <t>Washington, D.C. : Georgetown University Press, c1998.</t>
  </si>
  <si>
    <t>2008-07-16</t>
  </si>
  <si>
    <t>1999-05-20</t>
  </si>
  <si>
    <t>2007-02-08</t>
  </si>
  <si>
    <t>R724 .S92 1998</t>
  </si>
  <si>
    <t>0                      R  0724000S  92          1998</t>
  </si>
  <si>
    <t>A new paradigm for informed consent / Irene S. Switankowsky.</t>
  </si>
  <si>
    <t>Switankowsky, Irene S.</t>
  </si>
  <si>
    <t>Lanham, Md. : University Press of America, c1998.</t>
  </si>
  <si>
    <t>2010-11-17</t>
  </si>
  <si>
    <t>1999-12-15</t>
  </si>
  <si>
    <t>R724 .T55 1991</t>
  </si>
  <si>
    <t>0                      R  0724000T  55          1991</t>
  </si>
  <si>
    <t>A Time to be born and a time to die : the ethics of choice / Barry S. Kogan, editor.</t>
  </si>
  <si>
    <t>Hawthorne, N.Y. : Aldine De Gruyter, c1991.</t>
  </si>
  <si>
    <t>Starkoff Institute studies in ethics and contemporary moral problems</t>
  </si>
  <si>
    <t>2003-11-24</t>
  </si>
  <si>
    <t>R724 .T6</t>
  </si>
  <si>
    <t>0                      R  0724000T  6</t>
  </si>
  <si>
    <t>Ethical issues in medicine : the role of the physician in today's society / contributing authors: Robin F. Badgley [and others] E. Fuller Torrey, editor.</t>
  </si>
  <si>
    <t>Torrey, E. Fuller (Edwin Fuller), 1937-</t>
  </si>
  <si>
    <t>Boston : Little, Brown, [1968]</t>
  </si>
  <si>
    <t>[1st ed.]</t>
  </si>
  <si>
    <t>2004-11-16</t>
  </si>
  <si>
    <t>1992-04-11</t>
  </si>
  <si>
    <t>R724 .V42</t>
  </si>
  <si>
    <t>0                      R  0724000V  42</t>
  </si>
  <si>
    <t>A theory of medical ethics / Robert M. Veatch.</t>
  </si>
  <si>
    <t>Veatch, Robert M.</t>
  </si>
  <si>
    <t>New York : Basic Books, c1981.</t>
  </si>
  <si>
    <t>R724 .V48 1985</t>
  </si>
  <si>
    <t>0                      R  0724000V  48          1985</t>
  </si>
  <si>
    <t>Virtue and medicine : explorations in the character of medicine / edited by Earl E. Shelp.</t>
  </si>
  <si>
    <t>Dordrecht ; Boston : D. Reidel Pub. Co. : Hingham, MA : Sold and distributed in the U.S.A. and Canada by Kluwer Academic Publishers, c1985.</t>
  </si>
  <si>
    <t>Philosophy and medicine ; v. 17</t>
  </si>
  <si>
    <t>1996-06-20</t>
  </si>
  <si>
    <t>1992-05-14</t>
  </si>
  <si>
    <t>R724 .W365 1998</t>
  </si>
  <si>
    <t>0                      R  0724000W  365         1998</t>
  </si>
  <si>
    <t>In the face of suffering : the philosophical-anthropological foundations of clinical ethics / Jos V.M. Welie.</t>
  </si>
  <si>
    <t>Welie, Jos V. M.</t>
  </si>
  <si>
    <t>Omaha, Neb. : Creighton University Press : Association of Jesuit University Presses, c1998.</t>
  </si>
  <si>
    <t>nbu</t>
  </si>
  <si>
    <t>The philosophical-anthropological foundations of clinical ethics</t>
  </si>
  <si>
    <t>2008-11-20</t>
  </si>
  <si>
    <t>2010-03-20</t>
  </si>
  <si>
    <t>1999-08-18</t>
  </si>
  <si>
    <t>R724 .W64</t>
  </si>
  <si>
    <t>0                      R  0724000W  64</t>
  </si>
  <si>
    <t>Muted consent : a casebook in modern medical ethics / by Jan Wojcik. --</t>
  </si>
  <si>
    <t>Wójcik, Jan.</t>
  </si>
  <si>
    <t>West Lafayette, Ind. : Purdue University, 1978.</t>
  </si>
  <si>
    <t>Science and society ; v. 1</t>
  </si>
  <si>
    <t>2008-02-16</t>
  </si>
  <si>
    <t>1992-04-27</t>
  </si>
  <si>
    <t>R724 .Y48</t>
  </si>
  <si>
    <t>0                      R  0724000Y  48</t>
  </si>
  <si>
    <t>Medical ethics : thinking about unavoidable questions / Ronald Yezzi.</t>
  </si>
  <si>
    <t>Yezzi, Ronald.</t>
  </si>
  <si>
    <t>New York : Holt, Rinehart, and Winston, c1980.</t>
  </si>
  <si>
    <t>2004-11-29</t>
  </si>
  <si>
    <t>R724 .Y69 1988</t>
  </si>
  <si>
    <t>0                      R  0724000Y  69          1988</t>
  </si>
  <si>
    <t>Alpha and omega : ethics at the frontiers of life and death / Ernlé W.D. Young.</t>
  </si>
  <si>
    <t>Young, Ernlé W. D.</t>
  </si>
  <si>
    <t>Stanford, Calif. : Stanford Alumni Association, c1988.</t>
  </si>
  <si>
    <t>The Portable Stanford</t>
  </si>
  <si>
    <t>2004-10-21</t>
  </si>
  <si>
    <t>R725.5 .B4513 2003</t>
  </si>
  <si>
    <t>0                      R  0725500B  4513        2003</t>
  </si>
  <si>
    <t>Everyday bioethics : reflections on bioethical choices in daily life / Giovanni Berlinguer.</t>
  </si>
  <si>
    <t>Berlinguer, Giovanni.</t>
  </si>
  <si>
    <t>Amityville, NY : Baywood Pub., c2003.</t>
  </si>
  <si>
    <t>2003</t>
  </si>
  <si>
    <t>Policy, politics, health, and medicine series</t>
  </si>
  <si>
    <t>2003-02-27</t>
  </si>
  <si>
    <t>R725.5 .B52 2009</t>
  </si>
  <si>
    <t>0                      R  0725500B  52          2009</t>
  </si>
  <si>
    <t>Bioethics at the movies / edited by Sandra Shapshay.</t>
  </si>
  <si>
    <t>Baltimore : Johns Hopkins University Press, 2009.</t>
  </si>
  <si>
    <t>2009</t>
  </si>
  <si>
    <t>2010-06-04</t>
  </si>
  <si>
    <t>R725.5 .C48 1982</t>
  </si>
  <si>
    <t>0                      R  0725500C  48          1982</t>
  </si>
  <si>
    <t>Who should decide? : paternalism in health care / James F. Childress.</t>
  </si>
  <si>
    <t>New York : Oxford University Press, 1982.</t>
  </si>
  <si>
    <t>2004-02-02</t>
  </si>
  <si>
    <t>2000-01-05</t>
  </si>
  <si>
    <t>R725.5 .C49 1986</t>
  </si>
  <si>
    <t>0                      R  0725500C  49          1986</t>
  </si>
  <si>
    <t>Ethical issues in family medicine / Ronald J. Christie, C. Barry Hoffmaster.</t>
  </si>
  <si>
    <t>Christie, Ronald J.</t>
  </si>
  <si>
    <t>New York : Oxford University Press, 1986.</t>
  </si>
  <si>
    <t>1992-04-09</t>
  </si>
  <si>
    <t>R725.5 .E84 1985</t>
  </si>
  <si>
    <t>0                      R  0725500E  84          1985</t>
  </si>
  <si>
    <t>Ethics and critical care medicine / edited by John C. Moskop and Loretta Kopelman.</t>
  </si>
  <si>
    <t>Dordrecht ; Boston : D. Reidel ; Hingham, MA, U.S.A. : Sold and distributed in the U.S.A. and Canada by Kluwer Academic, c1985.</t>
  </si>
  <si>
    <t>Philosophy and medicine ; v. 19</t>
  </si>
  <si>
    <t>R725.5 .L3 1998</t>
  </si>
  <si>
    <t>0                      R  0725500L  3           1998</t>
  </si>
  <si>
    <t>Managed care ethics : essays on the impact of managed care on traditional medical ethics / John La Puma.</t>
  </si>
  <si>
    <t>La Puma, John.</t>
  </si>
  <si>
    <t>New York : Hatherleigh Press, c1998.</t>
  </si>
  <si>
    <t>A Hatherleigh CME book</t>
  </si>
  <si>
    <t>2003-02-15</t>
  </si>
  <si>
    <t>R725.5 .L54 1978</t>
  </si>
  <si>
    <t>0                      R  0725500L  54          1978</t>
  </si>
  <si>
    <t>Life span : values and life-extending technologies / edited by Robert M. Veatch.</t>
  </si>
  <si>
    <t>San Francisco : Harper &amp; Row, c1979.</t>
  </si>
  <si>
    <t>R725.5 .M38 1983</t>
  </si>
  <si>
    <t>0                      R  0725500M  38          1983</t>
  </si>
  <si>
    <t>The physician's covenant : images of the healer in medical ethics / William F. May.</t>
  </si>
  <si>
    <t>Philadelphia : Westminster Press, c1983.</t>
  </si>
  <si>
    <t>2010-11-19</t>
  </si>
  <si>
    <t>R725.5 .P45 1988</t>
  </si>
  <si>
    <t>0                      R  0725500P  45          1988</t>
  </si>
  <si>
    <t>For the patient's good : the restoration of beneficence in health care / Edmund D. Pellegrino, David C. Thomasma.</t>
  </si>
  <si>
    <t>New York : Oxford University Press, 1988.</t>
  </si>
  <si>
    <t>R725.5 .P46 2000</t>
  </si>
  <si>
    <t>0                      R  0725500P  46          2000</t>
  </si>
  <si>
    <t>Re-creating medicine : ethical issues at the frontiers of medicine / Gregory E. Pence.</t>
  </si>
  <si>
    <t>Lanham, MD : Rowman &amp; Littlefield, c2000.</t>
  </si>
  <si>
    <t>2007-11-13</t>
  </si>
  <si>
    <t>2002-10-28</t>
  </si>
  <si>
    <t>R725.5 .T57 1985</t>
  </si>
  <si>
    <t>0                      R  0725500T  57          1985</t>
  </si>
  <si>
    <t>Theology and bioethics : exploring the foundations and frontiers / edited by Earl E. Shelp.</t>
  </si>
  <si>
    <t>Dordrecht, Holland ; Boston : D. Reidel ; Hingham, MA, U.S.A. : Sold and distributed in the U.S.A. and Canada by Kluwer Academic, c1985.</t>
  </si>
  <si>
    <t>Philosophy and medicine ; v. 20</t>
  </si>
  <si>
    <t>2000-08-21</t>
  </si>
  <si>
    <t>R725.5 .W43 2001</t>
  </si>
  <si>
    <t>0                      R  0725500W  43          2001</t>
  </si>
  <si>
    <t>Business ethics in healthcare : beyond compliance / Leonard J. Weber.</t>
  </si>
  <si>
    <t>Weber, Leonard J., 1942-</t>
  </si>
  <si>
    <t>Bloomington : Indiana University Press, 2001.</t>
  </si>
  <si>
    <t>Medical ethics series</t>
  </si>
  <si>
    <t>2010-06-23</t>
  </si>
  <si>
    <t>2002-02-11</t>
  </si>
  <si>
    <t>R725.5 .W55 2000</t>
  </si>
  <si>
    <t>0                      R  0725500W  55          2000</t>
  </si>
  <si>
    <t>Moral acquaintances : methodology in bioethics / Kevin Wm. Wildes.</t>
  </si>
  <si>
    <t>Wildes, Kevin Wm. (Kevin William), 1954-</t>
  </si>
  <si>
    <t>Notre Dame, Ind. : University of Notre Dame Press, c2000.</t>
  </si>
  <si>
    <t>2003-04-30</t>
  </si>
  <si>
    <t>R725.55 .B56 v.4</t>
  </si>
  <si>
    <t>0                      R  0725550B  56                                                      v.4</t>
  </si>
  <si>
    <t>Regional developments in bioethics, 1991-1993 / edited by B. Andrew Lustig.</t>
  </si>
  <si>
    <t>V. 4</t>
  </si>
  <si>
    <t>Dordrecht ; Boston : Kluwer Academic, c1995.</t>
  </si>
  <si>
    <t>Bioethics yearbook ; v. 4</t>
  </si>
  <si>
    <t>2003-05-30</t>
  </si>
  <si>
    <t>1997-11-18</t>
  </si>
  <si>
    <t>R725.55 .V38 1989</t>
  </si>
  <si>
    <t>0                      R  0725550V  38          1989</t>
  </si>
  <si>
    <t>Birth ethics : religious and cultural values in the genesis of life / Kenneth L. Vaux.</t>
  </si>
  <si>
    <t>Vaux, Kenneth L., 1939-</t>
  </si>
  <si>
    <t>2008-04-13</t>
  </si>
  <si>
    <t>1990-11-05</t>
  </si>
  <si>
    <t>R725.56 .C37 1989</t>
  </si>
  <si>
    <t>0                      R  0725560C  37          1989</t>
  </si>
  <si>
    <t>Catholic perspectives on medical morals : foundational issues / edited by Edmund D. Pellegrino, John P. Langan and John Collins Harvey.</t>
  </si>
  <si>
    <t>Dordrecht ; Boston : Kluwer Academic Publishers, c1989.</t>
  </si>
  <si>
    <t>Philosophy and medicine ; v. 34</t>
  </si>
  <si>
    <t>2002-04-08</t>
  </si>
  <si>
    <t>1993-01-26</t>
  </si>
  <si>
    <t>R725.56 .D7 2003</t>
  </si>
  <si>
    <t>0                      R  0725560D  7           2003</t>
  </si>
  <si>
    <t>More humane medicine : a liberal Catholic bioethics / James F. Drane.</t>
  </si>
  <si>
    <t>Drane, James F.</t>
  </si>
  <si>
    <t>Edinboro, Pa. : Edinboro University Press, c2003.</t>
  </si>
  <si>
    <t>2004-11-01</t>
  </si>
  <si>
    <t>2005-01-27</t>
  </si>
  <si>
    <t>R725.56 .O36 1996</t>
  </si>
  <si>
    <t>0                      R  0725560O  36          1996</t>
  </si>
  <si>
    <t>Staten Island, N.Y. : Alba House, c1996.</t>
  </si>
  <si>
    <t>3rd, rev. and updated ed.</t>
  </si>
  <si>
    <t>1997-08-27</t>
  </si>
  <si>
    <t>R725.56 .S54 1999</t>
  </si>
  <si>
    <t>0                      R  0725560S  54          1999</t>
  </si>
  <si>
    <t>The body of compassion : ethics, medicine, and the church / Joel James Shuman.</t>
  </si>
  <si>
    <t>Shuman, Joel James.</t>
  </si>
  <si>
    <t>Boulder, Colo. : Westview Press, 1999.</t>
  </si>
  <si>
    <t>Radical traditions</t>
  </si>
  <si>
    <t>2000-11-06</t>
  </si>
  <si>
    <t>R725.56 .T44 1993</t>
  </si>
  <si>
    <t>0                      R  0725560T  44          1993</t>
  </si>
  <si>
    <t>Theological voices in medical ethics / edited by Allen Verhey and Stephen E. Lammers.</t>
  </si>
  <si>
    <t>Grand Rapids, Mich. : W.B. Eerdmans Pub. Co., 1993.</t>
  </si>
  <si>
    <t>1995-05-17</t>
  </si>
  <si>
    <t>R726 .B39</t>
  </si>
  <si>
    <t>0                      R  0726000B  39</t>
  </si>
  <si>
    <t>Beneficent euthanasia / edited by Marvin Kohl.</t>
  </si>
  <si>
    <t>Buffalo : Prometheus Books, 1975.</t>
  </si>
  <si>
    <t>2009-09-27</t>
  </si>
  <si>
    <t>1992-01-16</t>
  </si>
  <si>
    <t>R726 .B47 2004</t>
  </si>
  <si>
    <t>0                      R  0726000B  47          2004</t>
  </si>
  <si>
    <t>Aiming to kill : the ethics of suicide and euthanasia / Nigel Biggar.</t>
  </si>
  <si>
    <t>Biggar, Nigel.</t>
  </si>
  <si>
    <t>Cleveland : Pilgrim Press, 2004.</t>
  </si>
  <si>
    <t>ohu</t>
  </si>
  <si>
    <t>2009-04-27</t>
  </si>
  <si>
    <t>R726 .C64</t>
  </si>
  <si>
    <t>0                      R  0726000C  64</t>
  </si>
  <si>
    <t>Karen Ann Quinlan : dying in the age of eternal life / B. D. Colen.</t>
  </si>
  <si>
    <t>Colen, B. D.</t>
  </si>
  <si>
    <t>New York : Nash Pub., c1976.</t>
  </si>
  <si>
    <t>2005-10-17</t>
  </si>
  <si>
    <t>1992-01-14</t>
  </si>
  <si>
    <t>R726 .C86 1992</t>
  </si>
  <si>
    <t>0                      R  0726000C  86          1992</t>
  </si>
  <si>
    <t>Euthanasia is not the answer : a hospice physician's view / by David Cundiff.</t>
  </si>
  <si>
    <t>Cundiff, David E.</t>
  </si>
  <si>
    <t>Totowa, N.J. : Humana Press, c1992.</t>
  </si>
  <si>
    <t>R726 .D43</t>
  </si>
  <si>
    <t>0                      R  0726000D  43</t>
  </si>
  <si>
    <t>Death and decision / edited by Ernan Mc Mullin.</t>
  </si>
  <si>
    <t>Boulder, Colo. : Published by Westview Press for the American Association for the Advancement of Science, 1978.</t>
  </si>
  <si>
    <t>AAAS selected symposium ; 18</t>
  </si>
  <si>
    <t>2003-12-04</t>
  </si>
  <si>
    <t>1991-11-19</t>
  </si>
  <si>
    <t>R726 .D53</t>
  </si>
  <si>
    <t>0                      R  0726000D  53</t>
  </si>
  <si>
    <t>Dilemmas of dying : a study in the ethics of terminal care / edited by Ian Thompson.</t>
  </si>
  <si>
    <t>Edinburgh : Edinburgh University Press, c1979.</t>
  </si>
  <si>
    <t>Moral issues in health care ; 1</t>
  </si>
  <si>
    <t>2002-04-18</t>
  </si>
  <si>
    <t>1991-10-18</t>
  </si>
  <si>
    <t>R726 .G35 1990</t>
  </si>
  <si>
    <t>0                      R  0726000G  35          1990</t>
  </si>
  <si>
    <t>By trust betrayed : patients, physicians, and the license to kill in the Third Reich / Hugh Gregory Gallagher.</t>
  </si>
  <si>
    <t>Gallagher, Hugh Gregory.</t>
  </si>
  <si>
    <t>New York : H. Holt, c1990.</t>
  </si>
  <si>
    <t>2000-03-29</t>
  </si>
  <si>
    <t>1991-10-17</t>
  </si>
  <si>
    <t>R726 .H46 1997</t>
  </si>
  <si>
    <t>0                      R  0726000H  46          1997</t>
  </si>
  <si>
    <t>Seduced by death : doctors, patients, and the Dutch cure / Herbert Hendin.</t>
  </si>
  <si>
    <t>Hendin, Herbert.</t>
  </si>
  <si>
    <t>New York : W.W. Norton &amp; Co., c1997.</t>
  </si>
  <si>
    <t>2005-04-07</t>
  </si>
  <si>
    <t>1996-11-26</t>
  </si>
  <si>
    <t>R726 .H85 1984</t>
  </si>
  <si>
    <t>0                      R  0726000H  85          1984</t>
  </si>
  <si>
    <t>Let me die before I wake : Hemlock's book of self-deliverance for the dying / Derek Humphry.</t>
  </si>
  <si>
    <t>Humphry, Derek, 1930-</t>
  </si>
  <si>
    <t>Los Angeles : Hemlock Society ; New York : Distributed by the Grove Press, 1984.</t>
  </si>
  <si>
    <t>2006-03-23</t>
  </si>
  <si>
    <t>1993-04-20</t>
  </si>
  <si>
    <t>R726 .H86 1990</t>
  </si>
  <si>
    <t>0                      R  0726000H  86          1990</t>
  </si>
  <si>
    <t>The right to die : understanding euthanasia / Derek Humphry, Ann Wickett.</t>
  </si>
  <si>
    <t>Eugene, Oregon : Hemlock Society, 1990, c1986.</t>
  </si>
  <si>
    <t>1st Hemlock Society ed.</t>
  </si>
  <si>
    <t>oru</t>
  </si>
  <si>
    <t>2007-09-12</t>
  </si>
  <si>
    <t>2000-05-01</t>
  </si>
  <si>
    <t>R726 .K63 1974</t>
  </si>
  <si>
    <t>0                      R  0726000K  63          1974</t>
  </si>
  <si>
    <t>The morality of killing : sanctity of life, abortion, and euthanasia.</t>
  </si>
  <si>
    <t>Kohl, Marvin.</t>
  </si>
  <si>
    <t>New York : Humanities Press, 1974.</t>
  </si>
  <si>
    <t>2002-04-04</t>
  </si>
  <si>
    <t>1992-01-02</t>
  </si>
  <si>
    <t>R726 .L373 1996</t>
  </si>
  <si>
    <t>0                      R  0726000L  373         1996</t>
  </si>
  <si>
    <t>Playing God : fifty religions' views on your right to die / by Gerald A. Larue.</t>
  </si>
  <si>
    <t>Larue, Gerald A.</t>
  </si>
  <si>
    <t>Wakefield, RI : Moyer Bell, 1996.</t>
  </si>
  <si>
    <t>2009-11-29</t>
  </si>
  <si>
    <t>1996-05-29</t>
  </si>
  <si>
    <t>R726 .M3</t>
  </si>
  <si>
    <t>0                      R  0726000M  3</t>
  </si>
  <si>
    <t>Last rights.</t>
  </si>
  <si>
    <t>Mannes, Marya.</t>
  </si>
  <si>
    <t>New York : Morrow, 1974 [c1973]</t>
  </si>
  <si>
    <t>2003-03-20</t>
  </si>
  <si>
    <t>1992-02-21</t>
  </si>
  <si>
    <t>R726 .M87 1996</t>
  </si>
  <si>
    <t>0                      R  0726000M  87          1996</t>
  </si>
  <si>
    <t>Must we suffer our way to death? : cultural and theological perspectives on death by choice / edited by Ronald P. Hamel, Edwin R. DuBose.</t>
  </si>
  <si>
    <t>Dallas, Tex. : Southern Methodist University Press, 1996.</t>
  </si>
  <si>
    <t>txu</t>
  </si>
  <si>
    <t>1999-09-13</t>
  </si>
  <si>
    <t>R726 .Q55 1996</t>
  </si>
  <si>
    <t>0                      R  0726000Q  55          1996</t>
  </si>
  <si>
    <t>A midwife through the dying process : stories of healing and hard choices at the end of life / Timothy E. Quill.</t>
  </si>
  <si>
    <t>Quill, Timothy E.</t>
  </si>
  <si>
    <t>Baltimore : Johns Hopkins University Press, 1996.</t>
  </si>
  <si>
    <t>2006-12-11</t>
  </si>
  <si>
    <t>1997-02-12</t>
  </si>
  <si>
    <t>R726 .R33 1986</t>
  </si>
  <si>
    <t>0                      R  0726000R  33          1986</t>
  </si>
  <si>
    <t>The end of life : euthanasia and morality / James Rachels.</t>
  </si>
  <si>
    <t>Rachels, James, 1941-2003.</t>
  </si>
  <si>
    <t>Oxford [Oxfordshire] ; New York : Oxford University Press, 1986.</t>
  </si>
  <si>
    <t>Studies in bioethics</t>
  </si>
  <si>
    <t>1991-10-28</t>
  </si>
  <si>
    <t>1995-03-06</t>
  </si>
  <si>
    <t>R726 .R5 1974</t>
  </si>
  <si>
    <t>0                      R  0726000R  5           1974</t>
  </si>
  <si>
    <t>The Right to die : decision and decision makers.</t>
  </si>
  <si>
    <t>New York : J. Aronson, [1974, c1973]</t>
  </si>
  <si>
    <t>1994-02-23</t>
  </si>
  <si>
    <t>R726 .R53 2008</t>
  </si>
  <si>
    <t>0                      R  0726000R  53          2008</t>
  </si>
  <si>
    <t>Euthanasia : a reference handbook / Jennifer Fecio McDougall, Martha Gorman.</t>
  </si>
  <si>
    <t>McDougall, Jennifer Fecio.</t>
  </si>
  <si>
    <t>Santa Barbara, Calif. : ABC-CLIO, 2008.</t>
  </si>
  <si>
    <t>2008</t>
  </si>
  <si>
    <t>ABC-CLIO's contemporary world issues</t>
  </si>
  <si>
    <t>2010-12-01</t>
  </si>
  <si>
    <t>2008-01-08</t>
  </si>
  <si>
    <t>R726 .S526 1995</t>
  </si>
  <si>
    <t>0                      R  0726000S  526         1995</t>
  </si>
  <si>
    <t>A chosen death : the dying confront assisted suicide / by Lonny Shavelson ; photographs by Lonny Shavelson.</t>
  </si>
  <si>
    <t>Shavelson, Lonny.</t>
  </si>
  <si>
    <t>New York, NY : Simon &amp; Schuster, c1995.</t>
  </si>
  <si>
    <t>1995-11-03</t>
  </si>
  <si>
    <t>R726 .T74</t>
  </si>
  <si>
    <t>0                      R  0726000T  74</t>
  </si>
  <si>
    <t>The euthanasia controversy, 1812-1974 : a bibliography with select annotations / by Charles W. Triche III and Diane Samson Triche.</t>
  </si>
  <si>
    <t>Triche, Charles W., III</t>
  </si>
  <si>
    <t>Troy, N.Y. : Whitston Pub. Co., 1975.</t>
  </si>
  <si>
    <t>2003-04-18</t>
  </si>
  <si>
    <t>R726 .V4</t>
  </si>
  <si>
    <t>0                      R  0726000V  4</t>
  </si>
  <si>
    <t>Death, dying, and the biological revolution : our last quest for responsibility / Robert M. Veatch.</t>
  </si>
  <si>
    <t>New Haven : Yale University Press, 1976.</t>
  </si>
  <si>
    <t>1990-11-30</t>
  </si>
  <si>
    <t>R726. B37</t>
  </si>
  <si>
    <t>0                      R  0726000B  37</t>
  </si>
  <si>
    <t>Good life/good death : a doctor's case for euthanasia and suicide / by Christiaan Barnard.</t>
  </si>
  <si>
    <t>Barnard, Christiaan, 1922-2001.</t>
  </si>
  <si>
    <t>Englewood Cliffs, N.J. : Prentice-Hall, 1980.</t>
  </si>
  <si>
    <t>1991-04-08</t>
  </si>
  <si>
    <t>R726.5 .A64 1981</t>
  </si>
  <si>
    <t>0                      R  0726500A  64          1981</t>
  </si>
  <si>
    <t>Applied techniques in behavioral medicine / edited by Charles J. Golden ... [et al.].</t>
  </si>
  <si>
    <t>New York : Grune &amp; Stratton, c1981.</t>
  </si>
  <si>
    <t>1996-03-23</t>
  </si>
  <si>
    <t>R726.5 .B34</t>
  </si>
  <si>
    <t>0                      R  0726500B  34</t>
  </si>
  <si>
    <t>Psychology and medicine : psychobiological dimensions of health and illness / Donald A. Bakal.</t>
  </si>
  <si>
    <t>Bakal, Donald A.</t>
  </si>
  <si>
    <t>New York : Springer Pub. Co., c1979.</t>
  </si>
  <si>
    <t>1999-03-16</t>
  </si>
  <si>
    <t>R726.5 .B38 1986</t>
  </si>
  <si>
    <t>0                      R  0726500B  38          1986</t>
  </si>
  <si>
    <t>Behavior, health, and environmental stress / Sheldon Cohen ... [et al.].</t>
  </si>
  <si>
    <t>New York : Plenum Press, c1986.</t>
  </si>
  <si>
    <t>1999-11-16</t>
  </si>
  <si>
    <t>1992-11-24</t>
  </si>
  <si>
    <t>R726.5 .B42</t>
  </si>
  <si>
    <t>0                      R  0726500B  42</t>
  </si>
  <si>
    <t>Behavioral approaches to medical treatment / edited by Redford B. Williams, Jr., W. Doyle Gentry. --</t>
  </si>
  <si>
    <t>Cambridge, Mass. : Ballinger Pub. Co., c1977.</t>
  </si>
  <si>
    <t>1998-09-29</t>
  </si>
  <si>
    <t>1991-10-29</t>
  </si>
  <si>
    <t>R726.5 .B424 1984</t>
  </si>
  <si>
    <t>0                      R  0726500B  424         1984</t>
  </si>
  <si>
    <t>Behavioral health : a handbook of health enhancement and disease prevention / [edited by] Joseph D. Matarazzo ... [et al.].</t>
  </si>
  <si>
    <t>New York : Wiley, c1984.</t>
  </si>
  <si>
    <t>2006-01-20</t>
  </si>
  <si>
    <t>1990-02-21</t>
  </si>
  <si>
    <t>R726.5 .B53 1983</t>
  </si>
  <si>
    <t>0                      R  0726500B  53          1983</t>
  </si>
  <si>
    <t>The influence of individual differences in health and illness / Linas A. Bieliauskas.</t>
  </si>
  <si>
    <t>Bieliauskas, Linas A.</t>
  </si>
  <si>
    <t>Boulder, Colo. : Westview Press, 1983.</t>
  </si>
  <si>
    <t>Behavioral sciences for health care professionals</t>
  </si>
  <si>
    <t>1995-03-04</t>
  </si>
  <si>
    <t>R726.5 .B75 1994</t>
  </si>
  <si>
    <t>0                      R  0726500B  75          1994</t>
  </si>
  <si>
    <t>Imagery for getting well : clinical applications of behavioral medicine / Deirdre Davis Brigham ; with Adelaide Davis and Derry Cameron-Sampey.</t>
  </si>
  <si>
    <t>Brigham, Deirdre Davis.</t>
  </si>
  <si>
    <t>New York : W.W. Norton, c1994.</t>
  </si>
  <si>
    <t>1999-10-29</t>
  </si>
  <si>
    <t>1995-04-24</t>
  </si>
  <si>
    <t>R726.5 .C65 1979</t>
  </si>
  <si>
    <t>0                      R  0726500C  65          1979</t>
  </si>
  <si>
    <t>Compliance in health care / edited by R. Brian Haynes, D. Wayne Taylor, and David L. Sackett.</t>
  </si>
  <si>
    <t>Baltimore : Johns Hopkins University Press, c1979.</t>
  </si>
  <si>
    <t>2007-10-15</t>
  </si>
  <si>
    <t>2007-11-19</t>
  </si>
  <si>
    <t>1991-11-13</t>
  </si>
  <si>
    <t>R726.5 .C68</t>
  </si>
  <si>
    <t>0                      R  0726500C  68</t>
  </si>
  <si>
    <t>Coping with physical illness / edited by Rudolf H. Moos, in collaboration with Vivien Davis Tsu.</t>
  </si>
  <si>
    <t>New York : Plenum Medical Book Co., c1977-c1984.</t>
  </si>
  <si>
    <t>Current topics in mental health</t>
  </si>
  <si>
    <t>2000-09-13</t>
  </si>
  <si>
    <t>1991-08-19</t>
  </si>
  <si>
    <t>R726.5 .C7</t>
  </si>
  <si>
    <t>0                      R  0726500C  7</t>
  </si>
  <si>
    <t>Interpersonal behavior and health care / Michael A. Counte, Luther P. Christman.</t>
  </si>
  <si>
    <t>Counte, Michael A.</t>
  </si>
  <si>
    <t>Boulder, Colo. : Westview Press, 1981.</t>
  </si>
  <si>
    <t>2000-04-15</t>
  </si>
  <si>
    <t>R726.5 .D55 1982</t>
  </si>
  <si>
    <t>0                      R  0726500D  55          1982</t>
  </si>
  <si>
    <t>Achieving patient compliance : the psychology of the medical practitioner's role / M. Robin DiMatteo and D. Dante DiNicola.</t>
  </si>
  <si>
    <t>DiMatteo, M. Robin.</t>
  </si>
  <si>
    <t>New York : Pergamon Press, 1982.</t>
  </si>
  <si>
    <t>Pergamon general psychology series ; no. 110</t>
  </si>
  <si>
    <t>2000-03-14</t>
  </si>
  <si>
    <t>R726.5 .H35 2000</t>
  </si>
  <si>
    <t>0                      R  0726500H  35          2000</t>
  </si>
  <si>
    <t>Health psychology : theory, research and practice / David F. Marks... [et al.].</t>
  </si>
  <si>
    <t>London : Sage, 2000.</t>
  </si>
  <si>
    <t>2005-04-26</t>
  </si>
  <si>
    <t>2000-03-01</t>
  </si>
  <si>
    <t>R726.5 .H43 1974</t>
  </si>
  <si>
    <t>0                      R  0726500H  43          1974</t>
  </si>
  <si>
    <t>The Health belief model and personal health behavior / Marshall H. Becker, guest editor.</t>
  </si>
  <si>
    <t>San Francisco : Society for Public Health Education, 1974.</t>
  </si>
  <si>
    <t>Health education monographs ; v. 2, no. 4</t>
  </si>
  <si>
    <t>2008-08-19</t>
  </si>
  <si>
    <t>2010-06-30</t>
  </si>
  <si>
    <t>R726.5 .H433 1985</t>
  </si>
  <si>
    <t>0                      R  0726500H  433         1985</t>
  </si>
  <si>
    <t>Health, illness, and families : a life-span perspective / Dennis C. Turk, Robert D. Kerns, editors.</t>
  </si>
  <si>
    <t>New York : Wiley, c1985.</t>
  </si>
  <si>
    <t>Wiley series on health psychology/behavioral medicine</t>
  </si>
  <si>
    <t>1999-11-07</t>
  </si>
  <si>
    <t>1992-05-01</t>
  </si>
  <si>
    <t>R726.5 .H45 1984</t>
  </si>
  <si>
    <t>0                      R  0726500H  45          1984</t>
  </si>
  <si>
    <t>Helping patients and their families cope with medical problems / Howard B. Roback, editor.</t>
  </si>
  <si>
    <t>San Francisco : Jossey-Bass Publishers, 1984.</t>
  </si>
  <si>
    <t>The Jossey-Bass social and behavioral science series</t>
  </si>
  <si>
    <t>2000-02-10</t>
  </si>
  <si>
    <t>R726.5 .I59 1979</t>
  </si>
  <si>
    <t>0                      R  0726500I  59          1979</t>
  </si>
  <si>
    <t>Research in psychology and medicine / edited by D. J. Oborne, M. M. Gruneberg, J. R. Eiser.</t>
  </si>
  <si>
    <t>International Conference on Psychology and Medicine (1979 : Swansea, Wales)</t>
  </si>
  <si>
    <t>London ; New York : Academic Press, 1979.</t>
  </si>
  <si>
    <t>1991-01-07</t>
  </si>
  <si>
    <t>R726.5 .I6 1982</t>
  </si>
  <si>
    <t>0                      R  0726500I  6           1982</t>
  </si>
  <si>
    <t>Interpersonal issues in health care / edited by Howard S. Friedman, M. Robin DiMatteo.</t>
  </si>
  <si>
    <t>New York : Academic Press, 1982.</t>
  </si>
  <si>
    <t>1992-02-20</t>
  </si>
  <si>
    <t>R726.5 .K35 1983</t>
  </si>
  <si>
    <t>0                      R  0726500K  35          1983</t>
  </si>
  <si>
    <t>Psychology and medical care / G. Kent, M. Dalgleish.</t>
  </si>
  <si>
    <t>Kent, G. (Gerald)</t>
  </si>
  <si>
    <t>Berkshire, Eng. : Van Nostrand Reinhold (UK), 1983.</t>
  </si>
  <si>
    <t>1996-10-27</t>
  </si>
  <si>
    <t>R726.5 .M39 1989</t>
  </si>
  <si>
    <t>0                      R  0726500M  39          1989</t>
  </si>
  <si>
    <t>Mechanisms of psychological influence on physical health : with special attention to the elderly / edited by Laura L. Carstensen and John M. Neale.</t>
  </si>
  <si>
    <t>New York : Plenum Press, c1989.</t>
  </si>
  <si>
    <t>2000-03-10</t>
  </si>
  <si>
    <t>1991-06-04</t>
  </si>
  <si>
    <t>R726.5 .M45</t>
  </si>
  <si>
    <t>0                      R  0726500M  45</t>
  </si>
  <si>
    <t>Religion and medicine: a discussion, edited by M. A. H. Melinsky.</t>
  </si>
  <si>
    <t>Melinsky, Hugh, 1924-, compiler.</t>
  </si>
  <si>
    <t>London, Published for the Institute of Religion and Medicine by Student Christian Movement Press, 1970.</t>
  </si>
  <si>
    <t>1970</t>
  </si>
  <si>
    <t>2009-03-28</t>
  </si>
  <si>
    <t>R726.5 .M451 1987</t>
  </si>
  <si>
    <t>0                      R  0726500M  451         1987</t>
  </si>
  <si>
    <t>Facilitating treatment adherence : a practitioner's guidebook / Donald Meichenbaum and Dennis C. Turk.</t>
  </si>
  <si>
    <t>Meichenbaum, Donald.</t>
  </si>
  <si>
    <t>New York : Plenum Press, c1987.</t>
  </si>
  <si>
    <t>1999-06-23</t>
  </si>
  <si>
    <t>1991-05-01</t>
  </si>
  <si>
    <t>R726.5 .M69 1993</t>
  </si>
  <si>
    <t>0                      R  0726500M  69          1993</t>
  </si>
  <si>
    <t>Healing and the mind / Bill Moyers ; Betty Sue Flowers, editor ; David Grubin, executive editor ; Elizabeth Meryman-Brunner, art research.</t>
  </si>
  <si>
    <t>Moyers, Bill D.</t>
  </si>
  <si>
    <t>New York : Doubleday, 1993.</t>
  </si>
  <si>
    <t>2009-11-18</t>
  </si>
  <si>
    <t>1993-07-22</t>
  </si>
  <si>
    <t>R726.5 .P48 1988</t>
  </si>
  <si>
    <t>0                      R  0726500P  48          1988</t>
  </si>
  <si>
    <t>Patient compliance : new light on health delivery systems in medicine and psychotherapy / by E. Lakin Phillips.</t>
  </si>
  <si>
    <t>Phillips, E. Lakin (Ewing Lakin), 1915-1994.</t>
  </si>
  <si>
    <t>Toronto ; Lewiston, NY : Huber, c1988.</t>
  </si>
  <si>
    <t>onc</t>
  </si>
  <si>
    <t>1991-07-17</t>
  </si>
  <si>
    <t>R726.5 .P777 1990</t>
  </si>
  <si>
    <t>0                      R  0726500P  777         1990</t>
  </si>
  <si>
    <t>Psychological aspects of serious illness : chronic conditions, fatal diseases, and clinical care / master lecturers, Gregory M. Herek ... [et al.] ; edited by Paul T. Costa, Jr. and Gary R. VandenBos.</t>
  </si>
  <si>
    <t>Washington, D.C. : American Psychological Association, 1990.</t>
  </si>
  <si>
    <t>Master lectures in psychology</t>
  </si>
  <si>
    <t>1991-08-06</t>
  </si>
  <si>
    <t>R726.5 .S54 1986</t>
  </si>
  <si>
    <t>0                      R  0726500S  54          1986</t>
  </si>
  <si>
    <t>Love, medicine, &amp; miracles : lessons learned about self-healing from a surgeon's experience with exceptional patients / Bernie S. Siegel.</t>
  </si>
  <si>
    <t>Siegel, Bernie S.</t>
  </si>
  <si>
    <t>New York : Harper &amp; Row, c1986.</t>
  </si>
  <si>
    <t>2001-02-22</t>
  </si>
  <si>
    <t>R726.5 .S76</t>
  </si>
  <si>
    <t>0                      R  0726500S  76</t>
  </si>
  <si>
    <t>Health psychology : a handbook : theories, applications, and challenges of a psychological approach to the health care system / George C. Stone, Frances Cohen, Nancy E. Adler &amp; associates.</t>
  </si>
  <si>
    <t>Stone, George Chester.</t>
  </si>
  <si>
    <t>San Francisco : Jossey-Bass Publishers, 1979.</t>
  </si>
  <si>
    <t>1999-04-13</t>
  </si>
  <si>
    <t>1990-02-20</t>
  </si>
  <si>
    <t>R726.5 .V56</t>
  </si>
  <si>
    <t>0                      R  0726500V  56</t>
  </si>
  <si>
    <t>Clinical psychology and medicine : an interdisciplinary approach / Frank James Vingoe ; with contributions by Ian Taylor.</t>
  </si>
  <si>
    <t>Vingoe, Frank James.</t>
  </si>
  <si>
    <t>Oxford medical publications</t>
  </si>
  <si>
    <t>2007-04-23</t>
  </si>
  <si>
    <t>1992-03-09</t>
  </si>
  <si>
    <t>R726.5 .W54 1980</t>
  </si>
  <si>
    <t>0                      R  0726500W  54          1980</t>
  </si>
  <si>
    <t>Behavioural science in medicine / Helen R. Winefield and Marilyn Y. Peay.</t>
  </si>
  <si>
    <t>Winefield, Helen R.</t>
  </si>
  <si>
    <t>Baltimore, MD : University Park Press, 1980.</t>
  </si>
  <si>
    <t>1996-10-29</t>
  </si>
  <si>
    <t>R726.7 .B54 1994</t>
  </si>
  <si>
    <t>0                      R  0726700B  54          1994</t>
  </si>
  <si>
    <t>Health psychology : integrating mind and body / George D. Bishop.</t>
  </si>
  <si>
    <t>Bishop, George D.</t>
  </si>
  <si>
    <t>Boston : Allyn and Bacon, c1994.</t>
  </si>
  <si>
    <t>1996-06-13</t>
  </si>
  <si>
    <t>R726.7 .C48 1999</t>
  </si>
  <si>
    <t>0                      R  0726700C  48          1999</t>
  </si>
  <si>
    <t>Why do we fall ill? : the story hiding in the body / Luis A. Chiozza.</t>
  </si>
  <si>
    <t>Chiozza, Luis A.</t>
  </si>
  <si>
    <t>Madison, Conn. : Psychosocial Press, c1999.</t>
  </si>
  <si>
    <t>2001-01-08</t>
  </si>
  <si>
    <t>R726.7 .F754 1991</t>
  </si>
  <si>
    <t>0                      R  0726700F  754         1991</t>
  </si>
  <si>
    <t>The self-healing personality : why some people achieve health and others succumb to illness / Howard S. Friedman.</t>
  </si>
  <si>
    <t>Friedman, Howard S.</t>
  </si>
  <si>
    <t>New York : H. Holt, c1991.</t>
  </si>
  <si>
    <t>1999-02-14</t>
  </si>
  <si>
    <t>R726.7 .G375 2003</t>
  </si>
  <si>
    <t>0                      R  0726700G  375         2003</t>
  </si>
  <si>
    <t>Clinical health psychology and primary care : practical advice and clinical guidance for successful collaboration / Robert J. Gatchel and Mark S. Oordt.</t>
  </si>
  <si>
    <t>Gatchel, Robert J., 1947-</t>
  </si>
  <si>
    <t>Washington, DC : American Psychological Association, c2003.</t>
  </si>
  <si>
    <t>2009-10-12</t>
  </si>
  <si>
    <t>2003-03-24</t>
  </si>
  <si>
    <t>R726.7 .H354 2002</t>
  </si>
  <si>
    <t>0                      R  0726700H  354         2002</t>
  </si>
  <si>
    <t>Handbook of clinical health psychology / edited by Suzanne Bennett Johnson, Nathan Perry, and Ronald H. Rozensky.</t>
  </si>
  <si>
    <t>Washington, DC : American Psychological Association, c2002-</t>
  </si>
  <si>
    <t>2002-06-20</t>
  </si>
  <si>
    <t>2002-06-10</t>
  </si>
  <si>
    <t>R726.7 .H3645 2001</t>
  </si>
  <si>
    <t>0                      R  0726700H  3645        2001</t>
  </si>
  <si>
    <t>Handbook of health psychology / [edited by] Andrew Baum, Tracey A. Revenson, Jerome E. Singer.</t>
  </si>
  <si>
    <t>Mahwah, N.J. : Lawrence Erlbaum Associates, c2001.</t>
  </si>
  <si>
    <t>2007-08-24</t>
  </si>
  <si>
    <t>2001-09-17</t>
  </si>
  <si>
    <t>R726.7 .H365 2010</t>
  </si>
  <si>
    <t>0                      R  0726700H  365         2010</t>
  </si>
  <si>
    <t>Handbook of health psychology and behavioral medicine / edited by Jerry M. Suls, Karina W. Davidson, Robert M. Kaplan.</t>
  </si>
  <si>
    <t>New York : Guilford Press, c2010.</t>
  </si>
  <si>
    <t>2010</t>
  </si>
  <si>
    <t>2010-10-05</t>
  </si>
  <si>
    <t>R726.7 .H4335 1987</t>
  </si>
  <si>
    <t>0                      R  0726700H  4335        1987</t>
  </si>
  <si>
    <t>Health psychology : a discipline and a profession / edited by George C. Stone ... [et al.].</t>
  </si>
  <si>
    <t>Chicago : University of Chicago Press, 1987.</t>
  </si>
  <si>
    <t>1997-02-14</t>
  </si>
  <si>
    <t>1990-02-15</t>
  </si>
  <si>
    <t>R726.7 .H439 1996</t>
  </si>
  <si>
    <t>0                      R  0726700H  439         1996</t>
  </si>
  <si>
    <t>Health psychology through the life span : practice and research opportunities / edited by Robert J. Resnick, Ronald H. Rozensky.</t>
  </si>
  <si>
    <t>Washington, DC : American Psychological Association, c1996.</t>
  </si>
  <si>
    <t>2000-08-22</t>
  </si>
  <si>
    <t>2002-06-18</t>
  </si>
  <si>
    <t>R726.7 .S68 1989</t>
  </si>
  <si>
    <t>0                      R  0726700S  68          1989</t>
  </si>
  <si>
    <t>Health psychology and behavioral medicine / James J. Snyder.</t>
  </si>
  <si>
    <t>Snyder, James J.</t>
  </si>
  <si>
    <t>Englewood Cliffs, N.Y. : Prentice Hall, c1989.</t>
  </si>
  <si>
    <t>1997-04-21</t>
  </si>
  <si>
    <t>R726.8 .A57</t>
  </si>
  <si>
    <t>0                      R  0726800A  57</t>
  </si>
  <si>
    <t>Anticipatory grief / edited by Bernard Schoenberg [and others] With the editorial assistance of Lillian G. Kutscher.</t>
  </si>
  <si>
    <t>New York : Columbia University Press, [1974]</t>
  </si>
  <si>
    <t>1995-03-26</t>
  </si>
  <si>
    <t>R726.8 .B87 1993</t>
  </si>
  <si>
    <t>0                      R  0726800B  87          1993</t>
  </si>
  <si>
    <t>Final choices : to live or to die in an age of medical technology / George M. Burnell.</t>
  </si>
  <si>
    <t>Burnell, George M.</t>
  </si>
  <si>
    <t>New York : Insight Books, c1993.</t>
  </si>
  <si>
    <t>2010-04-13</t>
  </si>
  <si>
    <t>1994-02-07</t>
  </si>
  <si>
    <t>R726.8 .C385 2003</t>
  </si>
  <si>
    <t>0                      R  0726800C  385         2003</t>
  </si>
  <si>
    <t>Caring for the dying : critical issues at the edge of life / edited by Robert M. Baird &amp; Stuart E. Rosenbaum.</t>
  </si>
  <si>
    <t>Amherst, N.Y. : Prometheus Books, c2003.</t>
  </si>
  <si>
    <t>Contemporary issues series</t>
  </si>
  <si>
    <t>2008-11-11</t>
  </si>
  <si>
    <t>2005-05-09</t>
  </si>
  <si>
    <t>R726.8 .C47 1986</t>
  </si>
  <si>
    <t>0                      R  0726800C  47          1986</t>
  </si>
  <si>
    <t>Dying at home with hospice / by Deborah Chase.</t>
  </si>
  <si>
    <t>Chase, Deborah.</t>
  </si>
  <si>
    <t>St. Louis, Mo. : C.V. Mosby Co., c1986.</t>
  </si>
  <si>
    <t>mou</t>
  </si>
  <si>
    <t>2003-11-11</t>
  </si>
  <si>
    <t>R726.8 .C63</t>
  </si>
  <si>
    <t>0                      R  0726800C  63</t>
  </si>
  <si>
    <t>Hospice, prescription for terminal care / Kenneth P. Cohen.</t>
  </si>
  <si>
    <t>Cohen, Kenneth P.</t>
  </si>
  <si>
    <t>Germantown, Md. : Aspen Systems Corp., 1979.</t>
  </si>
  <si>
    <t>R726.8 .D39 1982</t>
  </si>
  <si>
    <t>0                      R  0726800D  39          1982</t>
  </si>
  <si>
    <t>Death education for the health professional / edited by Jeanne Quint Benoliel.</t>
  </si>
  <si>
    <t>Washington : Hemisphere Pub. Corp., c1982.</t>
  </si>
  <si>
    <t>Series in death education, aging, and health care</t>
  </si>
  <si>
    <t>1999-06-25</t>
  </si>
  <si>
    <t>2000-02-19</t>
  </si>
  <si>
    <t>1992-03-10</t>
  </si>
  <si>
    <t>R726.8 .D4 1975</t>
  </si>
  <si>
    <t>0                      R  0726800D  4           1975</t>
  </si>
  <si>
    <t>Death inside out : the Hastings Center report / edited by Peter Steinfels and Robert M. Veatch.</t>
  </si>
  <si>
    <t>New York : Harper &amp; Row, c1975.</t>
  </si>
  <si>
    <t>1994-01-24</t>
  </si>
  <si>
    <t>R726.8 .D85</t>
  </si>
  <si>
    <t>0                      R  0726800D  85</t>
  </si>
  <si>
    <t>The hospice way of death / Paul M. Dubois.</t>
  </si>
  <si>
    <t>DuBois, Paul M.</t>
  </si>
  <si>
    <t>New York : Human Sciences Press, c1980.</t>
  </si>
  <si>
    <t>1991-11-21</t>
  </si>
  <si>
    <t>R726.8 .D89</t>
  </si>
  <si>
    <t>0                      R  0726800D  89</t>
  </si>
  <si>
    <t>Dying and death : a clinical guide for caregivers / edited by David Barton with 7 contributors.</t>
  </si>
  <si>
    <t>Baltimore : Williams &amp; Wilkins, c1977.</t>
  </si>
  <si>
    <t>R726.8 .F44 1977</t>
  </si>
  <si>
    <t>0                      R  0726800F  44          1977</t>
  </si>
  <si>
    <t>New meanings of death / [edited by] Herman Feifel.</t>
  </si>
  <si>
    <t>New York : McGraw-Hill, c1977.</t>
  </si>
  <si>
    <t>1996-04-29</t>
  </si>
  <si>
    <t>R726.8 .H39 1992</t>
  </si>
  <si>
    <t>0                      R  0726800H  39          1992</t>
  </si>
  <si>
    <t>Hospice care / Bert Hayslip, Jr., Joel Leon.</t>
  </si>
  <si>
    <t>Hayslip, Bert, Jr.</t>
  </si>
  <si>
    <t>Newbury Park, Calif. : Sage Publications, c1992.</t>
  </si>
  <si>
    <t>Geriatric case practice training series ; v. 3</t>
  </si>
  <si>
    <t>1994-12-05</t>
  </si>
  <si>
    <t>R726.8 .H67</t>
  </si>
  <si>
    <t>0                      R  0726800H  67</t>
  </si>
  <si>
    <t>A hospice handbook : a new way to care for the dying / edited by Michael P. Hamilton and Helen F. Reid.</t>
  </si>
  <si>
    <t>Grand Rapids : Eerdmans, c1980.</t>
  </si>
  <si>
    <t>R726.8 .H676 1982</t>
  </si>
  <si>
    <t>0                      R  0726800H  676         1982</t>
  </si>
  <si>
    <t>Hospice : a handbook for families and others facing terminal illness / [James Ewens and Patricia Herrington, editors]</t>
  </si>
  <si>
    <t>Santa Fe, N.M. : Bear &amp; Company, c1982, 1983 printing.</t>
  </si>
  <si>
    <t>nmu</t>
  </si>
  <si>
    <t>R726.8 .K52 2006</t>
  </si>
  <si>
    <t>0                      R  0726800K  52          2006</t>
  </si>
  <si>
    <t>Last rights : rescuing the end of life from the medical system / Stephen P. Kiernan.</t>
  </si>
  <si>
    <t>Kiernan, Stephen P.</t>
  </si>
  <si>
    <t>New York : St. Martin's Press, 2006.</t>
  </si>
  <si>
    <t>2006-12-05</t>
  </si>
  <si>
    <t>R726.8 .L48 1984</t>
  </si>
  <si>
    <t>0                      R  0726800L  48          1984</t>
  </si>
  <si>
    <t>Meetings at the edge : dialogues with the grieving and the dying, the healing and the healed / Stephen Levine.</t>
  </si>
  <si>
    <t>Levine, Stephen, 1937-2016.</t>
  </si>
  <si>
    <t>New York, N.Y. : Anchor Press, 1984.</t>
  </si>
  <si>
    <t>1999-06-01</t>
  </si>
  <si>
    <t>1990-12-04</t>
  </si>
  <si>
    <t>R726.8 .L53</t>
  </si>
  <si>
    <t>0                      R  0726800L  53</t>
  </si>
  <si>
    <t>Life and death decisions / edited by Arthur Winter.</t>
  </si>
  <si>
    <t>Springfield, Ill. : Thomas, c1980.</t>
  </si>
  <si>
    <t>1999-11-29</t>
  </si>
  <si>
    <t>R726.8 .M85 1983</t>
  </si>
  <si>
    <t>0                      R  0726800M  85          1983</t>
  </si>
  <si>
    <t>The hospice alternative : a new context for death and dying / Anne Munley.</t>
  </si>
  <si>
    <t>Munley, Anne.</t>
  </si>
  <si>
    <t>New York : Basic Books, c1983.</t>
  </si>
  <si>
    <t>1997-07-25</t>
  </si>
  <si>
    <t>1993-01-13</t>
  </si>
  <si>
    <t>R726.8 .P37</t>
  </si>
  <si>
    <t>0                      R  0726800P  37</t>
  </si>
  <si>
    <t>The experience of dying / E. Mansell Pattison.</t>
  </si>
  <si>
    <t>Pattison, E. Mansell, 1933-</t>
  </si>
  <si>
    <t>Englewood Cliffs, N.J. : Prentice-Hall, c1977.</t>
  </si>
  <si>
    <t>A Spectrum book</t>
  </si>
  <si>
    <t>1996-01-24</t>
  </si>
  <si>
    <t>2000-07-23</t>
  </si>
  <si>
    <t>R726.8 .Q2 1994</t>
  </si>
  <si>
    <t>0                      R  0726800Q  2           1994</t>
  </si>
  <si>
    <t>Quality of life at the end of life : a Choices and Challenges forum / edited by Doris T. Zallen and Chris Hays Dove.</t>
  </si>
  <si>
    <t>Blacksburg, Va. : Choices and Challenges Project, Virginia Tech, c1994.</t>
  </si>
  <si>
    <t>vau</t>
  </si>
  <si>
    <t>1995-10-03</t>
  </si>
  <si>
    <t>R726.8 .S28 1989</t>
  </si>
  <si>
    <t>0                      R  0726800S  28          1989</t>
  </si>
  <si>
    <t>Living with dying : the management of terminal disease / Cicely Saunders and Mary Baines.</t>
  </si>
  <si>
    <t>Saunders, Cicely M., Dame.</t>
  </si>
  <si>
    <t>Oxford ; New York : Oxford University Press, 1989.</t>
  </si>
  <si>
    <t>1989-12-05</t>
  </si>
  <si>
    <t>R726.8 .T463 1986</t>
  </si>
  <si>
    <t>0                      R  0726800T  463         1986</t>
  </si>
  <si>
    <t>Terminal care / edited by Richard Turnbull.</t>
  </si>
  <si>
    <t>Washington : Hemisphere Pub. Corp. ; [New York] : Distribution in the U.S., McGraw-Hill International Book Co., c1986.</t>
  </si>
  <si>
    <t>1990-04-23</t>
  </si>
  <si>
    <t>R726.8 .V33 1987</t>
  </si>
  <si>
    <t>0                      R  0726800V  33          1987</t>
  </si>
  <si>
    <t>Occupational stress in the care of the critically ill, the dying, and the bereaved / Mary L.S. Vachon.</t>
  </si>
  <si>
    <t>Vachon, Mary L. S.</t>
  </si>
  <si>
    <t>1997-03-17</t>
  </si>
  <si>
    <t>1990-02-02</t>
  </si>
  <si>
    <t>R726.8 .W46</t>
  </si>
  <si>
    <t>0                      R  0726800W  46</t>
  </si>
  <si>
    <t>To those who need it most, hospice means hope / Kenneth B. Wentzel.</t>
  </si>
  <si>
    <t>Wentzel, Kenneth B.</t>
  </si>
  <si>
    <t>Boston : Charles River Books, 1981.</t>
  </si>
  <si>
    <t>1992-03-24</t>
  </si>
  <si>
    <t>R727 .L3</t>
  </si>
  <si>
    <t>0                      R  0727000L  3</t>
  </si>
  <si>
    <t>Handbook of medical ethics for nurses, physicians and priests / by S. A. La Rochelle and C. T. Fink ; pref. by the Most Rev. James C. McGuigan ; translated from the 4th French ed. by M. E. Poupore [et al]</t>
  </si>
  <si>
    <t>Larochelle, Stanislas.</t>
  </si>
  <si>
    <t>Westminster, Md. : Newman Press, 1948.</t>
  </si>
  <si>
    <t>1948</t>
  </si>
  <si>
    <t>[8th ed.] --</t>
  </si>
  <si>
    <t>1994-03-01</t>
  </si>
  <si>
    <t>1992-03-12</t>
  </si>
  <si>
    <t>R727 .T64 1976</t>
  </si>
  <si>
    <t>0                      R  0727000T  64          1976</t>
  </si>
  <si>
    <t>Limits of medicine : the doctor's job in the coming era : [proceedings of the Totts Gap Colloquium on the Limits of Medicine--the Doctor's Job in the Coming Era, held in Totts Gap, Pennsylvania, June 10-12, 1976] / edited by Stewart G. Wolf and Beatrice Bishop Berle.</t>
  </si>
  <si>
    <t>Totts Gap Colloquium on the Limits of Medicine--the Doctor's Job in the Coming Era (1976)</t>
  </si>
  <si>
    <t>New York : Plenum Press, c1978.</t>
  </si>
  <si>
    <t>1996-10-16</t>
  </si>
  <si>
    <t>R727.3 .B34</t>
  </si>
  <si>
    <t>0                      R  0727300B  34</t>
  </si>
  <si>
    <t>Informed consent in medical therapy and research / Bernard Barber.</t>
  </si>
  <si>
    <t>Barber, Bernard.</t>
  </si>
  <si>
    <t>New Brunswick, N.J. : Rutgers University Press, c1980.</t>
  </si>
  <si>
    <t>2008-01-19</t>
  </si>
  <si>
    <t>R727.3 .B76 1983</t>
  </si>
  <si>
    <t>0                      R  0727300B  76          1983</t>
  </si>
  <si>
    <t>Managing patients and stress effectively : a skills manual for the health professional / by James C. Brown and John D. Blakeman.</t>
  </si>
  <si>
    <t>Brown, James C.</t>
  </si>
  <si>
    <t>Springfield, Ill., U.S.A. : C.C. Thomas, c1983.</t>
  </si>
  <si>
    <t>R727.3 .C53 1983</t>
  </si>
  <si>
    <t>0                      R  0727300C  53          1983</t>
  </si>
  <si>
    <t>The Clinical encounter : the moral fabric of the patient-physician relationship / edited by Earl E. Shelp.</t>
  </si>
  <si>
    <t>Dordrecht ; Boston : D. Reidel ; Hingham, MA : Sold and distributed in the U.S.A. and Canada by Kluwer Academic Publishers, c1983.</t>
  </si>
  <si>
    <t>Philosophy and medicine ; v. 14</t>
  </si>
  <si>
    <t>2003-11-07</t>
  </si>
  <si>
    <t>R727.3 .D63 1983</t>
  </si>
  <si>
    <t>0                      R  0727300D  63          1983</t>
  </si>
  <si>
    <t>Doctor-patient communication / edited by David Pendleton and John Hasler.</t>
  </si>
  <si>
    <t>London : Academic Press, 1983</t>
  </si>
  <si>
    <t>2003-03-26</t>
  </si>
  <si>
    <t>R727.3 .E47</t>
  </si>
  <si>
    <t>0                      R  0727300E  47</t>
  </si>
  <si>
    <t>The client-clinician relationship : essays on interpersonal sensitivity in the therapeutic transaction / edited by Lon L. Emerick and Stephen B. Hood.</t>
  </si>
  <si>
    <t>Emerick, Lon L.</t>
  </si>
  <si>
    <t>Springfield, Ill. : Thomas, [1974]</t>
  </si>
  <si>
    <t>1992-03-25</t>
  </si>
  <si>
    <t>R727.3 .E52 1987</t>
  </si>
  <si>
    <t>0                      R  0727300E  52          1987</t>
  </si>
  <si>
    <t>Encounters between patients and doctors : an anthology / edited by John D. Stoeckle.</t>
  </si>
  <si>
    <t>Cambridge, Mass. : MIP Press, c1987.</t>
  </si>
  <si>
    <t>MIT Press series on the humanistic and social dimensions of medicine ; 5</t>
  </si>
  <si>
    <t>R727.3 .L55</t>
  </si>
  <si>
    <t>0                      R  0727300L  55</t>
  </si>
  <si>
    <t>The bitter pill : doctors, patients, and failed expectations / Martin R. Lipp.</t>
  </si>
  <si>
    <t>Lipp, Martin R., 1940-</t>
  </si>
  <si>
    <t>New York : Harper &amp; Row, c1980.</t>
  </si>
  <si>
    <t>R727.3 .M393 1998</t>
  </si>
  <si>
    <t>0                      R  0727300M  393         1998</t>
  </si>
  <si>
    <t>Medical risk and the right to an informed consent in clinical care and clinical research / [by Dennis J. Mazur].</t>
  </si>
  <si>
    <t>Mazur, Dennis John.</t>
  </si>
  <si>
    <t>Tampa, Fla. : American College of Physician Executives, 1998.</t>
  </si>
  <si>
    <t>flu</t>
  </si>
  <si>
    <t>2002-03-21</t>
  </si>
  <si>
    <t>R727.3 .O94 1999</t>
  </si>
  <si>
    <t>0                      R  0727300O  94          1999</t>
  </si>
  <si>
    <t>Hospitality to strangers : empathy in the physician-patient relationship / Dorothy M. Owens.</t>
  </si>
  <si>
    <t>Owens, Dorothy M.</t>
  </si>
  <si>
    <t>Atlanta : Scholars Press, c1999.</t>
  </si>
  <si>
    <t>gau</t>
  </si>
  <si>
    <t>American Academy of Religion academy series ; no. 100</t>
  </si>
  <si>
    <t>2005-06-27</t>
  </si>
  <si>
    <t>2001-02-06</t>
  </si>
  <si>
    <t>R727.3 .P47</t>
  </si>
  <si>
    <t>0                      R  0727300P  47</t>
  </si>
  <si>
    <t>Wholistic health care : the process of engagement : the initial health planning conference--an interdisciplinary approach to whole person health care / by William M. Peterson, Donald A. Tubesing, Nancy Loving Tubesing.</t>
  </si>
  <si>
    <t>Peterson, William M. (William Manfred), 1942-</t>
  </si>
  <si>
    <t>Hinsdale, IL : Society for Wholistic Medicine, 1976.</t>
  </si>
  <si>
    <t>Monographs on wholistic health care ; 4</t>
  </si>
  <si>
    <t>2001-09-19</t>
  </si>
  <si>
    <t>R727.3 .P48</t>
  </si>
  <si>
    <t>0                      R  0727300P  48</t>
  </si>
  <si>
    <t>Physician-patient communication : readings and recommendations / edited by George Henderson.</t>
  </si>
  <si>
    <t>Springfield, Ill. : Thomas, c1981.</t>
  </si>
  <si>
    <t>R727.3 .P73</t>
  </si>
  <si>
    <t>0                      R  0727300P  73</t>
  </si>
  <si>
    <t>The clay pedestal : a re-examination of the doctor-patient relationship / Thomas Preston.</t>
  </si>
  <si>
    <t>Preston, Thomas A., 1933-</t>
  </si>
  <si>
    <t>Seattle : Madrona Publishers, 1981.</t>
  </si>
  <si>
    <t>wau</t>
  </si>
  <si>
    <t>2001-04-17</t>
  </si>
  <si>
    <t>R727.3 .S55 1987</t>
  </si>
  <si>
    <t>0                      R  0727300S  55          1987</t>
  </si>
  <si>
    <t>Communication and medical practice : social relations in the clinic / David Silverman.</t>
  </si>
  <si>
    <t>Silverman, David, 1943-</t>
  </si>
  <si>
    <t>London : Sage, 1987.</t>
  </si>
  <si>
    <t>R727.3 .S6 1983</t>
  </si>
  <si>
    <t>0                      R  0727300S  6           1983</t>
  </si>
  <si>
    <t>The Social organization of doctor-patient communication / edited by Sue Fisher &amp; Alexandra Dundas Todd.</t>
  </si>
  <si>
    <t>Washington, D.C. : Center for Applied Linguistics, 1983.</t>
  </si>
  <si>
    <t>1999-10-02</t>
  </si>
  <si>
    <t>1992-01-10</t>
  </si>
  <si>
    <t>R727.4 .L48 1993</t>
  </si>
  <si>
    <t>0                      R  0727400L  48          1993</t>
  </si>
  <si>
    <t>Health counseling / Judith A. Lewis, Len Sperry, Jon Carlson.</t>
  </si>
  <si>
    <t>Lewis, Judith A., 1939-</t>
  </si>
  <si>
    <t>Pacific Grove, Calif. : Brooks/Cole Pub. Co., c1993.</t>
  </si>
  <si>
    <t>1996-02-24</t>
  </si>
  <si>
    <t>1993-07-06</t>
  </si>
  <si>
    <t>R727.8 .A44</t>
  </si>
  <si>
    <t>0                      R  0727800A  44</t>
  </si>
  <si>
    <t>Attitudes toward the aged and client age group preference as expressed by future and current health care and counseling professionals / by Virginia B. Allen.</t>
  </si>
  <si>
    <t>Allen, Virginia B.</t>
  </si>
  <si>
    <t>sdu</t>
  </si>
  <si>
    <t>2004-06-16</t>
  </si>
  <si>
    <t>R728 .E94 2004</t>
  </si>
  <si>
    <t>0                      R  0728000E  94          2004</t>
  </si>
  <si>
    <t>Evidence-based practice manual: research and outcome measures in health and human services / edited by Albert R. Roberts, Kenneth Yeager.</t>
  </si>
  <si>
    <t>Oxford ; New York : Oxford University Press, c2004.</t>
  </si>
  <si>
    <t>2010-02-23</t>
  </si>
  <si>
    <t>R728 .L28</t>
  </si>
  <si>
    <t>0                      R  0728000L  28</t>
  </si>
  <si>
    <t>Medicine and money : physicians as businessmen / Joseph LaDou, James D. Likens.</t>
  </si>
  <si>
    <t>LaDou, Joseph, 1938-</t>
  </si>
  <si>
    <t>2000-03-23</t>
  </si>
  <si>
    <t>R728 .P68 1999</t>
  </si>
  <si>
    <t>0                      R  0728000P  68          1999</t>
  </si>
  <si>
    <t>The new health partners : renewing the leadership of physician practice / Stephen E. Prather, with Thomas D. Barela, Carolyn A. Lee, Linde F. Howell ; foreword by James S. Roberts.</t>
  </si>
  <si>
    <t>Prather, Stephen E.</t>
  </si>
  <si>
    <t>San Francisco : Jossey-Bass Publishers, c1999.</t>
  </si>
  <si>
    <t>2002-04-24</t>
  </si>
  <si>
    <t>R728 .S35 2008</t>
  </si>
  <si>
    <t>0                      R  0728000S  35          2008</t>
  </si>
  <si>
    <t>Keys to private practice success : marketing and management skills they didn't teach you in college / Harvey Schmiedeke.</t>
  </si>
  <si>
    <t>Schmiedeke, Harvey.</t>
  </si>
  <si>
    <t>Burbank, CA : Survival Strategies International, c2008.</t>
  </si>
  <si>
    <t>1st edition.</t>
  </si>
  <si>
    <t>2009-11-12</t>
  </si>
  <si>
    <t>R728 .W64 1985</t>
  </si>
  <si>
    <t>0                      R  0728000W  64          1985</t>
  </si>
  <si>
    <t>The organization of medical practice and the practice of medicine / Fredric D. Wolinsky, William D. Marder.</t>
  </si>
  <si>
    <t>Wolinsky, Fredric D.</t>
  </si>
  <si>
    <t>Ann Arbor, MI : Health Administration Press, 1985.</t>
  </si>
  <si>
    <t>1999-01-13</t>
  </si>
  <si>
    <t>R728.5 .F74 1991</t>
  </si>
  <si>
    <t>0                      R  0728500F  74          1991</t>
  </si>
  <si>
    <t>Regulating doctors' fees : competition, benefits, and controls under medicare / edited by H.E. Frech, III.</t>
  </si>
  <si>
    <t>Washington, D.C. : AEI Press, 1991.</t>
  </si>
  <si>
    <t>AEI studies ; 518</t>
  </si>
  <si>
    <t>1994-02-17</t>
  </si>
  <si>
    <t>1992-06-10</t>
  </si>
  <si>
    <t>R729.5.G6 F73 1975</t>
  </si>
  <si>
    <t>0                      R  0729500G  6                  F  73          1975</t>
  </si>
  <si>
    <t>Doctoring together : a study of professional social control / Eliot Freidson.</t>
  </si>
  <si>
    <t>Freidson, Eliot, 1923-2005.</t>
  </si>
  <si>
    <t>New York : Elsevier, c1975.</t>
  </si>
  <si>
    <t>R729.8 .H86 1994</t>
  </si>
  <si>
    <t>0                      R  0729800H  86          1994</t>
  </si>
  <si>
    <t>Human error in medicine / edited by Marilyn Sue Bogner.</t>
  </si>
  <si>
    <t>Hillsdale, N.J. : L. Erlbaum Associates, 1994.</t>
  </si>
  <si>
    <t>1996-02-01</t>
  </si>
  <si>
    <t>R730 .A54 2000</t>
  </si>
  <si>
    <t>0                      R  0730000A  54          2000</t>
  </si>
  <si>
    <t>Snake oil, hustlers and hambones : the American medicine show / Ann Anderson ; foreword by Heinrich R. Falk.</t>
  </si>
  <si>
    <t>Anderson, Ann, 1951-</t>
  </si>
  <si>
    <t>Jefferson : McFarland &amp; Company, 2000.</t>
  </si>
  <si>
    <t>ncu</t>
  </si>
  <si>
    <t>2007-03-01</t>
  </si>
  <si>
    <t>2001-05-23</t>
  </si>
  <si>
    <t>R733 .F85 1989</t>
  </si>
  <si>
    <t>0                      R  0733000F  85          1989</t>
  </si>
  <si>
    <t>Alternative medicine and American religious life / Robert C. Fuller.</t>
  </si>
  <si>
    <t>Fuller, Robert C., 1952-</t>
  </si>
  <si>
    <t>New York : Oxford University Press, 1989.</t>
  </si>
  <si>
    <t>1994-09-26</t>
  </si>
  <si>
    <t>1990-08-15</t>
  </si>
  <si>
    <t>R733 .H4</t>
  </si>
  <si>
    <t>0                      R  0733000H  4</t>
  </si>
  <si>
    <t>Health for the whole person : the complete guide to holistic medicine / edited by Arthur C. Hastings, James Fadiman, James S. Gordon.</t>
  </si>
  <si>
    <t>Boulder, Colo. : Westview Press, 1980.</t>
  </si>
  <si>
    <t>2005-02-25</t>
  </si>
  <si>
    <t>1992-03-03</t>
  </si>
  <si>
    <t>R733 .L36 1978</t>
  </si>
  <si>
    <t>0                      R  0733000L  36          1978</t>
  </si>
  <si>
    <t>Healing : the coming revolution in holistic medicine / Jack LaPatra.</t>
  </si>
  <si>
    <t>LaPatra, Jack W., 1927-</t>
  </si>
  <si>
    <t>New York : McGraw-Hill, c1978.</t>
  </si>
  <si>
    <t>2001-02-20</t>
  </si>
  <si>
    <t>R733 .W44 1983</t>
  </si>
  <si>
    <t>0                      R  0733000W  44          1983</t>
  </si>
  <si>
    <t>Health and healing : understanding conventional and alternative medicine / Andrew Weil.</t>
  </si>
  <si>
    <t>Weil, Andrew.</t>
  </si>
  <si>
    <t>Boston : Houghton Mifflin, 1983.</t>
  </si>
  <si>
    <t>1992-04-06</t>
  </si>
  <si>
    <t>R737 .B69 1983</t>
  </si>
  <si>
    <t>0                      R  0737000B  69          1983</t>
  </si>
  <si>
    <t>The private lives and professional identity of medical students / Robert S. Broadhead.</t>
  </si>
  <si>
    <t>Broadhead, Robert S., 1947-</t>
  </si>
  <si>
    <t>New Brunswick, U.S.A. : Transaction Books, c1983.</t>
  </si>
  <si>
    <t>1999-11-09</t>
  </si>
  <si>
    <t>1991-12-09</t>
  </si>
  <si>
    <t>R737 .B79 1966b</t>
  </si>
  <si>
    <t>0                      R  0737000B  79          1966b</t>
  </si>
  <si>
    <t>The development of medicine as a profession : the contribution of the medieval university to modern medicine / [by] Vern L. Bullough.</t>
  </si>
  <si>
    <t>Bullough, Vern L.</t>
  </si>
  <si>
    <t>Basel ; New York : Karger, 1966.</t>
  </si>
  <si>
    <t>1966</t>
  </si>
  <si>
    <t xml:space="preserve">sz </t>
  </si>
  <si>
    <t>1994-10-01</t>
  </si>
  <si>
    <t>1992-02-07</t>
  </si>
  <si>
    <t>R737 .K557</t>
  </si>
  <si>
    <t>0                      R  0737000K  557</t>
  </si>
  <si>
    <t>Medical student; doctor in the making [by] James A. Knight. Foreword by Charles C. Sprague.</t>
  </si>
  <si>
    <t>Knight, James A., 1918-1998.</t>
  </si>
  <si>
    <t>New York, Appleton-Century-Crofts [1973]</t>
  </si>
  <si>
    <t>R737 .N26 1986</t>
  </si>
  <si>
    <t>0                      R  0737000N  26          1986</t>
  </si>
  <si>
    <t>Values in medical practice : a statement of philosophy for physicians and a model for teaching a healing science / Rudolph J. Napodano.</t>
  </si>
  <si>
    <t>Napodano, Rudolph J.</t>
  </si>
  <si>
    <t>New York, N.Y. : Human Sciences Press, c1986.</t>
  </si>
  <si>
    <t>2005-10-27</t>
  </si>
  <si>
    <t>1992-03-23</t>
  </si>
  <si>
    <t>R737 .V5 1985</t>
  </si>
  <si>
    <t>0                      R  0737000V  5           1985</t>
  </si>
  <si>
    <t>Coping in medical school / Bernard Virshup.</t>
  </si>
  <si>
    <t>Virshup, Bernard, 1922-</t>
  </si>
  <si>
    <t>New York : Norton, c1985.</t>
  </si>
  <si>
    <t>1991-12-11</t>
  </si>
  <si>
    <t>R745 .B45 1985</t>
  </si>
  <si>
    <t>0                      R  0745000B  45          1985</t>
  </si>
  <si>
    <t>A system of scientific medicine : philanthropic foundations in the Flexner era / Howard S. Berliner.</t>
  </si>
  <si>
    <t>Berliner, Howard S., 1949-</t>
  </si>
  <si>
    <t>New York : Tavistock, 1985.</t>
  </si>
  <si>
    <t>1997-10-15</t>
  </si>
  <si>
    <t>1993-03-09</t>
  </si>
  <si>
    <t>R745 .B46 1992</t>
  </si>
  <si>
    <t>0                      R  0745000B  46          1992</t>
  </si>
  <si>
    <t>Beyond Flexner : medical education in the twentieth century / edited by Barbara Barzansky and Norman Gevitz.</t>
  </si>
  <si>
    <t>New York : Greenwood Press, 1992.</t>
  </si>
  <si>
    <t>Contributions in medical studies, 0886-8220 ; no. 34</t>
  </si>
  <si>
    <t>2008-05-05</t>
  </si>
  <si>
    <t>1993-01-14</t>
  </si>
  <si>
    <t>R745 .C6 1986</t>
  </si>
  <si>
    <t>0                      R  0745000C  6           1986</t>
  </si>
  <si>
    <t>Medical education : making the grade in cost containment / editors, Russell D. Cunningham, Charles P. Friedman and Bill Weaver ; coordinating editor, Karen E. Lake.</t>
  </si>
  <si>
    <t>Conference on Teaching and Learning in Cost-Effective Health Care (1984 : Saint Simons Island, Ga.)</t>
  </si>
  <si>
    <t>Battle Creek, Mich. : W.K. Kellogg Foundation, 1986.</t>
  </si>
  <si>
    <t>1995-04-20</t>
  </si>
  <si>
    <t>R745 .C924 1977</t>
  </si>
  <si>
    <t>0                      R  0745000C  924         1977</t>
  </si>
  <si>
    <t>Medical education since 1960 : marching to a different drummer / Andrew D. Hunt, general editor, Lewis E. Weeks, editor.</t>
  </si>
  <si>
    <t>Conference on Medical Education Since 1960: Marching to a Different Drummer (1977 : Michigan State University)</t>
  </si>
  <si>
    <t>[East Lansing, Mich.] : Michigan State University Foundation, [1979]</t>
  </si>
  <si>
    <t>1993-10-16</t>
  </si>
  <si>
    <t>1991-08-22</t>
  </si>
  <si>
    <t>R745 .E37</t>
  </si>
  <si>
    <t>0                      R  0745000E  37</t>
  </si>
  <si>
    <t>The Education of American physicians : historical essays / edited by Ronald L. Numbers.</t>
  </si>
  <si>
    <t>Berkeley : University of California Press, c1980.</t>
  </si>
  <si>
    <t>R745 .F73</t>
  </si>
  <si>
    <t>0                      R  0745000F  73</t>
  </si>
  <si>
    <t>The making of a physician : a ten-year longitudinal study of social class, academic achievement, and changing professional attitudes of a medical school class / Marcel A. Fredericks and Paul Mundy.</t>
  </si>
  <si>
    <t>Fredericks, Marcel A., 1927-</t>
  </si>
  <si>
    <t>Chicago : Loyola University Press, c1976.</t>
  </si>
  <si>
    <t>1992-01-03</t>
  </si>
  <si>
    <t>1990-11-19</t>
  </si>
  <si>
    <t>R745 .F74</t>
  </si>
  <si>
    <t>0                      R  0745000F  74</t>
  </si>
  <si>
    <t>Making it in med school : biography of a medical student / Marcel A. Fredericks, Paul Mundy.</t>
  </si>
  <si>
    <t>Chicago : Loyola University Press, c1980.</t>
  </si>
  <si>
    <t>2005-10-01</t>
  </si>
  <si>
    <t>1992-02-01</t>
  </si>
  <si>
    <t>R745 .H495 1997</t>
  </si>
  <si>
    <t>0                      R  0745000H  495         1997</t>
  </si>
  <si>
    <t>Evaluation of state efforts to improve the primary care workforce : scholarship/loan programs and medical education reforms / by Tim M. Henderson, Wendy Fox-Grage.</t>
  </si>
  <si>
    <t>Henderson, Tim M.</t>
  </si>
  <si>
    <t>Denver, Colo. ; Washington, D.C. : National Conference of State Legislatures, c1997.</t>
  </si>
  <si>
    <t>2008-09-12</t>
  </si>
  <si>
    <t>2000-10-23</t>
  </si>
  <si>
    <t>R745 .L53</t>
  </si>
  <si>
    <t>0                      R  0745000L  53</t>
  </si>
  <si>
    <t>Men and women in medical school : how they change and how they compare / Jane Leserman.</t>
  </si>
  <si>
    <t>Leserman, Jane.</t>
  </si>
  <si>
    <t>New York : Praeger, 1981.</t>
  </si>
  <si>
    <t>1993-11-10</t>
  </si>
  <si>
    <t>R745 .L84 1985</t>
  </si>
  <si>
    <t>0                      R  0745000L  84          1985</t>
  </si>
  <si>
    <t>Learning to heal : the development of American medical education / Kenneth M. Ludmerer.</t>
  </si>
  <si>
    <t>Ludmerer, Kenneth M.</t>
  </si>
  <si>
    <t>New York : Basic Books, c1985.</t>
  </si>
  <si>
    <t>R745 .M615</t>
  </si>
  <si>
    <t>0                      R  0745000M  615</t>
  </si>
  <si>
    <t>Politics and the expanding physician supply / Michael Millman.</t>
  </si>
  <si>
    <t>Millman, Michael L.</t>
  </si>
  <si>
    <t>Montclair, N.J. : Allanheld, Osmun, c1980.</t>
  </si>
  <si>
    <t>Conservation of human resources series ; 11</t>
  </si>
  <si>
    <t>R838.4 .R67 1996</t>
  </si>
  <si>
    <t>0                      R  0838400R  67          1996</t>
  </si>
  <si>
    <t>The Princeton Review medical school companion : the ultimate guide to excelling in medical school and launching your career / Mary Ross-Dolen, Keith Berkowitz, Eyad Ali.</t>
  </si>
  <si>
    <t>Ross-Dolen, Mary.</t>
  </si>
  <si>
    <t>New York : Random House, 1996.</t>
  </si>
  <si>
    <t>2009-08-26</t>
  </si>
  <si>
    <t>1996-06-04</t>
  </si>
  <si>
    <t>R838.4 .W43 1982</t>
  </si>
  <si>
    <t>0                      R  0838400W  43          1982</t>
  </si>
  <si>
    <t>Medical school admissions, a strategy for success / Henry Wechsler, Barbara Gale.</t>
  </si>
  <si>
    <t>Wechsler, Henry, 1932-</t>
  </si>
  <si>
    <t>Cambridge, Mass. : Ballinger Pub. Co., c1982.</t>
  </si>
  <si>
    <t>2004-09-19</t>
  </si>
  <si>
    <t>1992-02-12</t>
  </si>
  <si>
    <t>R840 .P47 1991</t>
  </si>
  <si>
    <t>0                      R  0840000P  47          1991</t>
  </si>
  <si>
    <t>Staying human during residency training / Allan D. Peterkin.</t>
  </si>
  <si>
    <t>Peterkin, Allan.</t>
  </si>
  <si>
    <t>Ottawa : Canadian Medical Association, 1991.</t>
  </si>
  <si>
    <t>R845 .C63 1984</t>
  </si>
  <si>
    <t>0                      R  0845000C  63          1984</t>
  </si>
  <si>
    <t>Continuing education for the health professions / Joseph S. Green ... [et al.], editors.</t>
  </si>
  <si>
    <t>San Francisco : Jossey-Bass, 1984.</t>
  </si>
  <si>
    <t>Association of American Medical Colleges series in academic medicine</t>
  </si>
  <si>
    <t>1996-05-09</t>
  </si>
  <si>
    <t>R850 .B413 1957</t>
  </si>
  <si>
    <t>0                      R  0850000B  413         1957</t>
  </si>
  <si>
    <t>An introduction to the study of experimental medicine / translated by Henry Copley Green. With an introd. by Lawrence J. Henderson. With a new foreword by I. Bernard Cohen.</t>
  </si>
  <si>
    <t>Bernard, Claude, 1813-1878.</t>
  </si>
  <si>
    <t>New York : Dover Publications, [1957]</t>
  </si>
  <si>
    <t>1957</t>
  </si>
  <si>
    <t>2008-02-20</t>
  </si>
  <si>
    <t>R850 .G68 1988</t>
  </si>
  <si>
    <t>0                      R  0850000G  68          1988</t>
  </si>
  <si>
    <t>Research in health care settings / Kathleen E. Grady, Barbara Strudler Wallston.</t>
  </si>
  <si>
    <t>Grady, Kathleen E.</t>
  </si>
  <si>
    <t>Newbury Park, Calif. : Sage Publications, c1988.</t>
  </si>
  <si>
    <t>Applied social research methods series ; v. 14</t>
  </si>
  <si>
    <t>1999-03-23</t>
  </si>
  <si>
    <t>R852 .A75 1971b</t>
  </si>
  <si>
    <t>0                      R  0852000A  75          1971b</t>
  </si>
  <si>
    <t>Statistical methods in medical research, [by] P. Armitage.</t>
  </si>
  <si>
    <t>Armitage, P.</t>
  </si>
  <si>
    <t>Oxford, Blackwell Scientific, 1971.</t>
  </si>
  <si>
    <t>2002-05-03</t>
  </si>
  <si>
    <t>1997-08-08</t>
  </si>
  <si>
    <t>R852 .B76 1998</t>
  </si>
  <si>
    <t>0                      R  0852000B  76          1998</t>
  </si>
  <si>
    <t>The ethics of biomedical research : an international perspective / Baruch A. Brody.</t>
  </si>
  <si>
    <t>Brody, Baruch A.</t>
  </si>
  <si>
    <t>2007-04-11</t>
  </si>
  <si>
    <t>R853.A53 E74 1991</t>
  </si>
  <si>
    <t>0                      R  0853000A  53                 E  74          1991</t>
  </si>
  <si>
    <t>Lives in the balance : the ethics of using animals in biomedical research : the report of a working party of the Institute of Medical Ethics / edited by Jane A. Smith and Kenneth M. Boyd.</t>
  </si>
  <si>
    <t>Oxford ; New York : Oxford University Press, 1991.</t>
  </si>
  <si>
    <t>2000-11-08</t>
  </si>
  <si>
    <t>1992-05-26</t>
  </si>
  <si>
    <t>R853.C55 M38 1995</t>
  </si>
  <si>
    <t>0                      R  0853000C  55                 M  38          1995</t>
  </si>
  <si>
    <t>Quantification and the quest for medical certainty / J. Rosser Matthews.</t>
  </si>
  <si>
    <t>Matthews, J. Rosser, 1964-</t>
  </si>
  <si>
    <t>Princeton, N.J. : Princeton University Press, c1995.</t>
  </si>
  <si>
    <t>2007-08-23</t>
  </si>
  <si>
    <t>1996-08-21</t>
  </si>
  <si>
    <t>R853.C55 Q56 2001</t>
  </si>
  <si>
    <t>0                      R  0853000C  55                 Q  56          2001</t>
  </si>
  <si>
    <t>Human trials : scientists, investors, and patients in the quest for a cure / Susan Quinn.</t>
  </si>
  <si>
    <t>Quinn, Susan.</t>
  </si>
  <si>
    <t>Cambridge, Mass. : Perseus Publishing, c2001.</t>
  </si>
  <si>
    <t>2001-08-28</t>
  </si>
  <si>
    <t>R853.H8 D68 1980</t>
  </si>
  <si>
    <t>0                      R  0853000H  8                  D  68          1980</t>
  </si>
  <si>
    <t>The human person as research subject / Charles J. Dougherty.</t>
  </si>
  <si>
    <t>Omaha, Neb. : [s.n.], c1980.</t>
  </si>
  <si>
    <t>1997-01-23</t>
  </si>
  <si>
    <t>1998-01-09</t>
  </si>
  <si>
    <t>R853.H8 R35 1975</t>
  </si>
  <si>
    <t>0                      R  0853000H  8                  R  35          1975</t>
  </si>
  <si>
    <t>The ethics of fetal research / Paul Ramsey.</t>
  </si>
  <si>
    <t>New Haven : Yale University Press, 1975.</t>
  </si>
  <si>
    <t>A Yale fastback ; 15</t>
  </si>
  <si>
    <t>2010-06-10</t>
  </si>
  <si>
    <t>1990-04-18</t>
  </si>
  <si>
    <t>R853.M3 F68 1994</t>
  </si>
  <si>
    <t>0                      R  0853000M  3                  F  68          1994</t>
  </si>
  <si>
    <t>Fractals in biology and medicine / T.F. Nonnenmacher, G.A. Losa, E.R. Weibel, editors.</t>
  </si>
  <si>
    <t>Basel ; Boston : Birkhäuser Verlag, c1994.</t>
  </si>
  <si>
    <t>2000-09-28</t>
  </si>
  <si>
    <t>1994-12-15</t>
  </si>
  <si>
    <t>R853.M3 M67 2000</t>
  </si>
  <si>
    <t>0                      R  0853000M  3                  M  67          2000</t>
  </si>
  <si>
    <t>Fuzzy mathematics in medicine / John N. Mordeson, Davender S. Malik, Shih-Chuan Cheng.</t>
  </si>
  <si>
    <t>Mordeson, John N.</t>
  </si>
  <si>
    <t>Heidelberg ; New York : Physica-Verlag, c2000.</t>
  </si>
  <si>
    <t>Studies in fuzziness and soft computing, 1434-9922 ; 55</t>
  </si>
  <si>
    <t>2004-04-19</t>
  </si>
  <si>
    <t>2001-02-21</t>
  </si>
  <si>
    <t>R853.M3 W38 1996</t>
  </si>
  <si>
    <t>0                      R  0853000M  3                  W  38          1996</t>
  </si>
  <si>
    <t>Wavelets in medicine and biology / edited by Akram Aldroubi and Michael Unser.</t>
  </si>
  <si>
    <t>Boca Raton, Fla. : CRC Press, c1996.</t>
  </si>
  <si>
    <t>2010-10-28</t>
  </si>
  <si>
    <t>1996-05-31</t>
  </si>
  <si>
    <t>R853.S7 C36 1993</t>
  </si>
  <si>
    <t>0                      R  0853000S  7                  C  36          1993</t>
  </si>
  <si>
    <t>Medical statistics : a commonsense approach / Michael J. Campbell and David Machin.</t>
  </si>
  <si>
    <t>Campbell, Michael J., 1950-</t>
  </si>
  <si>
    <t>Chichester ; New York : Wiley, c1993.</t>
  </si>
  <si>
    <t>2004-07-28</t>
  </si>
  <si>
    <t>1994-07-27</t>
  </si>
  <si>
    <t>R853.S7 E88 1994</t>
  </si>
  <si>
    <t>0                      R  0853000S  7                  E  88          1994</t>
  </si>
  <si>
    <t>Statistical methods in medical investigations / Brian S Everitt.</t>
  </si>
  <si>
    <t>Everitt, Brian.</t>
  </si>
  <si>
    <t>London : E. Arnold ; New York : Halsted Press, c1994.</t>
  </si>
  <si>
    <t>1996-05-28</t>
  </si>
  <si>
    <t>R854.U5 A7</t>
  </si>
  <si>
    <t>0                      R  0854000U  5                  A  7</t>
  </si>
  <si>
    <t>Medical research : a midcentury survey.</t>
  </si>
  <si>
    <t>American Foundation.</t>
  </si>
  <si>
    <t>Boston : Published for the American Foundation by Little, Brown, [1955]</t>
  </si>
  <si>
    <t>1955</t>
  </si>
  <si>
    <t>1996-09-26</t>
  </si>
  <si>
    <t>1995-02-24</t>
  </si>
  <si>
    <t>R854.U5 B525 1992</t>
  </si>
  <si>
    <t>0                      R  0854000U  5                  B  525         1992</t>
  </si>
  <si>
    <t>Biomedical research : collaboration and conflict of interest / edited by Roger J. Porter and Thomas E. Malone ; Christopher C. Vaughan, associate editor.</t>
  </si>
  <si>
    <t>Baltimore : John Hopkins University Press, c1992.</t>
  </si>
  <si>
    <t>1992-11-30</t>
  </si>
  <si>
    <t>R854.U5 B53</t>
  </si>
  <si>
    <t>0                      R  0854000U  5                  B  53</t>
  </si>
  <si>
    <t>Biomedical scientists and public policy / edited by H. Hugh Fudenberg and Viajaya L. Melnick.</t>
  </si>
  <si>
    <t>1992-01-30</t>
  </si>
  <si>
    <t>R854.U5 M3</t>
  </si>
  <si>
    <t>0                      R  0854000U  5                  M  3</t>
  </si>
  <si>
    <t>Politics and law in health care policy; a selection of articles from the Milbank Memorial Fund Quarterly. Edited by John M. McKinlay.</t>
  </si>
  <si>
    <t>McKinlay, John B., compiler.</t>
  </si>
  <si>
    <t>New York, Published for the Milbank Memorial Fund by Prodist, 1973.</t>
  </si>
  <si>
    <t>Milbank resource books</t>
  </si>
  <si>
    <t>R854.U5 S76</t>
  </si>
  <si>
    <t>0                      R  0854000U  5                  S  76</t>
  </si>
  <si>
    <t>Politics, science, and dread disease : a short history of United States medical research policy / [by] Stephen P. Strickland.</t>
  </si>
  <si>
    <t>Strickland, Stephen P. (Stephen Parks)</t>
  </si>
  <si>
    <t>Cambridge, Mass. : Harvard University Press, 1972.</t>
  </si>
  <si>
    <t>1992-02-09</t>
  </si>
  <si>
    <t>R856 .G4 1975</t>
  </si>
  <si>
    <t>0                      R  0856000G  4           1975</t>
  </si>
  <si>
    <t>Principles of applied biomedical instrumentation / L. A. Geddes, L. E. Baker.</t>
  </si>
  <si>
    <t>Geddes, L. A. (Leslie Alexander), 1921-</t>
  </si>
  <si>
    <t>New York : Wiley, [1975]</t>
  </si>
  <si>
    <t>2d ed.</t>
  </si>
  <si>
    <t>2002-05-28</t>
  </si>
  <si>
    <t>R856 .M376</t>
  </si>
  <si>
    <t>0                      R  0856000M  376</t>
  </si>
  <si>
    <t>Medical instrumentation : application and design / John G. Webster, editor ; contributing authors, John W. Clark ... [et al.].</t>
  </si>
  <si>
    <t>Boston : Houghton Mifflin, c1978.</t>
  </si>
  <si>
    <t>R857.B54 E35 1996</t>
  </si>
  <si>
    <t>0                      R  0857000B  54                 E  35          1996</t>
  </si>
  <si>
    <t>Biosensors : an introduction / Brian R. Eggins.</t>
  </si>
  <si>
    <t>Eggins, Brian R.</t>
  </si>
  <si>
    <t>Chichester ; New York : Wiley-Teubner, c1996.</t>
  </si>
  <si>
    <t>2004-04-02</t>
  </si>
  <si>
    <t>1997-03-13</t>
  </si>
  <si>
    <t>R857.B54 S65 2007</t>
  </si>
  <si>
    <t>0                      R  0857000B  54                 S  65          2007</t>
  </si>
  <si>
    <t>An introduction to biomedical optics / R. Splinter, B.A. Hooper.</t>
  </si>
  <si>
    <t>Splinter, Robert.</t>
  </si>
  <si>
    <t>New York : Taylor &amp; Francis, c2007.</t>
  </si>
  <si>
    <t>2007</t>
  </si>
  <si>
    <t>Series in optics and optoelectronics</t>
  </si>
  <si>
    <t>2007-04-02</t>
  </si>
  <si>
    <t>R857.O6 B556 2004</t>
  </si>
  <si>
    <t>0                      R  0857000O  6                  B  556         2004</t>
  </si>
  <si>
    <t>Biological imaging and sensing / T. Furukawa, (ed.)</t>
  </si>
  <si>
    <t>Berlin : Springer, 2004.</t>
  </si>
  <si>
    <t>Biological and medical physics, biomedical engineering, 1618-7210</t>
  </si>
  <si>
    <t>2004-08-09</t>
  </si>
  <si>
    <t>R858 .M375 1999</t>
  </si>
  <si>
    <t>0                      R  0858000M  375         1999</t>
  </si>
  <si>
    <t>Information management in health care / Richard D. Marreel, Janet M. McLellan.</t>
  </si>
  <si>
    <t>Marreel, Richard D.</t>
  </si>
  <si>
    <t>Albany, N.Y. : Delmar Publishers, c1999.</t>
  </si>
  <si>
    <t>R859.7.A78 C65 2002</t>
  </si>
  <si>
    <t>0                      R  0859700A  78                 C  65          2002</t>
  </si>
  <si>
    <t>Computational intelligence processing in medical diagnosis / Manfred Schmitt ... [et al.], editors.</t>
  </si>
  <si>
    <t>Heidelberg ; New York : Physica-Verlag, c2002.</t>
  </si>
  <si>
    <t>Studies in fuzziness and soft computing, 1434-9922 ; 96</t>
  </si>
  <si>
    <t>2002-10-08</t>
  </si>
  <si>
    <t>2002-06-12</t>
  </si>
  <si>
    <t>R859.7.E43 G65 2000</t>
  </si>
  <si>
    <t>0                      R  0859700E  43                 G  65          2000</t>
  </si>
  <si>
    <t>E-healthcare : harness the power of internet e-commerce &amp; e-care / Douglas Goldstein.</t>
  </si>
  <si>
    <t>Goldstein, Douglas E.</t>
  </si>
  <si>
    <t>Gaithersburg, MD : Aspen Publishers, 2000.</t>
  </si>
  <si>
    <t>2008-04-16</t>
  </si>
  <si>
    <t>2002-03-05</t>
  </si>
  <si>
    <t>R895 .A5</t>
  </si>
  <si>
    <t>0                      R  0895000A  5</t>
  </si>
  <si>
    <t>Radiation biophysics.</t>
  </si>
  <si>
    <t>Andrews, Howard Lucius, 1906-</t>
  </si>
  <si>
    <t>Englewood Cliffs, N.J., Prentice-Hall, 1961.</t>
  </si>
  <si>
    <t>1961</t>
  </si>
  <si>
    <t>2003-04-28</t>
  </si>
  <si>
    <t>R895 .C28 1999</t>
  </si>
  <si>
    <t>0                      R  0895000C  28          1999</t>
  </si>
  <si>
    <t>Physics of the body / John R. Cameron, James G. Skofronick, Roderick M. Grant.</t>
  </si>
  <si>
    <t>Cameron, J. R. (John Roderick), 1922-2005.</t>
  </si>
  <si>
    <t>Madison, Wis. : Medical Physics Pub., 1999.</t>
  </si>
  <si>
    <t>2007-01-09</t>
  </si>
  <si>
    <t>R895 .D96 1993</t>
  </si>
  <si>
    <t>0                      R  0895000D  96          1993</t>
  </si>
  <si>
    <t>Radiation physics with applications in medicine and biology / N.A. Dyson.</t>
  </si>
  <si>
    <t>Dyson, N. A. (Norman Allen), 1929-</t>
  </si>
  <si>
    <t>New York : E. Horwood, 1993.</t>
  </si>
  <si>
    <t>Ellis Horwood series in physics and its applications</t>
  </si>
  <si>
    <t>2010-02-16</t>
  </si>
  <si>
    <t>1994-05-17</t>
  </si>
  <si>
    <t>R895 .G74 1985</t>
  </si>
  <si>
    <t>0                      R  0895000G  74          1985</t>
  </si>
  <si>
    <t>Fundamentals of radiation dosimetry / J.R. Greening.</t>
  </si>
  <si>
    <t>Greening, J. R. (John Raymond)</t>
  </si>
  <si>
    <t>Bristol, [Eng] : Adam Hilger, in collaboration with the Hospital Physicists' Association, 1985.</t>
  </si>
  <si>
    <t>Medical physics handbooks, 0143-0203 ; 15</t>
  </si>
  <si>
    <t>2000-03-28</t>
  </si>
  <si>
    <t>R905 .R32 1986</t>
  </si>
  <si>
    <t>0                      R  0905000R  32          1986</t>
  </si>
  <si>
    <t>Radiation dosimetry : physical and biological aspects / edited by Colin G. Orton.</t>
  </si>
  <si>
    <t>Keep in Collection? (Yes/No)</t>
  </si>
  <si>
    <t>Barcode</t>
  </si>
  <si>
    <t>SCS Item ID</t>
  </si>
  <si>
    <t>32285005554455</t>
  </si>
  <si>
    <t>893701415</t>
  </si>
  <si>
    <t>32285002393683</t>
  </si>
  <si>
    <t>893616140</t>
  </si>
  <si>
    <t>32285001547917</t>
  </si>
  <si>
    <t>893801912</t>
  </si>
  <si>
    <t>32285003011201</t>
  </si>
  <si>
    <t>893874860</t>
  </si>
  <si>
    <t>32285003011151</t>
  </si>
  <si>
    <t>893697738</t>
  </si>
  <si>
    <t>32285004892278</t>
  </si>
  <si>
    <t>893599582</t>
  </si>
  <si>
    <t>32285005442057</t>
  </si>
  <si>
    <t>893701227</t>
  </si>
  <si>
    <t>32285000913334</t>
  </si>
  <si>
    <t>893238017</t>
  </si>
  <si>
    <t>32285001300168</t>
  </si>
  <si>
    <t>893238336</t>
  </si>
  <si>
    <t>32285001206472</t>
  </si>
  <si>
    <t>893353105</t>
  </si>
  <si>
    <t>32285001121614</t>
  </si>
  <si>
    <t>893699664</t>
  </si>
  <si>
    <t>32285001839439</t>
  </si>
  <si>
    <t>893806245</t>
  </si>
  <si>
    <t>32285001547792</t>
  </si>
  <si>
    <t>893325742</t>
  </si>
  <si>
    <t>32285001547784</t>
  </si>
  <si>
    <t>893325743</t>
  </si>
  <si>
    <t>32285001547826</t>
  </si>
  <si>
    <t>893338102</t>
  </si>
  <si>
    <t>32285001547834</t>
  </si>
  <si>
    <t>893319595</t>
  </si>
  <si>
    <t>32285001547842</t>
  </si>
  <si>
    <t>893350355</t>
  </si>
  <si>
    <t>32285001206464</t>
  </si>
  <si>
    <t>893325741</t>
  </si>
  <si>
    <t>32285001547768</t>
  </si>
  <si>
    <t>893319598</t>
  </si>
  <si>
    <t>32285001547800</t>
  </si>
  <si>
    <t>893332008</t>
  </si>
  <si>
    <t>32285001547867</t>
  </si>
  <si>
    <t>893325744</t>
  </si>
  <si>
    <t>32285001547859</t>
  </si>
  <si>
    <t>893332009</t>
  </si>
  <si>
    <t>32285001547875</t>
  </si>
  <si>
    <t>893319597</t>
  </si>
  <si>
    <t>32285001547776</t>
  </si>
  <si>
    <t>893319596</t>
  </si>
  <si>
    <t>32285001547818</t>
  </si>
  <si>
    <t>893332007</t>
  </si>
  <si>
    <t>32285001547883</t>
  </si>
  <si>
    <t>893507876</t>
  </si>
  <si>
    <t>32285000886886</t>
  </si>
  <si>
    <t>893897150</t>
  </si>
  <si>
    <t>32285000885912</t>
  </si>
  <si>
    <t>893601449</t>
  </si>
  <si>
    <t>32285001839421</t>
  </si>
  <si>
    <t>893874374</t>
  </si>
  <si>
    <t>32285001130193</t>
  </si>
  <si>
    <t>893708566</t>
  </si>
  <si>
    <t>32285003676912</t>
  </si>
  <si>
    <t>893524009</t>
  </si>
  <si>
    <t>32285005532576</t>
  </si>
  <si>
    <t>893879197</t>
  </si>
  <si>
    <t>32285001547909</t>
  </si>
  <si>
    <t>893258584</t>
  </si>
  <si>
    <t>32285003011185</t>
  </si>
  <si>
    <t>893618880</t>
  </si>
  <si>
    <t>32285001031680</t>
  </si>
  <si>
    <t>893338595</t>
  </si>
  <si>
    <t>32285002405735</t>
  </si>
  <si>
    <t>893704240</t>
  </si>
  <si>
    <t>32285000946094</t>
  </si>
  <si>
    <t>893514360</t>
  </si>
  <si>
    <t>32285001129740</t>
  </si>
  <si>
    <t>893626843</t>
  </si>
  <si>
    <t>32285003383980</t>
  </si>
  <si>
    <t>893597871</t>
  </si>
  <si>
    <t>32285003011250</t>
  </si>
  <si>
    <t>893336173</t>
  </si>
  <si>
    <t>32285000895242</t>
  </si>
  <si>
    <t>893502767</t>
  </si>
  <si>
    <t>32285001547925</t>
  </si>
  <si>
    <t>893609144</t>
  </si>
  <si>
    <t>32285001547933</t>
  </si>
  <si>
    <t>893531299</t>
  </si>
  <si>
    <t>32285001547941</t>
  </si>
  <si>
    <t>893230996</t>
  </si>
  <si>
    <t>32285001814796</t>
  </si>
  <si>
    <t>893523274</t>
  </si>
  <si>
    <t>32285001920775</t>
  </si>
  <si>
    <t>893238348</t>
  </si>
  <si>
    <t>32285000916634</t>
  </si>
  <si>
    <t>893606456</t>
  </si>
  <si>
    <t>32285001547966</t>
  </si>
  <si>
    <t>893536145</t>
  </si>
  <si>
    <t>32285001656239</t>
  </si>
  <si>
    <t>893514339</t>
  </si>
  <si>
    <t>32285000987056</t>
  </si>
  <si>
    <t>893702551</t>
  </si>
  <si>
    <t>32285000912393</t>
  </si>
  <si>
    <t>893694089</t>
  </si>
  <si>
    <t>32285001097053</t>
  </si>
  <si>
    <t>893882371</t>
  </si>
  <si>
    <t>32285001547982</t>
  </si>
  <si>
    <t>893238341</t>
  </si>
  <si>
    <t>32285000911775</t>
  </si>
  <si>
    <t>893256514</t>
  </si>
  <si>
    <t>32285000156025</t>
  </si>
  <si>
    <t>893346274</t>
  </si>
  <si>
    <t>32285002140530</t>
  </si>
  <si>
    <t>893408840</t>
  </si>
  <si>
    <t>32285002140548</t>
  </si>
  <si>
    <t>893408839</t>
  </si>
  <si>
    <t>32285001548006</t>
  </si>
  <si>
    <t>893260028</t>
  </si>
  <si>
    <t>32285001498053</t>
  </si>
  <si>
    <t>893444814</t>
  </si>
  <si>
    <t>32285001362887</t>
  </si>
  <si>
    <t>893256686</t>
  </si>
  <si>
    <t>32285000938828</t>
  </si>
  <si>
    <t>893715765</t>
  </si>
  <si>
    <t>32285001548030</t>
  </si>
  <si>
    <t>893884841</t>
  </si>
  <si>
    <t>32285001548048</t>
  </si>
  <si>
    <t>893612778</t>
  </si>
  <si>
    <t>32285001548055</t>
  </si>
  <si>
    <t>893426829</t>
  </si>
  <si>
    <t>32285001548063</t>
  </si>
  <si>
    <t>893606656</t>
  </si>
  <si>
    <t>32285001548121</t>
  </si>
  <si>
    <t>893339380</t>
  </si>
  <si>
    <t>32285001548139</t>
  </si>
  <si>
    <t>893320897</t>
  </si>
  <si>
    <t>32285001548113</t>
  </si>
  <si>
    <t>893320898</t>
  </si>
  <si>
    <t>32285003011540</t>
  </si>
  <si>
    <t>893420585</t>
  </si>
  <si>
    <t>32285000591320</t>
  </si>
  <si>
    <t>893232004</t>
  </si>
  <si>
    <t>32285001088813</t>
  </si>
  <si>
    <t>893876656</t>
  </si>
  <si>
    <t>1988-01-08</t>
  </si>
  <si>
    <t>1992-08-29</t>
  </si>
  <si>
    <t>R121.S8 2000</t>
  </si>
  <si>
    <t>0                      R  0121000S  8           2000</t>
  </si>
  <si>
    <t>Stedman's medical dictionary.</t>
  </si>
  <si>
    <t>Stedman, Thomas Lathrop, 1853-1938.</t>
  </si>
  <si>
    <t>Philadelphia : Lippincott Williams &amp; Wilkins, c2000.</t>
  </si>
  <si>
    <t>27th ed.</t>
  </si>
  <si>
    <t>2008-10-30</t>
  </si>
  <si>
    <t>2010-02-24</t>
  </si>
  <si>
    <t>2000-03-20</t>
  </si>
  <si>
    <t>2001-03-26</t>
  </si>
  <si>
    <t>R131 .C233 1993</t>
  </si>
  <si>
    <t>0                      R  0131000C  233         1993</t>
  </si>
  <si>
    <t>The Cambridge world history of human disease / editor, Kenneth F. Kiple ; executive editor, Rachael Rockwell Graham ; associate editors, David Frey ... [et al.] ; assistant editors, Alicia Browne ... [et al.].</t>
  </si>
  <si>
    <t>Cambridge ; New York : Cambridge University Press, 1993.</t>
  </si>
  <si>
    <t>1993-02-24</t>
  </si>
  <si>
    <t>1995-03-30</t>
  </si>
  <si>
    <t>1992-12-21</t>
  </si>
  <si>
    <t>1993-07-30</t>
  </si>
  <si>
    <t>1988-03-03</t>
  </si>
  <si>
    <t>1987-10-08</t>
  </si>
  <si>
    <t>1997-10-10</t>
  </si>
  <si>
    <t>1988-02-03</t>
  </si>
  <si>
    <t>R690 .M55 2002</t>
  </si>
  <si>
    <t>0                      R  0690000M  55          2002</t>
  </si>
  <si>
    <t>Introduction to the health professions / Peggy S. Stanfield, Y.H. Hui.</t>
  </si>
  <si>
    <t>Stanfield, Peggy.</t>
  </si>
  <si>
    <t>Sudbury, Mass. : Jones and Barlett Publishers, c2002.</t>
  </si>
  <si>
    <t>4th ed.</t>
  </si>
  <si>
    <t>2007-05-23</t>
  </si>
  <si>
    <t>2002-10-14</t>
  </si>
  <si>
    <t>1987-10-01</t>
  </si>
  <si>
    <t>R692 .W66</t>
  </si>
  <si>
    <t>0                      R  0692000W  66</t>
  </si>
  <si>
    <t>Women in medicine, 1976 : a report of a Macy conference / edited by Carolyn Spieler.</t>
  </si>
  <si>
    <t>-- New York : Josiah Macy, Jr. Foundation ; Port Washington, N.Y. : Independent Publishers Group, 1977.</t>
  </si>
  <si>
    <t>Macy Foundation Publication</t>
  </si>
  <si>
    <t>2000-03-27</t>
  </si>
  <si>
    <t>R695 .M3</t>
  </si>
  <si>
    <t>0                      R  0695000M  3</t>
  </si>
  <si>
    <t>Minorities in medicine : report of a conference.</t>
  </si>
  <si>
    <t>Macy Conference on Minorities in Medicine (1977 : Williamsburg, Va.)</t>
  </si>
  <si>
    <t>-- New York : Josiah Macy, Jr. Foundation, 1977.</t>
  </si>
  <si>
    <t>1992-11-14</t>
  </si>
  <si>
    <t>1987-09-30</t>
  </si>
  <si>
    <t>R697.P45 N49</t>
  </si>
  <si>
    <t>0                      R  0697000P  45                 N  49</t>
  </si>
  <si>
    <t>The new health professionals : nurse practitioners and physician's assistants / edited by Ann A. Bliss and Eva D. Cohen.</t>
  </si>
  <si>
    <t>-- Germantown, Md. : Aspen Systems, 1977.</t>
  </si>
  <si>
    <t>1991-08-04</t>
  </si>
  <si>
    <t>1990-02-08</t>
  </si>
  <si>
    <t>1987-12-18</t>
  </si>
  <si>
    <t>R723 .C84 1982</t>
  </si>
  <si>
    <t>0                      R  0723000C  84          1982</t>
  </si>
  <si>
    <t>Philosophy in medicine : conceptual and ethical issues in medicine and psychiatry / Charles M. Culver, Bernard Gert.</t>
  </si>
  <si>
    <t>Culver, Charles M.</t>
  </si>
  <si>
    <t>1996-04-11</t>
  </si>
  <si>
    <t>R723 .M3</t>
  </si>
  <si>
    <t>0                      R  0723000M  3</t>
  </si>
  <si>
    <t>The role of medicine : dream, mirage, or nemesis? / Thomas McKeown.</t>
  </si>
  <si>
    <t>McKeown, Thomas.</t>
  </si>
  <si>
    <t>Princeton, N.J. : Princeton University Press, c1979.</t>
  </si>
  <si>
    <t>1991-10-25</t>
  </si>
  <si>
    <t>R724 .A32 1992</t>
  </si>
  <si>
    <t>0                      R  0724000A  32          1992</t>
  </si>
  <si>
    <t>African-American perspectives on biomedical ethics / edited by Harley E. Flack and Edmund D. Pellegrino ; with editorial assistance by Dennis McManus.</t>
  </si>
  <si>
    <t>Washington, D.C. : Georgetown University Press, c1992.</t>
  </si>
  <si>
    <t>2002-04-01</t>
  </si>
  <si>
    <t>1998-03-19</t>
  </si>
  <si>
    <t>2010-03-31</t>
  </si>
  <si>
    <t>1992-09-06</t>
  </si>
  <si>
    <t>1987-09-22</t>
  </si>
  <si>
    <t>R724 .B47</t>
  </si>
  <si>
    <t>0                      R  0724000B  47</t>
  </si>
  <si>
    <t>New York : Paulist Press, c1976.</t>
  </si>
  <si>
    <t>2000-03-08</t>
  </si>
  <si>
    <t>1987-10-02</t>
  </si>
  <si>
    <t>2000-04-12</t>
  </si>
  <si>
    <t>1987-10-05</t>
  </si>
  <si>
    <t>R724 .D48 1995</t>
  </si>
  <si>
    <t>0                      R  0724000D  48          1995</t>
  </si>
  <si>
    <t>Practical decision making in health care ethics : cases and concepts / Raymond J. Devettere.</t>
  </si>
  <si>
    <t>Devettere, Raymond J.</t>
  </si>
  <si>
    <t>Washington, D.C. : Georgetown University Press, c1995.</t>
  </si>
  <si>
    <t>2005-10-19</t>
  </si>
  <si>
    <t>1997-12-15</t>
  </si>
  <si>
    <t>R724 .D73 1988</t>
  </si>
  <si>
    <t>0                      R  0724000D  73          1988</t>
  </si>
  <si>
    <t>Becoming a good doctor : the place of virtue and character in medical ethics / James F. Drane.</t>
  </si>
  <si>
    <t>Kansas City, MO : Sheed &amp; Ward, c1988.</t>
  </si>
  <si>
    <t>2005-10-12</t>
  </si>
  <si>
    <t>1989-04-24</t>
  </si>
  <si>
    <t>1999-04-27</t>
  </si>
  <si>
    <t>R724 .F395 1996</t>
  </si>
  <si>
    <t>0                      R  0724000F  395         1996</t>
  </si>
  <si>
    <t>Feminism &amp; bioethics : beyond reproduction / edited by Susan M. Wolf.</t>
  </si>
  <si>
    <t>2004-04-15</t>
  </si>
  <si>
    <t>2009-04-02</t>
  </si>
  <si>
    <t>1997-11-19</t>
  </si>
  <si>
    <t>2000-07-07</t>
  </si>
  <si>
    <t>2000-08-23</t>
  </si>
  <si>
    <t>1989-07-10</t>
  </si>
  <si>
    <t>2002-09-25</t>
  </si>
  <si>
    <t>2003-04-17</t>
  </si>
  <si>
    <t>1987-12-29</t>
  </si>
  <si>
    <t>1988-11-21</t>
  </si>
  <si>
    <t>2001-03-03</t>
  </si>
  <si>
    <t>1987-10-07</t>
  </si>
  <si>
    <t>1997-10-02</t>
  </si>
  <si>
    <t>1989-07-06</t>
  </si>
  <si>
    <t>1995-04-07</t>
  </si>
  <si>
    <t>1998-11-12</t>
  </si>
  <si>
    <t>1992-07-15</t>
  </si>
  <si>
    <t>R724 .V35 1974</t>
  </si>
  <si>
    <t>0                      R  0724000V  35          1974</t>
  </si>
  <si>
    <t>Biomedical ethics; morality for the new medicine.</t>
  </si>
  <si>
    <t>New York, Harper &amp; Row [1974]</t>
  </si>
  <si>
    <t>1994-11-11</t>
  </si>
  <si>
    <t>R724 .V4</t>
  </si>
  <si>
    <t>0                      R  0724000V  4</t>
  </si>
  <si>
    <t>Case studies in medical ethics / Robert M. Veatch.</t>
  </si>
  <si>
    <t>Cambridge, Mass. : Harvard University Press, 1977.</t>
  </si>
  <si>
    <t>1988-04-11</t>
  </si>
  <si>
    <t>R724 .W34</t>
  </si>
  <si>
    <t>0                      R  0724000W  34</t>
  </si>
  <si>
    <t>Morality in medicine : an introduction to medical ethics / Richard Warner.</t>
  </si>
  <si>
    <t>Warner, Richard, 1946-</t>
  </si>
  <si>
    <t>Sherman Oaks, Calif. : Alfred Pub. Co., [1980]</t>
  </si>
  <si>
    <t>2000-10-28</t>
  </si>
  <si>
    <t>1987-12-19</t>
  </si>
  <si>
    <t>1999-06-16</t>
  </si>
  <si>
    <t>2006-09-13</t>
  </si>
  <si>
    <t>R725.5 .R63 1993</t>
  </si>
  <si>
    <t>0                      R  0725500R  63          1993</t>
  </si>
  <si>
    <t>Medicine, money, and morals : physicians' conflicts of interest / Marc A. Rodwin.</t>
  </si>
  <si>
    <t>Rodwin, Marc A.</t>
  </si>
  <si>
    <t>1993-07-13</t>
  </si>
  <si>
    <t>V.34</t>
  </si>
  <si>
    <t>2000-11-14</t>
  </si>
  <si>
    <t>1989-08-15</t>
  </si>
  <si>
    <t>R725.56 .M34 1984</t>
  </si>
  <si>
    <t>0                      R  0725560M  34          1984</t>
  </si>
  <si>
    <t>London : Sheed &amp; Ward, 1984.</t>
  </si>
  <si>
    <t>2002-10-30</t>
  </si>
  <si>
    <t>2001-01-25</t>
  </si>
  <si>
    <t>1993-06-15</t>
  </si>
  <si>
    <t>2004-12-06</t>
  </si>
  <si>
    <t>2000-10-01</t>
  </si>
  <si>
    <t>1988-01-05</t>
  </si>
  <si>
    <t>1993-02-26</t>
  </si>
  <si>
    <t>R726.8 .D38</t>
  </si>
  <si>
    <t>0                      R  0726800D  38</t>
  </si>
  <si>
    <t>Death, dying, and the law / edited by James T. McHugh.</t>
  </si>
  <si>
    <t>Huntington, Ind. : Our Sunday Visitor, c1976.</t>
  </si>
  <si>
    <t>2000-04-02</t>
  </si>
  <si>
    <t>1995-01-05</t>
  </si>
  <si>
    <t>1987-10-27</t>
  </si>
  <si>
    <t>2002-11-12</t>
  </si>
  <si>
    <t>1988-01-12</t>
  </si>
  <si>
    <t>1994-09-08</t>
  </si>
  <si>
    <t>2000-04-18</t>
  </si>
  <si>
    <t>1989-01-03</t>
  </si>
  <si>
    <t>R726.8 .L84 2002</t>
  </si>
  <si>
    <t>0                      R  0726800L  84          2002</t>
  </si>
  <si>
    <t>Communicating with dying people and their relatives / Jean Lugton ; foreword by Dorothy White.</t>
  </si>
  <si>
    <t>Lugton, Jean.</t>
  </si>
  <si>
    <t>Abingdon, Oxon, U.K. : Radcliffe Medical Press, c2002.</t>
  </si>
  <si>
    <t>2007-02-26</t>
  </si>
  <si>
    <t>2004-09-13</t>
  </si>
  <si>
    <t>1989-02-18</t>
  </si>
  <si>
    <t>V.14</t>
  </si>
  <si>
    <t>1987-12-22</t>
  </si>
  <si>
    <t>1990-06-25</t>
  </si>
  <si>
    <t>1991-12-02</t>
  </si>
  <si>
    <t>1990-10-15</t>
  </si>
  <si>
    <t>1987-09-25</t>
  </si>
  <si>
    <t>R745 .R42</t>
  </si>
  <si>
    <t>0                      R  0745000R  42</t>
  </si>
  <si>
    <t>Recent trends in medical education : report of a Macy conference / edited by Elizabeth F. Purcell.</t>
  </si>
  <si>
    <t>-- New York : Josiah Macy, Jr. Foundation ; c1976.</t>
  </si>
  <si>
    <t>1999-07-16</t>
  </si>
  <si>
    <t>R850 .R32</t>
  </si>
  <si>
    <t>0                      R  0850000R  32</t>
  </si>
  <si>
    <t>Science and the cure of diseases : letters to Members of Congress / Efraim Racker.</t>
  </si>
  <si>
    <t>Racker, Efraim, 1913-</t>
  </si>
  <si>
    <t>1997-12-01</t>
  </si>
  <si>
    <t>1991-06-28</t>
  </si>
  <si>
    <t>R853.H8 E9</t>
  </si>
  <si>
    <t>0                      R  0853000H  8                  E  9</t>
  </si>
  <si>
    <t>Experiments and research with humans : values in conflict.</t>
  </si>
  <si>
    <t>Washington : National Academy of Sciences, 1975.</t>
  </si>
  <si>
    <t>Academy forum ; 3d, 1975</t>
  </si>
  <si>
    <t>1994-04-25</t>
  </si>
  <si>
    <t>1995-01-18</t>
  </si>
  <si>
    <t>1989-03-17</t>
  </si>
  <si>
    <t>IN SERIALS</t>
  </si>
  <si>
    <t>8IN SERIALS</t>
  </si>
  <si>
    <t>A medical student at St. Thomas's Hospital, 1801-1802 : the Weekes family letters / [compiled] by John M.T. Ford.</t>
  </si>
  <si>
    <t>London : Wellcome Institute for the History of Medicine, c1987.</t>
  </si>
  <si>
    <t>Medical history. Supplement, 0950-5571 ; no. 7</t>
  </si>
  <si>
    <t>1989-03-07</t>
  </si>
  <si>
    <t>Adolescent medicine / Marianne E. Felice, guest editor.</t>
  </si>
  <si>
    <t>Philadelphia : Saunders, c1987.</t>
  </si>
  <si>
    <t>Primary care, 0095-4543 ; v. 14, no. 1 (March 1987)</t>
  </si>
  <si>
    <t>2002-05-22</t>
  </si>
  <si>
    <t>Ethics in the workplace / guest editors, Linda Forst, Peter Orris.</t>
  </si>
  <si>
    <t>Philadelphia : Hanley &amp; Belfus, Inc., c2002.</t>
  </si>
  <si>
    <t>Occupational medicine, state of the art reviews, 0885-114X ; v. 17, no. 4</t>
  </si>
  <si>
    <t>2004-05-10</t>
  </si>
  <si>
    <t>2004-02-29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</si>
</sst>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3116-BC35-4065-B7BB-E78E1967EA46}">
  <dimension ref="A1:AV449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41.25" customHeight="1" x14ac:dyDescent="0.25"/>
  <cols>
    <col min="1" max="1" width="18.7109375" style="8" customWidth="1"/>
    <col min="2" max="2" width="13.42578125" customWidth="1"/>
    <col min="3" max="3" width="0" hidden="1" customWidth="1"/>
    <col min="4" max="4" width="44.7109375" customWidth="1"/>
    <col min="6" max="10" width="0" hidden="1" customWidth="1"/>
    <col min="11" max="11" width="18.28515625" customWidth="1"/>
    <col min="12" max="12" width="19" customWidth="1"/>
    <col min="14" max="17" width="0" hidden="1" customWidth="1"/>
    <col min="20" max="26" width="0" hidden="1" customWidth="1"/>
    <col min="28" max="28" width="0" hidden="1" customWidth="1"/>
    <col min="30" max="30" width="0" hidden="1" customWidth="1"/>
    <col min="32" max="41" width="0" hidden="1" customWidth="1"/>
    <col min="42" max="44" width="12.140625" customWidth="1"/>
    <col min="47" max="47" width="10.7109375" hidden="1" customWidth="1"/>
    <col min="48" max="48" width="11.7109375" hidden="1" customWidth="1"/>
  </cols>
  <sheetData>
    <row r="1" spans="1:48" ht="41.25" customHeight="1" x14ac:dyDescent="0.25">
      <c r="A1" s="7" t="s">
        <v>2431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2432</v>
      </c>
      <c r="AV1" s="1" t="s">
        <v>2433</v>
      </c>
    </row>
    <row r="2" spans="1:48" ht="41.25" customHeight="1" x14ac:dyDescent="0.25">
      <c r="A2" s="8" t="s">
        <v>51</v>
      </c>
      <c r="B2" s="2" t="s">
        <v>45</v>
      </c>
      <c r="C2" s="2" t="s">
        <v>46</v>
      </c>
      <c r="D2" s="2" t="s">
        <v>47</v>
      </c>
      <c r="E2" s="3" t="s">
        <v>48</v>
      </c>
      <c r="F2" s="3" t="s">
        <v>49</v>
      </c>
      <c r="G2" s="3" t="s">
        <v>50</v>
      </c>
      <c r="H2" s="3" t="s">
        <v>49</v>
      </c>
      <c r="I2" s="3" t="s">
        <v>51</v>
      </c>
      <c r="J2" s="3" t="s">
        <v>52</v>
      </c>
      <c r="K2" s="2" t="s">
        <v>53</v>
      </c>
      <c r="L2" s="2" t="s">
        <v>54</v>
      </c>
      <c r="M2" s="3" t="s">
        <v>55</v>
      </c>
      <c r="O2" s="3" t="s">
        <v>56</v>
      </c>
      <c r="P2" s="3" t="s">
        <v>57</v>
      </c>
      <c r="Q2" s="2" t="s">
        <v>58</v>
      </c>
      <c r="R2" s="3" t="s">
        <v>59</v>
      </c>
      <c r="S2" s="4">
        <v>0</v>
      </c>
      <c r="T2" s="4">
        <v>3</v>
      </c>
      <c r="V2" s="5" t="s">
        <v>60</v>
      </c>
      <c r="W2" s="5" t="s">
        <v>61</v>
      </c>
      <c r="X2" s="5" t="s">
        <v>61</v>
      </c>
      <c r="Y2" s="4">
        <v>434</v>
      </c>
      <c r="Z2" s="4">
        <v>387</v>
      </c>
      <c r="AA2" s="4">
        <v>402</v>
      </c>
      <c r="AB2" s="4">
        <v>5</v>
      </c>
      <c r="AC2" s="4">
        <v>5</v>
      </c>
      <c r="AD2" s="4">
        <v>20</v>
      </c>
      <c r="AE2" s="4">
        <v>21</v>
      </c>
      <c r="AF2" s="4">
        <v>5</v>
      </c>
      <c r="AG2" s="4">
        <v>5</v>
      </c>
      <c r="AH2" s="4">
        <v>3</v>
      </c>
      <c r="AI2" s="4">
        <v>4</v>
      </c>
      <c r="AJ2" s="4">
        <v>12</v>
      </c>
      <c r="AK2" s="4">
        <v>13</v>
      </c>
      <c r="AL2" s="4">
        <v>3</v>
      </c>
      <c r="AM2" s="4">
        <v>3</v>
      </c>
      <c r="AN2" s="4">
        <v>0</v>
      </c>
      <c r="AO2" s="4">
        <v>0</v>
      </c>
      <c r="AP2" s="3" t="s">
        <v>51</v>
      </c>
      <c r="AQ2" s="3" t="s">
        <v>49</v>
      </c>
      <c r="AR2" s="6" t="str">
        <f>HYPERLINK("http://catalog.hathitrust.org/Record/000314341","HathiTrust Record")</f>
        <v>HathiTrust Record</v>
      </c>
      <c r="AS2" s="6" t="str">
        <f>HYPERLINK("https://creighton-primo.hosted.exlibrisgroup.com/primo-explore/search?tab=default_tab&amp;search_scope=EVERYTHING&amp;vid=01CRU&amp;lang=en_US&amp;offset=0&amp;query=any,contains,991001779239702656","Catalog Record")</f>
        <v>Catalog Record</v>
      </c>
      <c r="AT2" s="6" t="str">
        <f>HYPERLINK("http://www.worldcat.org/oclc/8168727","WorldCat Record")</f>
        <v>WorldCat Record</v>
      </c>
      <c r="AU2" s="3" t="s">
        <v>2434</v>
      </c>
      <c r="AV2" s="3" t="s">
        <v>2435</v>
      </c>
    </row>
    <row r="3" spans="1:48" ht="41.25" customHeight="1" x14ac:dyDescent="0.25">
      <c r="A3" s="8" t="s">
        <v>51</v>
      </c>
      <c r="B3" s="2" t="s">
        <v>45</v>
      </c>
      <c r="C3" s="2" t="s">
        <v>46</v>
      </c>
      <c r="D3" s="2" t="s">
        <v>47</v>
      </c>
      <c r="E3" s="3" t="s">
        <v>62</v>
      </c>
      <c r="F3" s="3" t="s">
        <v>49</v>
      </c>
      <c r="G3" s="3" t="s">
        <v>50</v>
      </c>
      <c r="H3" s="3" t="s">
        <v>49</v>
      </c>
      <c r="I3" s="3" t="s">
        <v>51</v>
      </c>
      <c r="J3" s="3" t="s">
        <v>52</v>
      </c>
      <c r="K3" s="2" t="s">
        <v>53</v>
      </c>
      <c r="L3" s="2" t="s">
        <v>54</v>
      </c>
      <c r="M3" s="3" t="s">
        <v>55</v>
      </c>
      <c r="O3" s="3" t="s">
        <v>56</v>
      </c>
      <c r="P3" s="3" t="s">
        <v>57</v>
      </c>
      <c r="Q3" s="2" t="s">
        <v>58</v>
      </c>
      <c r="R3" s="3" t="s">
        <v>59</v>
      </c>
      <c r="S3" s="4">
        <v>0</v>
      </c>
      <c r="T3" s="4">
        <v>3</v>
      </c>
      <c r="V3" s="5" t="s">
        <v>60</v>
      </c>
      <c r="W3" s="5" t="s">
        <v>61</v>
      </c>
      <c r="X3" s="5" t="s">
        <v>61</v>
      </c>
      <c r="Y3" s="4">
        <v>434</v>
      </c>
      <c r="Z3" s="4">
        <v>387</v>
      </c>
      <c r="AA3" s="4">
        <v>402</v>
      </c>
      <c r="AB3" s="4">
        <v>5</v>
      </c>
      <c r="AC3" s="4">
        <v>5</v>
      </c>
      <c r="AD3" s="4">
        <v>20</v>
      </c>
      <c r="AE3" s="4">
        <v>21</v>
      </c>
      <c r="AF3" s="4">
        <v>5</v>
      </c>
      <c r="AG3" s="4">
        <v>5</v>
      </c>
      <c r="AH3" s="4">
        <v>3</v>
      </c>
      <c r="AI3" s="4">
        <v>4</v>
      </c>
      <c r="AJ3" s="4">
        <v>12</v>
      </c>
      <c r="AK3" s="4">
        <v>13</v>
      </c>
      <c r="AL3" s="4">
        <v>3</v>
      </c>
      <c r="AM3" s="4">
        <v>3</v>
      </c>
      <c r="AN3" s="4">
        <v>0</v>
      </c>
      <c r="AO3" s="4">
        <v>0</v>
      </c>
      <c r="AP3" s="3" t="s">
        <v>51</v>
      </c>
      <c r="AQ3" s="3" t="s">
        <v>49</v>
      </c>
      <c r="AR3" s="6" t="str">
        <f>HYPERLINK("http://catalog.hathitrust.org/Record/000314341","HathiTrust Record")</f>
        <v>HathiTrust Record</v>
      </c>
      <c r="AS3" s="6" t="str">
        <f>HYPERLINK("https://creighton-primo.hosted.exlibrisgroup.com/primo-explore/search?tab=default_tab&amp;search_scope=EVERYTHING&amp;vid=01CRU&amp;lang=en_US&amp;offset=0&amp;query=any,contains,991001779239702656","Catalog Record")</f>
        <v>Catalog Record</v>
      </c>
      <c r="AT3" s="6" t="str">
        <f>HYPERLINK("http://www.worldcat.org/oclc/8168727","WorldCat Record")</f>
        <v>WorldCat Record</v>
      </c>
      <c r="AU3" s="3" t="s">
        <v>2436</v>
      </c>
      <c r="AV3" s="3" t="s">
        <v>2437</v>
      </c>
    </row>
    <row r="4" spans="1:48" ht="41.25" customHeight="1" x14ac:dyDescent="0.25">
      <c r="A4" s="8" t="s">
        <v>51</v>
      </c>
      <c r="B4" s="2" t="s">
        <v>45</v>
      </c>
      <c r="C4" s="2" t="s">
        <v>46</v>
      </c>
      <c r="D4" s="2" t="s">
        <v>47</v>
      </c>
      <c r="E4" s="3" t="s">
        <v>63</v>
      </c>
      <c r="F4" s="3" t="s">
        <v>49</v>
      </c>
      <c r="G4" s="3" t="s">
        <v>50</v>
      </c>
      <c r="H4" s="3" t="s">
        <v>49</v>
      </c>
      <c r="I4" s="3" t="s">
        <v>51</v>
      </c>
      <c r="J4" s="3" t="s">
        <v>52</v>
      </c>
      <c r="K4" s="2" t="s">
        <v>53</v>
      </c>
      <c r="L4" s="2" t="s">
        <v>54</v>
      </c>
      <c r="M4" s="3" t="s">
        <v>55</v>
      </c>
      <c r="O4" s="3" t="s">
        <v>56</v>
      </c>
      <c r="P4" s="3" t="s">
        <v>57</v>
      </c>
      <c r="Q4" s="2" t="s">
        <v>58</v>
      </c>
      <c r="R4" s="3" t="s">
        <v>59</v>
      </c>
      <c r="S4" s="4">
        <v>0</v>
      </c>
      <c r="T4" s="4">
        <v>3</v>
      </c>
      <c r="V4" s="5" t="s">
        <v>60</v>
      </c>
      <c r="W4" s="5" t="s">
        <v>61</v>
      </c>
      <c r="X4" s="5" t="s">
        <v>61</v>
      </c>
      <c r="Y4" s="4">
        <v>434</v>
      </c>
      <c r="Z4" s="4">
        <v>387</v>
      </c>
      <c r="AA4" s="4">
        <v>402</v>
      </c>
      <c r="AB4" s="4">
        <v>5</v>
      </c>
      <c r="AC4" s="4">
        <v>5</v>
      </c>
      <c r="AD4" s="4">
        <v>20</v>
      </c>
      <c r="AE4" s="4">
        <v>21</v>
      </c>
      <c r="AF4" s="4">
        <v>5</v>
      </c>
      <c r="AG4" s="4">
        <v>5</v>
      </c>
      <c r="AH4" s="4">
        <v>3</v>
      </c>
      <c r="AI4" s="4">
        <v>4</v>
      </c>
      <c r="AJ4" s="4">
        <v>12</v>
      </c>
      <c r="AK4" s="4">
        <v>13</v>
      </c>
      <c r="AL4" s="4">
        <v>3</v>
      </c>
      <c r="AM4" s="4">
        <v>3</v>
      </c>
      <c r="AN4" s="4">
        <v>0</v>
      </c>
      <c r="AO4" s="4">
        <v>0</v>
      </c>
      <c r="AP4" s="3" t="s">
        <v>51</v>
      </c>
      <c r="AQ4" s="3" t="s">
        <v>49</v>
      </c>
      <c r="AR4" s="6" t="str">
        <f>HYPERLINK("http://catalog.hathitrust.org/Record/000314341","HathiTrust Record")</f>
        <v>HathiTrust Record</v>
      </c>
      <c r="AS4" s="6" t="str">
        <f>HYPERLINK("https://creighton-primo.hosted.exlibrisgroup.com/primo-explore/search?tab=default_tab&amp;search_scope=EVERYTHING&amp;vid=01CRU&amp;lang=en_US&amp;offset=0&amp;query=any,contains,991001779239702656","Catalog Record")</f>
        <v>Catalog Record</v>
      </c>
      <c r="AT4" s="6" t="str">
        <f>HYPERLINK("http://www.worldcat.org/oclc/8168727","WorldCat Record")</f>
        <v>WorldCat Record</v>
      </c>
      <c r="AU4" s="3" t="s">
        <v>2438</v>
      </c>
      <c r="AV4" s="3" t="s">
        <v>2439</v>
      </c>
    </row>
    <row r="5" spans="1:48" ht="41.25" customHeight="1" x14ac:dyDescent="0.25">
      <c r="A5" s="8" t="s">
        <v>51</v>
      </c>
      <c r="B5" s="2" t="s">
        <v>64</v>
      </c>
      <c r="C5" s="2" t="s">
        <v>65</v>
      </c>
      <c r="D5" s="2" t="s">
        <v>66</v>
      </c>
      <c r="F5" s="3" t="s">
        <v>51</v>
      </c>
      <c r="G5" s="3" t="s">
        <v>50</v>
      </c>
      <c r="H5" s="3" t="s">
        <v>51</v>
      </c>
      <c r="I5" s="3" t="s">
        <v>51</v>
      </c>
      <c r="J5" s="3" t="s">
        <v>52</v>
      </c>
      <c r="L5" s="2" t="s">
        <v>67</v>
      </c>
      <c r="M5" s="3" t="s">
        <v>68</v>
      </c>
      <c r="O5" s="3" t="s">
        <v>56</v>
      </c>
      <c r="P5" s="3" t="s">
        <v>69</v>
      </c>
      <c r="R5" s="3" t="s">
        <v>59</v>
      </c>
      <c r="S5" s="4">
        <v>6</v>
      </c>
      <c r="T5" s="4">
        <v>6</v>
      </c>
      <c r="U5" s="5" t="s">
        <v>70</v>
      </c>
      <c r="V5" s="5" t="s">
        <v>70</v>
      </c>
      <c r="W5" s="5" t="s">
        <v>71</v>
      </c>
      <c r="X5" s="5" t="s">
        <v>71</v>
      </c>
      <c r="Y5" s="4">
        <v>377</v>
      </c>
      <c r="Z5" s="4">
        <v>307</v>
      </c>
      <c r="AA5" s="4">
        <v>308</v>
      </c>
      <c r="AB5" s="4">
        <v>6</v>
      </c>
      <c r="AC5" s="4">
        <v>6</v>
      </c>
      <c r="AD5" s="4">
        <v>13</v>
      </c>
      <c r="AE5" s="4">
        <v>13</v>
      </c>
      <c r="AF5" s="4">
        <v>3</v>
      </c>
      <c r="AG5" s="4">
        <v>3</v>
      </c>
      <c r="AH5" s="4">
        <v>2</v>
      </c>
      <c r="AI5" s="4">
        <v>2</v>
      </c>
      <c r="AJ5" s="4">
        <v>5</v>
      </c>
      <c r="AK5" s="4">
        <v>5</v>
      </c>
      <c r="AL5" s="4">
        <v>4</v>
      </c>
      <c r="AM5" s="4">
        <v>4</v>
      </c>
      <c r="AN5" s="4">
        <v>0</v>
      </c>
      <c r="AO5" s="4">
        <v>0</v>
      </c>
      <c r="AP5" s="3" t="s">
        <v>51</v>
      </c>
      <c r="AQ5" s="3" t="s">
        <v>51</v>
      </c>
      <c r="AS5" s="6" t="str">
        <f>HYPERLINK("https://creighton-primo.hosted.exlibrisgroup.com/primo-explore/search?tab=default_tab&amp;search_scope=EVERYTHING&amp;vid=01CRU&amp;lang=en_US&amp;offset=0&amp;query=any,contains,991001773069702656","Catalog Record")</f>
        <v>Catalog Record</v>
      </c>
      <c r="AT5" s="6" t="str">
        <f>HYPERLINK("http://www.worldcat.org/oclc/438948","WorldCat Record")</f>
        <v>WorldCat Record</v>
      </c>
      <c r="AU5" s="3" t="s">
        <v>2440</v>
      </c>
      <c r="AV5" s="3" t="s">
        <v>2441</v>
      </c>
    </row>
    <row r="6" spans="1:48" ht="41.25" customHeight="1" x14ac:dyDescent="0.25">
      <c r="A6" s="8" t="s">
        <v>51</v>
      </c>
      <c r="B6" s="2" t="s">
        <v>72</v>
      </c>
      <c r="C6" s="2" t="s">
        <v>73</v>
      </c>
      <c r="D6" s="2" t="s">
        <v>74</v>
      </c>
      <c r="F6" s="3" t="s">
        <v>51</v>
      </c>
      <c r="G6" s="3" t="s">
        <v>50</v>
      </c>
      <c r="H6" s="3" t="s">
        <v>51</v>
      </c>
      <c r="I6" s="3" t="s">
        <v>51</v>
      </c>
      <c r="J6" s="3" t="s">
        <v>52</v>
      </c>
      <c r="K6" s="2" t="s">
        <v>75</v>
      </c>
      <c r="L6" s="2" t="s">
        <v>76</v>
      </c>
      <c r="M6" s="3" t="s">
        <v>77</v>
      </c>
      <c r="N6" s="2" t="s">
        <v>78</v>
      </c>
      <c r="O6" s="3" t="s">
        <v>56</v>
      </c>
      <c r="P6" s="3" t="s">
        <v>79</v>
      </c>
      <c r="R6" s="3" t="s">
        <v>59</v>
      </c>
      <c r="S6" s="4">
        <v>4</v>
      </c>
      <c r="T6" s="4">
        <v>4</v>
      </c>
      <c r="U6" s="5" t="s">
        <v>80</v>
      </c>
      <c r="V6" s="5" t="s">
        <v>80</v>
      </c>
      <c r="W6" s="5" t="s">
        <v>81</v>
      </c>
      <c r="X6" s="5" t="s">
        <v>81</v>
      </c>
      <c r="Y6" s="4">
        <v>244</v>
      </c>
      <c r="Z6" s="4">
        <v>211</v>
      </c>
      <c r="AA6" s="4">
        <v>214</v>
      </c>
      <c r="AB6" s="4">
        <v>3</v>
      </c>
      <c r="AC6" s="4">
        <v>3</v>
      </c>
      <c r="AD6" s="4">
        <v>4</v>
      </c>
      <c r="AE6" s="4">
        <v>4</v>
      </c>
      <c r="AF6" s="4">
        <v>1</v>
      </c>
      <c r="AG6" s="4">
        <v>1</v>
      </c>
      <c r="AH6" s="4">
        <v>1</v>
      </c>
      <c r="AI6" s="4">
        <v>1</v>
      </c>
      <c r="AJ6" s="4">
        <v>2</v>
      </c>
      <c r="AK6" s="4">
        <v>2</v>
      </c>
      <c r="AL6" s="4">
        <v>1</v>
      </c>
      <c r="AM6" s="4">
        <v>1</v>
      </c>
      <c r="AN6" s="4">
        <v>0</v>
      </c>
      <c r="AO6" s="4">
        <v>0</v>
      </c>
      <c r="AP6" s="3" t="s">
        <v>51</v>
      </c>
      <c r="AQ6" s="3" t="s">
        <v>49</v>
      </c>
      <c r="AR6" s="6" t="str">
        <f>HYPERLINK("http://catalog.hathitrust.org/Record/002453624","HathiTrust Record")</f>
        <v>HathiTrust Record</v>
      </c>
      <c r="AS6" s="6" t="str">
        <f>HYPERLINK("https://creighton-primo.hosted.exlibrisgroup.com/primo-explore/search?tab=default_tab&amp;search_scope=EVERYTHING&amp;vid=01CRU&amp;lang=en_US&amp;offset=0&amp;query=any,contains,991001794039702656","Catalog Record")</f>
        <v>Catalog Record</v>
      </c>
      <c r="AT6" s="6" t="str">
        <f>HYPERLINK("http://www.worldcat.org/oclc/23675388","WorldCat Record")</f>
        <v>WorldCat Record</v>
      </c>
      <c r="AU6" s="3" t="s">
        <v>2442</v>
      </c>
      <c r="AV6" s="3" t="s">
        <v>2443</v>
      </c>
    </row>
    <row r="7" spans="1:48" ht="41.25" customHeight="1" x14ac:dyDescent="0.25">
      <c r="A7" s="8" t="s">
        <v>51</v>
      </c>
      <c r="B7" s="2" t="s">
        <v>82</v>
      </c>
      <c r="C7" s="2" t="s">
        <v>83</v>
      </c>
      <c r="D7" s="2" t="s">
        <v>84</v>
      </c>
      <c r="F7" s="3" t="s">
        <v>51</v>
      </c>
      <c r="G7" s="3" t="s">
        <v>50</v>
      </c>
      <c r="H7" s="3" t="s">
        <v>51</v>
      </c>
      <c r="I7" s="3" t="s">
        <v>51</v>
      </c>
      <c r="J7" s="3" t="s">
        <v>52</v>
      </c>
      <c r="L7" s="2" t="s">
        <v>85</v>
      </c>
      <c r="M7" s="3" t="s">
        <v>86</v>
      </c>
      <c r="N7" s="2" t="s">
        <v>78</v>
      </c>
      <c r="O7" s="3" t="s">
        <v>56</v>
      </c>
      <c r="P7" s="3" t="s">
        <v>87</v>
      </c>
      <c r="R7" s="3" t="s">
        <v>59</v>
      </c>
      <c r="S7" s="4">
        <v>9</v>
      </c>
      <c r="T7" s="4">
        <v>9</v>
      </c>
      <c r="U7" s="5" t="s">
        <v>88</v>
      </c>
      <c r="V7" s="5" t="s">
        <v>88</v>
      </c>
      <c r="W7" s="5" t="s">
        <v>89</v>
      </c>
      <c r="X7" s="5" t="s">
        <v>89</v>
      </c>
      <c r="Y7" s="4">
        <v>50</v>
      </c>
      <c r="Z7" s="4">
        <v>45</v>
      </c>
      <c r="AA7" s="4">
        <v>129</v>
      </c>
      <c r="AB7" s="4">
        <v>1</v>
      </c>
      <c r="AC7" s="4">
        <v>1</v>
      </c>
      <c r="AD7" s="4">
        <v>0</v>
      </c>
      <c r="AE7" s="4">
        <v>1</v>
      </c>
      <c r="AF7" s="4">
        <v>0</v>
      </c>
      <c r="AG7" s="4">
        <v>1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3" t="s">
        <v>51</v>
      </c>
      <c r="AQ7" s="3" t="s">
        <v>51</v>
      </c>
      <c r="AS7" s="6" t="str">
        <f>HYPERLINK("https://creighton-primo.hosted.exlibrisgroup.com/primo-explore/search?tab=default_tab&amp;search_scope=EVERYTHING&amp;vid=01CRU&amp;lang=en_US&amp;offset=0&amp;query=any,contains,991001277059702656","Catalog Record")</f>
        <v>Catalog Record</v>
      </c>
      <c r="AT7" s="6" t="str">
        <f>HYPERLINK("http://www.worldcat.org/oclc/17876524","WorldCat Record")</f>
        <v>WorldCat Record</v>
      </c>
      <c r="AU7" s="3" t="s">
        <v>2444</v>
      </c>
      <c r="AV7" s="3" t="s">
        <v>2445</v>
      </c>
    </row>
    <row r="8" spans="1:48" ht="41.25" customHeight="1" x14ac:dyDescent="0.25">
      <c r="A8" s="8" t="s">
        <v>51</v>
      </c>
      <c r="B8" s="2" t="s">
        <v>90</v>
      </c>
      <c r="C8" s="2" t="s">
        <v>91</v>
      </c>
      <c r="D8" s="2" t="s">
        <v>92</v>
      </c>
      <c r="F8" s="3" t="s">
        <v>51</v>
      </c>
      <c r="G8" s="3" t="s">
        <v>50</v>
      </c>
      <c r="H8" s="3" t="s">
        <v>51</v>
      </c>
      <c r="I8" s="3" t="s">
        <v>51</v>
      </c>
      <c r="J8" s="3" t="s">
        <v>52</v>
      </c>
      <c r="L8" s="2" t="s">
        <v>93</v>
      </c>
      <c r="M8" s="3" t="s">
        <v>94</v>
      </c>
      <c r="N8" s="2" t="s">
        <v>95</v>
      </c>
      <c r="O8" s="3" t="s">
        <v>56</v>
      </c>
      <c r="P8" s="3" t="s">
        <v>87</v>
      </c>
      <c r="R8" s="3" t="s">
        <v>59</v>
      </c>
      <c r="S8" s="4">
        <v>9</v>
      </c>
      <c r="T8" s="4">
        <v>9</v>
      </c>
      <c r="U8" s="5" t="s">
        <v>96</v>
      </c>
      <c r="V8" s="5" t="s">
        <v>96</v>
      </c>
      <c r="W8" s="5" t="s">
        <v>97</v>
      </c>
      <c r="X8" s="5" t="s">
        <v>97</v>
      </c>
      <c r="Y8" s="4">
        <v>137</v>
      </c>
      <c r="Z8" s="4">
        <v>132</v>
      </c>
      <c r="AA8" s="4">
        <v>355</v>
      </c>
      <c r="AB8" s="4">
        <v>2</v>
      </c>
      <c r="AC8" s="4">
        <v>4</v>
      </c>
      <c r="AD8" s="4">
        <v>0</v>
      </c>
      <c r="AE8" s="4">
        <v>1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1</v>
      </c>
      <c r="AL8" s="4">
        <v>0</v>
      </c>
      <c r="AM8" s="4">
        <v>0</v>
      </c>
      <c r="AN8" s="4">
        <v>0</v>
      </c>
      <c r="AO8" s="4">
        <v>0</v>
      </c>
      <c r="AP8" s="3" t="s">
        <v>51</v>
      </c>
      <c r="AQ8" s="3" t="s">
        <v>51</v>
      </c>
      <c r="AS8" s="6" t="str">
        <f>HYPERLINK("https://creighton-primo.hosted.exlibrisgroup.com/primo-explore/search?tab=default_tab&amp;search_scope=EVERYTHING&amp;vid=01CRU&amp;lang=en_US&amp;offset=0&amp;query=any,contains,991001735229702656","Catalog Record")</f>
        <v>Catalog Record</v>
      </c>
      <c r="AT8" s="6" t="str">
        <f>HYPERLINK("http://www.worldcat.org/oclc/21970665","WorldCat Record")</f>
        <v>WorldCat Record</v>
      </c>
      <c r="AU8" s="3" t="s">
        <v>2446</v>
      </c>
      <c r="AV8" s="3" t="s">
        <v>2447</v>
      </c>
    </row>
    <row r="9" spans="1:48" ht="41.25" customHeight="1" x14ac:dyDescent="0.25">
      <c r="A9" s="8" t="s">
        <v>51</v>
      </c>
      <c r="B9" s="2" t="s">
        <v>98</v>
      </c>
      <c r="C9" s="2" t="s">
        <v>99</v>
      </c>
      <c r="D9" s="2" t="s">
        <v>100</v>
      </c>
      <c r="F9" s="3" t="s">
        <v>51</v>
      </c>
      <c r="G9" s="3" t="s">
        <v>50</v>
      </c>
      <c r="H9" s="3" t="s">
        <v>51</v>
      </c>
      <c r="I9" s="3" t="s">
        <v>51</v>
      </c>
      <c r="J9" s="3" t="s">
        <v>52</v>
      </c>
      <c r="K9" s="2" t="s">
        <v>101</v>
      </c>
      <c r="L9" s="2" t="s">
        <v>102</v>
      </c>
      <c r="M9" s="3" t="s">
        <v>103</v>
      </c>
      <c r="O9" s="3" t="s">
        <v>104</v>
      </c>
      <c r="P9" s="3" t="s">
        <v>105</v>
      </c>
      <c r="Q9" s="2" t="s">
        <v>106</v>
      </c>
      <c r="R9" s="3" t="s">
        <v>59</v>
      </c>
      <c r="S9" s="4">
        <v>2</v>
      </c>
      <c r="T9" s="4">
        <v>2</v>
      </c>
      <c r="U9" s="5" t="s">
        <v>80</v>
      </c>
      <c r="V9" s="5" t="s">
        <v>80</v>
      </c>
      <c r="W9" s="5" t="s">
        <v>71</v>
      </c>
      <c r="X9" s="5" t="s">
        <v>71</v>
      </c>
      <c r="Y9" s="4">
        <v>29</v>
      </c>
      <c r="Z9" s="4">
        <v>17</v>
      </c>
      <c r="AA9" s="4">
        <v>18</v>
      </c>
      <c r="AB9" s="4">
        <v>1</v>
      </c>
      <c r="AC9" s="4">
        <v>1</v>
      </c>
      <c r="AD9" s="4">
        <v>2</v>
      </c>
      <c r="AE9" s="4">
        <v>2</v>
      </c>
      <c r="AF9" s="4">
        <v>0</v>
      </c>
      <c r="AG9" s="4">
        <v>0</v>
      </c>
      <c r="AH9" s="4">
        <v>1</v>
      </c>
      <c r="AI9" s="4">
        <v>1</v>
      </c>
      <c r="AJ9" s="4">
        <v>2</v>
      </c>
      <c r="AK9" s="4">
        <v>2</v>
      </c>
      <c r="AL9" s="4">
        <v>0</v>
      </c>
      <c r="AM9" s="4">
        <v>0</v>
      </c>
      <c r="AN9" s="4">
        <v>0</v>
      </c>
      <c r="AO9" s="4">
        <v>0</v>
      </c>
      <c r="AP9" s="3" t="s">
        <v>51</v>
      </c>
      <c r="AQ9" s="3" t="s">
        <v>49</v>
      </c>
      <c r="AR9" s="6" t="str">
        <f>HYPERLINK("http://catalog.hathitrust.org/Record/102094576","HathiTrust Record")</f>
        <v>HathiTrust Record</v>
      </c>
      <c r="AS9" s="6" t="str">
        <f>HYPERLINK("https://creighton-primo.hosted.exlibrisgroup.com/primo-explore/search?tab=default_tab&amp;search_scope=EVERYTHING&amp;vid=01CRU&amp;lang=en_US&amp;offset=0&amp;query=any,contains,991001034349702656","Catalog Record")</f>
        <v>Catalog Record</v>
      </c>
      <c r="AT9" s="6" t="str">
        <f>HYPERLINK("http://www.worldcat.org/oclc/15528188","WorldCat Record")</f>
        <v>WorldCat Record</v>
      </c>
      <c r="AU9" s="3" t="s">
        <v>2448</v>
      </c>
      <c r="AV9" s="3" t="s">
        <v>2449</v>
      </c>
    </row>
    <row r="10" spans="1:48" ht="41.25" customHeight="1" x14ac:dyDescent="0.25">
      <c r="A10" s="8" t="s">
        <v>51</v>
      </c>
      <c r="B10" s="2" t="s">
        <v>107</v>
      </c>
      <c r="C10" s="2" t="s">
        <v>108</v>
      </c>
      <c r="D10" s="2" t="s">
        <v>109</v>
      </c>
      <c r="F10" s="3" t="s">
        <v>51</v>
      </c>
      <c r="G10" s="3" t="s">
        <v>50</v>
      </c>
      <c r="H10" s="3" t="s">
        <v>51</v>
      </c>
      <c r="I10" s="3" t="s">
        <v>51</v>
      </c>
      <c r="J10" s="3" t="s">
        <v>52</v>
      </c>
      <c r="K10" s="2" t="s">
        <v>110</v>
      </c>
      <c r="L10" s="2" t="s">
        <v>111</v>
      </c>
      <c r="M10" s="3" t="s">
        <v>112</v>
      </c>
      <c r="O10" s="3" t="s">
        <v>56</v>
      </c>
      <c r="P10" s="3" t="s">
        <v>113</v>
      </c>
      <c r="R10" s="3" t="s">
        <v>59</v>
      </c>
      <c r="S10" s="4">
        <v>13</v>
      </c>
      <c r="T10" s="4">
        <v>13</v>
      </c>
      <c r="U10" s="5" t="s">
        <v>114</v>
      </c>
      <c r="V10" s="5" t="s">
        <v>114</v>
      </c>
      <c r="W10" s="5" t="s">
        <v>115</v>
      </c>
      <c r="X10" s="5" t="s">
        <v>115</v>
      </c>
      <c r="Y10" s="4">
        <v>299</v>
      </c>
      <c r="Z10" s="4">
        <v>219</v>
      </c>
      <c r="AA10" s="4">
        <v>229</v>
      </c>
      <c r="AB10" s="4">
        <v>2</v>
      </c>
      <c r="AC10" s="4">
        <v>2</v>
      </c>
      <c r="AD10" s="4">
        <v>8</v>
      </c>
      <c r="AE10" s="4">
        <v>8</v>
      </c>
      <c r="AF10" s="4">
        <v>1</v>
      </c>
      <c r="AG10" s="4">
        <v>1</v>
      </c>
      <c r="AH10" s="4">
        <v>3</v>
      </c>
      <c r="AI10" s="4">
        <v>3</v>
      </c>
      <c r="AJ10" s="4">
        <v>6</v>
      </c>
      <c r="AK10" s="4">
        <v>6</v>
      </c>
      <c r="AL10" s="4">
        <v>1</v>
      </c>
      <c r="AM10" s="4">
        <v>1</v>
      </c>
      <c r="AN10" s="4">
        <v>0</v>
      </c>
      <c r="AO10" s="4">
        <v>0</v>
      </c>
      <c r="AP10" s="3" t="s">
        <v>51</v>
      </c>
      <c r="AQ10" s="3" t="s">
        <v>51</v>
      </c>
      <c r="AS10" s="6" t="str">
        <f>HYPERLINK("https://creighton-primo.hosted.exlibrisgroup.com/primo-explore/search?tab=default_tab&amp;search_scope=EVERYTHING&amp;vid=01CRU&amp;lang=en_US&amp;offset=0&amp;query=any,contains,991005405889702656","Catalog Record")</f>
        <v>Catalog Record</v>
      </c>
      <c r="AT10" s="6" t="str">
        <f>HYPERLINK("http://www.worldcat.org/oclc/12724204","WorldCat Record")</f>
        <v>WorldCat Record</v>
      </c>
      <c r="AU10" s="3" t="s">
        <v>2450</v>
      </c>
      <c r="AV10" s="3" t="s">
        <v>2451</v>
      </c>
    </row>
    <row r="11" spans="1:48" ht="41.25" customHeight="1" x14ac:dyDescent="0.25">
      <c r="A11" s="8" t="s">
        <v>51</v>
      </c>
      <c r="B11" s="2" t="s">
        <v>116</v>
      </c>
      <c r="C11" s="2" t="s">
        <v>117</v>
      </c>
      <c r="D11" s="2" t="s">
        <v>118</v>
      </c>
      <c r="F11" s="3" t="s">
        <v>51</v>
      </c>
      <c r="G11" s="3" t="s">
        <v>50</v>
      </c>
      <c r="H11" s="3" t="s">
        <v>51</v>
      </c>
      <c r="I11" s="3" t="s">
        <v>51</v>
      </c>
      <c r="J11" s="3" t="s">
        <v>52</v>
      </c>
      <c r="K11" s="2" t="s">
        <v>119</v>
      </c>
      <c r="L11" s="2" t="s">
        <v>120</v>
      </c>
      <c r="M11" s="3" t="s">
        <v>121</v>
      </c>
      <c r="O11" s="3" t="s">
        <v>56</v>
      </c>
      <c r="P11" s="3" t="s">
        <v>113</v>
      </c>
      <c r="Q11" s="2" t="s">
        <v>122</v>
      </c>
      <c r="R11" s="3" t="s">
        <v>59</v>
      </c>
      <c r="S11" s="4">
        <v>2</v>
      </c>
      <c r="T11" s="4">
        <v>2</v>
      </c>
      <c r="U11" s="5" t="s">
        <v>123</v>
      </c>
      <c r="V11" s="5" t="s">
        <v>123</v>
      </c>
      <c r="W11" s="5" t="s">
        <v>124</v>
      </c>
      <c r="X11" s="5" t="s">
        <v>124</v>
      </c>
      <c r="Y11" s="4">
        <v>63</v>
      </c>
      <c r="Z11" s="4">
        <v>40</v>
      </c>
      <c r="AA11" s="4">
        <v>45</v>
      </c>
      <c r="AB11" s="4">
        <v>2</v>
      </c>
      <c r="AC11" s="4">
        <v>2</v>
      </c>
      <c r="AD11" s="4">
        <v>1</v>
      </c>
      <c r="AE11" s="4">
        <v>1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1</v>
      </c>
      <c r="AM11" s="4">
        <v>1</v>
      </c>
      <c r="AN11" s="4">
        <v>0</v>
      </c>
      <c r="AO11" s="4">
        <v>0</v>
      </c>
      <c r="AP11" s="3" t="s">
        <v>51</v>
      </c>
      <c r="AQ11" s="3" t="s">
        <v>49</v>
      </c>
      <c r="AR11" s="6" t="str">
        <f>HYPERLINK("http://catalog.hathitrust.org/Record/001577103","HathiTrust Record")</f>
        <v>HathiTrust Record</v>
      </c>
      <c r="AS11" s="6" t="str">
        <f>HYPERLINK("https://creighton-primo.hosted.exlibrisgroup.com/primo-explore/search?tab=default_tab&amp;search_scope=EVERYTHING&amp;vid=01CRU&amp;lang=en_US&amp;offset=0&amp;query=any,contains,991003117419702656","Catalog Record")</f>
        <v>Catalog Record</v>
      </c>
      <c r="AT11" s="6" t="str">
        <f>HYPERLINK("http://www.worldcat.org/oclc/663649","WorldCat Record")</f>
        <v>WorldCat Record</v>
      </c>
      <c r="AU11" s="3" t="s">
        <v>2452</v>
      </c>
      <c r="AV11" s="3" t="s">
        <v>2453</v>
      </c>
    </row>
    <row r="12" spans="1:48" ht="41.25" customHeight="1" x14ac:dyDescent="0.25">
      <c r="A12" s="8" t="s">
        <v>51</v>
      </c>
      <c r="B12" s="2" t="s">
        <v>125</v>
      </c>
      <c r="C12" s="2" t="s">
        <v>126</v>
      </c>
      <c r="D12" s="2" t="s">
        <v>127</v>
      </c>
      <c r="F12" s="3" t="s">
        <v>51</v>
      </c>
      <c r="G12" s="3" t="s">
        <v>50</v>
      </c>
      <c r="H12" s="3" t="s">
        <v>51</v>
      </c>
      <c r="I12" s="3" t="s">
        <v>51</v>
      </c>
      <c r="J12" s="3" t="s">
        <v>52</v>
      </c>
      <c r="K12" s="2" t="s">
        <v>128</v>
      </c>
      <c r="M12" s="3" t="s">
        <v>129</v>
      </c>
      <c r="N12" s="2" t="s">
        <v>95</v>
      </c>
      <c r="O12" s="3" t="s">
        <v>56</v>
      </c>
      <c r="P12" s="3" t="s">
        <v>87</v>
      </c>
      <c r="R12" s="3" t="s">
        <v>59</v>
      </c>
      <c r="S12" s="4">
        <v>4</v>
      </c>
      <c r="T12" s="4">
        <v>4</v>
      </c>
      <c r="U12" s="5" t="s">
        <v>130</v>
      </c>
      <c r="V12" s="5" t="s">
        <v>130</v>
      </c>
      <c r="W12" s="5" t="s">
        <v>131</v>
      </c>
      <c r="X12" s="5" t="s">
        <v>131</v>
      </c>
      <c r="Y12" s="4">
        <v>133</v>
      </c>
      <c r="Z12" s="4">
        <v>102</v>
      </c>
      <c r="AA12" s="4">
        <v>106</v>
      </c>
      <c r="AB12" s="4">
        <v>1</v>
      </c>
      <c r="AC12" s="4">
        <v>1</v>
      </c>
      <c r="AD12" s="4">
        <v>5</v>
      </c>
      <c r="AE12" s="4">
        <v>5</v>
      </c>
      <c r="AF12" s="4">
        <v>0</v>
      </c>
      <c r="AG12" s="4">
        <v>0</v>
      </c>
      <c r="AH12" s="4">
        <v>2</v>
      </c>
      <c r="AI12" s="4">
        <v>2</v>
      </c>
      <c r="AJ12" s="4">
        <v>5</v>
      </c>
      <c r="AK12" s="4">
        <v>5</v>
      </c>
      <c r="AL12" s="4">
        <v>0</v>
      </c>
      <c r="AM12" s="4">
        <v>0</v>
      </c>
      <c r="AN12" s="4">
        <v>0</v>
      </c>
      <c r="AO12" s="4">
        <v>0</v>
      </c>
      <c r="AP12" s="3" t="s">
        <v>51</v>
      </c>
      <c r="AQ12" s="3" t="s">
        <v>49</v>
      </c>
      <c r="AR12" s="6" t="str">
        <f>HYPERLINK("http://catalog.hathitrust.org/Record/000812860","HathiTrust Record")</f>
        <v>HathiTrust Record</v>
      </c>
      <c r="AS12" s="6" t="str">
        <f>HYPERLINK("https://creighton-primo.hosted.exlibrisgroup.com/primo-explore/search?tab=default_tab&amp;search_scope=EVERYTHING&amp;vid=01CRU&amp;lang=en_US&amp;offset=0&amp;query=any,contains,991000651769702656","Catalog Record")</f>
        <v>Catalog Record</v>
      </c>
      <c r="AT12" s="6" t="str">
        <f>HYPERLINK("http://www.worldcat.org/oclc/12175161","WorldCat Record")</f>
        <v>WorldCat Record</v>
      </c>
      <c r="AU12" s="3" t="s">
        <v>2454</v>
      </c>
      <c r="AV12" s="3" t="s">
        <v>2455</v>
      </c>
    </row>
    <row r="13" spans="1:48" ht="41.25" customHeight="1" x14ac:dyDescent="0.25">
      <c r="A13" s="8" t="s">
        <v>51</v>
      </c>
      <c r="B13" s="2" t="s">
        <v>132</v>
      </c>
      <c r="C13" s="2" t="s">
        <v>133</v>
      </c>
      <c r="D13" s="2" t="s">
        <v>134</v>
      </c>
      <c r="F13" s="3" t="s">
        <v>51</v>
      </c>
      <c r="G13" s="3" t="s">
        <v>50</v>
      </c>
      <c r="H13" s="3" t="s">
        <v>51</v>
      </c>
      <c r="I13" s="3" t="s">
        <v>51</v>
      </c>
      <c r="J13" s="3" t="s">
        <v>52</v>
      </c>
      <c r="K13" s="2" t="s">
        <v>135</v>
      </c>
      <c r="L13" s="2" t="s">
        <v>136</v>
      </c>
      <c r="M13" s="3" t="s">
        <v>94</v>
      </c>
      <c r="O13" s="3" t="s">
        <v>137</v>
      </c>
      <c r="P13" s="3" t="s">
        <v>138</v>
      </c>
      <c r="R13" s="3" t="s">
        <v>59</v>
      </c>
      <c r="S13" s="4">
        <v>4</v>
      </c>
      <c r="T13" s="4">
        <v>4</v>
      </c>
      <c r="U13" s="5" t="s">
        <v>139</v>
      </c>
      <c r="V13" s="5" t="s">
        <v>139</v>
      </c>
      <c r="W13" s="5" t="s">
        <v>140</v>
      </c>
      <c r="X13" s="5" t="s">
        <v>140</v>
      </c>
      <c r="Y13" s="4">
        <v>30</v>
      </c>
      <c r="Z13" s="4">
        <v>14</v>
      </c>
      <c r="AA13" s="4">
        <v>35</v>
      </c>
      <c r="AB13" s="4">
        <v>1</v>
      </c>
      <c r="AC13" s="4">
        <v>1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3" t="s">
        <v>51</v>
      </c>
      <c r="AQ13" s="3" t="s">
        <v>51</v>
      </c>
      <c r="AS13" s="6" t="str">
        <f>HYPERLINK("https://creighton-primo.hosted.exlibrisgroup.com/primo-explore/search?tab=default_tab&amp;search_scope=EVERYTHING&amp;vid=01CRU&amp;lang=en_US&amp;offset=0&amp;query=any,contains,991001804759702656","Catalog Record")</f>
        <v>Catalog Record</v>
      </c>
      <c r="AT13" s="6" t="str">
        <f>HYPERLINK("http://www.worldcat.org/oclc/22697275","WorldCat Record")</f>
        <v>WorldCat Record</v>
      </c>
      <c r="AU13" s="3" t="s">
        <v>2456</v>
      </c>
      <c r="AV13" s="3" t="s">
        <v>2457</v>
      </c>
    </row>
    <row r="14" spans="1:48" ht="41.25" customHeight="1" x14ac:dyDescent="0.25">
      <c r="A14" s="8" t="s">
        <v>51</v>
      </c>
      <c r="B14" s="2" t="s">
        <v>141</v>
      </c>
      <c r="C14" s="2" t="s">
        <v>142</v>
      </c>
      <c r="D14" s="2" t="s">
        <v>143</v>
      </c>
      <c r="E14" s="3" t="s">
        <v>144</v>
      </c>
      <c r="F14" s="3" t="s">
        <v>49</v>
      </c>
      <c r="G14" s="3" t="s">
        <v>50</v>
      </c>
      <c r="H14" s="3" t="s">
        <v>51</v>
      </c>
      <c r="I14" s="3" t="s">
        <v>51</v>
      </c>
      <c r="J14" s="3" t="s">
        <v>52</v>
      </c>
      <c r="K14" s="2" t="s">
        <v>101</v>
      </c>
      <c r="L14" s="2" t="s">
        <v>145</v>
      </c>
      <c r="M14" s="3" t="s">
        <v>146</v>
      </c>
      <c r="O14" s="3" t="s">
        <v>104</v>
      </c>
      <c r="P14" s="3" t="s">
        <v>105</v>
      </c>
      <c r="R14" s="3" t="s">
        <v>59</v>
      </c>
      <c r="S14" s="4">
        <v>4</v>
      </c>
      <c r="T14" s="4">
        <v>8</v>
      </c>
      <c r="U14" s="5" t="s">
        <v>147</v>
      </c>
      <c r="V14" s="5" t="s">
        <v>147</v>
      </c>
      <c r="W14" s="5" t="s">
        <v>71</v>
      </c>
      <c r="X14" s="5" t="s">
        <v>71</v>
      </c>
      <c r="Y14" s="4">
        <v>22</v>
      </c>
      <c r="Z14" s="4">
        <v>13</v>
      </c>
      <c r="AA14" s="4">
        <v>15</v>
      </c>
      <c r="AB14" s="4">
        <v>1</v>
      </c>
      <c r="AC14" s="4">
        <v>1</v>
      </c>
      <c r="AD14" s="4">
        <v>1</v>
      </c>
      <c r="AE14" s="4">
        <v>1</v>
      </c>
      <c r="AF14" s="4">
        <v>0</v>
      </c>
      <c r="AG14" s="4">
        <v>0</v>
      </c>
      <c r="AH14" s="4">
        <v>0</v>
      </c>
      <c r="AI14" s="4">
        <v>0</v>
      </c>
      <c r="AJ14" s="4">
        <v>1</v>
      </c>
      <c r="AK14" s="4">
        <v>1</v>
      </c>
      <c r="AL14" s="4">
        <v>0</v>
      </c>
      <c r="AM14" s="4">
        <v>0</v>
      </c>
      <c r="AN14" s="4">
        <v>0</v>
      </c>
      <c r="AO14" s="4">
        <v>0</v>
      </c>
      <c r="AP14" s="3" t="s">
        <v>51</v>
      </c>
      <c r="AQ14" s="3" t="s">
        <v>49</v>
      </c>
      <c r="AR14" s="6" t="str">
        <f>HYPERLINK("http://catalog.hathitrust.org/Record/006201579","HathiTrust Record")</f>
        <v>HathiTrust Record</v>
      </c>
      <c r="AS14" s="6" t="str">
        <f>HYPERLINK("https://creighton-primo.hosted.exlibrisgroup.com/primo-explore/search?tab=default_tab&amp;search_scope=EVERYTHING&amp;vid=01CRU&amp;lang=en_US&amp;offset=0&amp;query=any,contains,991005410349702656","Catalog Record")</f>
        <v>Catalog Record</v>
      </c>
      <c r="AT14" s="6" t="str">
        <f>HYPERLINK("http://www.worldcat.org/oclc/18946485","WorldCat Record")</f>
        <v>WorldCat Record</v>
      </c>
      <c r="AU14" s="3" t="s">
        <v>2458</v>
      </c>
      <c r="AV14" s="3" t="s">
        <v>2459</v>
      </c>
    </row>
    <row r="15" spans="1:48" ht="41.25" customHeight="1" x14ac:dyDescent="0.25">
      <c r="A15" s="8" t="s">
        <v>51</v>
      </c>
      <c r="B15" s="2" t="s">
        <v>141</v>
      </c>
      <c r="C15" s="2" t="s">
        <v>142</v>
      </c>
      <c r="D15" s="2" t="s">
        <v>143</v>
      </c>
      <c r="E15" s="3" t="s">
        <v>148</v>
      </c>
      <c r="F15" s="3" t="s">
        <v>49</v>
      </c>
      <c r="G15" s="3" t="s">
        <v>50</v>
      </c>
      <c r="H15" s="3" t="s">
        <v>51</v>
      </c>
      <c r="I15" s="3" t="s">
        <v>51</v>
      </c>
      <c r="J15" s="3" t="s">
        <v>52</v>
      </c>
      <c r="K15" s="2" t="s">
        <v>101</v>
      </c>
      <c r="L15" s="2" t="s">
        <v>145</v>
      </c>
      <c r="M15" s="3" t="s">
        <v>146</v>
      </c>
      <c r="O15" s="3" t="s">
        <v>104</v>
      </c>
      <c r="P15" s="3" t="s">
        <v>105</v>
      </c>
      <c r="R15" s="3" t="s">
        <v>59</v>
      </c>
      <c r="S15" s="4">
        <v>4</v>
      </c>
      <c r="T15" s="4">
        <v>8</v>
      </c>
      <c r="U15" s="5" t="s">
        <v>147</v>
      </c>
      <c r="V15" s="5" t="s">
        <v>147</v>
      </c>
      <c r="W15" s="5" t="s">
        <v>71</v>
      </c>
      <c r="X15" s="5" t="s">
        <v>71</v>
      </c>
      <c r="Y15" s="4">
        <v>22</v>
      </c>
      <c r="Z15" s="4">
        <v>13</v>
      </c>
      <c r="AA15" s="4">
        <v>15</v>
      </c>
      <c r="AB15" s="4">
        <v>1</v>
      </c>
      <c r="AC15" s="4">
        <v>1</v>
      </c>
      <c r="AD15" s="4">
        <v>1</v>
      </c>
      <c r="AE15" s="4">
        <v>1</v>
      </c>
      <c r="AF15" s="4">
        <v>0</v>
      </c>
      <c r="AG15" s="4">
        <v>0</v>
      </c>
      <c r="AH15" s="4">
        <v>0</v>
      </c>
      <c r="AI15" s="4">
        <v>0</v>
      </c>
      <c r="AJ15" s="4">
        <v>1</v>
      </c>
      <c r="AK15" s="4">
        <v>1</v>
      </c>
      <c r="AL15" s="4">
        <v>0</v>
      </c>
      <c r="AM15" s="4">
        <v>0</v>
      </c>
      <c r="AN15" s="4">
        <v>0</v>
      </c>
      <c r="AO15" s="4">
        <v>0</v>
      </c>
      <c r="AP15" s="3" t="s">
        <v>51</v>
      </c>
      <c r="AQ15" s="3" t="s">
        <v>49</v>
      </c>
      <c r="AR15" s="6" t="str">
        <f>HYPERLINK("http://catalog.hathitrust.org/Record/006201579","HathiTrust Record")</f>
        <v>HathiTrust Record</v>
      </c>
      <c r="AS15" s="6" t="str">
        <f>HYPERLINK("https://creighton-primo.hosted.exlibrisgroup.com/primo-explore/search?tab=default_tab&amp;search_scope=EVERYTHING&amp;vid=01CRU&amp;lang=en_US&amp;offset=0&amp;query=any,contains,991005410349702656","Catalog Record")</f>
        <v>Catalog Record</v>
      </c>
      <c r="AT15" s="6" t="str">
        <f>HYPERLINK("http://www.worldcat.org/oclc/18946485","WorldCat Record")</f>
        <v>WorldCat Record</v>
      </c>
      <c r="AU15" s="3" t="s">
        <v>2460</v>
      </c>
      <c r="AV15" s="3" t="s">
        <v>2461</v>
      </c>
    </row>
    <row r="16" spans="1:48" ht="41.25" customHeight="1" x14ac:dyDescent="0.25">
      <c r="A16" s="8" t="s">
        <v>51</v>
      </c>
      <c r="B16" s="2" t="s">
        <v>149</v>
      </c>
      <c r="C16" s="2" t="s">
        <v>150</v>
      </c>
      <c r="D16" s="2" t="s">
        <v>151</v>
      </c>
      <c r="E16" s="3" t="s">
        <v>148</v>
      </c>
      <c r="F16" s="3" t="s">
        <v>51</v>
      </c>
      <c r="G16" s="3" t="s">
        <v>50</v>
      </c>
      <c r="H16" s="3" t="s">
        <v>51</v>
      </c>
      <c r="I16" s="3" t="s">
        <v>51</v>
      </c>
      <c r="J16" s="3" t="s">
        <v>52</v>
      </c>
      <c r="K16" s="2" t="s">
        <v>152</v>
      </c>
      <c r="L16" s="2" t="s">
        <v>153</v>
      </c>
      <c r="M16" s="3" t="s">
        <v>154</v>
      </c>
      <c r="N16" s="2" t="s">
        <v>155</v>
      </c>
      <c r="O16" s="3" t="s">
        <v>104</v>
      </c>
      <c r="P16" s="3" t="s">
        <v>156</v>
      </c>
      <c r="R16" s="3" t="s">
        <v>59</v>
      </c>
      <c r="S16" s="4">
        <v>10</v>
      </c>
      <c r="T16" s="4">
        <v>10</v>
      </c>
      <c r="U16" s="5" t="s">
        <v>157</v>
      </c>
      <c r="V16" s="5" t="s">
        <v>157</v>
      </c>
      <c r="W16" s="5" t="s">
        <v>71</v>
      </c>
      <c r="X16" s="5" t="s">
        <v>71</v>
      </c>
      <c r="Y16" s="4">
        <v>43</v>
      </c>
      <c r="Z16" s="4">
        <v>35</v>
      </c>
      <c r="AA16" s="4">
        <v>70</v>
      </c>
      <c r="AB16" s="4">
        <v>1</v>
      </c>
      <c r="AC16" s="4">
        <v>1</v>
      </c>
      <c r="AD16" s="4">
        <v>1</v>
      </c>
      <c r="AE16" s="4">
        <v>3</v>
      </c>
      <c r="AF16" s="4">
        <v>0</v>
      </c>
      <c r="AG16" s="4">
        <v>0</v>
      </c>
      <c r="AH16" s="4">
        <v>1</v>
      </c>
      <c r="AI16" s="4">
        <v>3</v>
      </c>
      <c r="AJ16" s="4">
        <v>1</v>
      </c>
      <c r="AK16" s="4">
        <v>2</v>
      </c>
      <c r="AL16" s="4">
        <v>0</v>
      </c>
      <c r="AM16" s="4">
        <v>0</v>
      </c>
      <c r="AN16" s="4">
        <v>0</v>
      </c>
      <c r="AO16" s="4">
        <v>0</v>
      </c>
      <c r="AP16" s="3" t="s">
        <v>51</v>
      </c>
      <c r="AQ16" s="3" t="s">
        <v>49</v>
      </c>
      <c r="AR16" s="6" t="str">
        <f>HYPERLINK("http://catalog.hathitrust.org/Record/006055166","HathiTrust Record")</f>
        <v>HathiTrust Record</v>
      </c>
      <c r="AS16" s="6" t="str">
        <f>HYPERLINK("https://creighton-primo.hosted.exlibrisgroup.com/primo-explore/search?tab=default_tab&amp;search_scope=EVERYTHING&amp;vid=01CRU&amp;lang=en_US&amp;offset=0&amp;query=any,contains,991005405319702656","Catalog Record")</f>
        <v>Catalog Record</v>
      </c>
      <c r="AT16" s="6" t="str">
        <f>HYPERLINK("http://www.worldcat.org/oclc/12107867","WorldCat Record")</f>
        <v>WorldCat Record</v>
      </c>
      <c r="AU16" s="3" t="s">
        <v>2462</v>
      </c>
      <c r="AV16" s="3" t="s">
        <v>2463</v>
      </c>
    </row>
    <row r="17" spans="1:48" ht="41.25" customHeight="1" x14ac:dyDescent="0.25">
      <c r="A17" s="8" t="s">
        <v>51</v>
      </c>
      <c r="B17" s="2" t="s">
        <v>158</v>
      </c>
      <c r="C17" s="2" t="s">
        <v>159</v>
      </c>
      <c r="D17" s="2" t="s">
        <v>160</v>
      </c>
      <c r="F17" s="3" t="s">
        <v>51</v>
      </c>
      <c r="G17" s="3" t="s">
        <v>50</v>
      </c>
      <c r="H17" s="3" t="s">
        <v>51</v>
      </c>
      <c r="I17" s="3" t="s">
        <v>51</v>
      </c>
      <c r="J17" s="3" t="s">
        <v>52</v>
      </c>
      <c r="K17" s="2" t="s">
        <v>152</v>
      </c>
      <c r="L17" s="2" t="s">
        <v>161</v>
      </c>
      <c r="M17" s="3" t="s">
        <v>162</v>
      </c>
      <c r="O17" s="3" t="s">
        <v>163</v>
      </c>
      <c r="P17" s="3" t="s">
        <v>164</v>
      </c>
      <c r="Q17" s="2" t="s">
        <v>165</v>
      </c>
      <c r="R17" s="3" t="s">
        <v>59</v>
      </c>
      <c r="S17" s="4">
        <v>9</v>
      </c>
      <c r="T17" s="4">
        <v>9</v>
      </c>
      <c r="U17" s="5" t="s">
        <v>157</v>
      </c>
      <c r="V17" s="5" t="s">
        <v>157</v>
      </c>
      <c r="W17" s="5" t="s">
        <v>71</v>
      </c>
      <c r="X17" s="5" t="s">
        <v>71</v>
      </c>
      <c r="Y17" s="4">
        <v>52</v>
      </c>
      <c r="Z17" s="4">
        <v>39</v>
      </c>
      <c r="AA17" s="4">
        <v>40</v>
      </c>
      <c r="AB17" s="4">
        <v>1</v>
      </c>
      <c r="AC17" s="4">
        <v>1</v>
      </c>
      <c r="AD17" s="4">
        <v>2</v>
      </c>
      <c r="AE17" s="4">
        <v>2</v>
      </c>
      <c r="AF17" s="4">
        <v>0</v>
      </c>
      <c r="AG17" s="4">
        <v>0</v>
      </c>
      <c r="AH17" s="4">
        <v>2</v>
      </c>
      <c r="AI17" s="4">
        <v>2</v>
      </c>
      <c r="AJ17" s="4">
        <v>1</v>
      </c>
      <c r="AK17" s="4">
        <v>1</v>
      </c>
      <c r="AL17" s="4">
        <v>0</v>
      </c>
      <c r="AM17" s="4">
        <v>0</v>
      </c>
      <c r="AN17" s="4">
        <v>0</v>
      </c>
      <c r="AO17" s="4">
        <v>0</v>
      </c>
      <c r="AP17" s="3" t="s">
        <v>51</v>
      </c>
      <c r="AQ17" s="3" t="s">
        <v>49</v>
      </c>
      <c r="AR17" s="6" t="str">
        <f>HYPERLINK("http://catalog.hathitrust.org/Record/002077755","HathiTrust Record")</f>
        <v>HathiTrust Record</v>
      </c>
      <c r="AS17" s="6" t="str">
        <f>HYPERLINK("https://creighton-primo.hosted.exlibrisgroup.com/primo-explore/search?tab=default_tab&amp;search_scope=EVERYTHING&amp;vid=01CRU&amp;lang=en_US&amp;offset=0&amp;query=any,contains,991005372379702656","Catalog Record")</f>
        <v>Catalog Record</v>
      </c>
      <c r="AT17" s="6" t="str">
        <f>HYPERLINK("http://www.worldcat.org/oclc/14674276","WorldCat Record")</f>
        <v>WorldCat Record</v>
      </c>
      <c r="AU17" s="3" t="s">
        <v>2464</v>
      </c>
      <c r="AV17" s="3" t="s">
        <v>2465</v>
      </c>
    </row>
    <row r="18" spans="1:48" ht="41.25" customHeight="1" x14ac:dyDescent="0.25">
      <c r="A18" s="8" t="s">
        <v>51</v>
      </c>
      <c r="B18" s="2" t="s">
        <v>166</v>
      </c>
      <c r="C18" s="2" t="s">
        <v>167</v>
      </c>
      <c r="D18" s="2" t="s">
        <v>168</v>
      </c>
      <c r="F18" s="3" t="s">
        <v>51</v>
      </c>
      <c r="G18" s="3" t="s">
        <v>50</v>
      </c>
      <c r="H18" s="3" t="s">
        <v>51</v>
      </c>
      <c r="I18" s="3" t="s">
        <v>51</v>
      </c>
      <c r="J18" s="3" t="s">
        <v>52</v>
      </c>
      <c r="K18" s="2" t="s">
        <v>169</v>
      </c>
      <c r="L18" s="2" t="s">
        <v>170</v>
      </c>
      <c r="M18" s="3" t="s">
        <v>171</v>
      </c>
      <c r="O18" s="3" t="s">
        <v>56</v>
      </c>
      <c r="P18" s="3" t="s">
        <v>172</v>
      </c>
      <c r="R18" s="3" t="s">
        <v>59</v>
      </c>
      <c r="S18" s="4">
        <v>9</v>
      </c>
      <c r="T18" s="4">
        <v>9</v>
      </c>
      <c r="U18" s="5" t="s">
        <v>157</v>
      </c>
      <c r="V18" s="5" t="s">
        <v>157</v>
      </c>
      <c r="W18" s="5" t="s">
        <v>71</v>
      </c>
      <c r="X18" s="5" t="s">
        <v>71</v>
      </c>
      <c r="Y18" s="4">
        <v>113</v>
      </c>
      <c r="Z18" s="4">
        <v>98</v>
      </c>
      <c r="AA18" s="4">
        <v>100</v>
      </c>
      <c r="AB18" s="4">
        <v>3</v>
      </c>
      <c r="AC18" s="4">
        <v>3</v>
      </c>
      <c r="AD18" s="4">
        <v>2</v>
      </c>
      <c r="AE18" s="4">
        <v>2</v>
      </c>
      <c r="AF18" s="4">
        <v>0</v>
      </c>
      <c r="AG18" s="4">
        <v>0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  <c r="AM18" s="4">
        <v>1</v>
      </c>
      <c r="AN18" s="4">
        <v>0</v>
      </c>
      <c r="AO18" s="4">
        <v>0</v>
      </c>
      <c r="AP18" s="3" t="s">
        <v>51</v>
      </c>
      <c r="AQ18" s="3" t="s">
        <v>49</v>
      </c>
      <c r="AR18" s="6" t="str">
        <f>HYPERLINK("http://catalog.hathitrust.org/Record/006055168","HathiTrust Record")</f>
        <v>HathiTrust Record</v>
      </c>
      <c r="AS18" s="6" t="str">
        <f>HYPERLINK("https://creighton-primo.hosted.exlibrisgroup.com/primo-explore/search?tab=default_tab&amp;search_scope=EVERYTHING&amp;vid=01CRU&amp;lang=en_US&amp;offset=0&amp;query=any,contains,991005387369702656","Catalog Record")</f>
        <v>Catalog Record</v>
      </c>
      <c r="AT18" s="6" t="str">
        <f>HYPERLINK("http://www.worldcat.org/oclc/6625698","WorldCat Record")</f>
        <v>WorldCat Record</v>
      </c>
      <c r="AU18" s="3" t="s">
        <v>2466</v>
      </c>
      <c r="AV18" s="3" t="s">
        <v>2467</v>
      </c>
    </row>
    <row r="19" spans="1:48" ht="41.25" customHeight="1" x14ac:dyDescent="0.25">
      <c r="A19" s="8" t="s">
        <v>51</v>
      </c>
      <c r="B19" s="2" t="s">
        <v>173</v>
      </c>
      <c r="C19" s="2" t="s">
        <v>174</v>
      </c>
      <c r="D19" s="2" t="s">
        <v>175</v>
      </c>
      <c r="F19" s="3" t="s">
        <v>51</v>
      </c>
      <c r="G19" s="3" t="s">
        <v>50</v>
      </c>
      <c r="H19" s="3" t="s">
        <v>51</v>
      </c>
      <c r="I19" s="3" t="s">
        <v>51</v>
      </c>
      <c r="J19" s="3" t="s">
        <v>52</v>
      </c>
      <c r="K19" s="2" t="s">
        <v>176</v>
      </c>
      <c r="L19" s="2" t="s">
        <v>177</v>
      </c>
      <c r="M19" s="3" t="s">
        <v>103</v>
      </c>
      <c r="O19" s="3" t="s">
        <v>178</v>
      </c>
      <c r="P19" s="3" t="s">
        <v>179</v>
      </c>
      <c r="R19" s="3" t="s">
        <v>59</v>
      </c>
      <c r="S19" s="4">
        <v>4</v>
      </c>
      <c r="T19" s="4">
        <v>4</v>
      </c>
      <c r="U19" s="5" t="s">
        <v>180</v>
      </c>
      <c r="V19" s="5" t="s">
        <v>180</v>
      </c>
      <c r="W19" s="5" t="s">
        <v>124</v>
      </c>
      <c r="X19" s="5" t="s">
        <v>124</v>
      </c>
      <c r="Y19" s="4">
        <v>62</v>
      </c>
      <c r="Z19" s="4">
        <v>28</v>
      </c>
      <c r="AA19" s="4">
        <v>29</v>
      </c>
      <c r="AB19" s="4">
        <v>1</v>
      </c>
      <c r="AC19" s="4">
        <v>1</v>
      </c>
      <c r="AD19" s="4">
        <v>1</v>
      </c>
      <c r="AE19" s="4">
        <v>1</v>
      </c>
      <c r="AF19" s="4">
        <v>0</v>
      </c>
      <c r="AG19" s="4">
        <v>0</v>
      </c>
      <c r="AH19" s="4">
        <v>1</v>
      </c>
      <c r="AI19" s="4">
        <v>1</v>
      </c>
      <c r="AJ19" s="4">
        <v>1</v>
      </c>
      <c r="AK19" s="4">
        <v>1</v>
      </c>
      <c r="AL19" s="4">
        <v>0</v>
      </c>
      <c r="AM19" s="4">
        <v>0</v>
      </c>
      <c r="AN19" s="4">
        <v>0</v>
      </c>
      <c r="AO19" s="4">
        <v>0</v>
      </c>
      <c r="AP19" s="3" t="s">
        <v>51</v>
      </c>
      <c r="AQ19" s="3" t="s">
        <v>51</v>
      </c>
      <c r="AS19" s="6" t="str">
        <f>HYPERLINK("https://creighton-primo.hosted.exlibrisgroup.com/primo-explore/search?tab=default_tab&amp;search_scope=EVERYTHING&amp;vid=01CRU&amp;lang=en_US&amp;offset=0&amp;query=any,contains,991000596629702656","Catalog Record")</f>
        <v>Catalog Record</v>
      </c>
      <c r="AT19" s="6" t="str">
        <f>HYPERLINK("http://www.worldcat.org/oclc/11813093","WorldCat Record")</f>
        <v>WorldCat Record</v>
      </c>
      <c r="AU19" s="3" t="s">
        <v>2468</v>
      </c>
      <c r="AV19" s="3" t="s">
        <v>2469</v>
      </c>
    </row>
    <row r="20" spans="1:48" ht="41.25" customHeight="1" x14ac:dyDescent="0.25">
      <c r="A20" s="8" t="s">
        <v>51</v>
      </c>
      <c r="B20" s="2" t="s">
        <v>181</v>
      </c>
      <c r="C20" s="2" t="s">
        <v>182</v>
      </c>
      <c r="D20" s="2" t="s">
        <v>183</v>
      </c>
      <c r="F20" s="3" t="s">
        <v>51</v>
      </c>
      <c r="G20" s="3" t="s">
        <v>50</v>
      </c>
      <c r="H20" s="3" t="s">
        <v>51</v>
      </c>
      <c r="I20" s="3" t="s">
        <v>51</v>
      </c>
      <c r="J20" s="3" t="s">
        <v>52</v>
      </c>
      <c r="K20" s="2" t="s">
        <v>184</v>
      </c>
      <c r="L20" s="2" t="s">
        <v>185</v>
      </c>
      <c r="M20" s="3" t="s">
        <v>186</v>
      </c>
      <c r="O20" s="3" t="s">
        <v>56</v>
      </c>
      <c r="P20" s="3" t="s">
        <v>179</v>
      </c>
      <c r="Q20" s="2" t="s">
        <v>187</v>
      </c>
      <c r="R20" s="3" t="s">
        <v>59</v>
      </c>
      <c r="S20" s="4">
        <v>9</v>
      </c>
      <c r="T20" s="4">
        <v>9</v>
      </c>
      <c r="U20" s="5" t="s">
        <v>188</v>
      </c>
      <c r="V20" s="5" t="s">
        <v>188</v>
      </c>
      <c r="W20" s="5" t="s">
        <v>71</v>
      </c>
      <c r="X20" s="5" t="s">
        <v>71</v>
      </c>
      <c r="Y20" s="4">
        <v>62</v>
      </c>
      <c r="Z20" s="4">
        <v>38</v>
      </c>
      <c r="AA20" s="4">
        <v>44</v>
      </c>
      <c r="AB20" s="4">
        <v>1</v>
      </c>
      <c r="AC20" s="4">
        <v>1</v>
      </c>
      <c r="AD20" s="4">
        <v>1</v>
      </c>
      <c r="AE20" s="4">
        <v>1</v>
      </c>
      <c r="AF20" s="4">
        <v>0</v>
      </c>
      <c r="AG20" s="4">
        <v>0</v>
      </c>
      <c r="AH20" s="4">
        <v>1</v>
      </c>
      <c r="AI20" s="4">
        <v>1</v>
      </c>
      <c r="AJ20" s="4">
        <v>1</v>
      </c>
      <c r="AK20" s="4">
        <v>1</v>
      </c>
      <c r="AL20" s="4">
        <v>0</v>
      </c>
      <c r="AM20" s="4">
        <v>0</v>
      </c>
      <c r="AN20" s="4">
        <v>0</v>
      </c>
      <c r="AO20" s="4">
        <v>0</v>
      </c>
      <c r="AP20" s="3" t="s">
        <v>51</v>
      </c>
      <c r="AQ20" s="3" t="s">
        <v>49</v>
      </c>
      <c r="AR20" s="6" t="str">
        <f>HYPERLINK("http://catalog.hathitrust.org/Record/102072145","HathiTrust Record")</f>
        <v>HathiTrust Record</v>
      </c>
      <c r="AS20" s="6" t="str">
        <f>HYPERLINK("https://creighton-primo.hosted.exlibrisgroup.com/primo-explore/search?tab=default_tab&amp;search_scope=EVERYTHING&amp;vid=01CRU&amp;lang=en_US&amp;offset=0&amp;query=any,contains,991005406219702656","Catalog Record")</f>
        <v>Catalog Record</v>
      </c>
      <c r="AT20" s="6" t="str">
        <f>HYPERLINK("http://www.worldcat.org/oclc/13120865","WorldCat Record")</f>
        <v>WorldCat Record</v>
      </c>
      <c r="AU20" s="3" t="s">
        <v>2470</v>
      </c>
      <c r="AV20" s="3" t="s">
        <v>2471</v>
      </c>
    </row>
    <row r="21" spans="1:48" ht="41.25" customHeight="1" x14ac:dyDescent="0.25">
      <c r="A21" s="8" t="s">
        <v>51</v>
      </c>
      <c r="B21" s="2" t="s">
        <v>189</v>
      </c>
      <c r="C21" s="2" t="s">
        <v>190</v>
      </c>
      <c r="D21" s="2" t="s">
        <v>191</v>
      </c>
      <c r="F21" s="3" t="s">
        <v>51</v>
      </c>
      <c r="G21" s="3" t="s">
        <v>50</v>
      </c>
      <c r="H21" s="3" t="s">
        <v>51</v>
      </c>
      <c r="I21" s="3" t="s">
        <v>51</v>
      </c>
      <c r="J21" s="3" t="s">
        <v>52</v>
      </c>
      <c r="K21" s="2" t="s">
        <v>192</v>
      </c>
      <c r="L21" s="2" t="s">
        <v>193</v>
      </c>
      <c r="M21" s="3" t="s">
        <v>194</v>
      </c>
      <c r="O21" s="3" t="s">
        <v>178</v>
      </c>
      <c r="P21" s="3" t="s">
        <v>87</v>
      </c>
      <c r="R21" s="3" t="s">
        <v>59</v>
      </c>
      <c r="S21" s="4">
        <v>4</v>
      </c>
      <c r="T21" s="4">
        <v>4</v>
      </c>
      <c r="U21" s="5" t="s">
        <v>180</v>
      </c>
      <c r="V21" s="5" t="s">
        <v>180</v>
      </c>
      <c r="W21" s="5" t="s">
        <v>195</v>
      </c>
      <c r="X21" s="5" t="s">
        <v>195</v>
      </c>
      <c r="Y21" s="4">
        <v>10</v>
      </c>
      <c r="Z21" s="4">
        <v>7</v>
      </c>
      <c r="AA21" s="4">
        <v>9</v>
      </c>
      <c r="AB21" s="4">
        <v>1</v>
      </c>
      <c r="AC21" s="4">
        <v>1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3" t="s">
        <v>51</v>
      </c>
      <c r="AQ21" s="3" t="s">
        <v>51</v>
      </c>
      <c r="AS21" s="6" t="str">
        <f>HYPERLINK("https://creighton-primo.hosted.exlibrisgroup.com/primo-explore/search?tab=default_tab&amp;search_scope=EVERYTHING&amp;vid=01CRU&amp;lang=en_US&amp;offset=0&amp;query=any,contains,991004571429702656","Catalog Record")</f>
        <v>Catalog Record</v>
      </c>
      <c r="AT21" s="6" t="str">
        <f>HYPERLINK("http://www.worldcat.org/oclc/4032561","WorldCat Record")</f>
        <v>WorldCat Record</v>
      </c>
      <c r="AU21" s="3" t="s">
        <v>2472</v>
      </c>
      <c r="AV21" s="3" t="s">
        <v>2473</v>
      </c>
    </row>
    <row r="22" spans="1:48" ht="41.25" customHeight="1" x14ac:dyDescent="0.25">
      <c r="A22" s="8" t="s">
        <v>51</v>
      </c>
      <c r="B22" s="2" t="s">
        <v>196</v>
      </c>
      <c r="C22" s="2" t="s">
        <v>197</v>
      </c>
      <c r="D22" s="2" t="s">
        <v>198</v>
      </c>
      <c r="E22" s="3" t="s">
        <v>148</v>
      </c>
      <c r="F22" s="3" t="s">
        <v>49</v>
      </c>
      <c r="G22" s="3" t="s">
        <v>50</v>
      </c>
      <c r="H22" s="3" t="s">
        <v>51</v>
      </c>
      <c r="I22" s="3" t="s">
        <v>51</v>
      </c>
      <c r="J22" s="3" t="s">
        <v>52</v>
      </c>
      <c r="K22" s="2" t="s">
        <v>199</v>
      </c>
      <c r="L22" s="2" t="s">
        <v>200</v>
      </c>
      <c r="M22" s="3" t="s">
        <v>201</v>
      </c>
      <c r="O22" s="3" t="s">
        <v>56</v>
      </c>
      <c r="P22" s="3" t="s">
        <v>202</v>
      </c>
      <c r="R22" s="3" t="s">
        <v>59</v>
      </c>
      <c r="S22" s="4">
        <v>1</v>
      </c>
      <c r="T22" s="4">
        <v>3</v>
      </c>
      <c r="U22" s="5" t="s">
        <v>203</v>
      </c>
      <c r="V22" s="5" t="s">
        <v>203</v>
      </c>
      <c r="W22" s="5" t="s">
        <v>204</v>
      </c>
      <c r="X22" s="5" t="s">
        <v>204</v>
      </c>
      <c r="Y22" s="4">
        <v>202</v>
      </c>
      <c r="Z22" s="4">
        <v>170</v>
      </c>
      <c r="AA22" s="4">
        <v>197</v>
      </c>
      <c r="AB22" s="4">
        <v>3</v>
      </c>
      <c r="AC22" s="4">
        <v>3</v>
      </c>
      <c r="AD22" s="4">
        <v>5</v>
      </c>
      <c r="AE22" s="4">
        <v>5</v>
      </c>
      <c r="AF22" s="4">
        <v>1</v>
      </c>
      <c r="AG22" s="4">
        <v>1</v>
      </c>
      <c r="AH22" s="4">
        <v>2</v>
      </c>
      <c r="AI22" s="4">
        <v>2</v>
      </c>
      <c r="AJ22" s="4">
        <v>1</v>
      </c>
      <c r="AK22" s="4">
        <v>1</v>
      </c>
      <c r="AL22" s="4">
        <v>1</v>
      </c>
      <c r="AM22" s="4">
        <v>1</v>
      </c>
      <c r="AN22" s="4">
        <v>0</v>
      </c>
      <c r="AO22" s="4">
        <v>0</v>
      </c>
      <c r="AP22" s="3" t="s">
        <v>51</v>
      </c>
      <c r="AQ22" s="3" t="s">
        <v>49</v>
      </c>
      <c r="AR22" s="6" t="str">
        <f>HYPERLINK("http://catalog.hathitrust.org/Record/003088265","HathiTrust Record")</f>
        <v>HathiTrust Record</v>
      </c>
      <c r="AS22" s="6" t="str">
        <f>HYPERLINK("https://creighton-primo.hosted.exlibrisgroup.com/primo-explore/search?tab=default_tab&amp;search_scope=EVERYTHING&amp;vid=01CRU&amp;lang=en_US&amp;offset=0&amp;query=any,contains,991001773189702656","Catalog Record")</f>
        <v>Catalog Record</v>
      </c>
      <c r="AT22" s="6" t="str">
        <f>HYPERLINK("http://www.worldcat.org/oclc/1009084","WorldCat Record")</f>
        <v>WorldCat Record</v>
      </c>
      <c r="AU22" s="3" t="s">
        <v>2474</v>
      </c>
      <c r="AV22" s="3" t="s">
        <v>2475</v>
      </c>
    </row>
    <row r="23" spans="1:48" ht="41.25" customHeight="1" x14ac:dyDescent="0.25">
      <c r="A23" s="8" t="s">
        <v>51</v>
      </c>
      <c r="B23" s="2" t="s">
        <v>196</v>
      </c>
      <c r="C23" s="2" t="s">
        <v>197</v>
      </c>
      <c r="D23" s="2" t="s">
        <v>198</v>
      </c>
      <c r="E23" s="3" t="s">
        <v>144</v>
      </c>
      <c r="F23" s="3" t="s">
        <v>49</v>
      </c>
      <c r="G23" s="3" t="s">
        <v>50</v>
      </c>
      <c r="H23" s="3" t="s">
        <v>51</v>
      </c>
      <c r="I23" s="3" t="s">
        <v>51</v>
      </c>
      <c r="J23" s="3" t="s">
        <v>52</v>
      </c>
      <c r="K23" s="2" t="s">
        <v>199</v>
      </c>
      <c r="L23" s="2" t="s">
        <v>200</v>
      </c>
      <c r="M23" s="3" t="s">
        <v>201</v>
      </c>
      <c r="O23" s="3" t="s">
        <v>56</v>
      </c>
      <c r="P23" s="3" t="s">
        <v>202</v>
      </c>
      <c r="R23" s="3" t="s">
        <v>59</v>
      </c>
      <c r="S23" s="4">
        <v>1</v>
      </c>
      <c r="T23" s="4">
        <v>3</v>
      </c>
      <c r="U23" s="5" t="s">
        <v>203</v>
      </c>
      <c r="V23" s="5" t="s">
        <v>203</v>
      </c>
      <c r="W23" s="5" t="s">
        <v>204</v>
      </c>
      <c r="X23" s="5" t="s">
        <v>204</v>
      </c>
      <c r="Y23" s="4">
        <v>202</v>
      </c>
      <c r="Z23" s="4">
        <v>170</v>
      </c>
      <c r="AA23" s="4">
        <v>197</v>
      </c>
      <c r="AB23" s="4">
        <v>3</v>
      </c>
      <c r="AC23" s="4">
        <v>3</v>
      </c>
      <c r="AD23" s="4">
        <v>5</v>
      </c>
      <c r="AE23" s="4">
        <v>5</v>
      </c>
      <c r="AF23" s="4">
        <v>1</v>
      </c>
      <c r="AG23" s="4">
        <v>1</v>
      </c>
      <c r="AH23" s="4">
        <v>2</v>
      </c>
      <c r="AI23" s="4">
        <v>2</v>
      </c>
      <c r="AJ23" s="4">
        <v>1</v>
      </c>
      <c r="AK23" s="4">
        <v>1</v>
      </c>
      <c r="AL23" s="4">
        <v>1</v>
      </c>
      <c r="AM23" s="4">
        <v>1</v>
      </c>
      <c r="AN23" s="4">
        <v>0</v>
      </c>
      <c r="AO23" s="4">
        <v>0</v>
      </c>
      <c r="AP23" s="3" t="s">
        <v>51</v>
      </c>
      <c r="AQ23" s="3" t="s">
        <v>49</v>
      </c>
      <c r="AR23" s="6" t="str">
        <f>HYPERLINK("http://catalog.hathitrust.org/Record/003088265","HathiTrust Record")</f>
        <v>HathiTrust Record</v>
      </c>
      <c r="AS23" s="6" t="str">
        <f>HYPERLINK("https://creighton-primo.hosted.exlibrisgroup.com/primo-explore/search?tab=default_tab&amp;search_scope=EVERYTHING&amp;vid=01CRU&amp;lang=en_US&amp;offset=0&amp;query=any,contains,991001773189702656","Catalog Record")</f>
        <v>Catalog Record</v>
      </c>
      <c r="AT23" s="6" t="str">
        <f>HYPERLINK("http://www.worldcat.org/oclc/1009084","WorldCat Record")</f>
        <v>WorldCat Record</v>
      </c>
      <c r="AU23" s="3" t="s">
        <v>2476</v>
      </c>
      <c r="AV23" s="3" t="s">
        <v>2477</v>
      </c>
    </row>
    <row r="24" spans="1:48" ht="41.25" customHeight="1" x14ac:dyDescent="0.25">
      <c r="A24" s="8" t="s">
        <v>51</v>
      </c>
      <c r="B24" s="2" t="s">
        <v>196</v>
      </c>
      <c r="C24" s="2" t="s">
        <v>197</v>
      </c>
      <c r="D24" s="2" t="s">
        <v>198</v>
      </c>
      <c r="E24" s="3" t="s">
        <v>205</v>
      </c>
      <c r="F24" s="3" t="s">
        <v>49</v>
      </c>
      <c r="G24" s="3" t="s">
        <v>50</v>
      </c>
      <c r="H24" s="3" t="s">
        <v>51</v>
      </c>
      <c r="I24" s="3" t="s">
        <v>51</v>
      </c>
      <c r="J24" s="3" t="s">
        <v>52</v>
      </c>
      <c r="K24" s="2" t="s">
        <v>199</v>
      </c>
      <c r="L24" s="2" t="s">
        <v>200</v>
      </c>
      <c r="M24" s="3" t="s">
        <v>201</v>
      </c>
      <c r="O24" s="3" t="s">
        <v>56</v>
      </c>
      <c r="P24" s="3" t="s">
        <v>202</v>
      </c>
      <c r="R24" s="3" t="s">
        <v>59</v>
      </c>
      <c r="S24" s="4">
        <v>1</v>
      </c>
      <c r="T24" s="4">
        <v>3</v>
      </c>
      <c r="U24" s="5" t="s">
        <v>203</v>
      </c>
      <c r="V24" s="5" t="s">
        <v>203</v>
      </c>
      <c r="W24" s="5" t="s">
        <v>204</v>
      </c>
      <c r="X24" s="5" t="s">
        <v>204</v>
      </c>
      <c r="Y24" s="4">
        <v>202</v>
      </c>
      <c r="Z24" s="4">
        <v>170</v>
      </c>
      <c r="AA24" s="4">
        <v>197</v>
      </c>
      <c r="AB24" s="4">
        <v>3</v>
      </c>
      <c r="AC24" s="4">
        <v>3</v>
      </c>
      <c r="AD24" s="4">
        <v>5</v>
      </c>
      <c r="AE24" s="4">
        <v>5</v>
      </c>
      <c r="AF24" s="4">
        <v>1</v>
      </c>
      <c r="AG24" s="4">
        <v>1</v>
      </c>
      <c r="AH24" s="4">
        <v>2</v>
      </c>
      <c r="AI24" s="4">
        <v>2</v>
      </c>
      <c r="AJ24" s="4">
        <v>1</v>
      </c>
      <c r="AK24" s="4">
        <v>1</v>
      </c>
      <c r="AL24" s="4">
        <v>1</v>
      </c>
      <c r="AM24" s="4">
        <v>1</v>
      </c>
      <c r="AN24" s="4">
        <v>0</v>
      </c>
      <c r="AO24" s="4">
        <v>0</v>
      </c>
      <c r="AP24" s="3" t="s">
        <v>51</v>
      </c>
      <c r="AQ24" s="3" t="s">
        <v>49</v>
      </c>
      <c r="AR24" s="6" t="str">
        <f>HYPERLINK("http://catalog.hathitrust.org/Record/003088265","HathiTrust Record")</f>
        <v>HathiTrust Record</v>
      </c>
      <c r="AS24" s="6" t="str">
        <f>HYPERLINK("https://creighton-primo.hosted.exlibrisgroup.com/primo-explore/search?tab=default_tab&amp;search_scope=EVERYTHING&amp;vid=01CRU&amp;lang=en_US&amp;offset=0&amp;query=any,contains,991001773189702656","Catalog Record")</f>
        <v>Catalog Record</v>
      </c>
      <c r="AT24" s="6" t="str">
        <f>HYPERLINK("http://www.worldcat.org/oclc/1009084","WorldCat Record")</f>
        <v>WorldCat Record</v>
      </c>
      <c r="AU24" s="3" t="s">
        <v>2478</v>
      </c>
      <c r="AV24" s="3" t="s">
        <v>2479</v>
      </c>
    </row>
    <row r="25" spans="1:48" ht="41.25" customHeight="1" x14ac:dyDescent="0.25">
      <c r="A25" s="8" t="s">
        <v>51</v>
      </c>
      <c r="B25" s="2" t="s">
        <v>206</v>
      </c>
      <c r="C25" s="2" t="s">
        <v>207</v>
      </c>
      <c r="D25" s="2" t="s">
        <v>208</v>
      </c>
      <c r="F25" s="3" t="s">
        <v>51</v>
      </c>
      <c r="G25" s="3" t="s">
        <v>50</v>
      </c>
      <c r="H25" s="3" t="s">
        <v>51</v>
      </c>
      <c r="I25" s="3" t="s">
        <v>51</v>
      </c>
      <c r="J25" s="3" t="s">
        <v>52</v>
      </c>
      <c r="K25" s="2" t="s">
        <v>209</v>
      </c>
      <c r="L25" s="2" t="s">
        <v>210</v>
      </c>
      <c r="M25" s="3" t="s">
        <v>211</v>
      </c>
      <c r="O25" s="3" t="s">
        <v>56</v>
      </c>
      <c r="P25" s="3" t="s">
        <v>87</v>
      </c>
      <c r="Q25" s="2" t="s">
        <v>212</v>
      </c>
      <c r="R25" s="3" t="s">
        <v>59</v>
      </c>
      <c r="S25" s="4">
        <v>6</v>
      </c>
      <c r="T25" s="4">
        <v>6</v>
      </c>
      <c r="U25" s="5" t="s">
        <v>213</v>
      </c>
      <c r="V25" s="5" t="s">
        <v>213</v>
      </c>
      <c r="W25" s="5" t="s">
        <v>71</v>
      </c>
      <c r="X25" s="5" t="s">
        <v>71</v>
      </c>
      <c r="Y25" s="4">
        <v>116</v>
      </c>
      <c r="Z25" s="4">
        <v>100</v>
      </c>
      <c r="AA25" s="4">
        <v>769</v>
      </c>
      <c r="AB25" s="4">
        <v>1</v>
      </c>
      <c r="AC25" s="4">
        <v>3</v>
      </c>
      <c r="AD25" s="4">
        <v>3</v>
      </c>
      <c r="AE25" s="4">
        <v>30</v>
      </c>
      <c r="AF25" s="4">
        <v>2</v>
      </c>
      <c r="AG25" s="4">
        <v>11</v>
      </c>
      <c r="AH25" s="4">
        <v>0</v>
      </c>
      <c r="AI25" s="4">
        <v>5</v>
      </c>
      <c r="AJ25" s="4">
        <v>2</v>
      </c>
      <c r="AK25" s="4">
        <v>20</v>
      </c>
      <c r="AL25" s="4">
        <v>0</v>
      </c>
      <c r="AM25" s="4">
        <v>2</v>
      </c>
      <c r="AN25" s="4">
        <v>0</v>
      </c>
      <c r="AO25" s="4">
        <v>0</v>
      </c>
      <c r="AP25" s="3" t="s">
        <v>51</v>
      </c>
      <c r="AQ25" s="3" t="s">
        <v>49</v>
      </c>
      <c r="AR25" s="6" t="str">
        <f>HYPERLINK("http://catalog.hathitrust.org/Record/000271205","HathiTrust Record")</f>
        <v>HathiTrust Record</v>
      </c>
      <c r="AS25" s="6" t="str">
        <f>HYPERLINK("https://creighton-primo.hosted.exlibrisgroup.com/primo-explore/search?tab=default_tab&amp;search_scope=EVERYTHING&amp;vid=01CRU&amp;lang=en_US&amp;offset=0&amp;query=any,contains,991004705269702656","Catalog Record")</f>
        <v>Catalog Record</v>
      </c>
      <c r="AT25" s="6" t="str">
        <f>HYPERLINK("http://www.worldcat.org/oclc/4706431","WorldCat Record")</f>
        <v>WorldCat Record</v>
      </c>
      <c r="AU25" s="3" t="s">
        <v>2480</v>
      </c>
      <c r="AV25" s="3" t="s">
        <v>2481</v>
      </c>
    </row>
    <row r="26" spans="1:48" ht="41.25" customHeight="1" x14ac:dyDescent="0.25">
      <c r="A26" s="8" t="s">
        <v>51</v>
      </c>
      <c r="B26" s="2" t="s">
        <v>214</v>
      </c>
      <c r="C26" s="2" t="s">
        <v>215</v>
      </c>
      <c r="D26" s="2" t="s">
        <v>216</v>
      </c>
      <c r="F26" s="3" t="s">
        <v>51</v>
      </c>
      <c r="G26" s="3" t="s">
        <v>50</v>
      </c>
      <c r="H26" s="3" t="s">
        <v>51</v>
      </c>
      <c r="I26" s="3" t="s">
        <v>51</v>
      </c>
      <c r="J26" s="3" t="s">
        <v>52</v>
      </c>
      <c r="L26" s="2" t="s">
        <v>217</v>
      </c>
      <c r="M26" s="3" t="s">
        <v>218</v>
      </c>
      <c r="O26" s="3" t="s">
        <v>56</v>
      </c>
      <c r="P26" s="3" t="s">
        <v>87</v>
      </c>
      <c r="Q26" s="2" t="s">
        <v>219</v>
      </c>
      <c r="R26" s="3" t="s">
        <v>59</v>
      </c>
      <c r="S26" s="4">
        <v>21</v>
      </c>
      <c r="T26" s="4">
        <v>21</v>
      </c>
      <c r="U26" s="5" t="s">
        <v>220</v>
      </c>
      <c r="V26" s="5" t="s">
        <v>220</v>
      </c>
      <c r="W26" s="5" t="s">
        <v>221</v>
      </c>
      <c r="X26" s="5" t="s">
        <v>221</v>
      </c>
      <c r="Y26" s="4">
        <v>182</v>
      </c>
      <c r="Z26" s="4">
        <v>131</v>
      </c>
      <c r="AA26" s="4">
        <v>132</v>
      </c>
      <c r="AB26" s="4">
        <v>3</v>
      </c>
      <c r="AC26" s="4">
        <v>3</v>
      </c>
      <c r="AD26" s="4">
        <v>5</v>
      </c>
      <c r="AE26" s="4">
        <v>5</v>
      </c>
      <c r="AF26" s="4">
        <v>1</v>
      </c>
      <c r="AG26" s="4">
        <v>1</v>
      </c>
      <c r="AH26" s="4">
        <v>0</v>
      </c>
      <c r="AI26" s="4">
        <v>0</v>
      </c>
      <c r="AJ26" s="4">
        <v>2</v>
      </c>
      <c r="AK26" s="4">
        <v>2</v>
      </c>
      <c r="AL26" s="4">
        <v>2</v>
      </c>
      <c r="AM26" s="4">
        <v>2</v>
      </c>
      <c r="AN26" s="4">
        <v>0</v>
      </c>
      <c r="AO26" s="4">
        <v>0</v>
      </c>
      <c r="AP26" s="3" t="s">
        <v>51</v>
      </c>
      <c r="AQ26" s="3" t="s">
        <v>51</v>
      </c>
      <c r="AS26" s="6" t="str">
        <f>HYPERLINK("https://creighton-primo.hosted.exlibrisgroup.com/primo-explore/search?tab=default_tab&amp;search_scope=EVERYTHING&amp;vid=01CRU&amp;lang=en_US&amp;offset=0&amp;query=any,contains,991005369449702656","Catalog Record")</f>
        <v>Catalog Record</v>
      </c>
      <c r="AT26" s="6" t="str">
        <f>HYPERLINK("http://www.worldcat.org/oclc/2188973","WorldCat Record")</f>
        <v>WorldCat Record</v>
      </c>
      <c r="AU26" s="3" t="s">
        <v>2482</v>
      </c>
      <c r="AV26" s="3" t="s">
        <v>2483</v>
      </c>
    </row>
    <row r="27" spans="1:48" ht="41.25" customHeight="1" x14ac:dyDescent="0.25">
      <c r="A27" s="8" t="s">
        <v>51</v>
      </c>
      <c r="B27" s="2" t="s">
        <v>222</v>
      </c>
      <c r="C27" s="2" t="s">
        <v>223</v>
      </c>
      <c r="D27" s="2" t="s">
        <v>224</v>
      </c>
      <c r="F27" s="3" t="s">
        <v>51</v>
      </c>
      <c r="G27" s="3" t="s">
        <v>50</v>
      </c>
      <c r="H27" s="3" t="s">
        <v>51</v>
      </c>
      <c r="I27" s="3" t="s">
        <v>51</v>
      </c>
      <c r="J27" s="3" t="s">
        <v>52</v>
      </c>
      <c r="K27" s="2" t="s">
        <v>225</v>
      </c>
      <c r="L27" s="2" t="s">
        <v>226</v>
      </c>
      <c r="M27" s="3" t="s">
        <v>227</v>
      </c>
      <c r="N27" s="2" t="s">
        <v>228</v>
      </c>
      <c r="O27" s="3" t="s">
        <v>56</v>
      </c>
      <c r="P27" s="3" t="s">
        <v>229</v>
      </c>
      <c r="R27" s="3" t="s">
        <v>59</v>
      </c>
      <c r="S27" s="4">
        <v>4</v>
      </c>
      <c r="T27" s="4">
        <v>4</v>
      </c>
      <c r="U27" s="5" t="s">
        <v>230</v>
      </c>
      <c r="V27" s="5" t="s">
        <v>230</v>
      </c>
      <c r="W27" s="5" t="s">
        <v>231</v>
      </c>
      <c r="X27" s="5" t="s">
        <v>231</v>
      </c>
      <c r="Y27" s="4">
        <v>839</v>
      </c>
      <c r="Z27" s="4">
        <v>747</v>
      </c>
      <c r="AA27" s="4">
        <v>955</v>
      </c>
      <c r="AB27" s="4">
        <v>6</v>
      </c>
      <c r="AC27" s="4">
        <v>8</v>
      </c>
      <c r="AD27" s="4">
        <v>24</v>
      </c>
      <c r="AE27" s="4">
        <v>30</v>
      </c>
      <c r="AF27" s="4">
        <v>10</v>
      </c>
      <c r="AG27" s="4">
        <v>12</v>
      </c>
      <c r="AH27" s="4">
        <v>3</v>
      </c>
      <c r="AI27" s="4">
        <v>4</v>
      </c>
      <c r="AJ27" s="4">
        <v>11</v>
      </c>
      <c r="AK27" s="4">
        <v>13</v>
      </c>
      <c r="AL27" s="4">
        <v>4</v>
      </c>
      <c r="AM27" s="4">
        <v>6</v>
      </c>
      <c r="AN27" s="4">
        <v>0</v>
      </c>
      <c r="AO27" s="4">
        <v>0</v>
      </c>
      <c r="AP27" s="3" t="s">
        <v>51</v>
      </c>
      <c r="AQ27" s="3" t="s">
        <v>49</v>
      </c>
      <c r="AR27" s="6" t="str">
        <f>HYPERLINK("http://catalog.hathitrust.org/Record/001557007","HathiTrust Record")</f>
        <v>HathiTrust Record</v>
      </c>
      <c r="AS27" s="6" t="str">
        <f>HYPERLINK("https://creighton-primo.hosted.exlibrisgroup.com/primo-explore/search?tab=default_tab&amp;search_scope=EVERYTHING&amp;vid=01CRU&amp;lang=en_US&amp;offset=0&amp;query=any,contains,991001773229702656","Catalog Record")</f>
        <v>Catalog Record</v>
      </c>
      <c r="AT27" s="6" t="str">
        <f>HYPERLINK("http://www.worldcat.org/oclc/422786","WorldCat Record")</f>
        <v>WorldCat Record</v>
      </c>
      <c r="AU27" s="3" t="s">
        <v>2484</v>
      </c>
      <c r="AV27" s="3" t="s">
        <v>2485</v>
      </c>
    </row>
    <row r="28" spans="1:48" ht="41.25" customHeight="1" x14ac:dyDescent="0.25">
      <c r="A28" s="8" t="s">
        <v>51</v>
      </c>
      <c r="B28" s="2" t="s">
        <v>232</v>
      </c>
      <c r="C28" s="2" t="s">
        <v>233</v>
      </c>
      <c r="D28" s="2" t="s">
        <v>234</v>
      </c>
      <c r="F28" s="3" t="s">
        <v>51</v>
      </c>
      <c r="G28" s="3" t="s">
        <v>50</v>
      </c>
      <c r="H28" s="3" t="s">
        <v>49</v>
      </c>
      <c r="I28" s="3" t="s">
        <v>51</v>
      </c>
      <c r="J28" s="3" t="s">
        <v>52</v>
      </c>
      <c r="K28" s="2" t="s">
        <v>235</v>
      </c>
      <c r="L28" s="2" t="s">
        <v>236</v>
      </c>
      <c r="M28" s="3" t="s">
        <v>237</v>
      </c>
      <c r="O28" s="3" t="s">
        <v>56</v>
      </c>
      <c r="P28" s="3" t="s">
        <v>87</v>
      </c>
      <c r="R28" s="3" t="s">
        <v>59</v>
      </c>
      <c r="S28" s="4">
        <v>1</v>
      </c>
      <c r="T28" s="4">
        <v>1</v>
      </c>
      <c r="U28" s="5" t="s">
        <v>238</v>
      </c>
      <c r="V28" s="5" t="s">
        <v>238</v>
      </c>
      <c r="W28" s="5" t="s">
        <v>239</v>
      </c>
      <c r="X28" s="5" t="s">
        <v>239</v>
      </c>
      <c r="Y28" s="4">
        <v>369</v>
      </c>
      <c r="Z28" s="4">
        <v>310</v>
      </c>
      <c r="AA28" s="4">
        <v>317</v>
      </c>
      <c r="AB28" s="4">
        <v>4</v>
      </c>
      <c r="AC28" s="4">
        <v>4</v>
      </c>
      <c r="AD28" s="4">
        <v>9</v>
      </c>
      <c r="AE28" s="4">
        <v>9</v>
      </c>
      <c r="AF28" s="4">
        <v>3</v>
      </c>
      <c r="AG28" s="4">
        <v>3</v>
      </c>
      <c r="AH28" s="4">
        <v>2</v>
      </c>
      <c r="AI28" s="4">
        <v>2</v>
      </c>
      <c r="AJ28" s="4">
        <v>6</v>
      </c>
      <c r="AK28" s="4">
        <v>6</v>
      </c>
      <c r="AL28" s="4">
        <v>2</v>
      </c>
      <c r="AM28" s="4">
        <v>2</v>
      </c>
      <c r="AN28" s="4">
        <v>0</v>
      </c>
      <c r="AO28" s="4">
        <v>0</v>
      </c>
      <c r="AP28" s="3" t="s">
        <v>51</v>
      </c>
      <c r="AQ28" s="3" t="s">
        <v>51</v>
      </c>
      <c r="AR28" s="6" t="str">
        <f>HYPERLINK("http://catalog.hathitrust.org/Record/001557024","HathiTrust Record")</f>
        <v>HathiTrust Record</v>
      </c>
      <c r="AS28" s="6" t="str">
        <f>HYPERLINK("https://creighton-primo.hosted.exlibrisgroup.com/primo-explore/search?tab=default_tab&amp;search_scope=EVERYTHING&amp;vid=01CRU&amp;lang=en_US&amp;offset=0&amp;query=any,contains,991001778129702656","Catalog Record")</f>
        <v>Catalog Record</v>
      </c>
      <c r="AT28" s="6" t="str">
        <f>HYPERLINK("http://www.worldcat.org/oclc/339430","WorldCat Record")</f>
        <v>WorldCat Record</v>
      </c>
      <c r="AU28" s="3" t="s">
        <v>2486</v>
      </c>
      <c r="AV28" s="3" t="s">
        <v>2487</v>
      </c>
    </row>
    <row r="29" spans="1:48" ht="41.25" customHeight="1" x14ac:dyDescent="0.25">
      <c r="A29" s="8" t="s">
        <v>51</v>
      </c>
      <c r="B29" s="2" t="s">
        <v>240</v>
      </c>
      <c r="C29" s="2" t="s">
        <v>241</v>
      </c>
      <c r="D29" s="2" t="s">
        <v>242</v>
      </c>
      <c r="F29" s="3" t="s">
        <v>51</v>
      </c>
      <c r="G29" s="3" t="s">
        <v>50</v>
      </c>
      <c r="H29" s="3" t="s">
        <v>51</v>
      </c>
      <c r="I29" s="3" t="s">
        <v>51</v>
      </c>
      <c r="J29" s="3" t="s">
        <v>52</v>
      </c>
      <c r="L29" s="2" t="s">
        <v>243</v>
      </c>
      <c r="M29" s="3" t="s">
        <v>244</v>
      </c>
      <c r="N29" s="2" t="s">
        <v>245</v>
      </c>
      <c r="O29" s="3" t="s">
        <v>56</v>
      </c>
      <c r="P29" s="3" t="s">
        <v>87</v>
      </c>
      <c r="R29" s="3" t="s">
        <v>59</v>
      </c>
      <c r="S29" s="4">
        <v>8</v>
      </c>
      <c r="T29" s="4">
        <v>8</v>
      </c>
      <c r="U29" s="5" t="s">
        <v>246</v>
      </c>
      <c r="V29" s="5" t="s">
        <v>246</v>
      </c>
      <c r="W29" s="5" t="s">
        <v>247</v>
      </c>
      <c r="X29" s="5" t="s">
        <v>247</v>
      </c>
      <c r="Y29" s="4">
        <v>496</v>
      </c>
      <c r="Z29" s="4">
        <v>421</v>
      </c>
      <c r="AA29" s="4">
        <v>444</v>
      </c>
      <c r="AB29" s="4">
        <v>3</v>
      </c>
      <c r="AC29" s="4">
        <v>3</v>
      </c>
      <c r="AD29" s="4">
        <v>13</v>
      </c>
      <c r="AE29" s="4">
        <v>14</v>
      </c>
      <c r="AF29" s="4">
        <v>4</v>
      </c>
      <c r="AG29" s="4">
        <v>4</v>
      </c>
      <c r="AH29" s="4">
        <v>5</v>
      </c>
      <c r="AI29" s="4">
        <v>5</v>
      </c>
      <c r="AJ29" s="4">
        <v>6</v>
      </c>
      <c r="AK29" s="4">
        <v>7</v>
      </c>
      <c r="AL29" s="4">
        <v>2</v>
      </c>
      <c r="AM29" s="4">
        <v>2</v>
      </c>
      <c r="AN29" s="4">
        <v>0</v>
      </c>
      <c r="AO29" s="4">
        <v>0</v>
      </c>
      <c r="AP29" s="3" t="s">
        <v>51</v>
      </c>
      <c r="AQ29" s="3" t="s">
        <v>49</v>
      </c>
      <c r="AR29" s="6" t="str">
        <f>HYPERLINK("http://catalog.hathitrust.org/Record/002979206","HathiTrust Record")</f>
        <v>HathiTrust Record</v>
      </c>
      <c r="AS29" s="6" t="str">
        <f>HYPERLINK("https://creighton-primo.hosted.exlibrisgroup.com/primo-explore/search?tab=default_tab&amp;search_scope=EVERYTHING&amp;vid=01CRU&amp;lang=en_US&amp;offset=0&amp;query=any,contains,991002452379702656","Catalog Record")</f>
        <v>Catalog Record</v>
      </c>
      <c r="AT29" s="6" t="str">
        <f>HYPERLINK("http://www.worldcat.org/oclc/31971411","WorldCat Record")</f>
        <v>WorldCat Record</v>
      </c>
      <c r="AU29" s="3" t="s">
        <v>2488</v>
      </c>
      <c r="AV29" s="3" t="s">
        <v>2489</v>
      </c>
    </row>
    <row r="30" spans="1:48" ht="41.25" customHeight="1" x14ac:dyDescent="0.25">
      <c r="A30" s="8" t="s">
        <v>51</v>
      </c>
      <c r="B30" s="2" t="s">
        <v>248</v>
      </c>
      <c r="C30" s="2" t="s">
        <v>249</v>
      </c>
      <c r="D30" s="2" t="s">
        <v>250</v>
      </c>
      <c r="F30" s="3" t="s">
        <v>51</v>
      </c>
      <c r="G30" s="3" t="s">
        <v>50</v>
      </c>
      <c r="H30" s="3" t="s">
        <v>51</v>
      </c>
      <c r="I30" s="3" t="s">
        <v>51</v>
      </c>
      <c r="J30" s="3" t="s">
        <v>52</v>
      </c>
      <c r="K30" s="2" t="s">
        <v>251</v>
      </c>
      <c r="L30" s="2" t="s">
        <v>252</v>
      </c>
      <c r="M30" s="3" t="s">
        <v>253</v>
      </c>
      <c r="N30" s="2" t="s">
        <v>254</v>
      </c>
      <c r="O30" s="3" t="s">
        <v>255</v>
      </c>
      <c r="P30" s="3" t="s">
        <v>256</v>
      </c>
      <c r="R30" s="3" t="s">
        <v>59</v>
      </c>
      <c r="S30" s="4">
        <v>1</v>
      </c>
      <c r="T30" s="4">
        <v>1</v>
      </c>
      <c r="U30" s="5" t="s">
        <v>257</v>
      </c>
      <c r="V30" s="5" t="s">
        <v>257</v>
      </c>
      <c r="W30" s="5" t="s">
        <v>257</v>
      </c>
      <c r="X30" s="5" t="s">
        <v>257</v>
      </c>
      <c r="Y30" s="4">
        <v>8</v>
      </c>
      <c r="Z30" s="4">
        <v>7</v>
      </c>
      <c r="AA30" s="4">
        <v>7</v>
      </c>
      <c r="AB30" s="4">
        <v>1</v>
      </c>
      <c r="AC30" s="4">
        <v>1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3" t="s">
        <v>51</v>
      </c>
      <c r="AQ30" s="3" t="s">
        <v>51</v>
      </c>
      <c r="AS30" s="6" t="str">
        <f>HYPERLINK("https://creighton-primo.hosted.exlibrisgroup.com/primo-explore/search?tab=default_tab&amp;search_scope=EVERYTHING&amp;vid=01CRU&amp;lang=en_US&amp;offset=0&amp;query=any,contains,991003720939702656","Catalog Record")</f>
        <v>Catalog Record</v>
      </c>
      <c r="AT30" s="6" t="str">
        <f>HYPERLINK("http://www.worldcat.org/oclc/48656305","WorldCat Record")</f>
        <v>WorldCat Record</v>
      </c>
      <c r="AU30" s="3" t="s">
        <v>2490</v>
      </c>
      <c r="AV30" s="3" t="s">
        <v>2491</v>
      </c>
    </row>
    <row r="31" spans="1:48" ht="41.25" customHeight="1" x14ac:dyDescent="0.25">
      <c r="A31" s="8" t="s">
        <v>51</v>
      </c>
      <c r="B31" s="2" t="s">
        <v>258</v>
      </c>
      <c r="C31" s="2" t="s">
        <v>259</v>
      </c>
      <c r="D31" s="2" t="s">
        <v>260</v>
      </c>
      <c r="F31" s="3" t="s">
        <v>51</v>
      </c>
      <c r="G31" s="3" t="s">
        <v>50</v>
      </c>
      <c r="H31" s="3" t="s">
        <v>51</v>
      </c>
      <c r="I31" s="3" t="s">
        <v>51</v>
      </c>
      <c r="J31" s="3" t="s">
        <v>52</v>
      </c>
      <c r="K31" s="2" t="s">
        <v>261</v>
      </c>
      <c r="L31" s="2" t="s">
        <v>262</v>
      </c>
      <c r="M31" s="3" t="s">
        <v>263</v>
      </c>
      <c r="O31" s="3" t="s">
        <v>56</v>
      </c>
      <c r="P31" s="3" t="s">
        <v>79</v>
      </c>
      <c r="R31" s="3" t="s">
        <v>59</v>
      </c>
      <c r="S31" s="4">
        <v>18</v>
      </c>
      <c r="T31" s="4">
        <v>18</v>
      </c>
      <c r="U31" s="5" t="s">
        <v>264</v>
      </c>
      <c r="V31" s="5" t="s">
        <v>264</v>
      </c>
      <c r="W31" s="5" t="s">
        <v>265</v>
      </c>
      <c r="X31" s="5" t="s">
        <v>265</v>
      </c>
      <c r="Y31" s="4">
        <v>1321</v>
      </c>
      <c r="Z31" s="4">
        <v>1140</v>
      </c>
      <c r="AA31" s="4">
        <v>1234</v>
      </c>
      <c r="AB31" s="4">
        <v>8</v>
      </c>
      <c r="AC31" s="4">
        <v>9</v>
      </c>
      <c r="AD31" s="4">
        <v>38</v>
      </c>
      <c r="AE31" s="4">
        <v>47</v>
      </c>
      <c r="AF31" s="4">
        <v>18</v>
      </c>
      <c r="AG31" s="4">
        <v>21</v>
      </c>
      <c r="AH31" s="4">
        <v>10</v>
      </c>
      <c r="AI31" s="4">
        <v>11</v>
      </c>
      <c r="AJ31" s="4">
        <v>17</v>
      </c>
      <c r="AK31" s="4">
        <v>23</v>
      </c>
      <c r="AL31" s="4">
        <v>5</v>
      </c>
      <c r="AM31" s="4">
        <v>6</v>
      </c>
      <c r="AN31" s="4">
        <v>0</v>
      </c>
      <c r="AO31" s="4">
        <v>0</v>
      </c>
      <c r="AP31" s="3" t="s">
        <v>51</v>
      </c>
      <c r="AQ31" s="3" t="s">
        <v>49</v>
      </c>
      <c r="AR31" s="6" t="str">
        <f>HYPERLINK("http://catalog.hathitrust.org/Record/000023043","HathiTrust Record")</f>
        <v>HathiTrust Record</v>
      </c>
      <c r="AS31" s="6" t="str">
        <f>HYPERLINK("https://creighton-primo.hosted.exlibrisgroup.com/primo-explore/search?tab=default_tab&amp;search_scope=EVERYTHING&amp;vid=01CRU&amp;lang=en_US&amp;offset=0&amp;query=any,contains,991001741029702656","Catalog Record")</f>
        <v>Catalog Record</v>
      </c>
      <c r="AT31" s="6" t="str">
        <f>HYPERLINK("http://www.worldcat.org/oclc/1418536","WorldCat Record")</f>
        <v>WorldCat Record</v>
      </c>
      <c r="AU31" s="3" t="s">
        <v>2492</v>
      </c>
      <c r="AV31" s="3" t="s">
        <v>2493</v>
      </c>
    </row>
    <row r="32" spans="1:48" ht="41.25" customHeight="1" x14ac:dyDescent="0.25">
      <c r="A32" s="8" t="s">
        <v>51</v>
      </c>
      <c r="B32" s="2" t="s">
        <v>266</v>
      </c>
      <c r="C32" s="2" t="s">
        <v>267</v>
      </c>
      <c r="D32" s="2" t="s">
        <v>268</v>
      </c>
      <c r="F32" s="3" t="s">
        <v>51</v>
      </c>
      <c r="G32" s="3" t="s">
        <v>50</v>
      </c>
      <c r="H32" s="3" t="s">
        <v>51</v>
      </c>
      <c r="I32" s="3" t="s">
        <v>51</v>
      </c>
      <c r="J32" s="3" t="s">
        <v>52</v>
      </c>
      <c r="K32" s="2" t="s">
        <v>269</v>
      </c>
      <c r="L32" s="2" t="s">
        <v>270</v>
      </c>
      <c r="M32" s="3" t="s">
        <v>271</v>
      </c>
      <c r="N32" s="2" t="s">
        <v>272</v>
      </c>
      <c r="O32" s="3" t="s">
        <v>56</v>
      </c>
      <c r="P32" s="3" t="s">
        <v>229</v>
      </c>
      <c r="R32" s="3" t="s">
        <v>59</v>
      </c>
      <c r="S32" s="4">
        <v>10</v>
      </c>
      <c r="T32" s="4">
        <v>10</v>
      </c>
      <c r="U32" s="5" t="s">
        <v>273</v>
      </c>
      <c r="V32" s="5" t="s">
        <v>273</v>
      </c>
      <c r="W32" s="5" t="s">
        <v>274</v>
      </c>
      <c r="X32" s="5" t="s">
        <v>274</v>
      </c>
      <c r="Y32" s="4">
        <v>208</v>
      </c>
      <c r="Z32" s="4">
        <v>165</v>
      </c>
      <c r="AA32" s="4">
        <v>336</v>
      </c>
      <c r="AB32" s="4">
        <v>2</v>
      </c>
      <c r="AC32" s="4">
        <v>2</v>
      </c>
      <c r="AD32" s="4">
        <v>3</v>
      </c>
      <c r="AE32" s="4">
        <v>11</v>
      </c>
      <c r="AF32" s="4">
        <v>0</v>
      </c>
      <c r="AG32" s="4">
        <v>3</v>
      </c>
      <c r="AH32" s="4">
        <v>2</v>
      </c>
      <c r="AI32" s="4">
        <v>4</v>
      </c>
      <c r="AJ32" s="4">
        <v>0</v>
      </c>
      <c r="AK32" s="4">
        <v>4</v>
      </c>
      <c r="AL32" s="4">
        <v>1</v>
      </c>
      <c r="AM32" s="4">
        <v>1</v>
      </c>
      <c r="AN32" s="4">
        <v>0</v>
      </c>
      <c r="AO32" s="4">
        <v>0</v>
      </c>
      <c r="AP32" s="3" t="s">
        <v>51</v>
      </c>
      <c r="AQ32" s="3" t="s">
        <v>49</v>
      </c>
      <c r="AR32" s="6" t="str">
        <f>HYPERLINK("http://catalog.hathitrust.org/Record/102215301","HathiTrust Record")</f>
        <v>HathiTrust Record</v>
      </c>
      <c r="AS32" s="6" t="str">
        <f>HYPERLINK("https://creighton-primo.hosted.exlibrisgroup.com/primo-explore/search?tab=default_tab&amp;search_scope=EVERYTHING&amp;vid=01CRU&amp;lang=en_US&amp;offset=0&amp;query=any,contains,991005369949702656","Catalog Record")</f>
        <v>Catalog Record</v>
      </c>
      <c r="AT32" s="6" t="str">
        <f>HYPERLINK("http://www.worldcat.org/oclc/2598622","WorldCat Record")</f>
        <v>WorldCat Record</v>
      </c>
      <c r="AU32" s="3" t="s">
        <v>2494</v>
      </c>
      <c r="AV32" s="3" t="s">
        <v>2495</v>
      </c>
    </row>
    <row r="33" spans="1:48" ht="41.25" customHeight="1" x14ac:dyDescent="0.25">
      <c r="A33" s="8" t="s">
        <v>51</v>
      </c>
      <c r="B33" s="2" t="s">
        <v>275</v>
      </c>
      <c r="C33" s="2" t="s">
        <v>276</v>
      </c>
      <c r="D33" s="2" t="s">
        <v>277</v>
      </c>
      <c r="F33" s="3" t="s">
        <v>51</v>
      </c>
      <c r="G33" s="3" t="s">
        <v>50</v>
      </c>
      <c r="H33" s="3" t="s">
        <v>49</v>
      </c>
      <c r="I33" s="3" t="s">
        <v>51</v>
      </c>
      <c r="J33" s="3" t="s">
        <v>52</v>
      </c>
      <c r="K33" s="2" t="s">
        <v>278</v>
      </c>
      <c r="L33" s="2" t="s">
        <v>279</v>
      </c>
      <c r="M33" s="3" t="s">
        <v>263</v>
      </c>
      <c r="O33" s="3" t="s">
        <v>56</v>
      </c>
      <c r="P33" s="3" t="s">
        <v>87</v>
      </c>
      <c r="R33" s="3" t="s">
        <v>59</v>
      </c>
      <c r="S33" s="4">
        <v>0</v>
      </c>
      <c r="T33" s="4">
        <v>3</v>
      </c>
      <c r="V33" s="5" t="s">
        <v>280</v>
      </c>
      <c r="W33" s="5" t="s">
        <v>281</v>
      </c>
      <c r="X33" s="5" t="s">
        <v>281</v>
      </c>
      <c r="Y33" s="4">
        <v>377</v>
      </c>
      <c r="Z33" s="4">
        <v>320</v>
      </c>
      <c r="AA33" s="4">
        <v>493</v>
      </c>
      <c r="AB33" s="4">
        <v>3</v>
      </c>
      <c r="AC33" s="4">
        <v>4</v>
      </c>
      <c r="AD33" s="4">
        <v>14</v>
      </c>
      <c r="AE33" s="4">
        <v>23</v>
      </c>
      <c r="AF33" s="4">
        <v>4</v>
      </c>
      <c r="AG33" s="4">
        <v>6</v>
      </c>
      <c r="AH33" s="4">
        <v>4</v>
      </c>
      <c r="AI33" s="4">
        <v>7</v>
      </c>
      <c r="AJ33" s="4">
        <v>8</v>
      </c>
      <c r="AK33" s="4">
        <v>13</v>
      </c>
      <c r="AL33" s="4">
        <v>1</v>
      </c>
      <c r="AM33" s="4">
        <v>2</v>
      </c>
      <c r="AN33" s="4">
        <v>1</v>
      </c>
      <c r="AO33" s="4">
        <v>1</v>
      </c>
      <c r="AP33" s="3" t="s">
        <v>51</v>
      </c>
      <c r="AQ33" s="3" t="s">
        <v>49</v>
      </c>
      <c r="AR33" s="6" t="str">
        <f>HYPERLINK("http://catalog.hathitrust.org/Record/000685674","HathiTrust Record")</f>
        <v>HathiTrust Record</v>
      </c>
      <c r="AS33" s="6" t="str">
        <f>HYPERLINK("https://creighton-primo.hosted.exlibrisgroup.com/primo-explore/search?tab=default_tab&amp;search_scope=EVERYTHING&amp;vid=01CRU&amp;lang=en_US&amp;offset=0&amp;query=any,contains,991001790679702656","Catalog Record")</f>
        <v>Catalog Record</v>
      </c>
      <c r="AT33" s="6" t="str">
        <f>HYPERLINK("http://www.worldcat.org/oclc/1750044","WorldCat Record")</f>
        <v>WorldCat Record</v>
      </c>
      <c r="AU33" s="3" t="s">
        <v>2496</v>
      </c>
      <c r="AV33" s="3" t="s">
        <v>2497</v>
      </c>
    </row>
    <row r="34" spans="1:48" ht="41.25" customHeight="1" x14ac:dyDescent="0.25">
      <c r="A34" s="8" t="s">
        <v>51</v>
      </c>
      <c r="B34" s="2" t="s">
        <v>282</v>
      </c>
      <c r="C34" s="2" t="s">
        <v>283</v>
      </c>
      <c r="D34" s="2" t="s">
        <v>284</v>
      </c>
      <c r="F34" s="3" t="s">
        <v>51</v>
      </c>
      <c r="G34" s="3" t="s">
        <v>50</v>
      </c>
      <c r="H34" s="3" t="s">
        <v>51</v>
      </c>
      <c r="I34" s="3" t="s">
        <v>51</v>
      </c>
      <c r="J34" s="3" t="s">
        <v>52</v>
      </c>
      <c r="K34" s="2" t="s">
        <v>285</v>
      </c>
      <c r="L34" s="2" t="s">
        <v>111</v>
      </c>
      <c r="M34" s="3" t="s">
        <v>112</v>
      </c>
      <c r="O34" s="3" t="s">
        <v>56</v>
      </c>
      <c r="P34" s="3" t="s">
        <v>113</v>
      </c>
      <c r="Q34" s="2" t="s">
        <v>286</v>
      </c>
      <c r="R34" s="3" t="s">
        <v>59</v>
      </c>
      <c r="S34" s="4">
        <v>26</v>
      </c>
      <c r="T34" s="4">
        <v>26</v>
      </c>
      <c r="U34" s="5" t="s">
        <v>264</v>
      </c>
      <c r="V34" s="5" t="s">
        <v>264</v>
      </c>
      <c r="W34" s="5" t="s">
        <v>287</v>
      </c>
      <c r="X34" s="5" t="s">
        <v>287</v>
      </c>
      <c r="Y34" s="4">
        <v>640</v>
      </c>
      <c r="Z34" s="4">
        <v>489</v>
      </c>
      <c r="AA34" s="4">
        <v>560</v>
      </c>
      <c r="AB34" s="4">
        <v>2</v>
      </c>
      <c r="AC34" s="4">
        <v>2</v>
      </c>
      <c r="AD34" s="4">
        <v>28</v>
      </c>
      <c r="AE34" s="4">
        <v>31</v>
      </c>
      <c r="AF34" s="4">
        <v>10</v>
      </c>
      <c r="AG34" s="4">
        <v>12</v>
      </c>
      <c r="AH34" s="4">
        <v>7</v>
      </c>
      <c r="AI34" s="4">
        <v>7</v>
      </c>
      <c r="AJ34" s="4">
        <v>18</v>
      </c>
      <c r="AK34" s="4">
        <v>20</v>
      </c>
      <c r="AL34" s="4">
        <v>1</v>
      </c>
      <c r="AM34" s="4">
        <v>1</v>
      </c>
      <c r="AN34" s="4">
        <v>0</v>
      </c>
      <c r="AO34" s="4">
        <v>0</v>
      </c>
      <c r="AP34" s="3" t="s">
        <v>51</v>
      </c>
      <c r="AQ34" s="3" t="s">
        <v>51</v>
      </c>
      <c r="AS34" s="6" t="str">
        <f>HYPERLINK("https://creighton-primo.hosted.exlibrisgroup.com/primo-explore/search?tab=default_tab&amp;search_scope=EVERYTHING&amp;vid=01CRU&amp;lang=en_US&amp;offset=0&amp;query=any,contains,991000768469702656","Catalog Record")</f>
        <v>Catalog Record</v>
      </c>
      <c r="AT34" s="6" t="str">
        <f>HYPERLINK("http://www.worldcat.org/oclc/13008473","WorldCat Record")</f>
        <v>WorldCat Record</v>
      </c>
      <c r="AU34" s="3" t="s">
        <v>2498</v>
      </c>
      <c r="AV34" s="3" t="s">
        <v>2499</v>
      </c>
    </row>
    <row r="35" spans="1:48" ht="41.25" customHeight="1" x14ac:dyDescent="0.25">
      <c r="A35" s="8" t="s">
        <v>51</v>
      </c>
      <c r="B35" s="2" t="s">
        <v>288</v>
      </c>
      <c r="C35" s="2" t="s">
        <v>289</v>
      </c>
      <c r="D35" s="2" t="s">
        <v>290</v>
      </c>
      <c r="F35" s="3" t="s">
        <v>51</v>
      </c>
      <c r="G35" s="3" t="s">
        <v>50</v>
      </c>
      <c r="H35" s="3" t="s">
        <v>51</v>
      </c>
      <c r="I35" s="3" t="s">
        <v>51</v>
      </c>
      <c r="J35" s="3" t="s">
        <v>52</v>
      </c>
      <c r="K35" s="2" t="s">
        <v>291</v>
      </c>
      <c r="L35" s="2" t="s">
        <v>292</v>
      </c>
      <c r="M35" s="3" t="s">
        <v>194</v>
      </c>
      <c r="O35" s="3" t="s">
        <v>56</v>
      </c>
      <c r="P35" s="3" t="s">
        <v>87</v>
      </c>
      <c r="R35" s="3" t="s">
        <v>59</v>
      </c>
      <c r="S35" s="4">
        <v>24</v>
      </c>
      <c r="T35" s="4">
        <v>24</v>
      </c>
      <c r="U35" s="5" t="s">
        <v>293</v>
      </c>
      <c r="V35" s="5" t="s">
        <v>293</v>
      </c>
      <c r="W35" s="5" t="s">
        <v>71</v>
      </c>
      <c r="X35" s="5" t="s">
        <v>71</v>
      </c>
      <c r="Y35" s="4">
        <v>303</v>
      </c>
      <c r="Z35" s="4">
        <v>273</v>
      </c>
      <c r="AA35" s="4">
        <v>791</v>
      </c>
      <c r="AB35" s="4">
        <v>1</v>
      </c>
      <c r="AC35" s="4">
        <v>12</v>
      </c>
      <c r="AD35" s="4">
        <v>7</v>
      </c>
      <c r="AE35" s="4">
        <v>36</v>
      </c>
      <c r="AF35" s="4">
        <v>2</v>
      </c>
      <c r="AG35" s="4">
        <v>10</v>
      </c>
      <c r="AH35" s="4">
        <v>3</v>
      </c>
      <c r="AI35" s="4">
        <v>10</v>
      </c>
      <c r="AJ35" s="4">
        <v>3</v>
      </c>
      <c r="AK35" s="4">
        <v>12</v>
      </c>
      <c r="AL35" s="4">
        <v>0</v>
      </c>
      <c r="AM35" s="4">
        <v>10</v>
      </c>
      <c r="AN35" s="4">
        <v>0</v>
      </c>
      <c r="AO35" s="4">
        <v>1</v>
      </c>
      <c r="AP35" s="3" t="s">
        <v>51</v>
      </c>
      <c r="AQ35" s="3" t="s">
        <v>51</v>
      </c>
      <c r="AS35" s="6" t="str">
        <f>HYPERLINK("https://creighton-primo.hosted.exlibrisgroup.com/primo-explore/search?tab=default_tab&amp;search_scope=EVERYTHING&amp;vid=01CRU&amp;lang=en_US&amp;offset=0&amp;query=any,contains,991005371589702656","Catalog Record")</f>
        <v>Catalog Record</v>
      </c>
      <c r="AT35" s="6" t="str">
        <f>HYPERLINK("http://www.worldcat.org/oclc/3842840","WorldCat Record")</f>
        <v>WorldCat Record</v>
      </c>
      <c r="AU35" s="3" t="s">
        <v>2500</v>
      </c>
      <c r="AV35" s="3" t="s">
        <v>2501</v>
      </c>
    </row>
    <row r="36" spans="1:48" ht="41.25" customHeight="1" x14ac:dyDescent="0.25">
      <c r="A36" s="8" t="s">
        <v>51</v>
      </c>
      <c r="B36" s="2" t="s">
        <v>294</v>
      </c>
      <c r="C36" s="2" t="s">
        <v>295</v>
      </c>
      <c r="D36" s="2" t="s">
        <v>296</v>
      </c>
      <c r="F36" s="3" t="s">
        <v>51</v>
      </c>
      <c r="G36" s="3" t="s">
        <v>50</v>
      </c>
      <c r="H36" s="3" t="s">
        <v>51</v>
      </c>
      <c r="I36" s="3" t="s">
        <v>51</v>
      </c>
      <c r="J36" s="3" t="s">
        <v>52</v>
      </c>
      <c r="L36" s="2" t="s">
        <v>297</v>
      </c>
      <c r="M36" s="3" t="s">
        <v>298</v>
      </c>
      <c r="O36" s="3" t="s">
        <v>56</v>
      </c>
      <c r="P36" s="3" t="s">
        <v>87</v>
      </c>
      <c r="R36" s="3" t="s">
        <v>59</v>
      </c>
      <c r="S36" s="4">
        <v>20</v>
      </c>
      <c r="T36" s="4">
        <v>20</v>
      </c>
      <c r="U36" s="5" t="s">
        <v>299</v>
      </c>
      <c r="V36" s="5" t="s">
        <v>299</v>
      </c>
      <c r="W36" s="5" t="s">
        <v>300</v>
      </c>
      <c r="X36" s="5" t="s">
        <v>300</v>
      </c>
      <c r="Y36" s="4">
        <v>204</v>
      </c>
      <c r="Z36" s="4">
        <v>161</v>
      </c>
      <c r="AA36" s="4">
        <v>178</v>
      </c>
      <c r="AB36" s="4">
        <v>2</v>
      </c>
      <c r="AC36" s="4">
        <v>2</v>
      </c>
      <c r="AD36" s="4">
        <v>8</v>
      </c>
      <c r="AE36" s="4">
        <v>11</v>
      </c>
      <c r="AF36" s="4">
        <v>2</v>
      </c>
      <c r="AG36" s="4">
        <v>4</v>
      </c>
      <c r="AH36" s="4">
        <v>1</v>
      </c>
      <c r="AI36" s="4">
        <v>2</v>
      </c>
      <c r="AJ36" s="4">
        <v>6</v>
      </c>
      <c r="AK36" s="4">
        <v>7</v>
      </c>
      <c r="AL36" s="4">
        <v>1</v>
      </c>
      <c r="AM36" s="4">
        <v>1</v>
      </c>
      <c r="AN36" s="4">
        <v>0</v>
      </c>
      <c r="AO36" s="4">
        <v>0</v>
      </c>
      <c r="AP36" s="3" t="s">
        <v>51</v>
      </c>
      <c r="AQ36" s="3" t="s">
        <v>51</v>
      </c>
      <c r="AS36" s="6" t="str">
        <f>HYPERLINK("https://creighton-primo.hosted.exlibrisgroup.com/primo-explore/search?tab=default_tab&amp;search_scope=EVERYTHING&amp;vid=01CRU&amp;lang=en_US&amp;offset=0&amp;query=any,contains,991005412489702656","Catalog Record")</f>
        <v>Catalog Record</v>
      </c>
      <c r="AT36" s="6" t="str">
        <f>HYPERLINK("http://www.worldcat.org/oclc/21909257","WorldCat Record")</f>
        <v>WorldCat Record</v>
      </c>
      <c r="AU36" s="3" t="s">
        <v>2502</v>
      </c>
      <c r="AV36" s="3" t="s">
        <v>2503</v>
      </c>
    </row>
    <row r="37" spans="1:48" ht="41.25" customHeight="1" x14ac:dyDescent="0.25">
      <c r="A37" s="8" t="s">
        <v>51</v>
      </c>
      <c r="B37" s="2" t="s">
        <v>301</v>
      </c>
      <c r="C37" s="2" t="s">
        <v>302</v>
      </c>
      <c r="D37" s="2" t="s">
        <v>303</v>
      </c>
      <c r="F37" s="3" t="s">
        <v>51</v>
      </c>
      <c r="G37" s="3" t="s">
        <v>50</v>
      </c>
      <c r="H37" s="3" t="s">
        <v>51</v>
      </c>
      <c r="I37" s="3" t="s">
        <v>51</v>
      </c>
      <c r="J37" s="3" t="s">
        <v>52</v>
      </c>
      <c r="K37" s="2" t="s">
        <v>304</v>
      </c>
      <c r="L37" s="2" t="s">
        <v>305</v>
      </c>
      <c r="M37" s="3" t="s">
        <v>306</v>
      </c>
      <c r="O37" s="3" t="s">
        <v>56</v>
      </c>
      <c r="P37" s="3" t="s">
        <v>87</v>
      </c>
      <c r="Q37" s="2" t="s">
        <v>307</v>
      </c>
      <c r="R37" s="3" t="s">
        <v>59</v>
      </c>
      <c r="S37" s="4">
        <v>17</v>
      </c>
      <c r="T37" s="4">
        <v>17</v>
      </c>
      <c r="U37" s="5" t="s">
        <v>157</v>
      </c>
      <c r="V37" s="5" t="s">
        <v>157</v>
      </c>
      <c r="W37" s="5" t="s">
        <v>71</v>
      </c>
      <c r="X37" s="5" t="s">
        <v>71</v>
      </c>
      <c r="Y37" s="4">
        <v>83</v>
      </c>
      <c r="Z37" s="4">
        <v>67</v>
      </c>
      <c r="AA37" s="4">
        <v>98</v>
      </c>
      <c r="AB37" s="4">
        <v>1</v>
      </c>
      <c r="AC37" s="4">
        <v>1</v>
      </c>
      <c r="AD37" s="4">
        <v>2</v>
      </c>
      <c r="AE37" s="4">
        <v>2</v>
      </c>
      <c r="AF37" s="4">
        <v>0</v>
      </c>
      <c r="AG37" s="4">
        <v>0</v>
      </c>
      <c r="AH37" s="4">
        <v>1</v>
      </c>
      <c r="AI37" s="4">
        <v>1</v>
      </c>
      <c r="AJ37" s="4">
        <v>2</v>
      </c>
      <c r="AK37" s="4">
        <v>2</v>
      </c>
      <c r="AL37" s="4">
        <v>0</v>
      </c>
      <c r="AM37" s="4">
        <v>0</v>
      </c>
      <c r="AN37" s="4">
        <v>0</v>
      </c>
      <c r="AO37" s="4">
        <v>0</v>
      </c>
      <c r="AP37" s="3" t="s">
        <v>51</v>
      </c>
      <c r="AQ37" s="3" t="s">
        <v>49</v>
      </c>
      <c r="AR37" s="6" t="str">
        <f>HYPERLINK("http://catalog.hathitrust.org/Record/102284349","HathiTrust Record")</f>
        <v>HathiTrust Record</v>
      </c>
      <c r="AS37" s="6" t="str">
        <f>HYPERLINK("https://creighton-primo.hosted.exlibrisgroup.com/primo-explore/search?tab=default_tab&amp;search_scope=EVERYTHING&amp;vid=01CRU&amp;lang=en_US&amp;offset=0&amp;query=any,contains,991005355389702656","Catalog Record")</f>
        <v>Catalog Record</v>
      </c>
      <c r="AT37" s="6" t="str">
        <f>HYPERLINK("http://www.worldcat.org/oclc/427460","WorldCat Record")</f>
        <v>WorldCat Record</v>
      </c>
      <c r="AU37" s="3" t="s">
        <v>2504</v>
      </c>
      <c r="AV37" s="3" t="s">
        <v>2505</v>
      </c>
    </row>
    <row r="38" spans="1:48" ht="41.25" customHeight="1" x14ac:dyDescent="0.25">
      <c r="A38" s="8" t="s">
        <v>51</v>
      </c>
      <c r="B38" s="2" t="s">
        <v>308</v>
      </c>
      <c r="C38" s="2" t="s">
        <v>309</v>
      </c>
      <c r="D38" s="2" t="s">
        <v>310</v>
      </c>
      <c r="F38" s="3" t="s">
        <v>51</v>
      </c>
      <c r="G38" s="3" t="s">
        <v>50</v>
      </c>
      <c r="H38" s="3" t="s">
        <v>51</v>
      </c>
      <c r="I38" s="3" t="s">
        <v>51</v>
      </c>
      <c r="J38" s="3" t="s">
        <v>52</v>
      </c>
      <c r="K38" s="2" t="s">
        <v>311</v>
      </c>
      <c r="L38" s="2" t="s">
        <v>312</v>
      </c>
      <c r="M38" s="3" t="s">
        <v>313</v>
      </c>
      <c r="O38" s="3" t="s">
        <v>56</v>
      </c>
      <c r="P38" s="3" t="s">
        <v>113</v>
      </c>
      <c r="R38" s="3" t="s">
        <v>59</v>
      </c>
      <c r="S38" s="4">
        <v>17</v>
      </c>
      <c r="T38" s="4">
        <v>17</v>
      </c>
      <c r="U38" s="5" t="s">
        <v>293</v>
      </c>
      <c r="V38" s="5" t="s">
        <v>293</v>
      </c>
      <c r="W38" s="5" t="s">
        <v>314</v>
      </c>
      <c r="X38" s="5" t="s">
        <v>314</v>
      </c>
      <c r="Y38" s="4">
        <v>520</v>
      </c>
      <c r="Z38" s="4">
        <v>367</v>
      </c>
      <c r="AA38" s="4">
        <v>372</v>
      </c>
      <c r="AB38" s="4">
        <v>2</v>
      </c>
      <c r="AC38" s="4">
        <v>2</v>
      </c>
      <c r="AD38" s="4">
        <v>14</v>
      </c>
      <c r="AE38" s="4">
        <v>14</v>
      </c>
      <c r="AF38" s="4">
        <v>4</v>
      </c>
      <c r="AG38" s="4">
        <v>4</v>
      </c>
      <c r="AH38" s="4">
        <v>2</v>
      </c>
      <c r="AI38" s="4">
        <v>2</v>
      </c>
      <c r="AJ38" s="4">
        <v>10</v>
      </c>
      <c r="AK38" s="4">
        <v>10</v>
      </c>
      <c r="AL38" s="4">
        <v>1</v>
      </c>
      <c r="AM38" s="4">
        <v>1</v>
      </c>
      <c r="AN38" s="4">
        <v>0</v>
      </c>
      <c r="AO38" s="4">
        <v>0</v>
      </c>
      <c r="AP38" s="3" t="s">
        <v>51</v>
      </c>
      <c r="AQ38" s="3" t="s">
        <v>49</v>
      </c>
      <c r="AR38" s="6" t="str">
        <f>HYPERLINK("http://catalog.hathitrust.org/Record/000026010","HathiTrust Record")</f>
        <v>HathiTrust Record</v>
      </c>
      <c r="AS38" s="6" t="str">
        <f>HYPERLINK("https://creighton-primo.hosted.exlibrisgroup.com/primo-explore/search?tab=default_tab&amp;search_scope=EVERYTHING&amp;vid=01CRU&amp;lang=en_US&amp;offset=0&amp;query=any,contains,991005360109702656","Catalog Record")</f>
        <v>Catalog Record</v>
      </c>
      <c r="AT38" s="6" t="str">
        <f>HYPERLINK("http://www.worldcat.org/oclc/1432747","WorldCat Record")</f>
        <v>WorldCat Record</v>
      </c>
      <c r="AU38" s="3" t="s">
        <v>2506</v>
      </c>
      <c r="AV38" s="3" t="s">
        <v>2507</v>
      </c>
    </row>
    <row r="39" spans="1:48" ht="41.25" customHeight="1" x14ac:dyDescent="0.25">
      <c r="A39" s="8" t="s">
        <v>51</v>
      </c>
      <c r="B39" s="2" t="s">
        <v>315</v>
      </c>
      <c r="C39" s="2" t="s">
        <v>316</v>
      </c>
      <c r="D39" s="2" t="s">
        <v>317</v>
      </c>
      <c r="F39" s="3" t="s">
        <v>51</v>
      </c>
      <c r="G39" s="3" t="s">
        <v>50</v>
      </c>
      <c r="H39" s="3" t="s">
        <v>51</v>
      </c>
      <c r="I39" s="3" t="s">
        <v>51</v>
      </c>
      <c r="J39" s="3" t="s">
        <v>52</v>
      </c>
      <c r="L39" s="2" t="s">
        <v>318</v>
      </c>
      <c r="M39" s="3" t="s">
        <v>319</v>
      </c>
      <c r="O39" s="3" t="s">
        <v>56</v>
      </c>
      <c r="P39" s="3" t="s">
        <v>57</v>
      </c>
      <c r="Q39" s="2" t="s">
        <v>320</v>
      </c>
      <c r="R39" s="3" t="s">
        <v>59</v>
      </c>
      <c r="S39" s="4">
        <v>8</v>
      </c>
      <c r="T39" s="4">
        <v>8</v>
      </c>
      <c r="U39" s="5" t="s">
        <v>299</v>
      </c>
      <c r="V39" s="5" t="s">
        <v>299</v>
      </c>
      <c r="W39" s="5" t="s">
        <v>321</v>
      </c>
      <c r="X39" s="5" t="s">
        <v>321</v>
      </c>
      <c r="Y39" s="4">
        <v>185</v>
      </c>
      <c r="Z39" s="4">
        <v>140</v>
      </c>
      <c r="AA39" s="4">
        <v>140</v>
      </c>
      <c r="AB39" s="4">
        <v>2</v>
      </c>
      <c r="AC39" s="4">
        <v>2</v>
      </c>
      <c r="AD39" s="4">
        <v>12</v>
      </c>
      <c r="AE39" s="4">
        <v>12</v>
      </c>
      <c r="AF39" s="4">
        <v>1</v>
      </c>
      <c r="AG39" s="4">
        <v>1</v>
      </c>
      <c r="AH39" s="4">
        <v>3</v>
      </c>
      <c r="AI39" s="4">
        <v>3</v>
      </c>
      <c r="AJ39" s="4">
        <v>8</v>
      </c>
      <c r="AK39" s="4">
        <v>8</v>
      </c>
      <c r="AL39" s="4">
        <v>1</v>
      </c>
      <c r="AM39" s="4">
        <v>1</v>
      </c>
      <c r="AN39" s="4">
        <v>0</v>
      </c>
      <c r="AO39" s="4">
        <v>0</v>
      </c>
      <c r="AP39" s="3" t="s">
        <v>51</v>
      </c>
      <c r="AQ39" s="3" t="s">
        <v>51</v>
      </c>
      <c r="AS39" s="6" t="str">
        <f>HYPERLINK("https://creighton-primo.hosted.exlibrisgroup.com/primo-explore/search?tab=default_tab&amp;search_scope=EVERYTHING&amp;vid=01CRU&amp;lang=en_US&amp;offset=0&amp;query=any,contains,991004692469702656","Catalog Record")</f>
        <v>Catalog Record</v>
      </c>
      <c r="AT39" s="6" t="str">
        <f>HYPERLINK("http://www.worldcat.org/oclc/60651161","WorldCat Record")</f>
        <v>WorldCat Record</v>
      </c>
      <c r="AU39" s="3" t="s">
        <v>2508</v>
      </c>
      <c r="AV39" s="3" t="s">
        <v>2509</v>
      </c>
    </row>
    <row r="40" spans="1:48" ht="41.25" customHeight="1" x14ac:dyDescent="0.25">
      <c r="A40" s="8" t="s">
        <v>51</v>
      </c>
      <c r="B40" s="2" t="s">
        <v>322</v>
      </c>
      <c r="C40" s="2" t="s">
        <v>323</v>
      </c>
      <c r="D40" s="2" t="s">
        <v>324</v>
      </c>
      <c r="F40" s="3" t="s">
        <v>51</v>
      </c>
      <c r="G40" s="3" t="s">
        <v>50</v>
      </c>
      <c r="H40" s="3" t="s">
        <v>51</v>
      </c>
      <c r="I40" s="3" t="s">
        <v>51</v>
      </c>
      <c r="J40" s="3" t="s">
        <v>52</v>
      </c>
      <c r="K40" s="2" t="s">
        <v>325</v>
      </c>
      <c r="L40" s="2" t="s">
        <v>326</v>
      </c>
      <c r="M40" s="3" t="s">
        <v>263</v>
      </c>
      <c r="O40" s="3" t="s">
        <v>56</v>
      </c>
      <c r="P40" s="3" t="s">
        <v>172</v>
      </c>
      <c r="R40" s="3" t="s">
        <v>59</v>
      </c>
      <c r="S40" s="4">
        <v>7</v>
      </c>
      <c r="T40" s="4">
        <v>7</v>
      </c>
      <c r="U40" s="5" t="s">
        <v>327</v>
      </c>
      <c r="V40" s="5" t="s">
        <v>327</v>
      </c>
      <c r="W40" s="5" t="s">
        <v>71</v>
      </c>
      <c r="X40" s="5" t="s">
        <v>71</v>
      </c>
      <c r="Y40" s="4">
        <v>86</v>
      </c>
      <c r="Z40" s="4">
        <v>39</v>
      </c>
      <c r="AA40" s="4">
        <v>42</v>
      </c>
      <c r="AB40" s="4">
        <v>1</v>
      </c>
      <c r="AC40" s="4">
        <v>1</v>
      </c>
      <c r="AD40" s="4">
        <v>1</v>
      </c>
      <c r="AE40" s="4">
        <v>1</v>
      </c>
      <c r="AF40" s="4">
        <v>0</v>
      </c>
      <c r="AG40" s="4">
        <v>0</v>
      </c>
      <c r="AH40" s="4">
        <v>1</v>
      </c>
      <c r="AI40" s="4">
        <v>1</v>
      </c>
      <c r="AJ40" s="4">
        <v>1</v>
      </c>
      <c r="AK40" s="4">
        <v>1</v>
      </c>
      <c r="AL40" s="4">
        <v>0</v>
      </c>
      <c r="AM40" s="4">
        <v>0</v>
      </c>
      <c r="AN40" s="4">
        <v>0</v>
      </c>
      <c r="AO40" s="4">
        <v>0</v>
      </c>
      <c r="AP40" s="3" t="s">
        <v>51</v>
      </c>
      <c r="AQ40" s="3" t="s">
        <v>51</v>
      </c>
      <c r="AS40" s="6" t="str">
        <f>HYPERLINK("https://creighton-primo.hosted.exlibrisgroup.com/primo-explore/search?tab=default_tab&amp;search_scope=EVERYTHING&amp;vid=01CRU&amp;lang=en_US&amp;offset=0&amp;query=any,contains,991005369799702656","Catalog Record")</f>
        <v>Catalog Record</v>
      </c>
      <c r="AT40" s="6" t="str">
        <f>HYPERLINK("http://www.worldcat.org/oclc/2475123","WorldCat Record")</f>
        <v>WorldCat Record</v>
      </c>
      <c r="AU40" s="3" t="s">
        <v>2510</v>
      </c>
      <c r="AV40" s="3" t="s">
        <v>2511</v>
      </c>
    </row>
    <row r="41" spans="1:48" ht="41.25" customHeight="1" x14ac:dyDescent="0.25">
      <c r="A41" s="8" t="s">
        <v>51</v>
      </c>
      <c r="B41" s="2" t="s">
        <v>328</v>
      </c>
      <c r="C41" s="2" t="s">
        <v>329</v>
      </c>
      <c r="D41" s="2" t="s">
        <v>330</v>
      </c>
      <c r="F41" s="3" t="s">
        <v>51</v>
      </c>
      <c r="G41" s="3" t="s">
        <v>50</v>
      </c>
      <c r="H41" s="3" t="s">
        <v>51</v>
      </c>
      <c r="I41" s="3" t="s">
        <v>51</v>
      </c>
      <c r="J41" s="3" t="s">
        <v>52</v>
      </c>
      <c r="K41" s="2" t="s">
        <v>331</v>
      </c>
      <c r="L41" s="2" t="s">
        <v>332</v>
      </c>
      <c r="M41" s="3" t="s">
        <v>68</v>
      </c>
      <c r="O41" s="3" t="s">
        <v>178</v>
      </c>
      <c r="P41" s="3" t="s">
        <v>179</v>
      </c>
      <c r="Q41" s="2" t="s">
        <v>333</v>
      </c>
      <c r="R41" s="3" t="s">
        <v>59</v>
      </c>
      <c r="S41" s="4">
        <v>9</v>
      </c>
      <c r="T41" s="4">
        <v>9</v>
      </c>
      <c r="U41" s="5" t="s">
        <v>157</v>
      </c>
      <c r="V41" s="5" t="s">
        <v>157</v>
      </c>
      <c r="W41" s="5" t="s">
        <v>124</v>
      </c>
      <c r="X41" s="5" t="s">
        <v>124</v>
      </c>
      <c r="Y41" s="4">
        <v>27</v>
      </c>
      <c r="Z41" s="4">
        <v>20</v>
      </c>
      <c r="AA41" s="4">
        <v>20</v>
      </c>
      <c r="AB41" s="4">
        <v>1</v>
      </c>
      <c r="AC41" s="4">
        <v>1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3" t="s">
        <v>51</v>
      </c>
      <c r="AQ41" s="3" t="s">
        <v>51</v>
      </c>
      <c r="AS41" s="6" t="str">
        <f>HYPERLINK("https://creighton-primo.hosted.exlibrisgroup.com/primo-explore/search?tab=default_tab&amp;search_scope=EVERYTHING&amp;vid=01CRU&amp;lang=en_US&amp;offset=0&amp;query=any,contains,991005378349702656","Catalog Record")</f>
        <v>Catalog Record</v>
      </c>
      <c r="AT41" s="6" t="str">
        <f>HYPERLINK("http://www.worldcat.org/oclc/5436228","WorldCat Record")</f>
        <v>WorldCat Record</v>
      </c>
      <c r="AU41" s="3" t="s">
        <v>2512</v>
      </c>
      <c r="AV41" s="3" t="s">
        <v>2513</v>
      </c>
    </row>
    <row r="42" spans="1:48" ht="41.25" customHeight="1" x14ac:dyDescent="0.25">
      <c r="A42" s="8" t="s">
        <v>51</v>
      </c>
      <c r="B42" s="2" t="s">
        <v>334</v>
      </c>
      <c r="C42" s="2" t="s">
        <v>335</v>
      </c>
      <c r="D42" s="2" t="s">
        <v>336</v>
      </c>
      <c r="F42" s="3" t="s">
        <v>51</v>
      </c>
      <c r="G42" s="3" t="s">
        <v>50</v>
      </c>
      <c r="H42" s="3" t="s">
        <v>51</v>
      </c>
      <c r="I42" s="3" t="s">
        <v>51</v>
      </c>
      <c r="J42" s="3" t="s">
        <v>52</v>
      </c>
      <c r="K42" s="2" t="s">
        <v>337</v>
      </c>
      <c r="L42" s="2" t="s">
        <v>338</v>
      </c>
      <c r="M42" s="3" t="s">
        <v>194</v>
      </c>
      <c r="O42" s="3" t="s">
        <v>56</v>
      </c>
      <c r="P42" s="3" t="s">
        <v>113</v>
      </c>
      <c r="R42" s="3" t="s">
        <v>59</v>
      </c>
      <c r="S42" s="4">
        <v>2</v>
      </c>
      <c r="T42" s="4">
        <v>2</v>
      </c>
      <c r="U42" s="5" t="s">
        <v>339</v>
      </c>
      <c r="V42" s="5" t="s">
        <v>339</v>
      </c>
      <c r="W42" s="5" t="s">
        <v>340</v>
      </c>
      <c r="X42" s="5" t="s">
        <v>340</v>
      </c>
      <c r="Y42" s="4">
        <v>869</v>
      </c>
      <c r="Z42" s="4">
        <v>712</v>
      </c>
      <c r="AA42" s="4">
        <v>726</v>
      </c>
      <c r="AB42" s="4">
        <v>4</v>
      </c>
      <c r="AC42" s="4">
        <v>4</v>
      </c>
      <c r="AD42" s="4">
        <v>28</v>
      </c>
      <c r="AE42" s="4">
        <v>29</v>
      </c>
      <c r="AF42" s="4">
        <v>8</v>
      </c>
      <c r="AG42" s="4">
        <v>9</v>
      </c>
      <c r="AH42" s="4">
        <v>6</v>
      </c>
      <c r="AI42" s="4">
        <v>6</v>
      </c>
      <c r="AJ42" s="4">
        <v>13</v>
      </c>
      <c r="AK42" s="4">
        <v>13</v>
      </c>
      <c r="AL42" s="4">
        <v>3</v>
      </c>
      <c r="AM42" s="4">
        <v>3</v>
      </c>
      <c r="AN42" s="4">
        <v>2</v>
      </c>
      <c r="AO42" s="4">
        <v>2</v>
      </c>
      <c r="AP42" s="3" t="s">
        <v>51</v>
      </c>
      <c r="AQ42" s="3" t="s">
        <v>51</v>
      </c>
      <c r="AS42" s="6" t="str">
        <f>HYPERLINK("https://creighton-primo.hosted.exlibrisgroup.com/primo-explore/search?tab=default_tab&amp;search_scope=EVERYTHING&amp;vid=01CRU&amp;lang=en_US&amp;offset=0&amp;query=any,contains,991005264329702656","Catalog Record")</f>
        <v>Catalog Record</v>
      </c>
      <c r="AT42" s="6" t="str">
        <f>HYPERLINK("http://www.worldcat.org/oclc/3396493","WorldCat Record")</f>
        <v>WorldCat Record</v>
      </c>
      <c r="AU42" s="3" t="s">
        <v>2514</v>
      </c>
      <c r="AV42" s="3" t="s">
        <v>2515</v>
      </c>
    </row>
    <row r="43" spans="1:48" ht="41.25" customHeight="1" x14ac:dyDescent="0.25">
      <c r="A43" s="8" t="s">
        <v>51</v>
      </c>
      <c r="B43" s="2" t="s">
        <v>341</v>
      </c>
      <c r="C43" s="2" t="s">
        <v>342</v>
      </c>
      <c r="D43" s="2" t="s">
        <v>343</v>
      </c>
      <c r="F43" s="3" t="s">
        <v>51</v>
      </c>
      <c r="G43" s="3" t="s">
        <v>50</v>
      </c>
      <c r="H43" s="3" t="s">
        <v>51</v>
      </c>
      <c r="I43" s="3" t="s">
        <v>51</v>
      </c>
      <c r="J43" s="3" t="s">
        <v>52</v>
      </c>
      <c r="K43" s="2" t="s">
        <v>344</v>
      </c>
      <c r="L43" s="2" t="s">
        <v>345</v>
      </c>
      <c r="M43" s="3" t="s">
        <v>211</v>
      </c>
      <c r="O43" s="3" t="s">
        <v>56</v>
      </c>
      <c r="P43" s="3" t="s">
        <v>346</v>
      </c>
      <c r="R43" s="3" t="s">
        <v>59</v>
      </c>
      <c r="S43" s="4">
        <v>10</v>
      </c>
      <c r="T43" s="4">
        <v>10</v>
      </c>
      <c r="U43" s="5" t="s">
        <v>347</v>
      </c>
      <c r="V43" s="5" t="s">
        <v>347</v>
      </c>
      <c r="W43" s="5" t="s">
        <v>348</v>
      </c>
      <c r="X43" s="5" t="s">
        <v>348</v>
      </c>
      <c r="Y43" s="4">
        <v>153</v>
      </c>
      <c r="Z43" s="4">
        <v>125</v>
      </c>
      <c r="AA43" s="4">
        <v>722</v>
      </c>
      <c r="AB43" s="4">
        <v>2</v>
      </c>
      <c r="AC43" s="4">
        <v>5</v>
      </c>
      <c r="AD43" s="4">
        <v>6</v>
      </c>
      <c r="AE43" s="4">
        <v>35</v>
      </c>
      <c r="AF43" s="4">
        <v>3</v>
      </c>
      <c r="AG43" s="4">
        <v>15</v>
      </c>
      <c r="AH43" s="4">
        <v>0</v>
      </c>
      <c r="AI43" s="4">
        <v>9</v>
      </c>
      <c r="AJ43" s="4">
        <v>2</v>
      </c>
      <c r="AK43" s="4">
        <v>15</v>
      </c>
      <c r="AL43" s="4">
        <v>1</v>
      </c>
      <c r="AM43" s="4">
        <v>4</v>
      </c>
      <c r="AN43" s="4">
        <v>0</v>
      </c>
      <c r="AO43" s="4">
        <v>0</v>
      </c>
      <c r="AP43" s="3" t="s">
        <v>51</v>
      </c>
      <c r="AQ43" s="3" t="s">
        <v>51</v>
      </c>
      <c r="AS43" s="6" t="str">
        <f>HYPERLINK("https://creighton-primo.hosted.exlibrisgroup.com/primo-explore/search?tab=default_tab&amp;search_scope=EVERYTHING&amp;vid=01CRU&amp;lang=en_US&amp;offset=0&amp;query=any,contains,991004908019702656","Catalog Record")</f>
        <v>Catalog Record</v>
      </c>
      <c r="AT43" s="6" t="str">
        <f>HYPERLINK("http://www.worldcat.org/oclc/7694347","WorldCat Record")</f>
        <v>WorldCat Record</v>
      </c>
      <c r="AU43" s="3" t="s">
        <v>2516</v>
      </c>
      <c r="AV43" s="3" t="s">
        <v>2517</v>
      </c>
    </row>
    <row r="44" spans="1:48" ht="41.25" customHeight="1" x14ac:dyDescent="0.25">
      <c r="A44" s="8" t="s">
        <v>51</v>
      </c>
      <c r="B44" s="2" t="s">
        <v>349</v>
      </c>
      <c r="C44" s="2" t="s">
        <v>350</v>
      </c>
      <c r="D44" s="2" t="s">
        <v>351</v>
      </c>
      <c r="F44" s="3" t="s">
        <v>51</v>
      </c>
      <c r="G44" s="3" t="s">
        <v>50</v>
      </c>
      <c r="H44" s="3" t="s">
        <v>51</v>
      </c>
      <c r="I44" s="3" t="s">
        <v>51</v>
      </c>
      <c r="J44" s="3" t="s">
        <v>52</v>
      </c>
      <c r="K44" s="2" t="s">
        <v>352</v>
      </c>
      <c r="L44" s="2" t="s">
        <v>353</v>
      </c>
      <c r="M44" s="3" t="s">
        <v>313</v>
      </c>
      <c r="O44" s="3" t="s">
        <v>255</v>
      </c>
      <c r="P44" s="3" t="s">
        <v>105</v>
      </c>
      <c r="R44" s="3" t="s">
        <v>59</v>
      </c>
      <c r="S44" s="4">
        <v>2</v>
      </c>
      <c r="T44" s="4">
        <v>2</v>
      </c>
      <c r="U44" s="5" t="s">
        <v>354</v>
      </c>
      <c r="V44" s="5" t="s">
        <v>354</v>
      </c>
      <c r="W44" s="5" t="s">
        <v>71</v>
      </c>
      <c r="X44" s="5" t="s">
        <v>71</v>
      </c>
      <c r="Y44" s="4">
        <v>45</v>
      </c>
      <c r="Z44" s="4">
        <v>32</v>
      </c>
      <c r="AA44" s="4">
        <v>35</v>
      </c>
      <c r="AB44" s="4">
        <v>1</v>
      </c>
      <c r="AC44" s="4">
        <v>1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3" t="s">
        <v>51</v>
      </c>
      <c r="AQ44" s="3" t="s">
        <v>49</v>
      </c>
      <c r="AR44" s="6" t="str">
        <f>HYPERLINK("http://catalog.hathitrust.org/Record/010742487","HathiTrust Record")</f>
        <v>HathiTrust Record</v>
      </c>
      <c r="AS44" s="6" t="str">
        <f>HYPERLINK("https://creighton-primo.hosted.exlibrisgroup.com/primo-explore/search?tab=default_tab&amp;search_scope=EVERYTHING&amp;vid=01CRU&amp;lang=en_US&amp;offset=0&amp;query=any,contains,991004079979702656","Catalog Record")</f>
        <v>Catalog Record</v>
      </c>
      <c r="AT44" s="6" t="str">
        <f>HYPERLINK("http://www.worldcat.org/oclc/2325301","WorldCat Record")</f>
        <v>WorldCat Record</v>
      </c>
      <c r="AU44" s="3" t="s">
        <v>2518</v>
      </c>
      <c r="AV44" s="3" t="s">
        <v>2519</v>
      </c>
    </row>
    <row r="45" spans="1:48" ht="41.25" customHeight="1" x14ac:dyDescent="0.25">
      <c r="A45" s="8" t="s">
        <v>51</v>
      </c>
      <c r="B45" s="2" t="s">
        <v>355</v>
      </c>
      <c r="C45" s="2" t="s">
        <v>356</v>
      </c>
      <c r="D45" s="2" t="s">
        <v>357</v>
      </c>
      <c r="F45" s="3" t="s">
        <v>51</v>
      </c>
      <c r="G45" s="3" t="s">
        <v>50</v>
      </c>
      <c r="H45" s="3" t="s">
        <v>51</v>
      </c>
      <c r="I45" s="3" t="s">
        <v>51</v>
      </c>
      <c r="J45" s="3" t="s">
        <v>52</v>
      </c>
      <c r="K45" s="2" t="s">
        <v>75</v>
      </c>
      <c r="L45" s="2" t="s">
        <v>358</v>
      </c>
      <c r="M45" s="3" t="s">
        <v>237</v>
      </c>
      <c r="O45" s="3" t="s">
        <v>56</v>
      </c>
      <c r="P45" s="3" t="s">
        <v>359</v>
      </c>
      <c r="R45" s="3" t="s">
        <v>59</v>
      </c>
      <c r="S45" s="4">
        <v>7</v>
      </c>
      <c r="T45" s="4">
        <v>7</v>
      </c>
      <c r="U45" s="5" t="s">
        <v>347</v>
      </c>
      <c r="V45" s="5" t="s">
        <v>347</v>
      </c>
      <c r="W45" s="5" t="s">
        <v>360</v>
      </c>
      <c r="X45" s="5" t="s">
        <v>360</v>
      </c>
      <c r="Y45" s="4">
        <v>655</v>
      </c>
      <c r="Z45" s="4">
        <v>581</v>
      </c>
      <c r="AA45" s="4">
        <v>654</v>
      </c>
      <c r="AB45" s="4">
        <v>5</v>
      </c>
      <c r="AC45" s="4">
        <v>7</v>
      </c>
      <c r="AD45" s="4">
        <v>24</v>
      </c>
      <c r="AE45" s="4">
        <v>30</v>
      </c>
      <c r="AF45" s="4">
        <v>8</v>
      </c>
      <c r="AG45" s="4">
        <v>12</v>
      </c>
      <c r="AH45" s="4">
        <v>3</v>
      </c>
      <c r="AI45" s="4">
        <v>4</v>
      </c>
      <c r="AJ45" s="4">
        <v>13</v>
      </c>
      <c r="AK45" s="4">
        <v>13</v>
      </c>
      <c r="AL45" s="4">
        <v>4</v>
      </c>
      <c r="AM45" s="4">
        <v>6</v>
      </c>
      <c r="AN45" s="4">
        <v>0</v>
      </c>
      <c r="AO45" s="4">
        <v>0</v>
      </c>
      <c r="AP45" s="3" t="s">
        <v>51</v>
      </c>
      <c r="AQ45" s="3" t="s">
        <v>51</v>
      </c>
      <c r="AS45" s="6" t="str">
        <f>HYPERLINK("https://creighton-primo.hosted.exlibrisgroup.com/primo-explore/search?tab=default_tab&amp;search_scope=EVERYTHING&amp;vid=01CRU&amp;lang=en_US&amp;offset=0&amp;query=any,contains,991003459659702656","Catalog Record")</f>
        <v>Catalog Record</v>
      </c>
      <c r="AT45" s="6" t="str">
        <f>HYPERLINK("http://www.worldcat.org/oclc/14618118","WorldCat Record")</f>
        <v>WorldCat Record</v>
      </c>
      <c r="AU45" s="3" t="s">
        <v>2520</v>
      </c>
      <c r="AV45" s="3" t="s">
        <v>2521</v>
      </c>
    </row>
    <row r="46" spans="1:48" ht="41.25" customHeight="1" x14ac:dyDescent="0.25">
      <c r="A46" s="8" t="s">
        <v>51</v>
      </c>
      <c r="B46" s="2" t="s">
        <v>361</v>
      </c>
      <c r="C46" s="2" t="s">
        <v>362</v>
      </c>
      <c r="D46" s="2" t="s">
        <v>363</v>
      </c>
      <c r="F46" s="3" t="s">
        <v>51</v>
      </c>
      <c r="G46" s="3" t="s">
        <v>50</v>
      </c>
      <c r="H46" s="3" t="s">
        <v>51</v>
      </c>
      <c r="I46" s="3" t="s">
        <v>51</v>
      </c>
      <c r="J46" s="3" t="s">
        <v>52</v>
      </c>
      <c r="K46" s="2" t="s">
        <v>75</v>
      </c>
      <c r="L46" s="2" t="s">
        <v>364</v>
      </c>
      <c r="M46" s="3" t="s">
        <v>194</v>
      </c>
      <c r="O46" s="3" t="s">
        <v>56</v>
      </c>
      <c r="P46" s="3" t="s">
        <v>79</v>
      </c>
      <c r="R46" s="3" t="s">
        <v>59</v>
      </c>
      <c r="S46" s="4">
        <v>2</v>
      </c>
      <c r="T46" s="4">
        <v>2</v>
      </c>
      <c r="U46" s="5" t="s">
        <v>365</v>
      </c>
      <c r="V46" s="5" t="s">
        <v>365</v>
      </c>
      <c r="W46" s="5" t="s">
        <v>360</v>
      </c>
      <c r="X46" s="5" t="s">
        <v>360</v>
      </c>
      <c r="Y46" s="4">
        <v>504</v>
      </c>
      <c r="Z46" s="4">
        <v>395</v>
      </c>
      <c r="AA46" s="4">
        <v>411</v>
      </c>
      <c r="AB46" s="4">
        <v>3</v>
      </c>
      <c r="AC46" s="4">
        <v>3</v>
      </c>
      <c r="AD46" s="4">
        <v>16</v>
      </c>
      <c r="AE46" s="4">
        <v>16</v>
      </c>
      <c r="AF46" s="4">
        <v>3</v>
      </c>
      <c r="AG46" s="4">
        <v>3</v>
      </c>
      <c r="AH46" s="4">
        <v>4</v>
      </c>
      <c r="AI46" s="4">
        <v>4</v>
      </c>
      <c r="AJ46" s="4">
        <v>10</v>
      </c>
      <c r="AK46" s="4">
        <v>10</v>
      </c>
      <c r="AL46" s="4">
        <v>1</v>
      </c>
      <c r="AM46" s="4">
        <v>1</v>
      </c>
      <c r="AN46" s="4">
        <v>0</v>
      </c>
      <c r="AO46" s="4">
        <v>0</v>
      </c>
      <c r="AP46" s="3" t="s">
        <v>51</v>
      </c>
      <c r="AQ46" s="3" t="s">
        <v>49</v>
      </c>
      <c r="AR46" s="6" t="str">
        <f>HYPERLINK("http://catalog.hathitrust.org/Record/000294227","HathiTrust Record")</f>
        <v>HathiTrust Record</v>
      </c>
      <c r="AS46" s="6" t="str">
        <f>HYPERLINK("https://creighton-primo.hosted.exlibrisgroup.com/primo-explore/search?tab=default_tab&amp;search_scope=EVERYTHING&amp;vid=01CRU&amp;lang=en_US&amp;offset=0&amp;query=any,contains,991001773349702656","Catalog Record")</f>
        <v>Catalog Record</v>
      </c>
      <c r="AT46" s="6" t="str">
        <f>HYPERLINK("http://www.worldcat.org/oclc/3186495","WorldCat Record")</f>
        <v>WorldCat Record</v>
      </c>
      <c r="AU46" s="3" t="s">
        <v>2522</v>
      </c>
      <c r="AV46" s="3" t="s">
        <v>2523</v>
      </c>
    </row>
    <row r="47" spans="1:48" ht="41.25" customHeight="1" x14ac:dyDescent="0.25">
      <c r="A47" s="8" t="s">
        <v>51</v>
      </c>
      <c r="B47" s="2" t="s">
        <v>366</v>
      </c>
      <c r="C47" s="2" t="s">
        <v>367</v>
      </c>
      <c r="D47" s="2" t="s">
        <v>368</v>
      </c>
      <c r="F47" s="3" t="s">
        <v>51</v>
      </c>
      <c r="G47" s="3" t="s">
        <v>50</v>
      </c>
      <c r="H47" s="3" t="s">
        <v>51</v>
      </c>
      <c r="I47" s="3" t="s">
        <v>51</v>
      </c>
      <c r="J47" s="3" t="s">
        <v>52</v>
      </c>
      <c r="K47" s="2" t="s">
        <v>344</v>
      </c>
      <c r="L47" s="2" t="s">
        <v>369</v>
      </c>
      <c r="M47" s="3" t="s">
        <v>306</v>
      </c>
      <c r="O47" s="3" t="s">
        <v>56</v>
      </c>
      <c r="P47" s="3" t="s">
        <v>87</v>
      </c>
      <c r="Q47" s="2" t="s">
        <v>370</v>
      </c>
      <c r="R47" s="3" t="s">
        <v>59</v>
      </c>
      <c r="S47" s="4">
        <v>5</v>
      </c>
      <c r="T47" s="4">
        <v>5</v>
      </c>
      <c r="U47" s="5" t="s">
        <v>371</v>
      </c>
      <c r="V47" s="5" t="s">
        <v>371</v>
      </c>
      <c r="W47" s="5" t="s">
        <v>71</v>
      </c>
      <c r="X47" s="5" t="s">
        <v>71</v>
      </c>
      <c r="Y47" s="4">
        <v>120</v>
      </c>
      <c r="Z47" s="4">
        <v>112</v>
      </c>
      <c r="AA47" s="4">
        <v>975</v>
      </c>
      <c r="AB47" s="4">
        <v>1</v>
      </c>
      <c r="AC47" s="4">
        <v>9</v>
      </c>
      <c r="AD47" s="4">
        <v>3</v>
      </c>
      <c r="AE47" s="4">
        <v>36</v>
      </c>
      <c r="AF47" s="4">
        <v>1</v>
      </c>
      <c r="AG47" s="4">
        <v>10</v>
      </c>
      <c r="AH47" s="4">
        <v>1</v>
      </c>
      <c r="AI47" s="4">
        <v>9</v>
      </c>
      <c r="AJ47" s="4">
        <v>1</v>
      </c>
      <c r="AK47" s="4">
        <v>17</v>
      </c>
      <c r="AL47" s="4">
        <v>0</v>
      </c>
      <c r="AM47" s="4">
        <v>7</v>
      </c>
      <c r="AN47" s="4">
        <v>0</v>
      </c>
      <c r="AO47" s="4">
        <v>0</v>
      </c>
      <c r="AP47" s="3" t="s">
        <v>51</v>
      </c>
      <c r="AQ47" s="3" t="s">
        <v>51</v>
      </c>
      <c r="AS47" s="6" t="str">
        <f>HYPERLINK("https://creighton-primo.hosted.exlibrisgroup.com/primo-explore/search?tab=default_tab&amp;search_scope=EVERYTHING&amp;vid=01CRU&amp;lang=en_US&amp;offset=0&amp;query=any,contains,991003879689702656","Catalog Record")</f>
        <v>Catalog Record</v>
      </c>
      <c r="AT47" s="6" t="str">
        <f>HYPERLINK("http://www.worldcat.org/oclc/1720722","WorldCat Record")</f>
        <v>WorldCat Record</v>
      </c>
      <c r="AU47" s="3" t="s">
        <v>2524</v>
      </c>
      <c r="AV47" s="3" t="s">
        <v>2525</v>
      </c>
    </row>
    <row r="48" spans="1:48" ht="41.25" customHeight="1" x14ac:dyDescent="0.25">
      <c r="A48" s="8" t="s">
        <v>51</v>
      </c>
      <c r="B48" s="2" t="s">
        <v>372</v>
      </c>
      <c r="C48" s="2" t="s">
        <v>373</v>
      </c>
      <c r="D48" s="2" t="s">
        <v>374</v>
      </c>
      <c r="F48" s="3" t="s">
        <v>51</v>
      </c>
      <c r="G48" s="3" t="s">
        <v>50</v>
      </c>
      <c r="H48" s="3" t="s">
        <v>51</v>
      </c>
      <c r="I48" s="3" t="s">
        <v>51</v>
      </c>
      <c r="J48" s="3" t="s">
        <v>52</v>
      </c>
      <c r="K48" s="2" t="s">
        <v>375</v>
      </c>
      <c r="L48" s="2" t="s">
        <v>376</v>
      </c>
      <c r="M48" s="3" t="s">
        <v>112</v>
      </c>
      <c r="O48" s="3" t="s">
        <v>56</v>
      </c>
      <c r="P48" s="3" t="s">
        <v>359</v>
      </c>
      <c r="R48" s="3" t="s">
        <v>59</v>
      </c>
      <c r="S48" s="4">
        <v>7</v>
      </c>
      <c r="T48" s="4">
        <v>7</v>
      </c>
      <c r="U48" s="5" t="s">
        <v>377</v>
      </c>
      <c r="V48" s="5" t="s">
        <v>377</v>
      </c>
      <c r="W48" s="5" t="s">
        <v>378</v>
      </c>
      <c r="X48" s="5" t="s">
        <v>378</v>
      </c>
      <c r="Y48" s="4">
        <v>226</v>
      </c>
      <c r="Z48" s="4">
        <v>212</v>
      </c>
      <c r="AA48" s="4">
        <v>274</v>
      </c>
      <c r="AB48" s="4">
        <v>2</v>
      </c>
      <c r="AC48" s="4">
        <v>4</v>
      </c>
      <c r="AD48" s="4">
        <v>4</v>
      </c>
      <c r="AE48" s="4">
        <v>9</v>
      </c>
      <c r="AF48" s="4">
        <v>1</v>
      </c>
      <c r="AG48" s="4">
        <v>3</v>
      </c>
      <c r="AH48" s="4">
        <v>1</v>
      </c>
      <c r="AI48" s="4">
        <v>2</v>
      </c>
      <c r="AJ48" s="4">
        <v>2</v>
      </c>
      <c r="AK48" s="4">
        <v>4</v>
      </c>
      <c r="AL48" s="4">
        <v>1</v>
      </c>
      <c r="AM48" s="4">
        <v>3</v>
      </c>
      <c r="AN48" s="4">
        <v>0</v>
      </c>
      <c r="AO48" s="4">
        <v>0</v>
      </c>
      <c r="AP48" s="3" t="s">
        <v>51</v>
      </c>
      <c r="AQ48" s="3" t="s">
        <v>51</v>
      </c>
      <c r="AS48" s="6" t="str">
        <f>HYPERLINK("https://creighton-primo.hosted.exlibrisgroup.com/primo-explore/search?tab=default_tab&amp;search_scope=EVERYTHING&amp;vid=01CRU&amp;lang=en_US&amp;offset=0&amp;query=any,contains,991003569139702656","Catalog Record")</f>
        <v>Catalog Record</v>
      </c>
      <c r="AT48" s="6" t="str">
        <f>HYPERLINK("http://www.worldcat.org/oclc/12972925","WorldCat Record")</f>
        <v>WorldCat Record</v>
      </c>
      <c r="AU48" s="3" t="s">
        <v>2526</v>
      </c>
      <c r="AV48" s="3" t="s">
        <v>2527</v>
      </c>
    </row>
    <row r="49" spans="1:48" ht="41.25" customHeight="1" x14ac:dyDescent="0.25">
      <c r="A49" s="8" t="s">
        <v>51</v>
      </c>
      <c r="B49" s="2" t="s">
        <v>379</v>
      </c>
      <c r="C49" s="2" t="s">
        <v>380</v>
      </c>
      <c r="D49" s="2" t="s">
        <v>381</v>
      </c>
      <c r="F49" s="3" t="s">
        <v>51</v>
      </c>
      <c r="G49" s="3" t="s">
        <v>50</v>
      </c>
      <c r="H49" s="3" t="s">
        <v>51</v>
      </c>
      <c r="I49" s="3" t="s">
        <v>51</v>
      </c>
      <c r="J49" s="3" t="s">
        <v>52</v>
      </c>
      <c r="K49" s="2" t="s">
        <v>375</v>
      </c>
      <c r="L49" s="2" t="s">
        <v>382</v>
      </c>
      <c r="M49" s="3" t="s">
        <v>146</v>
      </c>
      <c r="O49" s="3" t="s">
        <v>56</v>
      </c>
      <c r="P49" s="3" t="s">
        <v>359</v>
      </c>
      <c r="R49" s="3" t="s">
        <v>59</v>
      </c>
      <c r="S49" s="4">
        <v>2</v>
      </c>
      <c r="T49" s="4">
        <v>2</v>
      </c>
      <c r="U49" s="5" t="s">
        <v>383</v>
      </c>
      <c r="V49" s="5" t="s">
        <v>383</v>
      </c>
      <c r="W49" s="5" t="s">
        <v>71</v>
      </c>
      <c r="X49" s="5" t="s">
        <v>71</v>
      </c>
      <c r="Y49" s="4">
        <v>272</v>
      </c>
      <c r="Z49" s="4">
        <v>250</v>
      </c>
      <c r="AA49" s="4">
        <v>300</v>
      </c>
      <c r="AB49" s="4">
        <v>2</v>
      </c>
      <c r="AC49" s="4">
        <v>2</v>
      </c>
      <c r="AD49" s="4">
        <v>4</v>
      </c>
      <c r="AE49" s="4">
        <v>5</v>
      </c>
      <c r="AF49" s="4">
        <v>1</v>
      </c>
      <c r="AG49" s="4">
        <v>2</v>
      </c>
      <c r="AH49" s="4">
        <v>1</v>
      </c>
      <c r="AI49" s="4">
        <v>1</v>
      </c>
      <c r="AJ49" s="4">
        <v>2</v>
      </c>
      <c r="AK49" s="4">
        <v>2</v>
      </c>
      <c r="AL49" s="4">
        <v>1</v>
      </c>
      <c r="AM49" s="4">
        <v>1</v>
      </c>
      <c r="AN49" s="4">
        <v>0</v>
      </c>
      <c r="AO49" s="4">
        <v>0</v>
      </c>
      <c r="AP49" s="3" t="s">
        <v>51</v>
      </c>
      <c r="AQ49" s="3" t="s">
        <v>51</v>
      </c>
      <c r="AS49" s="6" t="str">
        <f>HYPERLINK("https://creighton-primo.hosted.exlibrisgroup.com/primo-explore/search?tab=default_tab&amp;search_scope=EVERYTHING&amp;vid=01CRU&amp;lang=en_US&amp;offset=0&amp;query=any,contains,991001114889702656","Catalog Record")</f>
        <v>Catalog Record</v>
      </c>
      <c r="AT49" s="6" t="str">
        <f>HYPERLINK("http://www.worldcat.org/oclc/16525095","WorldCat Record")</f>
        <v>WorldCat Record</v>
      </c>
      <c r="AU49" s="3" t="s">
        <v>2528</v>
      </c>
      <c r="AV49" s="3" t="s">
        <v>2529</v>
      </c>
    </row>
    <row r="50" spans="1:48" ht="41.25" customHeight="1" x14ac:dyDescent="0.25">
      <c r="A50" s="8" t="s">
        <v>51</v>
      </c>
      <c r="B50" s="2" t="s">
        <v>384</v>
      </c>
      <c r="C50" s="2" t="s">
        <v>385</v>
      </c>
      <c r="D50" s="2" t="s">
        <v>386</v>
      </c>
      <c r="F50" s="3" t="s">
        <v>51</v>
      </c>
      <c r="G50" s="3" t="s">
        <v>50</v>
      </c>
      <c r="H50" s="3" t="s">
        <v>51</v>
      </c>
      <c r="I50" s="3" t="s">
        <v>51</v>
      </c>
      <c r="J50" s="3" t="s">
        <v>52</v>
      </c>
      <c r="K50" s="2" t="s">
        <v>387</v>
      </c>
      <c r="L50" s="2" t="s">
        <v>388</v>
      </c>
      <c r="M50" s="3" t="s">
        <v>389</v>
      </c>
      <c r="O50" s="3" t="s">
        <v>56</v>
      </c>
      <c r="P50" s="3" t="s">
        <v>87</v>
      </c>
      <c r="R50" s="3" t="s">
        <v>59</v>
      </c>
      <c r="S50" s="4">
        <v>9</v>
      </c>
      <c r="T50" s="4">
        <v>9</v>
      </c>
      <c r="U50" s="5" t="s">
        <v>390</v>
      </c>
      <c r="V50" s="5" t="s">
        <v>390</v>
      </c>
      <c r="W50" s="5" t="s">
        <v>391</v>
      </c>
      <c r="X50" s="5" t="s">
        <v>391</v>
      </c>
      <c r="Y50" s="4">
        <v>411</v>
      </c>
      <c r="Z50" s="4">
        <v>387</v>
      </c>
      <c r="AA50" s="4">
        <v>407</v>
      </c>
      <c r="AB50" s="4">
        <v>3</v>
      </c>
      <c r="AC50" s="4">
        <v>3</v>
      </c>
      <c r="AD50" s="4">
        <v>14</v>
      </c>
      <c r="AE50" s="4">
        <v>16</v>
      </c>
      <c r="AF50" s="4">
        <v>5</v>
      </c>
      <c r="AG50" s="4">
        <v>6</v>
      </c>
      <c r="AH50" s="4">
        <v>2</v>
      </c>
      <c r="AI50" s="4">
        <v>3</v>
      </c>
      <c r="AJ50" s="4">
        <v>9</v>
      </c>
      <c r="AK50" s="4">
        <v>9</v>
      </c>
      <c r="AL50" s="4">
        <v>2</v>
      </c>
      <c r="AM50" s="4">
        <v>2</v>
      </c>
      <c r="AN50" s="4">
        <v>0</v>
      </c>
      <c r="AO50" s="4">
        <v>0</v>
      </c>
      <c r="AP50" s="3" t="s">
        <v>51</v>
      </c>
      <c r="AQ50" s="3" t="s">
        <v>49</v>
      </c>
      <c r="AR50" s="6" t="str">
        <f>HYPERLINK("http://catalog.hathitrust.org/Record/002875179","HathiTrust Record")</f>
        <v>HathiTrust Record</v>
      </c>
      <c r="AS50" s="6" t="str">
        <f>HYPERLINK("https://creighton-primo.hosted.exlibrisgroup.com/primo-explore/search?tab=default_tab&amp;search_scope=EVERYTHING&amp;vid=01CRU&amp;lang=en_US&amp;offset=0&amp;query=any,contains,991002279989702656","Catalog Record")</f>
        <v>Catalog Record</v>
      </c>
      <c r="AT50" s="6" t="str">
        <f>HYPERLINK("http://www.worldcat.org/oclc/29564382","WorldCat Record")</f>
        <v>WorldCat Record</v>
      </c>
      <c r="AU50" s="3" t="s">
        <v>2530</v>
      </c>
      <c r="AV50" s="3" t="s">
        <v>2531</v>
      </c>
    </row>
    <row r="51" spans="1:48" ht="41.25" customHeight="1" x14ac:dyDescent="0.25">
      <c r="A51" s="8" t="s">
        <v>51</v>
      </c>
      <c r="B51" s="2" t="s">
        <v>392</v>
      </c>
      <c r="C51" s="2" t="s">
        <v>393</v>
      </c>
      <c r="D51" s="2" t="s">
        <v>394</v>
      </c>
      <c r="F51" s="3" t="s">
        <v>51</v>
      </c>
      <c r="G51" s="3" t="s">
        <v>50</v>
      </c>
      <c r="H51" s="3" t="s">
        <v>51</v>
      </c>
      <c r="I51" s="3" t="s">
        <v>51</v>
      </c>
      <c r="J51" s="3" t="s">
        <v>52</v>
      </c>
      <c r="L51" s="2" t="s">
        <v>395</v>
      </c>
      <c r="M51" s="3" t="s">
        <v>244</v>
      </c>
      <c r="O51" s="3" t="s">
        <v>56</v>
      </c>
      <c r="P51" s="3" t="s">
        <v>396</v>
      </c>
      <c r="R51" s="3" t="s">
        <v>59</v>
      </c>
      <c r="S51" s="4">
        <v>4</v>
      </c>
      <c r="T51" s="4">
        <v>4</v>
      </c>
      <c r="U51" s="5" t="s">
        <v>397</v>
      </c>
      <c r="V51" s="5" t="s">
        <v>397</v>
      </c>
      <c r="W51" s="5" t="s">
        <v>398</v>
      </c>
      <c r="X51" s="5" t="s">
        <v>398</v>
      </c>
      <c r="Y51" s="4">
        <v>272</v>
      </c>
      <c r="Z51" s="4">
        <v>253</v>
      </c>
      <c r="AA51" s="4">
        <v>257</v>
      </c>
      <c r="AB51" s="4">
        <v>1</v>
      </c>
      <c r="AC51" s="4">
        <v>1</v>
      </c>
      <c r="AD51" s="4">
        <v>14</v>
      </c>
      <c r="AE51" s="4">
        <v>14</v>
      </c>
      <c r="AF51" s="4">
        <v>7</v>
      </c>
      <c r="AG51" s="4">
        <v>7</v>
      </c>
      <c r="AH51" s="4">
        <v>4</v>
      </c>
      <c r="AI51" s="4">
        <v>4</v>
      </c>
      <c r="AJ51" s="4">
        <v>6</v>
      </c>
      <c r="AK51" s="4">
        <v>6</v>
      </c>
      <c r="AL51" s="4">
        <v>0</v>
      </c>
      <c r="AM51" s="4">
        <v>0</v>
      </c>
      <c r="AN51" s="4">
        <v>0</v>
      </c>
      <c r="AO51" s="4">
        <v>0</v>
      </c>
      <c r="AP51" s="3" t="s">
        <v>51</v>
      </c>
      <c r="AQ51" s="3" t="s">
        <v>49</v>
      </c>
      <c r="AR51" s="6" t="str">
        <f>HYPERLINK("http://catalog.hathitrust.org/Record/003049055","HathiTrust Record")</f>
        <v>HathiTrust Record</v>
      </c>
      <c r="AS51" s="6" t="str">
        <f>HYPERLINK("https://creighton-primo.hosted.exlibrisgroup.com/primo-explore/search?tab=default_tab&amp;search_scope=EVERYTHING&amp;vid=01CRU&amp;lang=en_US&amp;offset=0&amp;query=any,contains,991002541149702656","Catalog Record")</f>
        <v>Catalog Record</v>
      </c>
      <c r="AT51" s="6" t="str">
        <f>HYPERLINK("http://www.worldcat.org/oclc/33023414","WorldCat Record")</f>
        <v>WorldCat Record</v>
      </c>
      <c r="AU51" s="3" t="s">
        <v>2532</v>
      </c>
      <c r="AV51" s="3" t="s">
        <v>2533</v>
      </c>
    </row>
    <row r="52" spans="1:48" ht="41.25" customHeight="1" x14ac:dyDescent="0.25">
      <c r="A52" s="8" t="s">
        <v>51</v>
      </c>
      <c r="B52" s="2" t="s">
        <v>399</v>
      </c>
      <c r="C52" s="2" t="s">
        <v>400</v>
      </c>
      <c r="D52" s="2" t="s">
        <v>401</v>
      </c>
      <c r="F52" s="3" t="s">
        <v>51</v>
      </c>
      <c r="G52" s="3" t="s">
        <v>50</v>
      </c>
      <c r="H52" s="3" t="s">
        <v>51</v>
      </c>
      <c r="I52" s="3" t="s">
        <v>51</v>
      </c>
      <c r="J52" s="3" t="s">
        <v>52</v>
      </c>
      <c r="K52" s="2" t="s">
        <v>402</v>
      </c>
      <c r="L52" s="2" t="s">
        <v>403</v>
      </c>
      <c r="M52" s="3" t="s">
        <v>218</v>
      </c>
      <c r="O52" s="3" t="s">
        <v>56</v>
      </c>
      <c r="P52" s="3" t="s">
        <v>229</v>
      </c>
      <c r="R52" s="3" t="s">
        <v>59</v>
      </c>
      <c r="S52" s="4">
        <v>5</v>
      </c>
      <c r="T52" s="4">
        <v>5</v>
      </c>
      <c r="U52" s="5" t="s">
        <v>404</v>
      </c>
      <c r="V52" s="5" t="s">
        <v>404</v>
      </c>
      <c r="W52" s="5" t="s">
        <v>405</v>
      </c>
      <c r="X52" s="5" t="s">
        <v>405</v>
      </c>
      <c r="Y52" s="4">
        <v>1019</v>
      </c>
      <c r="Z52" s="4">
        <v>931</v>
      </c>
      <c r="AA52" s="4">
        <v>941</v>
      </c>
      <c r="AB52" s="4">
        <v>4</v>
      </c>
      <c r="AC52" s="4">
        <v>4</v>
      </c>
      <c r="AD52" s="4">
        <v>18</v>
      </c>
      <c r="AE52" s="4">
        <v>18</v>
      </c>
      <c r="AF52" s="4">
        <v>7</v>
      </c>
      <c r="AG52" s="4">
        <v>7</v>
      </c>
      <c r="AH52" s="4">
        <v>5</v>
      </c>
      <c r="AI52" s="4">
        <v>5</v>
      </c>
      <c r="AJ52" s="4">
        <v>8</v>
      </c>
      <c r="AK52" s="4">
        <v>8</v>
      </c>
      <c r="AL52" s="4">
        <v>2</v>
      </c>
      <c r="AM52" s="4">
        <v>2</v>
      </c>
      <c r="AN52" s="4">
        <v>0</v>
      </c>
      <c r="AO52" s="4">
        <v>0</v>
      </c>
      <c r="AP52" s="3" t="s">
        <v>51</v>
      </c>
      <c r="AQ52" s="3" t="s">
        <v>49</v>
      </c>
      <c r="AR52" s="6" t="str">
        <f>HYPERLINK("http://catalog.hathitrust.org/Record/000683343","HathiTrust Record")</f>
        <v>HathiTrust Record</v>
      </c>
      <c r="AS52" s="6" t="str">
        <f>HYPERLINK("https://creighton-primo.hosted.exlibrisgroup.com/primo-explore/search?tab=default_tab&amp;search_scope=EVERYTHING&amp;vid=01CRU&amp;lang=en_US&amp;offset=0&amp;query=any,contains,991001773539702656","Catalog Record")</f>
        <v>Catalog Record</v>
      </c>
      <c r="AT52" s="6" t="str">
        <f>HYPERLINK("http://www.worldcat.org/oclc/2034692","WorldCat Record")</f>
        <v>WorldCat Record</v>
      </c>
      <c r="AU52" s="3" t="s">
        <v>2534</v>
      </c>
      <c r="AV52" s="3" t="s">
        <v>2535</v>
      </c>
    </row>
    <row r="53" spans="1:48" ht="41.25" customHeight="1" x14ac:dyDescent="0.25">
      <c r="A53" s="8" t="s">
        <v>51</v>
      </c>
      <c r="B53" s="2" t="s">
        <v>406</v>
      </c>
      <c r="C53" s="2" t="s">
        <v>407</v>
      </c>
      <c r="D53" s="2" t="s">
        <v>408</v>
      </c>
      <c r="F53" s="3" t="s">
        <v>51</v>
      </c>
      <c r="G53" s="3" t="s">
        <v>50</v>
      </c>
      <c r="H53" s="3" t="s">
        <v>51</v>
      </c>
      <c r="I53" s="3" t="s">
        <v>51</v>
      </c>
      <c r="J53" s="3" t="s">
        <v>52</v>
      </c>
      <c r="K53" s="2" t="s">
        <v>409</v>
      </c>
      <c r="L53" s="2" t="s">
        <v>410</v>
      </c>
      <c r="M53" s="3" t="s">
        <v>306</v>
      </c>
      <c r="O53" s="3" t="s">
        <v>56</v>
      </c>
      <c r="P53" s="3" t="s">
        <v>69</v>
      </c>
      <c r="R53" s="3" t="s">
        <v>59</v>
      </c>
      <c r="S53" s="4">
        <v>5</v>
      </c>
      <c r="T53" s="4">
        <v>5</v>
      </c>
      <c r="U53" s="5" t="s">
        <v>411</v>
      </c>
      <c r="V53" s="5" t="s">
        <v>411</v>
      </c>
      <c r="W53" s="5" t="s">
        <v>412</v>
      </c>
      <c r="X53" s="5" t="s">
        <v>412</v>
      </c>
      <c r="Y53" s="4">
        <v>506</v>
      </c>
      <c r="Z53" s="4">
        <v>460</v>
      </c>
      <c r="AA53" s="4">
        <v>501</v>
      </c>
      <c r="AB53" s="4">
        <v>5</v>
      </c>
      <c r="AC53" s="4">
        <v>5</v>
      </c>
      <c r="AD53" s="4">
        <v>18</v>
      </c>
      <c r="AE53" s="4">
        <v>21</v>
      </c>
      <c r="AF53" s="4">
        <v>6</v>
      </c>
      <c r="AG53" s="4">
        <v>8</v>
      </c>
      <c r="AH53" s="4">
        <v>5</v>
      </c>
      <c r="AI53" s="4">
        <v>6</v>
      </c>
      <c r="AJ53" s="4">
        <v>8</v>
      </c>
      <c r="AK53" s="4">
        <v>9</v>
      </c>
      <c r="AL53" s="4">
        <v>3</v>
      </c>
      <c r="AM53" s="4">
        <v>3</v>
      </c>
      <c r="AN53" s="4">
        <v>0</v>
      </c>
      <c r="AO53" s="4">
        <v>0</v>
      </c>
      <c r="AP53" s="3" t="s">
        <v>51</v>
      </c>
      <c r="AQ53" s="3" t="s">
        <v>49</v>
      </c>
      <c r="AR53" s="6" t="str">
        <f>HYPERLINK("http://catalog.hathitrust.org/Record/000004345","HathiTrust Record")</f>
        <v>HathiTrust Record</v>
      </c>
      <c r="AS53" s="6" t="str">
        <f>HYPERLINK("https://creighton-primo.hosted.exlibrisgroup.com/primo-explore/search?tab=default_tab&amp;search_scope=EVERYTHING&amp;vid=01CRU&amp;lang=en_US&amp;offset=0&amp;query=any,contains,991001773579702656","Catalog Record")</f>
        <v>Catalog Record</v>
      </c>
      <c r="AT53" s="6" t="str">
        <f>HYPERLINK("http://www.worldcat.org/oclc/303937","WorldCat Record")</f>
        <v>WorldCat Record</v>
      </c>
      <c r="AU53" s="3" t="s">
        <v>2536</v>
      </c>
      <c r="AV53" s="3" t="s">
        <v>2537</v>
      </c>
    </row>
    <row r="54" spans="1:48" ht="41.25" customHeight="1" x14ac:dyDescent="0.25">
      <c r="A54" s="8" t="s">
        <v>51</v>
      </c>
      <c r="B54" s="2" t="s">
        <v>413</v>
      </c>
      <c r="C54" s="2" t="s">
        <v>414</v>
      </c>
      <c r="D54" s="2" t="s">
        <v>415</v>
      </c>
      <c r="F54" s="3" t="s">
        <v>51</v>
      </c>
      <c r="G54" s="3" t="s">
        <v>50</v>
      </c>
      <c r="H54" s="3" t="s">
        <v>51</v>
      </c>
      <c r="I54" s="3" t="s">
        <v>51</v>
      </c>
      <c r="J54" s="3" t="s">
        <v>52</v>
      </c>
      <c r="K54" s="2" t="s">
        <v>416</v>
      </c>
      <c r="L54" s="2" t="s">
        <v>417</v>
      </c>
      <c r="M54" s="3" t="s">
        <v>306</v>
      </c>
      <c r="O54" s="3" t="s">
        <v>56</v>
      </c>
      <c r="P54" s="3" t="s">
        <v>69</v>
      </c>
      <c r="R54" s="3" t="s">
        <v>59</v>
      </c>
      <c r="S54" s="4">
        <v>3</v>
      </c>
      <c r="T54" s="4">
        <v>3</v>
      </c>
      <c r="U54" s="5" t="s">
        <v>418</v>
      </c>
      <c r="V54" s="5" t="s">
        <v>418</v>
      </c>
      <c r="W54" s="5" t="s">
        <v>412</v>
      </c>
      <c r="X54" s="5" t="s">
        <v>412</v>
      </c>
      <c r="Y54" s="4">
        <v>642</v>
      </c>
      <c r="Z54" s="4">
        <v>562</v>
      </c>
      <c r="AA54" s="4">
        <v>618</v>
      </c>
      <c r="AB54" s="4">
        <v>5</v>
      </c>
      <c r="AC54" s="4">
        <v>5</v>
      </c>
      <c r="AD54" s="4">
        <v>22</v>
      </c>
      <c r="AE54" s="4">
        <v>25</v>
      </c>
      <c r="AF54" s="4">
        <v>8</v>
      </c>
      <c r="AG54" s="4">
        <v>9</v>
      </c>
      <c r="AH54" s="4">
        <v>4</v>
      </c>
      <c r="AI54" s="4">
        <v>6</v>
      </c>
      <c r="AJ54" s="4">
        <v>9</v>
      </c>
      <c r="AK54" s="4">
        <v>11</v>
      </c>
      <c r="AL54" s="4">
        <v>4</v>
      </c>
      <c r="AM54" s="4">
        <v>4</v>
      </c>
      <c r="AN54" s="4">
        <v>0</v>
      </c>
      <c r="AO54" s="4">
        <v>0</v>
      </c>
      <c r="AP54" s="3" t="s">
        <v>51</v>
      </c>
      <c r="AQ54" s="3" t="s">
        <v>49</v>
      </c>
      <c r="AR54" s="6" t="str">
        <f>HYPERLINK("http://catalog.hathitrust.org/Record/000005823","HathiTrust Record")</f>
        <v>HathiTrust Record</v>
      </c>
      <c r="AS54" s="6" t="str">
        <f>HYPERLINK("https://creighton-primo.hosted.exlibrisgroup.com/primo-explore/search?tab=default_tab&amp;search_scope=EVERYTHING&amp;vid=01CRU&amp;lang=en_US&amp;offset=0&amp;query=any,contains,991002730819702656","Catalog Record")</f>
        <v>Catalog Record</v>
      </c>
      <c r="AT54" s="6" t="str">
        <f>HYPERLINK("http://www.worldcat.org/oclc/416461","WorldCat Record")</f>
        <v>WorldCat Record</v>
      </c>
      <c r="AU54" s="3" t="s">
        <v>2538</v>
      </c>
      <c r="AV54" s="3" t="s">
        <v>2539</v>
      </c>
    </row>
    <row r="55" spans="1:48" ht="41.25" customHeight="1" x14ac:dyDescent="0.25">
      <c r="A55" s="8" t="s">
        <v>51</v>
      </c>
      <c r="B55" s="2" t="s">
        <v>419</v>
      </c>
      <c r="C55" s="2" t="s">
        <v>420</v>
      </c>
      <c r="D55" s="2" t="s">
        <v>421</v>
      </c>
      <c r="F55" s="3" t="s">
        <v>51</v>
      </c>
      <c r="G55" s="3" t="s">
        <v>50</v>
      </c>
      <c r="H55" s="3" t="s">
        <v>51</v>
      </c>
      <c r="I55" s="3" t="s">
        <v>51</v>
      </c>
      <c r="J55" s="3" t="s">
        <v>52</v>
      </c>
      <c r="K55" s="2" t="s">
        <v>422</v>
      </c>
      <c r="L55" s="2" t="s">
        <v>423</v>
      </c>
      <c r="M55" s="3" t="s">
        <v>424</v>
      </c>
      <c r="O55" s="3" t="s">
        <v>56</v>
      </c>
      <c r="P55" s="3" t="s">
        <v>359</v>
      </c>
      <c r="R55" s="3" t="s">
        <v>59</v>
      </c>
      <c r="S55" s="4">
        <v>2</v>
      </c>
      <c r="T55" s="4">
        <v>2</v>
      </c>
      <c r="U55" s="5" t="s">
        <v>411</v>
      </c>
      <c r="V55" s="5" t="s">
        <v>411</v>
      </c>
      <c r="W55" s="5" t="s">
        <v>71</v>
      </c>
      <c r="X55" s="5" t="s">
        <v>71</v>
      </c>
      <c r="Y55" s="4">
        <v>556</v>
      </c>
      <c r="Z55" s="4">
        <v>504</v>
      </c>
      <c r="AA55" s="4">
        <v>519</v>
      </c>
      <c r="AB55" s="4">
        <v>3</v>
      </c>
      <c r="AC55" s="4">
        <v>3</v>
      </c>
      <c r="AD55" s="4">
        <v>21</v>
      </c>
      <c r="AE55" s="4">
        <v>22</v>
      </c>
      <c r="AF55" s="4">
        <v>10</v>
      </c>
      <c r="AG55" s="4">
        <v>11</v>
      </c>
      <c r="AH55" s="4">
        <v>6</v>
      </c>
      <c r="AI55" s="4">
        <v>6</v>
      </c>
      <c r="AJ55" s="4">
        <v>9</v>
      </c>
      <c r="AK55" s="4">
        <v>10</v>
      </c>
      <c r="AL55" s="4">
        <v>2</v>
      </c>
      <c r="AM55" s="4">
        <v>2</v>
      </c>
      <c r="AN55" s="4">
        <v>0</v>
      </c>
      <c r="AO55" s="4">
        <v>0</v>
      </c>
      <c r="AP55" s="3" t="s">
        <v>51</v>
      </c>
      <c r="AQ55" s="3" t="s">
        <v>51</v>
      </c>
      <c r="AS55" s="6" t="str">
        <f>HYPERLINK("https://creighton-primo.hosted.exlibrisgroup.com/primo-explore/search?tab=default_tab&amp;search_scope=EVERYTHING&amp;vid=01CRU&amp;lang=en_US&amp;offset=0&amp;query=any,contains,991004952369702656","Catalog Record")</f>
        <v>Catalog Record</v>
      </c>
      <c r="AT55" s="6" t="str">
        <f>HYPERLINK("http://www.worldcat.org/oclc/6251422","WorldCat Record")</f>
        <v>WorldCat Record</v>
      </c>
      <c r="AU55" s="3" t="s">
        <v>2540</v>
      </c>
      <c r="AV55" s="3" t="s">
        <v>2541</v>
      </c>
    </row>
    <row r="56" spans="1:48" ht="41.25" customHeight="1" x14ac:dyDescent="0.25">
      <c r="A56" s="8" t="s">
        <v>51</v>
      </c>
      <c r="B56" s="2" t="s">
        <v>425</v>
      </c>
      <c r="C56" s="2" t="s">
        <v>426</v>
      </c>
      <c r="D56" s="2" t="s">
        <v>427</v>
      </c>
      <c r="F56" s="3" t="s">
        <v>51</v>
      </c>
      <c r="G56" s="3" t="s">
        <v>50</v>
      </c>
      <c r="H56" s="3" t="s">
        <v>51</v>
      </c>
      <c r="I56" s="3" t="s">
        <v>51</v>
      </c>
      <c r="J56" s="3" t="s">
        <v>52</v>
      </c>
      <c r="K56" s="2" t="s">
        <v>75</v>
      </c>
      <c r="L56" s="2" t="s">
        <v>428</v>
      </c>
      <c r="M56" s="3" t="s">
        <v>103</v>
      </c>
      <c r="O56" s="3" t="s">
        <v>56</v>
      </c>
      <c r="P56" s="3" t="s">
        <v>359</v>
      </c>
      <c r="R56" s="3" t="s">
        <v>59</v>
      </c>
      <c r="S56" s="4">
        <v>2</v>
      </c>
      <c r="T56" s="4">
        <v>2</v>
      </c>
      <c r="U56" s="5" t="s">
        <v>429</v>
      </c>
      <c r="V56" s="5" t="s">
        <v>429</v>
      </c>
      <c r="W56" s="5" t="s">
        <v>405</v>
      </c>
      <c r="X56" s="5" t="s">
        <v>405</v>
      </c>
      <c r="Y56" s="4">
        <v>218</v>
      </c>
      <c r="Z56" s="4">
        <v>198</v>
      </c>
      <c r="AA56" s="4">
        <v>200</v>
      </c>
      <c r="AB56" s="4">
        <v>2</v>
      </c>
      <c r="AC56" s="4">
        <v>2</v>
      </c>
      <c r="AD56" s="4">
        <v>9</v>
      </c>
      <c r="AE56" s="4">
        <v>9</v>
      </c>
      <c r="AF56" s="4">
        <v>3</v>
      </c>
      <c r="AG56" s="4">
        <v>3</v>
      </c>
      <c r="AH56" s="4">
        <v>1</v>
      </c>
      <c r="AI56" s="4">
        <v>1</v>
      </c>
      <c r="AJ56" s="4">
        <v>3</v>
      </c>
      <c r="AK56" s="4">
        <v>3</v>
      </c>
      <c r="AL56" s="4">
        <v>1</v>
      </c>
      <c r="AM56" s="4">
        <v>1</v>
      </c>
      <c r="AN56" s="4">
        <v>1</v>
      </c>
      <c r="AO56" s="4">
        <v>1</v>
      </c>
      <c r="AP56" s="3" t="s">
        <v>51</v>
      </c>
      <c r="AQ56" s="3" t="s">
        <v>49</v>
      </c>
      <c r="AR56" s="6" t="str">
        <f>HYPERLINK("http://catalog.hathitrust.org/Record/002715799","HathiTrust Record")</f>
        <v>HathiTrust Record</v>
      </c>
      <c r="AS56" s="6" t="str">
        <f>HYPERLINK("https://creighton-primo.hosted.exlibrisgroup.com/primo-explore/search?tab=default_tab&amp;search_scope=EVERYTHING&amp;vid=01CRU&amp;lang=en_US&amp;offset=0&amp;query=any,contains,991000655579702656","Catalog Record")</f>
        <v>Catalog Record</v>
      </c>
      <c r="AT56" s="6" t="str">
        <f>HYPERLINK("http://www.worldcat.org/oclc/12214782","WorldCat Record")</f>
        <v>WorldCat Record</v>
      </c>
      <c r="AU56" s="3" t="s">
        <v>2542</v>
      </c>
      <c r="AV56" s="3" t="s">
        <v>2543</v>
      </c>
    </row>
    <row r="57" spans="1:48" ht="41.25" customHeight="1" x14ac:dyDescent="0.25">
      <c r="A57" s="8" t="s">
        <v>51</v>
      </c>
      <c r="B57" s="2" t="s">
        <v>430</v>
      </c>
      <c r="C57" s="2" t="s">
        <v>431</v>
      </c>
      <c r="D57" s="2" t="s">
        <v>432</v>
      </c>
      <c r="F57" s="3" t="s">
        <v>51</v>
      </c>
      <c r="G57" s="3" t="s">
        <v>50</v>
      </c>
      <c r="H57" s="3" t="s">
        <v>51</v>
      </c>
      <c r="I57" s="3" t="s">
        <v>51</v>
      </c>
      <c r="J57" s="3" t="s">
        <v>52</v>
      </c>
      <c r="K57" s="2" t="s">
        <v>433</v>
      </c>
      <c r="L57" s="2" t="s">
        <v>434</v>
      </c>
      <c r="M57" s="3" t="s">
        <v>103</v>
      </c>
      <c r="O57" s="3" t="s">
        <v>56</v>
      </c>
      <c r="P57" s="3" t="s">
        <v>87</v>
      </c>
      <c r="R57" s="3" t="s">
        <v>59</v>
      </c>
      <c r="S57" s="4">
        <v>1</v>
      </c>
      <c r="T57" s="4">
        <v>1</v>
      </c>
      <c r="U57" s="5" t="s">
        <v>435</v>
      </c>
      <c r="V57" s="5" t="s">
        <v>435</v>
      </c>
      <c r="W57" s="5" t="s">
        <v>71</v>
      </c>
      <c r="X57" s="5" t="s">
        <v>71</v>
      </c>
      <c r="Y57" s="4">
        <v>375</v>
      </c>
      <c r="Z57" s="4">
        <v>342</v>
      </c>
      <c r="AA57" s="4">
        <v>349</v>
      </c>
      <c r="AB57" s="4">
        <v>3</v>
      </c>
      <c r="AC57" s="4">
        <v>3</v>
      </c>
      <c r="AD57" s="4">
        <v>7</v>
      </c>
      <c r="AE57" s="4">
        <v>7</v>
      </c>
      <c r="AF57" s="4">
        <v>1</v>
      </c>
      <c r="AG57" s="4">
        <v>1</v>
      </c>
      <c r="AH57" s="4">
        <v>3</v>
      </c>
      <c r="AI57" s="4">
        <v>3</v>
      </c>
      <c r="AJ57" s="4">
        <v>3</v>
      </c>
      <c r="AK57" s="4">
        <v>3</v>
      </c>
      <c r="AL57" s="4">
        <v>1</v>
      </c>
      <c r="AM57" s="4">
        <v>1</v>
      </c>
      <c r="AN57" s="4">
        <v>0</v>
      </c>
      <c r="AO57" s="4">
        <v>0</v>
      </c>
      <c r="AP57" s="3" t="s">
        <v>51</v>
      </c>
      <c r="AQ57" s="3" t="s">
        <v>49</v>
      </c>
      <c r="AR57" s="6" t="str">
        <f>HYPERLINK("http://catalog.hathitrust.org/Record/000342873","HathiTrust Record")</f>
        <v>HathiTrust Record</v>
      </c>
      <c r="AS57" s="6" t="str">
        <f>HYPERLINK("https://creighton-primo.hosted.exlibrisgroup.com/primo-explore/search?tab=default_tab&amp;search_scope=EVERYTHING&amp;vid=01CRU&amp;lang=en_US&amp;offset=0&amp;query=any,contains,991000349869702656","Catalog Record")</f>
        <v>Catalog Record</v>
      </c>
      <c r="AT57" s="6" t="str">
        <f>HYPERLINK("http://www.worldcat.org/oclc/10300895","WorldCat Record")</f>
        <v>WorldCat Record</v>
      </c>
      <c r="AU57" s="3" t="s">
        <v>2544</v>
      </c>
      <c r="AV57" s="3" t="s">
        <v>2545</v>
      </c>
    </row>
    <row r="58" spans="1:48" ht="41.25" customHeight="1" x14ac:dyDescent="0.25">
      <c r="A58" s="8" t="s">
        <v>51</v>
      </c>
      <c r="B58" s="2" t="s">
        <v>436</v>
      </c>
      <c r="C58" s="2" t="s">
        <v>437</v>
      </c>
      <c r="D58" s="2" t="s">
        <v>438</v>
      </c>
      <c r="F58" s="3" t="s">
        <v>51</v>
      </c>
      <c r="G58" s="3" t="s">
        <v>50</v>
      </c>
      <c r="H58" s="3" t="s">
        <v>51</v>
      </c>
      <c r="I58" s="3" t="s">
        <v>51</v>
      </c>
      <c r="J58" s="3" t="s">
        <v>52</v>
      </c>
      <c r="K58" s="2" t="s">
        <v>439</v>
      </c>
      <c r="L58" s="2" t="s">
        <v>440</v>
      </c>
      <c r="M58" s="3" t="s">
        <v>319</v>
      </c>
      <c r="N58" s="2" t="s">
        <v>245</v>
      </c>
      <c r="O58" s="3" t="s">
        <v>56</v>
      </c>
      <c r="P58" s="3" t="s">
        <v>87</v>
      </c>
      <c r="R58" s="3" t="s">
        <v>59</v>
      </c>
      <c r="S58" s="4">
        <v>3</v>
      </c>
      <c r="T58" s="4">
        <v>3</v>
      </c>
      <c r="U58" s="5" t="s">
        <v>441</v>
      </c>
      <c r="V58" s="5" t="s">
        <v>441</v>
      </c>
      <c r="W58" s="5" t="s">
        <v>88</v>
      </c>
      <c r="X58" s="5" t="s">
        <v>88</v>
      </c>
      <c r="Y58" s="4">
        <v>139</v>
      </c>
      <c r="Z58" s="4">
        <v>129</v>
      </c>
      <c r="AA58" s="4">
        <v>567</v>
      </c>
      <c r="AB58" s="4">
        <v>1</v>
      </c>
      <c r="AC58" s="4">
        <v>3</v>
      </c>
      <c r="AD58" s="4">
        <v>10</v>
      </c>
      <c r="AE58" s="4">
        <v>22</v>
      </c>
      <c r="AF58" s="4">
        <v>1</v>
      </c>
      <c r="AG58" s="4">
        <v>8</v>
      </c>
      <c r="AH58" s="4">
        <v>4</v>
      </c>
      <c r="AI58" s="4">
        <v>7</v>
      </c>
      <c r="AJ58" s="4">
        <v>7</v>
      </c>
      <c r="AK58" s="4">
        <v>12</v>
      </c>
      <c r="AL58" s="4">
        <v>0</v>
      </c>
      <c r="AM58" s="4">
        <v>2</v>
      </c>
      <c r="AN58" s="4">
        <v>0</v>
      </c>
      <c r="AO58" s="4">
        <v>0</v>
      </c>
      <c r="AP58" s="3" t="s">
        <v>51</v>
      </c>
      <c r="AQ58" s="3" t="s">
        <v>51</v>
      </c>
      <c r="AS58" s="6" t="str">
        <f>HYPERLINK("https://creighton-primo.hosted.exlibrisgroup.com/primo-explore/search?tab=default_tab&amp;search_scope=EVERYTHING&amp;vid=01CRU&amp;lang=en_US&amp;offset=0&amp;query=any,contains,991005068369702656","Catalog Record")</f>
        <v>Catalog Record</v>
      </c>
      <c r="AT58" s="6" t="str">
        <f>HYPERLINK("http://www.worldcat.org/oclc/60603273","WorldCat Record")</f>
        <v>WorldCat Record</v>
      </c>
      <c r="AU58" s="3" t="s">
        <v>2546</v>
      </c>
      <c r="AV58" s="3" t="s">
        <v>2547</v>
      </c>
    </row>
    <row r="59" spans="1:48" ht="41.25" customHeight="1" x14ac:dyDescent="0.25">
      <c r="A59" s="8" t="s">
        <v>51</v>
      </c>
      <c r="B59" s="2" t="s">
        <v>442</v>
      </c>
      <c r="C59" s="2" t="s">
        <v>443</v>
      </c>
      <c r="D59" s="2" t="s">
        <v>444</v>
      </c>
      <c r="F59" s="3" t="s">
        <v>51</v>
      </c>
      <c r="G59" s="3" t="s">
        <v>50</v>
      </c>
      <c r="H59" s="3" t="s">
        <v>51</v>
      </c>
      <c r="I59" s="3" t="s">
        <v>51</v>
      </c>
      <c r="J59" s="3" t="s">
        <v>52</v>
      </c>
      <c r="K59" s="2" t="s">
        <v>445</v>
      </c>
      <c r="L59" s="2" t="s">
        <v>446</v>
      </c>
      <c r="M59" s="3" t="s">
        <v>447</v>
      </c>
      <c r="O59" s="3" t="s">
        <v>56</v>
      </c>
      <c r="P59" s="3" t="s">
        <v>448</v>
      </c>
      <c r="Q59" s="2" t="s">
        <v>449</v>
      </c>
      <c r="R59" s="3" t="s">
        <v>59</v>
      </c>
      <c r="S59" s="4">
        <v>2</v>
      </c>
      <c r="T59" s="4">
        <v>2</v>
      </c>
      <c r="U59" s="5" t="s">
        <v>450</v>
      </c>
      <c r="V59" s="5" t="s">
        <v>450</v>
      </c>
      <c r="W59" s="5" t="s">
        <v>71</v>
      </c>
      <c r="X59" s="5" t="s">
        <v>71</v>
      </c>
      <c r="Y59" s="4">
        <v>606</v>
      </c>
      <c r="Z59" s="4">
        <v>545</v>
      </c>
      <c r="AA59" s="4">
        <v>622</v>
      </c>
      <c r="AB59" s="4">
        <v>5</v>
      </c>
      <c r="AC59" s="4">
        <v>5</v>
      </c>
      <c r="AD59" s="4">
        <v>20</v>
      </c>
      <c r="AE59" s="4">
        <v>26</v>
      </c>
      <c r="AF59" s="4">
        <v>6</v>
      </c>
      <c r="AG59" s="4">
        <v>9</v>
      </c>
      <c r="AH59" s="4">
        <v>7</v>
      </c>
      <c r="AI59" s="4">
        <v>8</v>
      </c>
      <c r="AJ59" s="4">
        <v>8</v>
      </c>
      <c r="AK59" s="4">
        <v>11</v>
      </c>
      <c r="AL59" s="4">
        <v>3</v>
      </c>
      <c r="AM59" s="4">
        <v>3</v>
      </c>
      <c r="AN59" s="4">
        <v>0</v>
      </c>
      <c r="AO59" s="4">
        <v>0</v>
      </c>
      <c r="AP59" s="3" t="s">
        <v>51</v>
      </c>
      <c r="AQ59" s="3" t="s">
        <v>49</v>
      </c>
      <c r="AR59" s="6" t="str">
        <f>HYPERLINK("http://catalog.hathitrust.org/Record/002078026","HathiTrust Record")</f>
        <v>HathiTrust Record</v>
      </c>
      <c r="AS59" s="6" t="str">
        <f>HYPERLINK("https://creighton-primo.hosted.exlibrisgroup.com/primo-explore/search?tab=default_tab&amp;search_scope=EVERYTHING&amp;vid=01CRU&amp;lang=en_US&amp;offset=0&amp;query=any,contains,991002725319702656","Catalog Record")</f>
        <v>Catalog Record</v>
      </c>
      <c r="AT59" s="6" t="str">
        <f>HYPERLINK("http://www.worldcat.org/oclc/11523448","WorldCat Record")</f>
        <v>WorldCat Record</v>
      </c>
      <c r="AU59" s="3" t="s">
        <v>2548</v>
      </c>
      <c r="AV59" s="3" t="s">
        <v>2549</v>
      </c>
    </row>
    <row r="60" spans="1:48" ht="41.25" customHeight="1" x14ac:dyDescent="0.25">
      <c r="A60" s="8" t="s">
        <v>51</v>
      </c>
      <c r="B60" s="2" t="s">
        <v>451</v>
      </c>
      <c r="C60" s="2" t="s">
        <v>452</v>
      </c>
      <c r="D60" s="2" t="s">
        <v>453</v>
      </c>
      <c r="F60" s="3" t="s">
        <v>51</v>
      </c>
      <c r="G60" s="3" t="s">
        <v>50</v>
      </c>
      <c r="H60" s="3" t="s">
        <v>51</v>
      </c>
      <c r="I60" s="3" t="s">
        <v>51</v>
      </c>
      <c r="J60" s="3" t="s">
        <v>52</v>
      </c>
      <c r="K60" s="2" t="s">
        <v>454</v>
      </c>
      <c r="L60" s="2" t="s">
        <v>455</v>
      </c>
      <c r="M60" s="3" t="s">
        <v>146</v>
      </c>
      <c r="O60" s="3" t="s">
        <v>56</v>
      </c>
      <c r="P60" s="3" t="s">
        <v>79</v>
      </c>
      <c r="R60" s="3" t="s">
        <v>59</v>
      </c>
      <c r="S60" s="4">
        <v>12</v>
      </c>
      <c r="T60" s="4">
        <v>12</v>
      </c>
      <c r="U60" s="5" t="s">
        <v>456</v>
      </c>
      <c r="V60" s="5" t="s">
        <v>456</v>
      </c>
      <c r="W60" s="5" t="s">
        <v>457</v>
      </c>
      <c r="X60" s="5" t="s">
        <v>457</v>
      </c>
      <c r="Y60" s="4">
        <v>215</v>
      </c>
      <c r="Z60" s="4">
        <v>189</v>
      </c>
      <c r="AA60" s="4">
        <v>192</v>
      </c>
      <c r="AB60" s="4">
        <v>1</v>
      </c>
      <c r="AC60" s="4">
        <v>1</v>
      </c>
      <c r="AD60" s="4">
        <v>5</v>
      </c>
      <c r="AE60" s="4">
        <v>5</v>
      </c>
      <c r="AF60" s="4">
        <v>4</v>
      </c>
      <c r="AG60" s="4">
        <v>4</v>
      </c>
      <c r="AH60" s="4">
        <v>1</v>
      </c>
      <c r="AI60" s="4">
        <v>1</v>
      </c>
      <c r="AJ60" s="4">
        <v>2</v>
      </c>
      <c r="AK60" s="4">
        <v>2</v>
      </c>
      <c r="AL60" s="4">
        <v>0</v>
      </c>
      <c r="AM60" s="4">
        <v>0</v>
      </c>
      <c r="AN60" s="4">
        <v>0</v>
      </c>
      <c r="AO60" s="4">
        <v>0</v>
      </c>
      <c r="AP60" s="3" t="s">
        <v>51</v>
      </c>
      <c r="AQ60" s="3" t="s">
        <v>49</v>
      </c>
      <c r="AR60" s="6" t="str">
        <f>HYPERLINK("http://catalog.hathitrust.org/Record/000825143","HathiTrust Record")</f>
        <v>HathiTrust Record</v>
      </c>
      <c r="AS60" s="6" t="str">
        <f>HYPERLINK("https://creighton-primo.hosted.exlibrisgroup.com/primo-explore/search?tab=default_tab&amp;search_scope=EVERYTHING&amp;vid=01CRU&amp;lang=en_US&amp;offset=0&amp;query=any,contains,991000941089702656","Catalog Record")</f>
        <v>Catalog Record</v>
      </c>
      <c r="AT60" s="6" t="str">
        <f>HYPERLINK("http://www.worldcat.org/oclc/14412012","WorldCat Record")</f>
        <v>WorldCat Record</v>
      </c>
      <c r="AU60" s="3" t="s">
        <v>2550</v>
      </c>
      <c r="AV60" s="3" t="s">
        <v>2551</v>
      </c>
    </row>
    <row r="61" spans="1:48" ht="41.25" customHeight="1" x14ac:dyDescent="0.25">
      <c r="A61" s="8" t="s">
        <v>51</v>
      </c>
      <c r="B61" s="2" t="s">
        <v>458</v>
      </c>
      <c r="C61" s="2" t="s">
        <v>459</v>
      </c>
      <c r="D61" s="2" t="s">
        <v>460</v>
      </c>
      <c r="F61" s="3" t="s">
        <v>51</v>
      </c>
      <c r="G61" s="3" t="s">
        <v>50</v>
      </c>
      <c r="H61" s="3" t="s">
        <v>51</v>
      </c>
      <c r="I61" s="3" t="s">
        <v>51</v>
      </c>
      <c r="J61" s="3" t="s">
        <v>52</v>
      </c>
      <c r="K61" s="2" t="s">
        <v>461</v>
      </c>
      <c r="L61" s="2" t="s">
        <v>462</v>
      </c>
      <c r="M61" s="3" t="s">
        <v>298</v>
      </c>
      <c r="N61" s="2" t="s">
        <v>245</v>
      </c>
      <c r="O61" s="3" t="s">
        <v>56</v>
      </c>
      <c r="P61" s="3" t="s">
        <v>87</v>
      </c>
      <c r="R61" s="3" t="s">
        <v>59</v>
      </c>
      <c r="S61" s="4">
        <v>4</v>
      </c>
      <c r="T61" s="4">
        <v>4</v>
      </c>
      <c r="U61" s="5" t="s">
        <v>463</v>
      </c>
      <c r="V61" s="5" t="s">
        <v>463</v>
      </c>
      <c r="W61" s="5" t="s">
        <v>464</v>
      </c>
      <c r="X61" s="5" t="s">
        <v>464</v>
      </c>
      <c r="Y61" s="4">
        <v>448</v>
      </c>
      <c r="Z61" s="4">
        <v>432</v>
      </c>
      <c r="AA61" s="4">
        <v>563</v>
      </c>
      <c r="AB61" s="4">
        <v>4</v>
      </c>
      <c r="AC61" s="4">
        <v>6</v>
      </c>
      <c r="AD61" s="4">
        <v>8</v>
      </c>
      <c r="AE61" s="4">
        <v>12</v>
      </c>
      <c r="AF61" s="4">
        <v>1</v>
      </c>
      <c r="AG61" s="4">
        <v>2</v>
      </c>
      <c r="AH61" s="4">
        <v>3</v>
      </c>
      <c r="AI61" s="4">
        <v>4</v>
      </c>
      <c r="AJ61" s="4">
        <v>4</v>
      </c>
      <c r="AK61" s="4">
        <v>6</v>
      </c>
      <c r="AL61" s="4">
        <v>1</v>
      </c>
      <c r="AM61" s="4">
        <v>2</v>
      </c>
      <c r="AN61" s="4">
        <v>0</v>
      </c>
      <c r="AO61" s="4">
        <v>0</v>
      </c>
      <c r="AP61" s="3" t="s">
        <v>51</v>
      </c>
      <c r="AQ61" s="3" t="s">
        <v>49</v>
      </c>
      <c r="AR61" s="6" t="str">
        <f>HYPERLINK("http://catalog.hathitrust.org/Record/002559457","HathiTrust Record")</f>
        <v>HathiTrust Record</v>
      </c>
      <c r="AS61" s="6" t="str">
        <f>HYPERLINK("https://creighton-primo.hosted.exlibrisgroup.com/primo-explore/search?tab=default_tab&amp;search_scope=EVERYTHING&amp;vid=01CRU&amp;lang=en_US&amp;offset=0&amp;query=any,contains,991001964859702656","Catalog Record")</f>
        <v>Catalog Record</v>
      </c>
      <c r="AT61" s="6" t="str">
        <f>HYPERLINK("http://www.worldcat.org/oclc/24906969","WorldCat Record")</f>
        <v>WorldCat Record</v>
      </c>
      <c r="AU61" s="3" t="s">
        <v>2552</v>
      </c>
      <c r="AV61" s="3" t="s">
        <v>2553</v>
      </c>
    </row>
    <row r="62" spans="1:48" ht="41.25" customHeight="1" x14ac:dyDescent="0.25">
      <c r="A62" s="8" t="s">
        <v>51</v>
      </c>
      <c r="B62" s="2" t="s">
        <v>465</v>
      </c>
      <c r="C62" s="2" t="s">
        <v>466</v>
      </c>
      <c r="D62" s="2" t="s">
        <v>467</v>
      </c>
      <c r="F62" s="3" t="s">
        <v>51</v>
      </c>
      <c r="G62" s="3" t="s">
        <v>50</v>
      </c>
      <c r="H62" s="3" t="s">
        <v>51</v>
      </c>
      <c r="I62" s="3" t="s">
        <v>51</v>
      </c>
      <c r="J62" s="3" t="s">
        <v>52</v>
      </c>
      <c r="K62" s="2" t="s">
        <v>468</v>
      </c>
      <c r="L62" s="2" t="s">
        <v>469</v>
      </c>
      <c r="M62" s="3" t="s">
        <v>306</v>
      </c>
      <c r="O62" s="3" t="s">
        <v>56</v>
      </c>
      <c r="P62" s="3" t="s">
        <v>87</v>
      </c>
      <c r="R62" s="3" t="s">
        <v>59</v>
      </c>
      <c r="S62" s="4">
        <v>1</v>
      </c>
      <c r="T62" s="4">
        <v>1</v>
      </c>
      <c r="U62" s="5" t="s">
        <v>470</v>
      </c>
      <c r="V62" s="5" t="s">
        <v>470</v>
      </c>
      <c r="W62" s="5" t="s">
        <v>239</v>
      </c>
      <c r="X62" s="5" t="s">
        <v>239</v>
      </c>
      <c r="Y62" s="4">
        <v>946</v>
      </c>
      <c r="Z62" s="4">
        <v>881</v>
      </c>
      <c r="AA62" s="4">
        <v>932</v>
      </c>
      <c r="AB62" s="4">
        <v>11</v>
      </c>
      <c r="AC62" s="4">
        <v>11</v>
      </c>
      <c r="AD62" s="4">
        <v>26</v>
      </c>
      <c r="AE62" s="4">
        <v>26</v>
      </c>
      <c r="AF62" s="4">
        <v>7</v>
      </c>
      <c r="AG62" s="4">
        <v>7</v>
      </c>
      <c r="AH62" s="4">
        <v>5</v>
      </c>
      <c r="AI62" s="4">
        <v>5</v>
      </c>
      <c r="AJ62" s="4">
        <v>12</v>
      </c>
      <c r="AK62" s="4">
        <v>12</v>
      </c>
      <c r="AL62" s="4">
        <v>6</v>
      </c>
      <c r="AM62" s="4">
        <v>6</v>
      </c>
      <c r="AN62" s="4">
        <v>0</v>
      </c>
      <c r="AO62" s="4">
        <v>0</v>
      </c>
      <c r="AP62" s="3" t="s">
        <v>51</v>
      </c>
      <c r="AQ62" s="3" t="s">
        <v>51</v>
      </c>
      <c r="AS62" s="6" t="str">
        <f>HYPERLINK("https://creighton-primo.hosted.exlibrisgroup.com/primo-explore/search?tab=default_tab&amp;search_scope=EVERYTHING&amp;vid=01CRU&amp;lang=en_US&amp;offset=0&amp;query=any,contains,991002897399702656","Catalog Record")</f>
        <v>Catalog Record</v>
      </c>
      <c r="AT62" s="6" t="str">
        <f>HYPERLINK("http://www.worldcat.org/oclc/514772","WorldCat Record")</f>
        <v>WorldCat Record</v>
      </c>
      <c r="AU62" s="3" t="s">
        <v>2554</v>
      </c>
      <c r="AV62" s="3" t="s">
        <v>2555</v>
      </c>
    </row>
    <row r="63" spans="1:48" ht="41.25" customHeight="1" x14ac:dyDescent="0.25">
      <c r="A63" s="8" t="s">
        <v>51</v>
      </c>
      <c r="B63" s="2" t="s">
        <v>471</v>
      </c>
      <c r="C63" s="2" t="s">
        <v>472</v>
      </c>
      <c r="D63" s="2" t="s">
        <v>473</v>
      </c>
      <c r="F63" s="3" t="s">
        <v>51</v>
      </c>
      <c r="G63" s="3" t="s">
        <v>50</v>
      </c>
      <c r="H63" s="3" t="s">
        <v>51</v>
      </c>
      <c r="I63" s="3" t="s">
        <v>51</v>
      </c>
      <c r="J63" s="3" t="s">
        <v>52</v>
      </c>
      <c r="K63" s="2" t="s">
        <v>474</v>
      </c>
      <c r="L63" s="2" t="s">
        <v>475</v>
      </c>
      <c r="M63" s="3" t="s">
        <v>121</v>
      </c>
      <c r="O63" s="3" t="s">
        <v>56</v>
      </c>
      <c r="P63" s="3" t="s">
        <v>476</v>
      </c>
      <c r="R63" s="3" t="s">
        <v>59</v>
      </c>
      <c r="S63" s="4">
        <v>1</v>
      </c>
      <c r="T63" s="4">
        <v>1</v>
      </c>
      <c r="U63" s="5" t="s">
        <v>477</v>
      </c>
      <c r="V63" s="5" t="s">
        <v>477</v>
      </c>
      <c r="W63" s="5" t="s">
        <v>477</v>
      </c>
      <c r="X63" s="5" t="s">
        <v>477</v>
      </c>
      <c r="Y63" s="4">
        <v>172</v>
      </c>
      <c r="Z63" s="4">
        <v>168</v>
      </c>
      <c r="AA63" s="4">
        <v>173</v>
      </c>
      <c r="AB63" s="4">
        <v>3</v>
      </c>
      <c r="AC63" s="4">
        <v>3</v>
      </c>
      <c r="AD63" s="4">
        <v>3</v>
      </c>
      <c r="AE63" s="4">
        <v>3</v>
      </c>
      <c r="AF63" s="4">
        <v>0</v>
      </c>
      <c r="AG63" s="4">
        <v>0</v>
      </c>
      <c r="AH63" s="4">
        <v>0</v>
      </c>
      <c r="AI63" s="4">
        <v>0</v>
      </c>
      <c r="AJ63" s="4">
        <v>1</v>
      </c>
      <c r="AK63" s="4">
        <v>1</v>
      </c>
      <c r="AL63" s="4">
        <v>2</v>
      </c>
      <c r="AM63" s="4">
        <v>2</v>
      </c>
      <c r="AN63" s="4">
        <v>0</v>
      </c>
      <c r="AO63" s="4">
        <v>0</v>
      </c>
      <c r="AP63" s="3" t="s">
        <v>51</v>
      </c>
      <c r="AQ63" s="3" t="s">
        <v>51</v>
      </c>
      <c r="AS63" s="6" t="str">
        <f>HYPERLINK("https://creighton-primo.hosted.exlibrisgroup.com/primo-explore/search?tab=default_tab&amp;search_scope=EVERYTHING&amp;vid=01CRU&amp;lang=en_US&amp;offset=0&amp;query=any,contains,991004703899702656","Catalog Record")</f>
        <v>Catalog Record</v>
      </c>
      <c r="AT63" s="6" t="str">
        <f>HYPERLINK("http://www.worldcat.org/oclc/509802","WorldCat Record")</f>
        <v>WorldCat Record</v>
      </c>
      <c r="AU63" s="3" t="s">
        <v>2556</v>
      </c>
      <c r="AV63" s="3" t="s">
        <v>2557</v>
      </c>
    </row>
    <row r="64" spans="1:48" ht="41.25" customHeight="1" x14ac:dyDescent="0.25">
      <c r="A64" s="8" t="s">
        <v>51</v>
      </c>
      <c r="B64" s="2" t="s">
        <v>478</v>
      </c>
      <c r="C64" s="2" t="s">
        <v>479</v>
      </c>
      <c r="D64" s="2" t="s">
        <v>480</v>
      </c>
      <c r="F64" s="3" t="s">
        <v>51</v>
      </c>
      <c r="G64" s="3" t="s">
        <v>50</v>
      </c>
      <c r="H64" s="3" t="s">
        <v>51</v>
      </c>
      <c r="I64" s="3" t="s">
        <v>51</v>
      </c>
      <c r="J64" s="3" t="s">
        <v>52</v>
      </c>
      <c r="K64" s="2" t="s">
        <v>481</v>
      </c>
      <c r="L64" s="2" t="s">
        <v>482</v>
      </c>
      <c r="M64" s="3" t="s">
        <v>271</v>
      </c>
      <c r="N64" s="2" t="s">
        <v>483</v>
      </c>
      <c r="O64" s="3" t="s">
        <v>56</v>
      </c>
      <c r="P64" s="3" t="s">
        <v>87</v>
      </c>
      <c r="R64" s="3" t="s">
        <v>59</v>
      </c>
      <c r="S64" s="4">
        <v>1</v>
      </c>
      <c r="T64" s="4">
        <v>1</v>
      </c>
      <c r="U64" s="5" t="s">
        <v>484</v>
      </c>
      <c r="V64" s="5" t="s">
        <v>484</v>
      </c>
      <c r="W64" s="5" t="s">
        <v>485</v>
      </c>
      <c r="X64" s="5" t="s">
        <v>485</v>
      </c>
      <c r="Y64" s="4">
        <v>64</v>
      </c>
      <c r="Z64" s="4">
        <v>59</v>
      </c>
      <c r="AA64" s="4">
        <v>70</v>
      </c>
      <c r="AB64" s="4">
        <v>2</v>
      </c>
      <c r="AC64" s="4">
        <v>2</v>
      </c>
      <c r="AD64" s="4">
        <v>1</v>
      </c>
      <c r="AE64" s="4">
        <v>1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1</v>
      </c>
      <c r="AM64" s="4">
        <v>1</v>
      </c>
      <c r="AN64" s="4">
        <v>0</v>
      </c>
      <c r="AO64" s="4">
        <v>0</v>
      </c>
      <c r="AP64" s="3" t="s">
        <v>51</v>
      </c>
      <c r="AQ64" s="3" t="s">
        <v>49</v>
      </c>
      <c r="AR64" s="6" t="str">
        <f>HYPERLINK("http://catalog.hathitrust.org/Record/006156421","HathiTrust Record")</f>
        <v>HathiTrust Record</v>
      </c>
      <c r="AS64" s="6" t="str">
        <f>HYPERLINK("https://creighton-primo.hosted.exlibrisgroup.com/primo-explore/search?tab=default_tab&amp;search_scope=EVERYTHING&amp;vid=01CRU&amp;lang=en_US&amp;offset=0&amp;query=any,contains,991003788289702656","Catalog Record")</f>
        <v>Catalog Record</v>
      </c>
      <c r="AT64" s="6" t="str">
        <f>HYPERLINK("http://www.worldcat.org/oclc/1504817","WorldCat Record")</f>
        <v>WorldCat Record</v>
      </c>
      <c r="AU64" s="3" t="s">
        <v>2558</v>
      </c>
      <c r="AV64" s="3" t="s">
        <v>2559</v>
      </c>
    </row>
    <row r="65" spans="1:48" ht="41.25" customHeight="1" x14ac:dyDescent="0.25">
      <c r="A65" s="8" t="s">
        <v>51</v>
      </c>
      <c r="B65" s="2" t="s">
        <v>486</v>
      </c>
      <c r="C65" s="2" t="s">
        <v>487</v>
      </c>
      <c r="D65" s="2" t="s">
        <v>488</v>
      </c>
      <c r="F65" s="3" t="s">
        <v>51</v>
      </c>
      <c r="G65" s="3" t="s">
        <v>50</v>
      </c>
      <c r="H65" s="3" t="s">
        <v>51</v>
      </c>
      <c r="I65" s="3" t="s">
        <v>51</v>
      </c>
      <c r="J65" s="3" t="s">
        <v>52</v>
      </c>
      <c r="K65" s="2" t="s">
        <v>489</v>
      </c>
      <c r="L65" s="2" t="s">
        <v>490</v>
      </c>
      <c r="M65" s="3" t="s">
        <v>271</v>
      </c>
      <c r="O65" s="3" t="s">
        <v>56</v>
      </c>
      <c r="P65" s="3" t="s">
        <v>491</v>
      </c>
      <c r="R65" s="3" t="s">
        <v>59</v>
      </c>
      <c r="S65" s="4">
        <v>3</v>
      </c>
      <c r="T65" s="4">
        <v>3</v>
      </c>
      <c r="U65" s="5" t="s">
        <v>492</v>
      </c>
      <c r="V65" s="5" t="s">
        <v>492</v>
      </c>
      <c r="W65" s="5" t="s">
        <v>485</v>
      </c>
      <c r="X65" s="5" t="s">
        <v>485</v>
      </c>
      <c r="Y65" s="4">
        <v>14</v>
      </c>
      <c r="Z65" s="4">
        <v>11</v>
      </c>
      <c r="AA65" s="4">
        <v>18</v>
      </c>
      <c r="AB65" s="4">
        <v>1</v>
      </c>
      <c r="AC65" s="4">
        <v>1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3" t="s">
        <v>51</v>
      </c>
      <c r="AQ65" s="3" t="s">
        <v>51</v>
      </c>
      <c r="AS65" s="6" t="str">
        <f>HYPERLINK("https://creighton-primo.hosted.exlibrisgroup.com/primo-explore/search?tab=default_tab&amp;search_scope=EVERYTHING&amp;vid=01CRU&amp;lang=en_US&amp;offset=0&amp;query=any,contains,991004807409702656","Catalog Record")</f>
        <v>Catalog Record</v>
      </c>
      <c r="AT65" s="6" t="str">
        <f>HYPERLINK("http://www.worldcat.org/oclc/5262713","WorldCat Record")</f>
        <v>WorldCat Record</v>
      </c>
      <c r="AU65" s="3" t="s">
        <v>2560</v>
      </c>
      <c r="AV65" s="3" t="s">
        <v>2561</v>
      </c>
    </row>
    <row r="66" spans="1:48" ht="41.25" customHeight="1" x14ac:dyDescent="0.25">
      <c r="A66" s="8" t="s">
        <v>51</v>
      </c>
      <c r="B66" s="2" t="s">
        <v>493</v>
      </c>
      <c r="C66" s="2" t="s">
        <v>494</v>
      </c>
      <c r="D66" s="2" t="s">
        <v>495</v>
      </c>
      <c r="F66" s="3" t="s">
        <v>51</v>
      </c>
      <c r="G66" s="3" t="s">
        <v>50</v>
      </c>
      <c r="H66" s="3" t="s">
        <v>51</v>
      </c>
      <c r="I66" s="3" t="s">
        <v>51</v>
      </c>
      <c r="J66" s="3" t="s">
        <v>52</v>
      </c>
      <c r="K66" s="2" t="s">
        <v>496</v>
      </c>
      <c r="L66" s="2" t="s">
        <v>497</v>
      </c>
      <c r="M66" s="3" t="s">
        <v>498</v>
      </c>
      <c r="N66" s="2" t="s">
        <v>499</v>
      </c>
      <c r="O66" s="3" t="s">
        <v>255</v>
      </c>
      <c r="P66" s="3" t="s">
        <v>256</v>
      </c>
      <c r="Q66" s="2" t="s">
        <v>500</v>
      </c>
      <c r="R66" s="3" t="s">
        <v>59</v>
      </c>
      <c r="S66" s="4">
        <v>1</v>
      </c>
      <c r="T66" s="4">
        <v>1</v>
      </c>
      <c r="U66" s="5" t="s">
        <v>501</v>
      </c>
      <c r="V66" s="5" t="s">
        <v>501</v>
      </c>
      <c r="W66" s="5" t="s">
        <v>502</v>
      </c>
      <c r="X66" s="5" t="s">
        <v>502</v>
      </c>
      <c r="Y66" s="4">
        <v>6</v>
      </c>
      <c r="Z66" s="4">
        <v>6</v>
      </c>
      <c r="AA66" s="4">
        <v>35</v>
      </c>
      <c r="AB66" s="4">
        <v>1</v>
      </c>
      <c r="AC66" s="4">
        <v>1</v>
      </c>
      <c r="AD66" s="4">
        <v>0</v>
      </c>
      <c r="AE66" s="4">
        <v>1</v>
      </c>
      <c r="AF66" s="4">
        <v>0</v>
      </c>
      <c r="AG66" s="4">
        <v>0</v>
      </c>
      <c r="AH66" s="4">
        <v>0</v>
      </c>
      <c r="AI66" s="4">
        <v>1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3" t="s">
        <v>51</v>
      </c>
      <c r="AQ66" s="3" t="s">
        <v>51</v>
      </c>
      <c r="AS66" s="6" t="str">
        <f>HYPERLINK("https://creighton-primo.hosted.exlibrisgroup.com/primo-explore/search?tab=default_tab&amp;search_scope=EVERYTHING&amp;vid=01CRU&amp;lang=en_US&amp;offset=0&amp;query=any,contains,991003813349702656","Catalog Record")</f>
        <v>Catalog Record</v>
      </c>
      <c r="AT66" s="6" t="str">
        <f>HYPERLINK("http://www.worldcat.org/oclc/49702527","WorldCat Record")</f>
        <v>WorldCat Record</v>
      </c>
      <c r="AU66" s="3" t="s">
        <v>2562</v>
      </c>
      <c r="AV66" s="3" t="s">
        <v>2563</v>
      </c>
    </row>
    <row r="67" spans="1:48" ht="41.25" customHeight="1" x14ac:dyDescent="0.25">
      <c r="A67" s="8" t="s">
        <v>51</v>
      </c>
      <c r="B67" s="2" t="s">
        <v>503</v>
      </c>
      <c r="C67" s="2" t="s">
        <v>504</v>
      </c>
      <c r="D67" s="2" t="s">
        <v>505</v>
      </c>
      <c r="F67" s="3" t="s">
        <v>51</v>
      </c>
      <c r="G67" s="3" t="s">
        <v>50</v>
      </c>
      <c r="H67" s="3" t="s">
        <v>51</v>
      </c>
      <c r="I67" s="3" t="s">
        <v>51</v>
      </c>
      <c r="J67" s="3" t="s">
        <v>52</v>
      </c>
      <c r="L67" s="2" t="s">
        <v>506</v>
      </c>
      <c r="M67" s="3" t="s">
        <v>86</v>
      </c>
      <c r="O67" s="3" t="s">
        <v>56</v>
      </c>
      <c r="P67" s="3" t="s">
        <v>113</v>
      </c>
      <c r="R67" s="3" t="s">
        <v>59</v>
      </c>
      <c r="S67" s="4">
        <v>4</v>
      </c>
      <c r="T67" s="4">
        <v>4</v>
      </c>
      <c r="U67" s="5" t="s">
        <v>507</v>
      </c>
      <c r="V67" s="5" t="s">
        <v>507</v>
      </c>
      <c r="W67" s="5" t="s">
        <v>348</v>
      </c>
      <c r="X67" s="5" t="s">
        <v>348</v>
      </c>
      <c r="Y67" s="4">
        <v>322</v>
      </c>
      <c r="Z67" s="4">
        <v>179</v>
      </c>
      <c r="AA67" s="4">
        <v>180</v>
      </c>
      <c r="AB67" s="4">
        <v>3</v>
      </c>
      <c r="AC67" s="4">
        <v>3</v>
      </c>
      <c r="AD67" s="4">
        <v>9</v>
      </c>
      <c r="AE67" s="4">
        <v>9</v>
      </c>
      <c r="AF67" s="4">
        <v>1</v>
      </c>
      <c r="AG67" s="4">
        <v>1</v>
      </c>
      <c r="AH67" s="4">
        <v>6</v>
      </c>
      <c r="AI67" s="4">
        <v>6</v>
      </c>
      <c r="AJ67" s="4">
        <v>2</v>
      </c>
      <c r="AK67" s="4">
        <v>2</v>
      </c>
      <c r="AL67" s="4">
        <v>2</v>
      </c>
      <c r="AM67" s="4">
        <v>2</v>
      </c>
      <c r="AN67" s="4">
        <v>0</v>
      </c>
      <c r="AO67" s="4">
        <v>0</v>
      </c>
      <c r="AP67" s="3" t="s">
        <v>51</v>
      </c>
      <c r="AQ67" s="3" t="s">
        <v>51</v>
      </c>
      <c r="AS67" s="6" t="str">
        <f>HYPERLINK("https://creighton-primo.hosted.exlibrisgroup.com/primo-explore/search?tab=default_tab&amp;search_scope=EVERYTHING&amp;vid=01CRU&amp;lang=en_US&amp;offset=0&amp;query=any,contains,991001261599702656","Catalog Record")</f>
        <v>Catalog Record</v>
      </c>
      <c r="AT67" s="6" t="str">
        <f>HYPERLINK("http://www.worldcat.org/oclc/17768674","WorldCat Record")</f>
        <v>WorldCat Record</v>
      </c>
      <c r="AU67" s="3" t="s">
        <v>2564</v>
      </c>
      <c r="AV67" s="3" t="s">
        <v>2565</v>
      </c>
    </row>
    <row r="68" spans="1:48" ht="41.25" customHeight="1" x14ac:dyDescent="0.25">
      <c r="A68" s="8" t="s">
        <v>51</v>
      </c>
      <c r="B68" s="2" t="s">
        <v>508</v>
      </c>
      <c r="C68" s="2" t="s">
        <v>509</v>
      </c>
      <c r="D68" s="2" t="s">
        <v>510</v>
      </c>
      <c r="F68" s="3" t="s">
        <v>51</v>
      </c>
      <c r="G68" s="3" t="s">
        <v>50</v>
      </c>
      <c r="H68" s="3" t="s">
        <v>51</v>
      </c>
      <c r="I68" s="3" t="s">
        <v>51</v>
      </c>
      <c r="J68" s="3" t="s">
        <v>52</v>
      </c>
      <c r="L68" s="2" t="s">
        <v>511</v>
      </c>
      <c r="M68" s="3" t="s">
        <v>129</v>
      </c>
      <c r="O68" s="3" t="s">
        <v>56</v>
      </c>
      <c r="P68" s="3" t="s">
        <v>113</v>
      </c>
      <c r="R68" s="3" t="s">
        <v>59</v>
      </c>
      <c r="S68" s="4">
        <v>15</v>
      </c>
      <c r="T68" s="4">
        <v>15</v>
      </c>
      <c r="U68" s="5" t="s">
        <v>512</v>
      </c>
      <c r="V68" s="5" t="s">
        <v>512</v>
      </c>
      <c r="W68" s="5" t="s">
        <v>485</v>
      </c>
      <c r="X68" s="5" t="s">
        <v>485</v>
      </c>
      <c r="Y68" s="4">
        <v>410</v>
      </c>
      <c r="Z68" s="4">
        <v>304</v>
      </c>
      <c r="AA68" s="4">
        <v>309</v>
      </c>
      <c r="AB68" s="4">
        <v>2</v>
      </c>
      <c r="AC68" s="4">
        <v>2</v>
      </c>
      <c r="AD68" s="4">
        <v>13</v>
      </c>
      <c r="AE68" s="4">
        <v>13</v>
      </c>
      <c r="AF68" s="4">
        <v>3</v>
      </c>
      <c r="AG68" s="4">
        <v>3</v>
      </c>
      <c r="AH68" s="4">
        <v>4</v>
      </c>
      <c r="AI68" s="4">
        <v>4</v>
      </c>
      <c r="AJ68" s="4">
        <v>8</v>
      </c>
      <c r="AK68" s="4">
        <v>8</v>
      </c>
      <c r="AL68" s="4">
        <v>1</v>
      </c>
      <c r="AM68" s="4">
        <v>1</v>
      </c>
      <c r="AN68" s="4">
        <v>0</v>
      </c>
      <c r="AO68" s="4">
        <v>0</v>
      </c>
      <c r="AP68" s="3" t="s">
        <v>51</v>
      </c>
      <c r="AQ68" s="3" t="s">
        <v>51</v>
      </c>
      <c r="AS68" s="6" t="str">
        <f>HYPERLINK("https://creighton-primo.hosted.exlibrisgroup.com/primo-explore/search?tab=default_tab&amp;search_scope=EVERYTHING&amp;vid=01CRU&amp;lang=en_US&amp;offset=0&amp;query=any,contains,991000464329702656","Catalog Record")</f>
        <v>Catalog Record</v>
      </c>
      <c r="AT68" s="6" t="str">
        <f>HYPERLINK("http://www.worldcat.org/oclc/10949627","WorldCat Record")</f>
        <v>WorldCat Record</v>
      </c>
      <c r="AU68" s="3" t="s">
        <v>2566</v>
      </c>
      <c r="AV68" s="3" t="s">
        <v>2567</v>
      </c>
    </row>
    <row r="69" spans="1:48" ht="41.25" customHeight="1" x14ac:dyDescent="0.25">
      <c r="A69" s="8" t="s">
        <v>51</v>
      </c>
      <c r="B69" s="2" t="s">
        <v>513</v>
      </c>
      <c r="C69" s="2" t="s">
        <v>514</v>
      </c>
      <c r="D69" s="2" t="s">
        <v>515</v>
      </c>
      <c r="F69" s="3" t="s">
        <v>51</v>
      </c>
      <c r="G69" s="3" t="s">
        <v>50</v>
      </c>
      <c r="H69" s="3" t="s">
        <v>51</v>
      </c>
      <c r="I69" s="3" t="s">
        <v>51</v>
      </c>
      <c r="J69" s="3" t="s">
        <v>52</v>
      </c>
      <c r="L69" s="2" t="s">
        <v>516</v>
      </c>
      <c r="M69" s="3" t="s">
        <v>129</v>
      </c>
      <c r="O69" s="3" t="s">
        <v>56</v>
      </c>
      <c r="P69" s="3" t="s">
        <v>113</v>
      </c>
      <c r="R69" s="3" t="s">
        <v>59</v>
      </c>
      <c r="S69" s="4">
        <v>3</v>
      </c>
      <c r="T69" s="4">
        <v>3</v>
      </c>
      <c r="U69" s="5" t="s">
        <v>365</v>
      </c>
      <c r="V69" s="5" t="s">
        <v>365</v>
      </c>
      <c r="W69" s="5" t="s">
        <v>360</v>
      </c>
      <c r="X69" s="5" t="s">
        <v>360</v>
      </c>
      <c r="Y69" s="4">
        <v>305</v>
      </c>
      <c r="Z69" s="4">
        <v>200</v>
      </c>
      <c r="AA69" s="4">
        <v>207</v>
      </c>
      <c r="AB69" s="4">
        <v>2</v>
      </c>
      <c r="AC69" s="4">
        <v>2</v>
      </c>
      <c r="AD69" s="4">
        <v>6</v>
      </c>
      <c r="AE69" s="4">
        <v>6</v>
      </c>
      <c r="AF69" s="4">
        <v>0</v>
      </c>
      <c r="AG69" s="4">
        <v>0</v>
      </c>
      <c r="AH69" s="4">
        <v>3</v>
      </c>
      <c r="AI69" s="4">
        <v>3</v>
      </c>
      <c r="AJ69" s="4">
        <v>4</v>
      </c>
      <c r="AK69" s="4">
        <v>4</v>
      </c>
      <c r="AL69" s="4">
        <v>1</v>
      </c>
      <c r="AM69" s="4">
        <v>1</v>
      </c>
      <c r="AN69" s="4">
        <v>0</v>
      </c>
      <c r="AO69" s="4">
        <v>0</v>
      </c>
      <c r="AP69" s="3" t="s">
        <v>51</v>
      </c>
      <c r="AQ69" s="3" t="s">
        <v>49</v>
      </c>
      <c r="AR69" s="6" t="str">
        <f>HYPERLINK("http://catalog.hathitrust.org/Record/000575312","HathiTrust Record")</f>
        <v>HathiTrust Record</v>
      </c>
      <c r="AS69" s="6" t="str">
        <f>HYPERLINK("https://creighton-primo.hosted.exlibrisgroup.com/primo-explore/search?tab=default_tab&amp;search_scope=EVERYTHING&amp;vid=01CRU&amp;lang=en_US&amp;offset=0&amp;query=any,contains,991000509999702656","Catalog Record")</f>
        <v>Catalog Record</v>
      </c>
      <c r="AT69" s="6" t="str">
        <f>HYPERLINK("http://www.worldcat.org/oclc/11234895","WorldCat Record")</f>
        <v>WorldCat Record</v>
      </c>
      <c r="AU69" s="3" t="s">
        <v>2568</v>
      </c>
      <c r="AV69" s="3" t="s">
        <v>2569</v>
      </c>
    </row>
    <row r="70" spans="1:48" ht="41.25" customHeight="1" x14ac:dyDescent="0.25">
      <c r="A70" s="8" t="s">
        <v>51</v>
      </c>
      <c r="B70" s="2" t="s">
        <v>517</v>
      </c>
      <c r="C70" s="2" t="s">
        <v>518</v>
      </c>
      <c r="D70" s="2" t="s">
        <v>519</v>
      </c>
      <c r="F70" s="3" t="s">
        <v>51</v>
      </c>
      <c r="G70" s="3" t="s">
        <v>50</v>
      </c>
      <c r="H70" s="3" t="s">
        <v>51</v>
      </c>
      <c r="I70" s="3" t="s">
        <v>51</v>
      </c>
      <c r="J70" s="3" t="s">
        <v>52</v>
      </c>
      <c r="K70" s="2" t="s">
        <v>520</v>
      </c>
      <c r="L70" s="2" t="s">
        <v>521</v>
      </c>
      <c r="M70" s="3" t="s">
        <v>271</v>
      </c>
      <c r="O70" s="3" t="s">
        <v>56</v>
      </c>
      <c r="P70" s="3" t="s">
        <v>113</v>
      </c>
      <c r="Q70" s="2" t="s">
        <v>522</v>
      </c>
      <c r="R70" s="3" t="s">
        <v>59</v>
      </c>
      <c r="S70" s="4">
        <v>3</v>
      </c>
      <c r="T70" s="4">
        <v>3</v>
      </c>
      <c r="U70" s="5" t="s">
        <v>523</v>
      </c>
      <c r="V70" s="5" t="s">
        <v>523</v>
      </c>
      <c r="W70" s="5" t="s">
        <v>485</v>
      </c>
      <c r="X70" s="5" t="s">
        <v>485</v>
      </c>
      <c r="Y70" s="4">
        <v>463</v>
      </c>
      <c r="Z70" s="4">
        <v>239</v>
      </c>
      <c r="AA70" s="4">
        <v>241</v>
      </c>
      <c r="AB70" s="4">
        <v>2</v>
      </c>
      <c r="AC70" s="4">
        <v>2</v>
      </c>
      <c r="AD70" s="4">
        <v>7</v>
      </c>
      <c r="AE70" s="4">
        <v>7</v>
      </c>
      <c r="AF70" s="4">
        <v>3</v>
      </c>
      <c r="AG70" s="4">
        <v>3</v>
      </c>
      <c r="AH70" s="4">
        <v>3</v>
      </c>
      <c r="AI70" s="4">
        <v>3</v>
      </c>
      <c r="AJ70" s="4">
        <v>3</v>
      </c>
      <c r="AK70" s="4">
        <v>3</v>
      </c>
      <c r="AL70" s="4">
        <v>1</v>
      </c>
      <c r="AM70" s="4">
        <v>1</v>
      </c>
      <c r="AN70" s="4">
        <v>0</v>
      </c>
      <c r="AO70" s="4">
        <v>0</v>
      </c>
      <c r="AP70" s="3" t="s">
        <v>51</v>
      </c>
      <c r="AQ70" s="3" t="s">
        <v>49</v>
      </c>
      <c r="AR70" s="6" t="str">
        <f>HYPERLINK("http://catalog.hathitrust.org/Record/000745804","HathiTrust Record")</f>
        <v>HathiTrust Record</v>
      </c>
      <c r="AS70" s="6" t="str">
        <f>HYPERLINK("https://creighton-primo.hosted.exlibrisgroup.com/primo-explore/search?tab=default_tab&amp;search_scope=EVERYTHING&amp;vid=01CRU&amp;lang=en_US&amp;offset=0&amp;query=any,contains,991004129929702656","Catalog Record")</f>
        <v>Catalog Record</v>
      </c>
      <c r="AT70" s="6" t="str">
        <f>HYPERLINK("http://www.worldcat.org/oclc/2464630","WorldCat Record")</f>
        <v>WorldCat Record</v>
      </c>
      <c r="AU70" s="3" t="s">
        <v>2570</v>
      </c>
      <c r="AV70" s="3" t="s">
        <v>2571</v>
      </c>
    </row>
    <row r="71" spans="1:48" ht="41.25" customHeight="1" x14ac:dyDescent="0.25">
      <c r="A71" s="8" t="s">
        <v>51</v>
      </c>
      <c r="B71" s="2" t="s">
        <v>524</v>
      </c>
      <c r="C71" s="2" t="s">
        <v>525</v>
      </c>
      <c r="D71" s="2" t="s">
        <v>526</v>
      </c>
      <c r="F71" s="3" t="s">
        <v>51</v>
      </c>
      <c r="G71" s="3" t="s">
        <v>50</v>
      </c>
      <c r="H71" s="3" t="s">
        <v>51</v>
      </c>
      <c r="I71" s="3" t="s">
        <v>51</v>
      </c>
      <c r="J71" s="3" t="s">
        <v>52</v>
      </c>
      <c r="L71" s="2" t="s">
        <v>527</v>
      </c>
      <c r="M71" s="3" t="s">
        <v>271</v>
      </c>
      <c r="O71" s="3" t="s">
        <v>56</v>
      </c>
      <c r="P71" s="3" t="s">
        <v>87</v>
      </c>
      <c r="R71" s="3" t="s">
        <v>59</v>
      </c>
      <c r="S71" s="4">
        <v>2</v>
      </c>
      <c r="T71" s="4">
        <v>2</v>
      </c>
      <c r="U71" s="5" t="s">
        <v>411</v>
      </c>
      <c r="V71" s="5" t="s">
        <v>411</v>
      </c>
      <c r="W71" s="5" t="s">
        <v>239</v>
      </c>
      <c r="X71" s="5" t="s">
        <v>239</v>
      </c>
      <c r="Y71" s="4">
        <v>249</v>
      </c>
      <c r="Z71" s="4">
        <v>213</v>
      </c>
      <c r="AA71" s="4">
        <v>250</v>
      </c>
      <c r="AB71" s="4">
        <v>2</v>
      </c>
      <c r="AC71" s="4">
        <v>2</v>
      </c>
      <c r="AD71" s="4">
        <v>7</v>
      </c>
      <c r="AE71" s="4">
        <v>8</v>
      </c>
      <c r="AF71" s="4">
        <v>0</v>
      </c>
      <c r="AG71" s="4">
        <v>1</v>
      </c>
      <c r="AH71" s="4">
        <v>3</v>
      </c>
      <c r="AI71" s="4">
        <v>3</v>
      </c>
      <c r="AJ71" s="4">
        <v>4</v>
      </c>
      <c r="AK71" s="4">
        <v>4</v>
      </c>
      <c r="AL71" s="4">
        <v>1</v>
      </c>
      <c r="AM71" s="4">
        <v>1</v>
      </c>
      <c r="AN71" s="4">
        <v>0</v>
      </c>
      <c r="AO71" s="4">
        <v>0</v>
      </c>
      <c r="AP71" s="3" t="s">
        <v>51</v>
      </c>
      <c r="AQ71" s="3" t="s">
        <v>49</v>
      </c>
      <c r="AR71" s="6" t="str">
        <f>HYPERLINK("http://catalog.hathitrust.org/Record/000725994","HathiTrust Record")</f>
        <v>HathiTrust Record</v>
      </c>
      <c r="AS71" s="6" t="str">
        <f>HYPERLINK("https://creighton-primo.hosted.exlibrisgroup.com/primo-explore/search?tab=default_tab&amp;search_scope=EVERYTHING&amp;vid=01CRU&amp;lang=en_US&amp;offset=0&amp;query=any,contains,991004103459702656","Catalog Record")</f>
        <v>Catalog Record</v>
      </c>
      <c r="AT71" s="6" t="str">
        <f>HYPERLINK("http://www.worldcat.org/oclc/2373412","WorldCat Record")</f>
        <v>WorldCat Record</v>
      </c>
      <c r="AU71" s="3" t="s">
        <v>2572</v>
      </c>
      <c r="AV71" s="3" t="s">
        <v>2573</v>
      </c>
    </row>
    <row r="72" spans="1:48" ht="41.25" customHeight="1" x14ac:dyDescent="0.25">
      <c r="A72" s="8" t="s">
        <v>51</v>
      </c>
      <c r="B72" s="2" t="s">
        <v>528</v>
      </c>
      <c r="C72" s="2" t="s">
        <v>529</v>
      </c>
      <c r="D72" s="2" t="s">
        <v>530</v>
      </c>
      <c r="F72" s="3" t="s">
        <v>51</v>
      </c>
      <c r="G72" s="3" t="s">
        <v>50</v>
      </c>
      <c r="H72" s="3" t="s">
        <v>51</v>
      </c>
      <c r="I72" s="3" t="s">
        <v>51</v>
      </c>
      <c r="J72" s="3" t="s">
        <v>52</v>
      </c>
      <c r="K72" s="2" t="s">
        <v>531</v>
      </c>
      <c r="L72" s="2" t="s">
        <v>532</v>
      </c>
      <c r="M72" s="3" t="s">
        <v>211</v>
      </c>
      <c r="O72" s="3" t="s">
        <v>56</v>
      </c>
      <c r="P72" s="3" t="s">
        <v>87</v>
      </c>
      <c r="R72" s="3" t="s">
        <v>59</v>
      </c>
      <c r="S72" s="4">
        <v>11</v>
      </c>
      <c r="T72" s="4">
        <v>11</v>
      </c>
      <c r="U72" s="5" t="s">
        <v>383</v>
      </c>
      <c r="V72" s="5" t="s">
        <v>383</v>
      </c>
      <c r="W72" s="5" t="s">
        <v>340</v>
      </c>
      <c r="X72" s="5" t="s">
        <v>340</v>
      </c>
      <c r="Y72" s="4">
        <v>262</v>
      </c>
      <c r="Z72" s="4">
        <v>228</v>
      </c>
      <c r="AA72" s="4">
        <v>270</v>
      </c>
      <c r="AB72" s="4">
        <v>2</v>
      </c>
      <c r="AC72" s="4">
        <v>2</v>
      </c>
      <c r="AD72" s="4">
        <v>8</v>
      </c>
      <c r="AE72" s="4">
        <v>8</v>
      </c>
      <c r="AF72" s="4">
        <v>2</v>
      </c>
      <c r="AG72" s="4">
        <v>2</v>
      </c>
      <c r="AH72" s="4">
        <v>2</v>
      </c>
      <c r="AI72" s="4">
        <v>2</v>
      </c>
      <c r="AJ72" s="4">
        <v>3</v>
      </c>
      <c r="AK72" s="4">
        <v>3</v>
      </c>
      <c r="AL72" s="4">
        <v>1</v>
      </c>
      <c r="AM72" s="4">
        <v>1</v>
      </c>
      <c r="AN72" s="4">
        <v>0</v>
      </c>
      <c r="AO72" s="4">
        <v>0</v>
      </c>
      <c r="AP72" s="3" t="s">
        <v>51</v>
      </c>
      <c r="AQ72" s="3" t="s">
        <v>49</v>
      </c>
      <c r="AR72" s="6" t="str">
        <f>HYPERLINK("http://catalog.hathitrust.org/Record/000027844","HathiTrust Record")</f>
        <v>HathiTrust Record</v>
      </c>
      <c r="AS72" s="6" t="str">
        <f>HYPERLINK("https://creighton-primo.hosted.exlibrisgroup.com/primo-explore/search?tab=default_tab&amp;search_scope=EVERYTHING&amp;vid=01CRU&amp;lang=en_US&amp;offset=0&amp;query=any,contains,991004688699702656","Catalog Record")</f>
        <v>Catalog Record</v>
      </c>
      <c r="AT72" s="6" t="str">
        <f>HYPERLINK("http://www.worldcat.org/oclc/4593727","WorldCat Record")</f>
        <v>WorldCat Record</v>
      </c>
      <c r="AU72" s="3" t="s">
        <v>2574</v>
      </c>
      <c r="AV72" s="3" t="s">
        <v>2575</v>
      </c>
    </row>
    <row r="73" spans="1:48" ht="41.25" customHeight="1" x14ac:dyDescent="0.25">
      <c r="A73" s="8" t="s">
        <v>51</v>
      </c>
      <c r="B73" s="2" t="s">
        <v>533</v>
      </c>
      <c r="C73" s="2" t="s">
        <v>534</v>
      </c>
      <c r="D73" s="2" t="s">
        <v>535</v>
      </c>
      <c r="F73" s="3" t="s">
        <v>51</v>
      </c>
      <c r="G73" s="3" t="s">
        <v>50</v>
      </c>
      <c r="H73" s="3" t="s">
        <v>51</v>
      </c>
      <c r="I73" s="3" t="s">
        <v>51</v>
      </c>
      <c r="J73" s="3" t="s">
        <v>52</v>
      </c>
      <c r="K73" s="2" t="s">
        <v>536</v>
      </c>
      <c r="L73" s="2" t="s">
        <v>537</v>
      </c>
      <c r="M73" s="3" t="s">
        <v>194</v>
      </c>
      <c r="O73" s="3" t="s">
        <v>56</v>
      </c>
      <c r="P73" s="3" t="s">
        <v>538</v>
      </c>
      <c r="R73" s="3" t="s">
        <v>59</v>
      </c>
      <c r="S73" s="4">
        <v>1</v>
      </c>
      <c r="T73" s="4">
        <v>1</v>
      </c>
      <c r="U73" s="5" t="s">
        <v>539</v>
      </c>
      <c r="V73" s="5" t="s">
        <v>539</v>
      </c>
      <c r="W73" s="5" t="s">
        <v>485</v>
      </c>
      <c r="X73" s="5" t="s">
        <v>485</v>
      </c>
      <c r="Y73" s="4">
        <v>520</v>
      </c>
      <c r="Z73" s="4">
        <v>388</v>
      </c>
      <c r="AA73" s="4">
        <v>395</v>
      </c>
      <c r="AB73" s="4">
        <v>2</v>
      </c>
      <c r="AC73" s="4">
        <v>2</v>
      </c>
      <c r="AD73" s="4">
        <v>19</v>
      </c>
      <c r="AE73" s="4">
        <v>19</v>
      </c>
      <c r="AF73" s="4">
        <v>6</v>
      </c>
      <c r="AG73" s="4">
        <v>6</v>
      </c>
      <c r="AH73" s="4">
        <v>4</v>
      </c>
      <c r="AI73" s="4">
        <v>4</v>
      </c>
      <c r="AJ73" s="4">
        <v>11</v>
      </c>
      <c r="AK73" s="4">
        <v>11</v>
      </c>
      <c r="AL73" s="4">
        <v>1</v>
      </c>
      <c r="AM73" s="4">
        <v>1</v>
      </c>
      <c r="AN73" s="4">
        <v>0</v>
      </c>
      <c r="AO73" s="4">
        <v>0</v>
      </c>
      <c r="AP73" s="3" t="s">
        <v>51</v>
      </c>
      <c r="AQ73" s="3" t="s">
        <v>49</v>
      </c>
      <c r="AR73" s="6" t="str">
        <f>HYPERLINK("http://catalog.hathitrust.org/Record/000215006","HathiTrust Record")</f>
        <v>HathiTrust Record</v>
      </c>
      <c r="AS73" s="6" t="str">
        <f>HYPERLINK("https://creighton-primo.hosted.exlibrisgroup.com/primo-explore/search?tab=default_tab&amp;search_scope=EVERYTHING&amp;vid=01CRU&amp;lang=en_US&amp;offset=0&amp;query=any,contains,991004597809702656","Catalog Record")</f>
        <v>Catalog Record</v>
      </c>
      <c r="AT73" s="6" t="str">
        <f>HYPERLINK("http://www.worldcat.org/oclc/4154671","WorldCat Record")</f>
        <v>WorldCat Record</v>
      </c>
    </row>
    <row r="74" spans="1:48" ht="41.25" customHeight="1" x14ac:dyDescent="0.25">
      <c r="A74" s="8" t="s">
        <v>51</v>
      </c>
      <c r="B74" s="2" t="s">
        <v>540</v>
      </c>
      <c r="C74" s="2" t="s">
        <v>541</v>
      </c>
      <c r="D74" s="2" t="s">
        <v>542</v>
      </c>
      <c r="F74" s="3" t="s">
        <v>51</v>
      </c>
      <c r="G74" s="3" t="s">
        <v>50</v>
      </c>
      <c r="H74" s="3" t="s">
        <v>51</v>
      </c>
      <c r="I74" s="3" t="s">
        <v>51</v>
      </c>
      <c r="J74" s="3" t="s">
        <v>52</v>
      </c>
      <c r="K74" s="2" t="s">
        <v>543</v>
      </c>
      <c r="L74" s="2" t="s">
        <v>544</v>
      </c>
      <c r="M74" s="3" t="s">
        <v>112</v>
      </c>
      <c r="O74" s="3" t="s">
        <v>56</v>
      </c>
      <c r="P74" s="3" t="s">
        <v>545</v>
      </c>
      <c r="Q74" s="2" t="s">
        <v>546</v>
      </c>
      <c r="R74" s="3" t="s">
        <v>59</v>
      </c>
      <c r="S74" s="4">
        <v>1</v>
      </c>
      <c r="T74" s="4">
        <v>1</v>
      </c>
      <c r="U74" s="5" t="s">
        <v>547</v>
      </c>
      <c r="V74" s="5" t="s">
        <v>547</v>
      </c>
      <c r="W74" s="5" t="s">
        <v>485</v>
      </c>
      <c r="X74" s="5" t="s">
        <v>485</v>
      </c>
      <c r="Y74" s="4">
        <v>54</v>
      </c>
      <c r="Z74" s="4">
        <v>26</v>
      </c>
      <c r="AA74" s="4">
        <v>26</v>
      </c>
      <c r="AB74" s="4">
        <v>1</v>
      </c>
      <c r="AC74" s="4">
        <v>1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3" t="s">
        <v>51</v>
      </c>
      <c r="AQ74" s="3" t="s">
        <v>51</v>
      </c>
      <c r="AS74" s="6" t="str">
        <f>HYPERLINK("https://creighton-primo.hosted.exlibrisgroup.com/primo-explore/search?tab=default_tab&amp;search_scope=EVERYTHING&amp;vid=01CRU&amp;lang=en_US&amp;offset=0&amp;query=any,contains,991000873549702656","Catalog Record")</f>
        <v>Catalog Record</v>
      </c>
      <c r="AT74" s="6" t="str">
        <f>HYPERLINK("http://www.worldcat.org/oclc/17510015","WorldCat Record")</f>
        <v>WorldCat Record</v>
      </c>
    </row>
    <row r="75" spans="1:48" ht="41.25" customHeight="1" x14ac:dyDescent="0.25">
      <c r="A75" s="8" t="s">
        <v>51</v>
      </c>
      <c r="B75" s="2" t="s">
        <v>548</v>
      </c>
      <c r="C75" s="2" t="s">
        <v>549</v>
      </c>
      <c r="D75" s="2" t="s">
        <v>550</v>
      </c>
      <c r="F75" s="3" t="s">
        <v>51</v>
      </c>
      <c r="G75" s="3" t="s">
        <v>50</v>
      </c>
      <c r="H75" s="3" t="s">
        <v>51</v>
      </c>
      <c r="I75" s="3" t="s">
        <v>51</v>
      </c>
      <c r="J75" s="3" t="s">
        <v>52</v>
      </c>
      <c r="K75" s="2" t="s">
        <v>551</v>
      </c>
      <c r="L75" s="2" t="s">
        <v>552</v>
      </c>
      <c r="M75" s="3" t="s">
        <v>553</v>
      </c>
      <c r="N75" s="2" t="s">
        <v>554</v>
      </c>
      <c r="O75" s="3" t="s">
        <v>56</v>
      </c>
      <c r="P75" s="3" t="s">
        <v>87</v>
      </c>
      <c r="R75" s="3" t="s">
        <v>59</v>
      </c>
      <c r="S75" s="4">
        <v>3</v>
      </c>
      <c r="T75" s="4">
        <v>3</v>
      </c>
      <c r="U75" s="5" t="s">
        <v>555</v>
      </c>
      <c r="V75" s="5" t="s">
        <v>555</v>
      </c>
      <c r="W75" s="5" t="s">
        <v>485</v>
      </c>
      <c r="X75" s="5" t="s">
        <v>485</v>
      </c>
      <c r="Y75" s="4">
        <v>310</v>
      </c>
      <c r="Z75" s="4">
        <v>301</v>
      </c>
      <c r="AA75" s="4">
        <v>361</v>
      </c>
      <c r="AB75" s="4">
        <v>2</v>
      </c>
      <c r="AC75" s="4">
        <v>2</v>
      </c>
      <c r="AD75" s="4">
        <v>6</v>
      </c>
      <c r="AE75" s="4">
        <v>7</v>
      </c>
      <c r="AF75" s="4">
        <v>2</v>
      </c>
      <c r="AG75" s="4">
        <v>2</v>
      </c>
      <c r="AH75" s="4">
        <v>3</v>
      </c>
      <c r="AI75" s="4">
        <v>3</v>
      </c>
      <c r="AJ75" s="4">
        <v>3</v>
      </c>
      <c r="AK75" s="4">
        <v>4</v>
      </c>
      <c r="AL75" s="4">
        <v>0</v>
      </c>
      <c r="AM75" s="4">
        <v>0</v>
      </c>
      <c r="AN75" s="4">
        <v>0</v>
      </c>
      <c r="AO75" s="4">
        <v>0</v>
      </c>
      <c r="AP75" s="3" t="s">
        <v>51</v>
      </c>
      <c r="AQ75" s="3" t="s">
        <v>49</v>
      </c>
      <c r="AR75" s="6" t="str">
        <f>HYPERLINK("http://catalog.hathitrust.org/Record/001290498","HathiTrust Record")</f>
        <v>HathiTrust Record</v>
      </c>
      <c r="AS75" s="6" t="str">
        <f>HYPERLINK("https://creighton-primo.hosted.exlibrisgroup.com/primo-explore/search?tab=default_tab&amp;search_scope=EVERYTHING&amp;vid=01CRU&amp;lang=en_US&amp;offset=0&amp;query=any,contains,991001323139702656","Catalog Record")</f>
        <v>Catalog Record</v>
      </c>
      <c r="AT75" s="6" t="str">
        <f>HYPERLINK("http://www.worldcat.org/oclc/18256160","WorldCat Record")</f>
        <v>WorldCat Record</v>
      </c>
    </row>
    <row r="76" spans="1:48" ht="41.25" customHeight="1" x14ac:dyDescent="0.25">
      <c r="A76" s="8" t="s">
        <v>51</v>
      </c>
      <c r="B76" s="2" t="s">
        <v>556</v>
      </c>
      <c r="C76" s="2" t="s">
        <v>557</v>
      </c>
      <c r="D76" s="2" t="s">
        <v>558</v>
      </c>
      <c r="F76" s="3" t="s">
        <v>51</v>
      </c>
      <c r="G76" s="3" t="s">
        <v>50</v>
      </c>
      <c r="H76" s="3" t="s">
        <v>51</v>
      </c>
      <c r="I76" s="3" t="s">
        <v>51</v>
      </c>
      <c r="J76" s="3" t="s">
        <v>52</v>
      </c>
      <c r="K76" s="2" t="s">
        <v>559</v>
      </c>
      <c r="L76" s="2" t="s">
        <v>560</v>
      </c>
      <c r="M76" s="3" t="s">
        <v>94</v>
      </c>
      <c r="O76" s="3" t="s">
        <v>56</v>
      </c>
      <c r="P76" s="3" t="s">
        <v>113</v>
      </c>
      <c r="Q76" s="2" t="s">
        <v>561</v>
      </c>
      <c r="R76" s="3" t="s">
        <v>59</v>
      </c>
      <c r="S76" s="4">
        <v>1</v>
      </c>
      <c r="T76" s="4">
        <v>1</v>
      </c>
      <c r="U76" s="5" t="s">
        <v>562</v>
      </c>
      <c r="V76" s="5" t="s">
        <v>562</v>
      </c>
      <c r="W76" s="5" t="s">
        <v>563</v>
      </c>
      <c r="X76" s="5" t="s">
        <v>563</v>
      </c>
      <c r="Y76" s="4">
        <v>287</v>
      </c>
      <c r="Z76" s="4">
        <v>203</v>
      </c>
      <c r="AA76" s="4">
        <v>203</v>
      </c>
      <c r="AB76" s="4">
        <v>1</v>
      </c>
      <c r="AC76" s="4">
        <v>1</v>
      </c>
      <c r="AD76" s="4">
        <v>7</v>
      </c>
      <c r="AE76" s="4">
        <v>7</v>
      </c>
      <c r="AF76" s="4">
        <v>2</v>
      </c>
      <c r="AG76" s="4">
        <v>2</v>
      </c>
      <c r="AH76" s="4">
        <v>3</v>
      </c>
      <c r="AI76" s="4">
        <v>3</v>
      </c>
      <c r="AJ76" s="4">
        <v>4</v>
      </c>
      <c r="AK76" s="4">
        <v>4</v>
      </c>
      <c r="AL76" s="4">
        <v>0</v>
      </c>
      <c r="AM76" s="4">
        <v>0</v>
      </c>
      <c r="AN76" s="4">
        <v>0</v>
      </c>
      <c r="AO76" s="4">
        <v>0</v>
      </c>
      <c r="AP76" s="3" t="s">
        <v>51</v>
      </c>
      <c r="AQ76" s="3" t="s">
        <v>51</v>
      </c>
      <c r="AS76" s="6" t="str">
        <f>HYPERLINK("https://creighton-primo.hosted.exlibrisgroup.com/primo-explore/search?tab=default_tab&amp;search_scope=EVERYTHING&amp;vid=01CRU&amp;lang=en_US&amp;offset=0&amp;query=any,contains,991001597679702656","Catalog Record")</f>
        <v>Catalog Record</v>
      </c>
      <c r="AT76" s="6" t="str">
        <f>HYPERLINK("http://www.worldcat.org/oclc/20631120","WorldCat Record")</f>
        <v>WorldCat Record</v>
      </c>
    </row>
    <row r="77" spans="1:48" ht="41.25" customHeight="1" x14ac:dyDescent="0.25">
      <c r="A77" s="8" t="s">
        <v>51</v>
      </c>
      <c r="B77" s="2" t="s">
        <v>564</v>
      </c>
      <c r="C77" s="2" t="s">
        <v>565</v>
      </c>
      <c r="D77" s="2" t="s">
        <v>566</v>
      </c>
      <c r="F77" s="3" t="s">
        <v>51</v>
      </c>
      <c r="G77" s="3" t="s">
        <v>50</v>
      </c>
      <c r="H77" s="3" t="s">
        <v>51</v>
      </c>
      <c r="I77" s="3" t="s">
        <v>51</v>
      </c>
      <c r="J77" s="3" t="s">
        <v>52</v>
      </c>
      <c r="K77" s="2" t="s">
        <v>567</v>
      </c>
      <c r="L77" s="2" t="s">
        <v>568</v>
      </c>
      <c r="M77" s="3" t="s">
        <v>569</v>
      </c>
      <c r="N77" s="2" t="s">
        <v>570</v>
      </c>
      <c r="O77" s="3" t="s">
        <v>56</v>
      </c>
      <c r="P77" s="3" t="s">
        <v>87</v>
      </c>
      <c r="R77" s="3" t="s">
        <v>59</v>
      </c>
      <c r="S77" s="4">
        <v>1</v>
      </c>
      <c r="T77" s="4">
        <v>1</v>
      </c>
      <c r="U77" s="5" t="s">
        <v>571</v>
      </c>
      <c r="V77" s="5" t="s">
        <v>571</v>
      </c>
      <c r="W77" s="5" t="s">
        <v>239</v>
      </c>
      <c r="X77" s="5" t="s">
        <v>239</v>
      </c>
      <c r="Y77" s="4">
        <v>357</v>
      </c>
      <c r="Z77" s="4">
        <v>330</v>
      </c>
      <c r="AA77" s="4">
        <v>335</v>
      </c>
      <c r="AB77" s="4">
        <v>2</v>
      </c>
      <c r="AC77" s="4">
        <v>2</v>
      </c>
      <c r="AD77" s="4">
        <v>16</v>
      </c>
      <c r="AE77" s="4">
        <v>16</v>
      </c>
      <c r="AF77" s="4">
        <v>6</v>
      </c>
      <c r="AG77" s="4">
        <v>6</v>
      </c>
      <c r="AH77" s="4">
        <v>3</v>
      </c>
      <c r="AI77" s="4">
        <v>3</v>
      </c>
      <c r="AJ77" s="4">
        <v>14</v>
      </c>
      <c r="AK77" s="4">
        <v>14</v>
      </c>
      <c r="AL77" s="4">
        <v>1</v>
      </c>
      <c r="AM77" s="4">
        <v>1</v>
      </c>
      <c r="AN77" s="4">
        <v>0</v>
      </c>
      <c r="AO77" s="4">
        <v>0</v>
      </c>
      <c r="AP77" s="3" t="s">
        <v>51</v>
      </c>
      <c r="AQ77" s="3" t="s">
        <v>51</v>
      </c>
      <c r="AS77" s="6" t="str">
        <f>HYPERLINK("https://creighton-primo.hosted.exlibrisgroup.com/primo-explore/search?tab=default_tab&amp;search_scope=EVERYTHING&amp;vid=01CRU&amp;lang=en_US&amp;offset=0&amp;query=any,contains,991003667789702656","Catalog Record")</f>
        <v>Catalog Record</v>
      </c>
      <c r="AT77" s="6" t="str">
        <f>HYPERLINK("http://www.worldcat.org/oclc/1282998","WorldCat Record")</f>
        <v>WorldCat Record</v>
      </c>
    </row>
    <row r="78" spans="1:48" ht="41.25" customHeight="1" x14ac:dyDescent="0.25">
      <c r="A78" s="8" t="s">
        <v>51</v>
      </c>
      <c r="B78" s="2" t="s">
        <v>572</v>
      </c>
      <c r="C78" s="2" t="s">
        <v>573</v>
      </c>
      <c r="D78" s="2" t="s">
        <v>574</v>
      </c>
      <c r="F78" s="3" t="s">
        <v>51</v>
      </c>
      <c r="G78" s="3" t="s">
        <v>50</v>
      </c>
      <c r="H78" s="3" t="s">
        <v>51</v>
      </c>
      <c r="I78" s="3" t="s">
        <v>51</v>
      </c>
      <c r="J78" s="3" t="s">
        <v>52</v>
      </c>
      <c r="K78" s="2" t="s">
        <v>575</v>
      </c>
      <c r="L78" s="2" t="s">
        <v>576</v>
      </c>
      <c r="M78" s="3" t="s">
        <v>577</v>
      </c>
      <c r="O78" s="3" t="s">
        <v>56</v>
      </c>
      <c r="P78" s="3" t="s">
        <v>578</v>
      </c>
      <c r="R78" s="3" t="s">
        <v>59</v>
      </c>
      <c r="S78" s="4">
        <v>1</v>
      </c>
      <c r="T78" s="4">
        <v>1</v>
      </c>
      <c r="U78" s="5" t="s">
        <v>579</v>
      </c>
      <c r="V78" s="5" t="s">
        <v>579</v>
      </c>
      <c r="W78" s="5" t="s">
        <v>580</v>
      </c>
      <c r="X78" s="5" t="s">
        <v>580</v>
      </c>
      <c r="Y78" s="4">
        <v>294</v>
      </c>
      <c r="Z78" s="4">
        <v>222</v>
      </c>
      <c r="AA78" s="4">
        <v>228</v>
      </c>
      <c r="AB78" s="4">
        <v>2</v>
      </c>
      <c r="AC78" s="4">
        <v>2</v>
      </c>
      <c r="AD78" s="4">
        <v>10</v>
      </c>
      <c r="AE78" s="4">
        <v>10</v>
      </c>
      <c r="AF78" s="4">
        <v>3</v>
      </c>
      <c r="AG78" s="4">
        <v>3</v>
      </c>
      <c r="AH78" s="4">
        <v>5</v>
      </c>
      <c r="AI78" s="4">
        <v>5</v>
      </c>
      <c r="AJ78" s="4">
        <v>5</v>
      </c>
      <c r="AK78" s="4">
        <v>5</v>
      </c>
      <c r="AL78" s="4">
        <v>1</v>
      </c>
      <c r="AM78" s="4">
        <v>1</v>
      </c>
      <c r="AN78" s="4">
        <v>0</v>
      </c>
      <c r="AO78" s="4">
        <v>0</v>
      </c>
      <c r="AP78" s="3" t="s">
        <v>51</v>
      </c>
      <c r="AQ78" s="3" t="s">
        <v>51</v>
      </c>
      <c r="AS78" s="6" t="str">
        <f>HYPERLINK("https://creighton-primo.hosted.exlibrisgroup.com/primo-explore/search?tab=default_tab&amp;search_scope=EVERYTHING&amp;vid=01CRU&amp;lang=en_US&amp;offset=0&amp;query=any,contains,991004923639702656","Catalog Record")</f>
        <v>Catalog Record</v>
      </c>
      <c r="AT78" s="6" t="str">
        <f>HYPERLINK("http://www.worldcat.org/oclc/65425866","WorldCat Record")</f>
        <v>WorldCat Record</v>
      </c>
    </row>
    <row r="79" spans="1:48" ht="41.25" customHeight="1" x14ac:dyDescent="0.25">
      <c r="A79" s="8" t="s">
        <v>51</v>
      </c>
      <c r="B79" s="2" t="s">
        <v>581</v>
      </c>
      <c r="C79" s="2" t="s">
        <v>582</v>
      </c>
      <c r="D79" s="2" t="s">
        <v>583</v>
      </c>
      <c r="F79" s="3" t="s">
        <v>51</v>
      </c>
      <c r="G79" s="3" t="s">
        <v>50</v>
      </c>
      <c r="H79" s="3" t="s">
        <v>51</v>
      </c>
      <c r="I79" s="3" t="s">
        <v>51</v>
      </c>
      <c r="J79" s="3" t="s">
        <v>52</v>
      </c>
      <c r="K79" s="2" t="s">
        <v>584</v>
      </c>
      <c r="L79" s="2" t="s">
        <v>585</v>
      </c>
      <c r="M79" s="3" t="s">
        <v>586</v>
      </c>
      <c r="O79" s="3" t="s">
        <v>56</v>
      </c>
      <c r="P79" s="3" t="s">
        <v>87</v>
      </c>
      <c r="R79" s="3" t="s">
        <v>59</v>
      </c>
      <c r="S79" s="4">
        <v>1</v>
      </c>
      <c r="T79" s="4">
        <v>1</v>
      </c>
      <c r="U79" s="5" t="s">
        <v>587</v>
      </c>
      <c r="V79" s="5" t="s">
        <v>587</v>
      </c>
      <c r="W79" s="5" t="s">
        <v>587</v>
      </c>
      <c r="X79" s="5" t="s">
        <v>587</v>
      </c>
      <c r="Y79" s="4">
        <v>235</v>
      </c>
      <c r="Z79" s="4">
        <v>169</v>
      </c>
      <c r="AA79" s="4">
        <v>171</v>
      </c>
      <c r="AB79" s="4">
        <v>1</v>
      </c>
      <c r="AC79" s="4">
        <v>1</v>
      </c>
      <c r="AD79" s="4">
        <v>5</v>
      </c>
      <c r="AE79" s="4">
        <v>5</v>
      </c>
      <c r="AF79" s="4">
        <v>0</v>
      </c>
      <c r="AG79" s="4">
        <v>0</v>
      </c>
      <c r="AH79" s="4">
        <v>4</v>
      </c>
      <c r="AI79" s="4">
        <v>4</v>
      </c>
      <c r="AJ79" s="4">
        <v>3</v>
      </c>
      <c r="AK79" s="4">
        <v>3</v>
      </c>
      <c r="AL79" s="4">
        <v>0</v>
      </c>
      <c r="AM79" s="4">
        <v>0</v>
      </c>
      <c r="AN79" s="4">
        <v>0</v>
      </c>
      <c r="AO79" s="4">
        <v>0</v>
      </c>
      <c r="AP79" s="3" t="s">
        <v>51</v>
      </c>
      <c r="AQ79" s="3" t="s">
        <v>49</v>
      </c>
      <c r="AR79" s="6" t="str">
        <f>HYPERLINK("http://catalog.hathitrust.org/Record/002716187","HathiTrust Record")</f>
        <v>HathiTrust Record</v>
      </c>
      <c r="AS79" s="6" t="str">
        <f>HYPERLINK("https://creighton-primo.hosted.exlibrisgroup.com/primo-explore/search?tab=default_tab&amp;search_scope=EVERYTHING&amp;vid=01CRU&amp;lang=en_US&amp;offset=0&amp;query=any,contains,991004232979702656","Catalog Record")</f>
        <v>Catalog Record</v>
      </c>
      <c r="AT79" s="6" t="str">
        <f>HYPERLINK("http://www.worldcat.org/oclc/26361760","WorldCat Record")</f>
        <v>WorldCat Record</v>
      </c>
    </row>
    <row r="80" spans="1:48" ht="41.25" customHeight="1" x14ac:dyDescent="0.25">
      <c r="A80" s="8" t="s">
        <v>51</v>
      </c>
      <c r="B80" s="2" t="s">
        <v>588</v>
      </c>
      <c r="C80" s="2" t="s">
        <v>589</v>
      </c>
      <c r="D80" s="2" t="s">
        <v>590</v>
      </c>
      <c r="F80" s="3" t="s">
        <v>51</v>
      </c>
      <c r="G80" s="3" t="s">
        <v>50</v>
      </c>
      <c r="H80" s="3" t="s">
        <v>51</v>
      </c>
      <c r="I80" s="3" t="s">
        <v>51</v>
      </c>
      <c r="J80" s="3" t="s">
        <v>52</v>
      </c>
      <c r="K80" s="2" t="s">
        <v>591</v>
      </c>
      <c r="L80" s="2" t="s">
        <v>592</v>
      </c>
      <c r="M80" s="3" t="s">
        <v>103</v>
      </c>
      <c r="N80" s="2" t="s">
        <v>593</v>
      </c>
      <c r="O80" s="3" t="s">
        <v>255</v>
      </c>
      <c r="P80" s="3" t="s">
        <v>105</v>
      </c>
      <c r="Q80" s="2" t="s">
        <v>594</v>
      </c>
      <c r="R80" s="3" t="s">
        <v>59</v>
      </c>
      <c r="S80" s="4">
        <v>2</v>
      </c>
      <c r="T80" s="4">
        <v>2</v>
      </c>
      <c r="U80" s="5" t="s">
        <v>354</v>
      </c>
      <c r="V80" s="5" t="s">
        <v>354</v>
      </c>
      <c r="W80" s="5" t="s">
        <v>485</v>
      </c>
      <c r="X80" s="5" t="s">
        <v>485</v>
      </c>
      <c r="Y80" s="4">
        <v>74</v>
      </c>
      <c r="Z80" s="4">
        <v>51</v>
      </c>
      <c r="AA80" s="4">
        <v>53</v>
      </c>
      <c r="AB80" s="4">
        <v>1</v>
      </c>
      <c r="AC80" s="4">
        <v>1</v>
      </c>
      <c r="AD80" s="4">
        <v>1</v>
      </c>
      <c r="AE80" s="4">
        <v>1</v>
      </c>
      <c r="AF80" s="4">
        <v>0</v>
      </c>
      <c r="AG80" s="4">
        <v>0</v>
      </c>
      <c r="AH80" s="4">
        <v>1</v>
      </c>
      <c r="AI80" s="4">
        <v>1</v>
      </c>
      <c r="AJ80" s="4">
        <v>1</v>
      </c>
      <c r="AK80" s="4">
        <v>1</v>
      </c>
      <c r="AL80" s="4">
        <v>0</v>
      </c>
      <c r="AM80" s="4">
        <v>0</v>
      </c>
      <c r="AN80" s="4">
        <v>0</v>
      </c>
      <c r="AO80" s="4">
        <v>0</v>
      </c>
      <c r="AP80" s="3" t="s">
        <v>51</v>
      </c>
      <c r="AQ80" s="3" t="s">
        <v>49</v>
      </c>
      <c r="AR80" s="6" t="str">
        <f>HYPERLINK("http://catalog.hathitrust.org/Record/000419900","HathiTrust Record")</f>
        <v>HathiTrust Record</v>
      </c>
      <c r="AS80" s="6" t="str">
        <f>HYPERLINK("https://creighton-primo.hosted.exlibrisgroup.com/primo-explore/search?tab=default_tab&amp;search_scope=EVERYTHING&amp;vid=01CRU&amp;lang=en_US&amp;offset=0&amp;query=any,contains,991000795729702656","Catalog Record")</f>
        <v>Catalog Record</v>
      </c>
      <c r="AT80" s="6" t="str">
        <f>HYPERLINK("http://www.worldcat.org/oclc/13185971","WorldCat Record")</f>
        <v>WorldCat Record</v>
      </c>
    </row>
    <row r="81" spans="1:46" ht="41.25" customHeight="1" x14ac:dyDescent="0.25">
      <c r="A81" s="8" t="s">
        <v>51</v>
      </c>
      <c r="B81" s="2" t="s">
        <v>595</v>
      </c>
      <c r="C81" s="2" t="s">
        <v>596</v>
      </c>
      <c r="D81" s="2" t="s">
        <v>597</v>
      </c>
      <c r="F81" s="3" t="s">
        <v>51</v>
      </c>
      <c r="G81" s="3" t="s">
        <v>50</v>
      </c>
      <c r="H81" s="3" t="s">
        <v>51</v>
      </c>
      <c r="I81" s="3" t="s">
        <v>51</v>
      </c>
      <c r="J81" s="3" t="s">
        <v>52</v>
      </c>
      <c r="L81" s="2" t="s">
        <v>598</v>
      </c>
      <c r="M81" s="3" t="s">
        <v>218</v>
      </c>
      <c r="O81" s="3" t="s">
        <v>56</v>
      </c>
      <c r="P81" s="3" t="s">
        <v>538</v>
      </c>
      <c r="R81" s="3" t="s">
        <v>59</v>
      </c>
      <c r="S81" s="4">
        <v>20</v>
      </c>
      <c r="T81" s="4">
        <v>20</v>
      </c>
      <c r="U81" s="5" t="s">
        <v>599</v>
      </c>
      <c r="V81" s="5" t="s">
        <v>599</v>
      </c>
      <c r="W81" s="5" t="s">
        <v>600</v>
      </c>
      <c r="X81" s="5" t="s">
        <v>600</v>
      </c>
      <c r="Y81" s="4">
        <v>558</v>
      </c>
      <c r="Z81" s="4">
        <v>428</v>
      </c>
      <c r="AA81" s="4">
        <v>477</v>
      </c>
      <c r="AB81" s="4">
        <v>4</v>
      </c>
      <c r="AC81" s="4">
        <v>4</v>
      </c>
      <c r="AD81" s="4">
        <v>17</v>
      </c>
      <c r="AE81" s="4">
        <v>19</v>
      </c>
      <c r="AF81" s="4">
        <v>6</v>
      </c>
      <c r="AG81" s="4">
        <v>7</v>
      </c>
      <c r="AH81" s="4">
        <v>5</v>
      </c>
      <c r="AI81" s="4">
        <v>5</v>
      </c>
      <c r="AJ81" s="4">
        <v>7</v>
      </c>
      <c r="AK81" s="4">
        <v>8</v>
      </c>
      <c r="AL81" s="4">
        <v>3</v>
      </c>
      <c r="AM81" s="4">
        <v>3</v>
      </c>
      <c r="AN81" s="4">
        <v>0</v>
      </c>
      <c r="AO81" s="4">
        <v>0</v>
      </c>
      <c r="AP81" s="3" t="s">
        <v>51</v>
      </c>
      <c r="AQ81" s="3" t="s">
        <v>51</v>
      </c>
      <c r="AS81" s="6" t="str">
        <f>HYPERLINK("https://creighton-primo.hosted.exlibrisgroup.com/primo-explore/search?tab=default_tab&amp;search_scope=EVERYTHING&amp;vid=01CRU&amp;lang=en_US&amp;offset=0&amp;query=any,contains,991005369779702656","Catalog Record")</f>
        <v>Catalog Record</v>
      </c>
      <c r="AT81" s="6" t="str">
        <f>HYPERLINK("http://www.worldcat.org/oclc/2466386","WorldCat Record")</f>
        <v>WorldCat Record</v>
      </c>
    </row>
    <row r="82" spans="1:46" ht="41.25" customHeight="1" x14ac:dyDescent="0.25">
      <c r="A82" s="8" t="s">
        <v>51</v>
      </c>
      <c r="B82" s="2" t="s">
        <v>601</v>
      </c>
      <c r="C82" s="2" t="s">
        <v>602</v>
      </c>
      <c r="D82" s="2" t="s">
        <v>603</v>
      </c>
      <c r="F82" s="3" t="s">
        <v>51</v>
      </c>
      <c r="G82" s="3" t="s">
        <v>50</v>
      </c>
      <c r="H82" s="3" t="s">
        <v>51</v>
      </c>
      <c r="I82" s="3" t="s">
        <v>51</v>
      </c>
      <c r="J82" s="3" t="s">
        <v>52</v>
      </c>
      <c r="K82" s="2" t="s">
        <v>604</v>
      </c>
      <c r="L82" s="2" t="s">
        <v>605</v>
      </c>
      <c r="M82" s="3" t="s">
        <v>68</v>
      </c>
      <c r="O82" s="3" t="s">
        <v>56</v>
      </c>
      <c r="P82" s="3" t="s">
        <v>79</v>
      </c>
      <c r="Q82" s="2" t="s">
        <v>606</v>
      </c>
      <c r="R82" s="3" t="s">
        <v>59</v>
      </c>
      <c r="S82" s="4">
        <v>11</v>
      </c>
      <c r="T82" s="4">
        <v>11</v>
      </c>
      <c r="U82" s="5" t="s">
        <v>607</v>
      </c>
      <c r="V82" s="5" t="s">
        <v>607</v>
      </c>
      <c r="W82" s="5" t="s">
        <v>608</v>
      </c>
      <c r="X82" s="5" t="s">
        <v>608</v>
      </c>
      <c r="Y82" s="4">
        <v>584</v>
      </c>
      <c r="Z82" s="4">
        <v>461</v>
      </c>
      <c r="AA82" s="4">
        <v>466</v>
      </c>
      <c r="AB82" s="4">
        <v>2</v>
      </c>
      <c r="AC82" s="4">
        <v>2</v>
      </c>
      <c r="AD82" s="4">
        <v>23</v>
      </c>
      <c r="AE82" s="4">
        <v>23</v>
      </c>
      <c r="AF82" s="4">
        <v>9</v>
      </c>
      <c r="AG82" s="4">
        <v>9</v>
      </c>
      <c r="AH82" s="4">
        <v>8</v>
      </c>
      <c r="AI82" s="4">
        <v>8</v>
      </c>
      <c r="AJ82" s="4">
        <v>12</v>
      </c>
      <c r="AK82" s="4">
        <v>12</v>
      </c>
      <c r="AL82" s="4">
        <v>1</v>
      </c>
      <c r="AM82" s="4">
        <v>1</v>
      </c>
      <c r="AN82" s="4">
        <v>0</v>
      </c>
      <c r="AO82" s="4">
        <v>0</v>
      </c>
      <c r="AP82" s="3" t="s">
        <v>51</v>
      </c>
      <c r="AQ82" s="3" t="s">
        <v>49</v>
      </c>
      <c r="AR82" s="6" t="str">
        <f>HYPERLINK("http://catalog.hathitrust.org/Record/001557584","HathiTrust Record")</f>
        <v>HathiTrust Record</v>
      </c>
      <c r="AS82" s="6" t="str">
        <f>HYPERLINK("https://creighton-primo.hosted.exlibrisgroup.com/primo-explore/search?tab=default_tab&amp;search_scope=EVERYTHING&amp;vid=01CRU&amp;lang=en_US&amp;offset=0&amp;query=any,contains,991001374509702656","Catalog Record")</f>
        <v>Catalog Record</v>
      </c>
      <c r="AT82" s="6" t="str">
        <f>HYPERLINK("http://www.worldcat.org/oclc/224548","WorldCat Record")</f>
        <v>WorldCat Record</v>
      </c>
    </row>
    <row r="83" spans="1:46" ht="41.25" customHeight="1" x14ac:dyDescent="0.25">
      <c r="A83" s="8" t="s">
        <v>51</v>
      </c>
      <c r="B83" s="2" t="s">
        <v>609</v>
      </c>
      <c r="C83" s="2" t="s">
        <v>610</v>
      </c>
      <c r="D83" s="2" t="s">
        <v>611</v>
      </c>
      <c r="F83" s="3" t="s">
        <v>51</v>
      </c>
      <c r="G83" s="3" t="s">
        <v>50</v>
      </c>
      <c r="H83" s="3" t="s">
        <v>49</v>
      </c>
      <c r="I83" s="3" t="s">
        <v>51</v>
      </c>
      <c r="J83" s="3" t="s">
        <v>52</v>
      </c>
      <c r="K83" s="2" t="s">
        <v>612</v>
      </c>
      <c r="L83" s="2" t="s">
        <v>613</v>
      </c>
      <c r="M83" s="3" t="s">
        <v>201</v>
      </c>
      <c r="O83" s="3" t="s">
        <v>56</v>
      </c>
      <c r="P83" s="3" t="s">
        <v>87</v>
      </c>
      <c r="Q83" s="2" t="s">
        <v>614</v>
      </c>
      <c r="R83" s="3" t="s">
        <v>59</v>
      </c>
      <c r="S83" s="4">
        <v>6</v>
      </c>
      <c r="T83" s="4">
        <v>7</v>
      </c>
      <c r="U83" s="5" t="s">
        <v>615</v>
      </c>
      <c r="V83" s="5" t="s">
        <v>615</v>
      </c>
      <c r="W83" s="5" t="s">
        <v>239</v>
      </c>
      <c r="X83" s="5" t="s">
        <v>239</v>
      </c>
      <c r="Y83" s="4">
        <v>391</v>
      </c>
      <c r="Z83" s="4">
        <v>337</v>
      </c>
      <c r="AA83" s="4">
        <v>436</v>
      </c>
      <c r="AB83" s="4">
        <v>2</v>
      </c>
      <c r="AC83" s="4">
        <v>2</v>
      </c>
      <c r="AD83" s="4">
        <v>14</v>
      </c>
      <c r="AE83" s="4">
        <v>16</v>
      </c>
      <c r="AF83" s="4">
        <v>5</v>
      </c>
      <c r="AG83" s="4">
        <v>7</v>
      </c>
      <c r="AH83" s="4">
        <v>5</v>
      </c>
      <c r="AI83" s="4">
        <v>5</v>
      </c>
      <c r="AJ83" s="4">
        <v>7</v>
      </c>
      <c r="AK83" s="4">
        <v>8</v>
      </c>
      <c r="AL83" s="4">
        <v>0</v>
      </c>
      <c r="AM83" s="4">
        <v>0</v>
      </c>
      <c r="AN83" s="4">
        <v>1</v>
      </c>
      <c r="AO83" s="4">
        <v>1</v>
      </c>
      <c r="AP83" s="3" t="s">
        <v>51</v>
      </c>
      <c r="AQ83" s="3" t="s">
        <v>49</v>
      </c>
      <c r="AR83" s="6" t="str">
        <f>HYPERLINK("http://catalog.hathitrust.org/Record/000012490","HathiTrust Record")</f>
        <v>HathiTrust Record</v>
      </c>
      <c r="AS83" s="6" t="str">
        <f>HYPERLINK("https://creighton-primo.hosted.exlibrisgroup.com/primo-explore/search?tab=default_tab&amp;search_scope=EVERYTHING&amp;vid=01CRU&amp;lang=en_US&amp;offset=0&amp;query=any,contains,991001756179702656","Catalog Record")</f>
        <v>Catalog Record</v>
      </c>
      <c r="AT83" s="6" t="str">
        <f>HYPERLINK("http://www.worldcat.org/oclc/821170","WorldCat Record")</f>
        <v>WorldCat Record</v>
      </c>
    </row>
    <row r="84" spans="1:46" ht="41.25" customHeight="1" x14ac:dyDescent="0.25">
      <c r="A84" s="8" t="s">
        <v>51</v>
      </c>
      <c r="B84" s="2" t="s">
        <v>616</v>
      </c>
      <c r="C84" s="2" t="s">
        <v>617</v>
      </c>
      <c r="D84" s="2" t="s">
        <v>618</v>
      </c>
      <c r="F84" s="3" t="s">
        <v>51</v>
      </c>
      <c r="G84" s="3" t="s">
        <v>50</v>
      </c>
      <c r="H84" s="3" t="s">
        <v>51</v>
      </c>
      <c r="I84" s="3" t="s">
        <v>51</v>
      </c>
      <c r="J84" s="3" t="s">
        <v>52</v>
      </c>
      <c r="K84" s="2" t="s">
        <v>619</v>
      </c>
      <c r="L84" s="2" t="s">
        <v>620</v>
      </c>
      <c r="M84" s="3" t="s">
        <v>569</v>
      </c>
      <c r="O84" s="3" t="s">
        <v>56</v>
      </c>
      <c r="P84" s="3" t="s">
        <v>87</v>
      </c>
      <c r="R84" s="3" t="s">
        <v>59</v>
      </c>
      <c r="S84" s="4">
        <v>16</v>
      </c>
      <c r="T84" s="4">
        <v>16</v>
      </c>
      <c r="U84" s="5" t="s">
        <v>607</v>
      </c>
      <c r="V84" s="5" t="s">
        <v>607</v>
      </c>
      <c r="W84" s="5" t="s">
        <v>608</v>
      </c>
      <c r="X84" s="5" t="s">
        <v>608</v>
      </c>
      <c r="Y84" s="4">
        <v>364</v>
      </c>
      <c r="Z84" s="4">
        <v>344</v>
      </c>
      <c r="AA84" s="4">
        <v>477</v>
      </c>
      <c r="AB84" s="4">
        <v>2</v>
      </c>
      <c r="AC84" s="4">
        <v>4</v>
      </c>
      <c r="AD84" s="4">
        <v>2</v>
      </c>
      <c r="AE84" s="4">
        <v>8</v>
      </c>
      <c r="AF84" s="4">
        <v>1</v>
      </c>
      <c r="AG84" s="4">
        <v>3</v>
      </c>
      <c r="AH84" s="4">
        <v>0</v>
      </c>
      <c r="AI84" s="4">
        <v>1</v>
      </c>
      <c r="AJ84" s="4">
        <v>1</v>
      </c>
      <c r="AK84" s="4">
        <v>4</v>
      </c>
      <c r="AL84" s="4">
        <v>0</v>
      </c>
      <c r="AM84" s="4">
        <v>2</v>
      </c>
      <c r="AN84" s="4">
        <v>0</v>
      </c>
      <c r="AO84" s="4">
        <v>0</v>
      </c>
      <c r="AP84" s="3" t="s">
        <v>51</v>
      </c>
      <c r="AQ84" s="3" t="s">
        <v>49</v>
      </c>
      <c r="AR84" s="6" t="str">
        <f>HYPERLINK("http://catalog.hathitrust.org/Record/001557594","HathiTrust Record")</f>
        <v>HathiTrust Record</v>
      </c>
      <c r="AS84" s="6" t="str">
        <f>HYPERLINK("https://creighton-primo.hosted.exlibrisgroup.com/primo-explore/search?tab=default_tab&amp;search_scope=EVERYTHING&amp;vid=01CRU&amp;lang=en_US&amp;offset=0&amp;query=any,contains,991003734859702656","Catalog Record")</f>
        <v>Catalog Record</v>
      </c>
      <c r="AT84" s="6" t="str">
        <f>HYPERLINK("http://www.worldcat.org/oclc/1389312","WorldCat Record")</f>
        <v>WorldCat Record</v>
      </c>
    </row>
    <row r="85" spans="1:46" ht="41.25" customHeight="1" x14ac:dyDescent="0.25">
      <c r="A85" s="8" t="s">
        <v>51</v>
      </c>
      <c r="B85" s="2" t="s">
        <v>621</v>
      </c>
      <c r="C85" s="2" t="s">
        <v>622</v>
      </c>
      <c r="D85" s="2" t="s">
        <v>623</v>
      </c>
      <c r="E85" s="3" t="s">
        <v>148</v>
      </c>
      <c r="F85" s="3" t="s">
        <v>49</v>
      </c>
      <c r="G85" s="3" t="s">
        <v>50</v>
      </c>
      <c r="H85" s="3" t="s">
        <v>51</v>
      </c>
      <c r="I85" s="3" t="s">
        <v>51</v>
      </c>
      <c r="J85" s="3" t="s">
        <v>52</v>
      </c>
      <c r="K85" s="2" t="s">
        <v>624</v>
      </c>
      <c r="L85" s="2" t="s">
        <v>625</v>
      </c>
      <c r="M85" s="3" t="s">
        <v>86</v>
      </c>
      <c r="O85" s="3" t="s">
        <v>56</v>
      </c>
      <c r="P85" s="3" t="s">
        <v>87</v>
      </c>
      <c r="R85" s="3" t="s">
        <v>59</v>
      </c>
      <c r="S85" s="4">
        <v>11</v>
      </c>
      <c r="T85" s="4">
        <v>23</v>
      </c>
      <c r="U85" s="5" t="s">
        <v>626</v>
      </c>
      <c r="V85" s="5" t="s">
        <v>626</v>
      </c>
      <c r="W85" s="5" t="s">
        <v>608</v>
      </c>
      <c r="X85" s="5" t="s">
        <v>608</v>
      </c>
      <c r="Y85" s="4">
        <v>360</v>
      </c>
      <c r="Z85" s="4">
        <v>289</v>
      </c>
      <c r="AA85" s="4">
        <v>362</v>
      </c>
      <c r="AB85" s="4">
        <v>1</v>
      </c>
      <c r="AC85" s="4">
        <v>1</v>
      </c>
      <c r="AD85" s="4">
        <v>6</v>
      </c>
      <c r="AE85" s="4">
        <v>12</v>
      </c>
      <c r="AF85" s="4">
        <v>4</v>
      </c>
      <c r="AG85" s="4">
        <v>9</v>
      </c>
      <c r="AH85" s="4">
        <v>2</v>
      </c>
      <c r="AI85" s="4">
        <v>3</v>
      </c>
      <c r="AJ85" s="4">
        <v>2</v>
      </c>
      <c r="AK85" s="4">
        <v>4</v>
      </c>
      <c r="AL85" s="4">
        <v>0</v>
      </c>
      <c r="AM85" s="4">
        <v>0</v>
      </c>
      <c r="AN85" s="4">
        <v>0</v>
      </c>
      <c r="AO85" s="4">
        <v>0</v>
      </c>
      <c r="AP85" s="3" t="s">
        <v>51</v>
      </c>
      <c r="AQ85" s="3" t="s">
        <v>51</v>
      </c>
      <c r="AS85" s="6" t="str">
        <f>HYPERLINK("https://creighton-primo.hosted.exlibrisgroup.com/primo-explore/search?tab=default_tab&amp;search_scope=EVERYTHING&amp;vid=01CRU&amp;lang=en_US&amp;offset=0&amp;query=any,contains,991001036179702656","Catalog Record")</f>
        <v>Catalog Record</v>
      </c>
      <c r="AT85" s="6" t="str">
        <f>HYPERLINK("http://www.worldcat.org/oclc/15549284","WorldCat Record")</f>
        <v>WorldCat Record</v>
      </c>
    </row>
    <row r="86" spans="1:46" ht="41.25" customHeight="1" x14ac:dyDescent="0.25">
      <c r="A86" s="8" t="s">
        <v>51</v>
      </c>
      <c r="B86" s="2" t="s">
        <v>621</v>
      </c>
      <c r="C86" s="2" t="s">
        <v>622</v>
      </c>
      <c r="D86" s="2" t="s">
        <v>623</v>
      </c>
      <c r="E86" s="3" t="s">
        <v>144</v>
      </c>
      <c r="F86" s="3" t="s">
        <v>49</v>
      </c>
      <c r="G86" s="3" t="s">
        <v>50</v>
      </c>
      <c r="H86" s="3" t="s">
        <v>51</v>
      </c>
      <c r="I86" s="3" t="s">
        <v>51</v>
      </c>
      <c r="J86" s="3" t="s">
        <v>52</v>
      </c>
      <c r="K86" s="2" t="s">
        <v>624</v>
      </c>
      <c r="L86" s="2" t="s">
        <v>625</v>
      </c>
      <c r="M86" s="3" t="s">
        <v>86</v>
      </c>
      <c r="O86" s="3" t="s">
        <v>56</v>
      </c>
      <c r="P86" s="3" t="s">
        <v>87</v>
      </c>
      <c r="R86" s="3" t="s">
        <v>59</v>
      </c>
      <c r="S86" s="4">
        <v>12</v>
      </c>
      <c r="T86" s="4">
        <v>23</v>
      </c>
      <c r="U86" s="5" t="s">
        <v>626</v>
      </c>
      <c r="V86" s="5" t="s">
        <v>626</v>
      </c>
      <c r="W86" s="5" t="s">
        <v>608</v>
      </c>
      <c r="X86" s="5" t="s">
        <v>608</v>
      </c>
      <c r="Y86" s="4">
        <v>360</v>
      </c>
      <c r="Z86" s="4">
        <v>289</v>
      </c>
      <c r="AA86" s="4">
        <v>362</v>
      </c>
      <c r="AB86" s="4">
        <v>1</v>
      </c>
      <c r="AC86" s="4">
        <v>1</v>
      </c>
      <c r="AD86" s="4">
        <v>6</v>
      </c>
      <c r="AE86" s="4">
        <v>12</v>
      </c>
      <c r="AF86" s="4">
        <v>4</v>
      </c>
      <c r="AG86" s="4">
        <v>9</v>
      </c>
      <c r="AH86" s="4">
        <v>2</v>
      </c>
      <c r="AI86" s="4">
        <v>3</v>
      </c>
      <c r="AJ86" s="4">
        <v>2</v>
      </c>
      <c r="AK86" s="4">
        <v>4</v>
      </c>
      <c r="AL86" s="4">
        <v>0</v>
      </c>
      <c r="AM86" s="4">
        <v>0</v>
      </c>
      <c r="AN86" s="4">
        <v>0</v>
      </c>
      <c r="AO86" s="4">
        <v>0</v>
      </c>
      <c r="AP86" s="3" t="s">
        <v>51</v>
      </c>
      <c r="AQ86" s="3" t="s">
        <v>51</v>
      </c>
      <c r="AS86" s="6" t="str">
        <f>HYPERLINK("https://creighton-primo.hosted.exlibrisgroup.com/primo-explore/search?tab=default_tab&amp;search_scope=EVERYTHING&amp;vid=01CRU&amp;lang=en_US&amp;offset=0&amp;query=any,contains,991001036179702656","Catalog Record")</f>
        <v>Catalog Record</v>
      </c>
      <c r="AT86" s="6" t="str">
        <f>HYPERLINK("http://www.worldcat.org/oclc/15549284","WorldCat Record")</f>
        <v>WorldCat Record</v>
      </c>
    </row>
    <row r="87" spans="1:46" ht="41.25" customHeight="1" x14ac:dyDescent="0.25">
      <c r="A87" s="8" t="s">
        <v>51</v>
      </c>
      <c r="B87" s="2" t="s">
        <v>627</v>
      </c>
      <c r="C87" s="2" t="s">
        <v>628</v>
      </c>
      <c r="D87" s="2" t="s">
        <v>629</v>
      </c>
      <c r="F87" s="3" t="s">
        <v>51</v>
      </c>
      <c r="G87" s="3" t="s">
        <v>50</v>
      </c>
      <c r="H87" s="3" t="s">
        <v>51</v>
      </c>
      <c r="I87" s="3" t="s">
        <v>51</v>
      </c>
      <c r="J87" s="3" t="s">
        <v>52</v>
      </c>
      <c r="K87" s="2" t="s">
        <v>630</v>
      </c>
      <c r="L87" s="2" t="s">
        <v>631</v>
      </c>
      <c r="M87" s="3" t="s">
        <v>553</v>
      </c>
      <c r="O87" s="3" t="s">
        <v>56</v>
      </c>
      <c r="P87" s="3" t="s">
        <v>87</v>
      </c>
      <c r="Q87" s="2" t="s">
        <v>632</v>
      </c>
      <c r="R87" s="3" t="s">
        <v>59</v>
      </c>
      <c r="S87" s="4">
        <v>56</v>
      </c>
      <c r="T87" s="4">
        <v>56</v>
      </c>
      <c r="U87" s="5" t="s">
        <v>626</v>
      </c>
      <c r="V87" s="5" t="s">
        <v>626</v>
      </c>
      <c r="W87" s="5" t="s">
        <v>633</v>
      </c>
      <c r="X87" s="5" t="s">
        <v>633</v>
      </c>
      <c r="Y87" s="4">
        <v>256</v>
      </c>
      <c r="Z87" s="4">
        <v>216</v>
      </c>
      <c r="AA87" s="4">
        <v>222</v>
      </c>
      <c r="AB87" s="4">
        <v>1</v>
      </c>
      <c r="AC87" s="4">
        <v>1</v>
      </c>
      <c r="AD87" s="4">
        <v>14</v>
      </c>
      <c r="AE87" s="4">
        <v>14</v>
      </c>
      <c r="AF87" s="4">
        <v>3</v>
      </c>
      <c r="AG87" s="4">
        <v>3</v>
      </c>
      <c r="AH87" s="4">
        <v>5</v>
      </c>
      <c r="AI87" s="4">
        <v>5</v>
      </c>
      <c r="AJ87" s="4">
        <v>9</v>
      </c>
      <c r="AK87" s="4">
        <v>9</v>
      </c>
      <c r="AL87" s="4">
        <v>0</v>
      </c>
      <c r="AM87" s="4">
        <v>0</v>
      </c>
      <c r="AN87" s="4">
        <v>1</v>
      </c>
      <c r="AO87" s="4">
        <v>1</v>
      </c>
      <c r="AP87" s="3" t="s">
        <v>51</v>
      </c>
      <c r="AQ87" s="3" t="s">
        <v>49</v>
      </c>
      <c r="AR87" s="6" t="str">
        <f>HYPERLINK("http://catalog.hathitrust.org/Record/002557223","HathiTrust Record")</f>
        <v>HathiTrust Record</v>
      </c>
      <c r="AS87" s="6" t="str">
        <f>HYPERLINK("https://creighton-primo.hosted.exlibrisgroup.com/primo-explore/search?tab=default_tab&amp;search_scope=EVERYTHING&amp;vid=01CRU&amp;lang=en_US&amp;offset=0&amp;query=any,contains,991001503139702656","Catalog Record")</f>
        <v>Catalog Record</v>
      </c>
      <c r="AT87" s="6" t="str">
        <f>HYPERLINK("http://www.worldcat.org/oclc/19814598","WorldCat Record")</f>
        <v>WorldCat Record</v>
      </c>
    </row>
    <row r="88" spans="1:46" ht="41.25" customHeight="1" x14ac:dyDescent="0.25">
      <c r="A88" s="8" t="s">
        <v>51</v>
      </c>
      <c r="B88" s="2" t="s">
        <v>634</v>
      </c>
      <c r="C88" s="2" t="s">
        <v>635</v>
      </c>
      <c r="D88" s="2" t="s">
        <v>636</v>
      </c>
      <c r="F88" s="3" t="s">
        <v>51</v>
      </c>
      <c r="G88" s="3" t="s">
        <v>50</v>
      </c>
      <c r="H88" s="3" t="s">
        <v>51</v>
      </c>
      <c r="I88" s="3" t="s">
        <v>51</v>
      </c>
      <c r="J88" s="3" t="s">
        <v>52</v>
      </c>
      <c r="L88" s="2" t="s">
        <v>637</v>
      </c>
      <c r="M88" s="3" t="s">
        <v>211</v>
      </c>
      <c r="O88" s="3" t="s">
        <v>56</v>
      </c>
      <c r="P88" s="3" t="s">
        <v>538</v>
      </c>
      <c r="R88" s="3" t="s">
        <v>59</v>
      </c>
      <c r="S88" s="4">
        <v>4</v>
      </c>
      <c r="T88" s="4">
        <v>4</v>
      </c>
      <c r="U88" s="5" t="s">
        <v>188</v>
      </c>
      <c r="V88" s="5" t="s">
        <v>188</v>
      </c>
      <c r="W88" s="5" t="s">
        <v>638</v>
      </c>
      <c r="X88" s="5" t="s">
        <v>638</v>
      </c>
      <c r="Y88" s="4">
        <v>252</v>
      </c>
      <c r="Z88" s="4">
        <v>192</v>
      </c>
      <c r="AA88" s="4">
        <v>196</v>
      </c>
      <c r="AB88" s="4">
        <v>3</v>
      </c>
      <c r="AC88" s="4">
        <v>3</v>
      </c>
      <c r="AD88" s="4">
        <v>6</v>
      </c>
      <c r="AE88" s="4">
        <v>6</v>
      </c>
      <c r="AF88" s="4">
        <v>0</v>
      </c>
      <c r="AG88" s="4">
        <v>0</v>
      </c>
      <c r="AH88" s="4">
        <v>4</v>
      </c>
      <c r="AI88" s="4">
        <v>4</v>
      </c>
      <c r="AJ88" s="4">
        <v>2</v>
      </c>
      <c r="AK88" s="4">
        <v>2</v>
      </c>
      <c r="AL88" s="4">
        <v>2</v>
      </c>
      <c r="AM88" s="4">
        <v>2</v>
      </c>
      <c r="AN88" s="4">
        <v>0</v>
      </c>
      <c r="AO88" s="4">
        <v>0</v>
      </c>
      <c r="AP88" s="3" t="s">
        <v>51</v>
      </c>
      <c r="AQ88" s="3" t="s">
        <v>49</v>
      </c>
      <c r="AR88" s="6" t="str">
        <f>HYPERLINK("http://catalog.hathitrust.org/Record/000297297","HathiTrust Record")</f>
        <v>HathiTrust Record</v>
      </c>
      <c r="AS88" s="6" t="str">
        <f>HYPERLINK("https://creighton-primo.hosted.exlibrisgroup.com/primo-explore/search?tab=default_tab&amp;search_scope=EVERYTHING&amp;vid=01CRU&amp;lang=en_US&amp;offset=0&amp;query=any,contains,991005241869702656","Catalog Record")</f>
        <v>Catalog Record</v>
      </c>
      <c r="AT88" s="6" t="str">
        <f>HYPERLINK("http://www.worldcat.org/oclc/8430110","WorldCat Record")</f>
        <v>WorldCat Record</v>
      </c>
    </row>
    <row r="89" spans="1:46" ht="41.25" customHeight="1" x14ac:dyDescent="0.25">
      <c r="A89" s="8" t="s">
        <v>51</v>
      </c>
      <c r="B89" s="2" t="s">
        <v>639</v>
      </c>
      <c r="C89" s="2" t="s">
        <v>640</v>
      </c>
      <c r="D89" s="2" t="s">
        <v>641</v>
      </c>
      <c r="F89" s="3" t="s">
        <v>51</v>
      </c>
      <c r="G89" s="3" t="s">
        <v>50</v>
      </c>
      <c r="H89" s="3" t="s">
        <v>51</v>
      </c>
      <c r="I89" s="3" t="s">
        <v>51</v>
      </c>
      <c r="J89" s="3" t="s">
        <v>52</v>
      </c>
      <c r="K89" s="2" t="s">
        <v>642</v>
      </c>
      <c r="L89" s="2" t="s">
        <v>643</v>
      </c>
      <c r="M89" s="3" t="s">
        <v>644</v>
      </c>
      <c r="O89" s="3" t="s">
        <v>56</v>
      </c>
      <c r="P89" s="3" t="s">
        <v>113</v>
      </c>
      <c r="Q89" s="2" t="s">
        <v>645</v>
      </c>
      <c r="R89" s="3" t="s">
        <v>59</v>
      </c>
      <c r="S89" s="4">
        <v>8</v>
      </c>
      <c r="T89" s="4">
        <v>8</v>
      </c>
      <c r="U89" s="5" t="s">
        <v>646</v>
      </c>
      <c r="V89" s="5" t="s">
        <v>646</v>
      </c>
      <c r="W89" s="5" t="s">
        <v>647</v>
      </c>
      <c r="X89" s="5" t="s">
        <v>647</v>
      </c>
      <c r="Y89" s="4">
        <v>170</v>
      </c>
      <c r="Z89" s="4">
        <v>125</v>
      </c>
      <c r="AA89" s="4">
        <v>161</v>
      </c>
      <c r="AB89" s="4">
        <v>2</v>
      </c>
      <c r="AC89" s="4">
        <v>2</v>
      </c>
      <c r="AD89" s="4">
        <v>6</v>
      </c>
      <c r="AE89" s="4">
        <v>8</v>
      </c>
      <c r="AF89" s="4">
        <v>1</v>
      </c>
      <c r="AG89" s="4">
        <v>1</v>
      </c>
      <c r="AH89" s="4">
        <v>3</v>
      </c>
      <c r="AI89" s="4">
        <v>5</v>
      </c>
      <c r="AJ89" s="4">
        <v>3</v>
      </c>
      <c r="AK89" s="4">
        <v>3</v>
      </c>
      <c r="AL89" s="4">
        <v>1</v>
      </c>
      <c r="AM89" s="4">
        <v>1</v>
      </c>
      <c r="AN89" s="4">
        <v>0</v>
      </c>
      <c r="AO89" s="4">
        <v>0</v>
      </c>
      <c r="AP89" s="3" t="s">
        <v>51</v>
      </c>
      <c r="AQ89" s="3" t="s">
        <v>51</v>
      </c>
      <c r="AS89" s="6" t="str">
        <f>HYPERLINK("https://creighton-primo.hosted.exlibrisgroup.com/primo-explore/search?tab=default_tab&amp;search_scope=EVERYTHING&amp;vid=01CRU&amp;lang=en_US&amp;offset=0&amp;query=any,contains,991003732579702656","Catalog Record")</f>
        <v>Catalog Record</v>
      </c>
      <c r="AT89" s="6" t="str">
        <f>HYPERLINK("http://www.worldcat.org/oclc/40120283","WorldCat Record")</f>
        <v>WorldCat Record</v>
      </c>
    </row>
    <row r="90" spans="1:46" ht="41.25" customHeight="1" x14ac:dyDescent="0.25">
      <c r="A90" s="8" t="s">
        <v>51</v>
      </c>
      <c r="B90" s="2" t="s">
        <v>648</v>
      </c>
      <c r="C90" s="2" t="s">
        <v>649</v>
      </c>
      <c r="D90" s="2" t="s">
        <v>650</v>
      </c>
      <c r="F90" s="3" t="s">
        <v>51</v>
      </c>
      <c r="G90" s="3" t="s">
        <v>50</v>
      </c>
      <c r="H90" s="3" t="s">
        <v>51</v>
      </c>
      <c r="I90" s="3" t="s">
        <v>51</v>
      </c>
      <c r="J90" s="3" t="s">
        <v>52</v>
      </c>
      <c r="K90" s="2" t="s">
        <v>651</v>
      </c>
      <c r="L90" s="2" t="s">
        <v>652</v>
      </c>
      <c r="M90" s="3" t="s">
        <v>103</v>
      </c>
      <c r="O90" s="3" t="s">
        <v>56</v>
      </c>
      <c r="P90" s="3" t="s">
        <v>653</v>
      </c>
      <c r="R90" s="3" t="s">
        <v>59</v>
      </c>
      <c r="S90" s="4">
        <v>8</v>
      </c>
      <c r="T90" s="4">
        <v>8</v>
      </c>
      <c r="U90" s="5" t="s">
        <v>646</v>
      </c>
      <c r="V90" s="5" t="s">
        <v>646</v>
      </c>
      <c r="W90" s="5" t="s">
        <v>654</v>
      </c>
      <c r="X90" s="5" t="s">
        <v>654</v>
      </c>
      <c r="Y90" s="4">
        <v>7</v>
      </c>
      <c r="Z90" s="4">
        <v>7</v>
      </c>
      <c r="AA90" s="4">
        <v>7</v>
      </c>
      <c r="AB90" s="4">
        <v>1</v>
      </c>
      <c r="AC90" s="4">
        <v>1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3" t="s">
        <v>51</v>
      </c>
      <c r="AQ90" s="3" t="s">
        <v>51</v>
      </c>
      <c r="AS90" s="6" t="str">
        <f>HYPERLINK("https://creighton-primo.hosted.exlibrisgroup.com/primo-explore/search?tab=default_tab&amp;search_scope=EVERYTHING&amp;vid=01CRU&amp;lang=en_US&amp;offset=0&amp;query=any,contains,991000540779702656","Catalog Record")</f>
        <v>Catalog Record</v>
      </c>
      <c r="AT90" s="6" t="str">
        <f>HYPERLINK("http://www.worldcat.org/oclc/11482240","WorldCat Record")</f>
        <v>WorldCat Record</v>
      </c>
    </row>
    <row r="91" spans="1:46" ht="41.25" customHeight="1" x14ac:dyDescent="0.25">
      <c r="A91" s="8" t="s">
        <v>51</v>
      </c>
      <c r="B91" s="2" t="s">
        <v>655</v>
      </c>
      <c r="C91" s="2" t="s">
        <v>656</v>
      </c>
      <c r="D91" s="2" t="s">
        <v>657</v>
      </c>
      <c r="F91" s="3" t="s">
        <v>51</v>
      </c>
      <c r="G91" s="3" t="s">
        <v>50</v>
      </c>
      <c r="H91" s="3" t="s">
        <v>51</v>
      </c>
      <c r="I91" s="3" t="s">
        <v>51</v>
      </c>
      <c r="J91" s="3" t="s">
        <v>52</v>
      </c>
      <c r="K91" s="2" t="s">
        <v>658</v>
      </c>
      <c r="L91" s="2" t="s">
        <v>659</v>
      </c>
      <c r="M91" s="3" t="s">
        <v>660</v>
      </c>
      <c r="O91" s="3" t="s">
        <v>56</v>
      </c>
      <c r="P91" s="3" t="s">
        <v>359</v>
      </c>
      <c r="R91" s="3" t="s">
        <v>59</v>
      </c>
      <c r="S91" s="4">
        <v>3</v>
      </c>
      <c r="T91" s="4">
        <v>3</v>
      </c>
      <c r="U91" s="5" t="s">
        <v>661</v>
      </c>
      <c r="V91" s="5" t="s">
        <v>661</v>
      </c>
      <c r="W91" s="5" t="s">
        <v>662</v>
      </c>
      <c r="X91" s="5" t="s">
        <v>662</v>
      </c>
      <c r="Y91" s="4">
        <v>78</v>
      </c>
      <c r="Z91" s="4">
        <v>73</v>
      </c>
      <c r="AA91" s="4">
        <v>940</v>
      </c>
      <c r="AB91" s="4">
        <v>1</v>
      </c>
      <c r="AC91" s="4">
        <v>25</v>
      </c>
      <c r="AD91" s="4">
        <v>4</v>
      </c>
      <c r="AE91" s="4">
        <v>25</v>
      </c>
      <c r="AF91" s="4">
        <v>0</v>
      </c>
      <c r="AG91" s="4">
        <v>7</v>
      </c>
      <c r="AH91" s="4">
        <v>1</v>
      </c>
      <c r="AI91" s="4">
        <v>4</v>
      </c>
      <c r="AJ91" s="4">
        <v>4</v>
      </c>
      <c r="AK91" s="4">
        <v>8</v>
      </c>
      <c r="AL91" s="4">
        <v>0</v>
      </c>
      <c r="AM91" s="4">
        <v>10</v>
      </c>
      <c r="AN91" s="4">
        <v>0</v>
      </c>
      <c r="AO91" s="4">
        <v>0</v>
      </c>
      <c r="AP91" s="3" t="s">
        <v>51</v>
      </c>
      <c r="AQ91" s="3" t="s">
        <v>51</v>
      </c>
      <c r="AS91" s="6" t="str">
        <f>HYPERLINK("https://creighton-primo.hosted.exlibrisgroup.com/primo-explore/search?tab=default_tab&amp;search_scope=EVERYTHING&amp;vid=01CRU&amp;lang=en_US&amp;offset=0&amp;query=any,contains,991003954929702656","Catalog Record")</f>
        <v>Catalog Record</v>
      </c>
      <c r="AT91" s="6" t="str">
        <f>HYPERLINK("http://www.worldcat.org/oclc/48451015","WorldCat Record")</f>
        <v>WorldCat Record</v>
      </c>
    </row>
    <row r="92" spans="1:46" ht="41.25" customHeight="1" x14ac:dyDescent="0.25">
      <c r="A92" s="8" t="s">
        <v>51</v>
      </c>
      <c r="B92" s="2" t="s">
        <v>663</v>
      </c>
      <c r="C92" s="2" t="s">
        <v>664</v>
      </c>
      <c r="D92" s="2" t="s">
        <v>665</v>
      </c>
      <c r="F92" s="3" t="s">
        <v>51</v>
      </c>
      <c r="G92" s="3" t="s">
        <v>50</v>
      </c>
      <c r="H92" s="3" t="s">
        <v>49</v>
      </c>
      <c r="I92" s="3" t="s">
        <v>51</v>
      </c>
      <c r="J92" s="3" t="s">
        <v>52</v>
      </c>
      <c r="K92" s="2" t="s">
        <v>666</v>
      </c>
      <c r="L92" s="2" t="s">
        <v>667</v>
      </c>
      <c r="M92" s="3" t="s">
        <v>271</v>
      </c>
      <c r="O92" s="3" t="s">
        <v>56</v>
      </c>
      <c r="P92" s="3" t="s">
        <v>578</v>
      </c>
      <c r="R92" s="3" t="s">
        <v>59</v>
      </c>
      <c r="S92" s="4">
        <v>6</v>
      </c>
      <c r="T92" s="4">
        <v>14</v>
      </c>
      <c r="U92" s="5" t="s">
        <v>668</v>
      </c>
      <c r="V92" s="5" t="s">
        <v>669</v>
      </c>
      <c r="W92" s="5" t="s">
        <v>485</v>
      </c>
      <c r="X92" s="5" t="s">
        <v>485</v>
      </c>
      <c r="Y92" s="4">
        <v>1108</v>
      </c>
      <c r="Z92" s="4">
        <v>973</v>
      </c>
      <c r="AA92" s="4">
        <v>989</v>
      </c>
      <c r="AB92" s="4">
        <v>6</v>
      </c>
      <c r="AC92" s="4">
        <v>6</v>
      </c>
      <c r="AD92" s="4">
        <v>38</v>
      </c>
      <c r="AE92" s="4">
        <v>38</v>
      </c>
      <c r="AF92" s="4">
        <v>17</v>
      </c>
      <c r="AG92" s="4">
        <v>17</v>
      </c>
      <c r="AH92" s="4">
        <v>8</v>
      </c>
      <c r="AI92" s="4">
        <v>8</v>
      </c>
      <c r="AJ92" s="4">
        <v>14</v>
      </c>
      <c r="AK92" s="4">
        <v>14</v>
      </c>
      <c r="AL92" s="4">
        <v>4</v>
      </c>
      <c r="AM92" s="4">
        <v>4</v>
      </c>
      <c r="AN92" s="4">
        <v>4</v>
      </c>
      <c r="AO92" s="4">
        <v>4</v>
      </c>
      <c r="AP92" s="3" t="s">
        <v>51</v>
      </c>
      <c r="AQ92" s="3" t="s">
        <v>51</v>
      </c>
      <c r="AS92" s="6" t="str">
        <f>HYPERLINK("https://creighton-primo.hosted.exlibrisgroup.com/primo-explore/search?tab=default_tab&amp;search_scope=EVERYTHING&amp;vid=01CRU&amp;lang=en_US&amp;offset=0&amp;query=any,contains,991001788979702656","Catalog Record")</f>
        <v>Catalog Record</v>
      </c>
      <c r="AT92" s="6" t="str">
        <f>HYPERLINK("http://www.worldcat.org/oclc/2463650","WorldCat Record")</f>
        <v>WorldCat Record</v>
      </c>
    </row>
    <row r="93" spans="1:46" ht="41.25" customHeight="1" x14ac:dyDescent="0.25">
      <c r="A93" s="8" t="s">
        <v>51</v>
      </c>
      <c r="B93" s="2" t="s">
        <v>670</v>
      </c>
      <c r="C93" s="2" t="s">
        <v>671</v>
      </c>
      <c r="D93" s="2" t="s">
        <v>672</v>
      </c>
      <c r="F93" s="3" t="s">
        <v>51</v>
      </c>
      <c r="G93" s="3" t="s">
        <v>50</v>
      </c>
      <c r="H93" s="3" t="s">
        <v>51</v>
      </c>
      <c r="I93" s="3" t="s">
        <v>51</v>
      </c>
      <c r="J93" s="3" t="s">
        <v>52</v>
      </c>
      <c r="L93" s="2" t="s">
        <v>673</v>
      </c>
      <c r="M93" s="3" t="s">
        <v>263</v>
      </c>
      <c r="O93" s="3" t="s">
        <v>56</v>
      </c>
      <c r="P93" s="3" t="s">
        <v>69</v>
      </c>
      <c r="R93" s="3" t="s">
        <v>59</v>
      </c>
      <c r="S93" s="4">
        <v>4</v>
      </c>
      <c r="T93" s="4">
        <v>4</v>
      </c>
      <c r="U93" s="5" t="s">
        <v>674</v>
      </c>
      <c r="V93" s="5" t="s">
        <v>674</v>
      </c>
      <c r="W93" s="5" t="s">
        <v>608</v>
      </c>
      <c r="X93" s="5" t="s">
        <v>608</v>
      </c>
      <c r="Y93" s="4">
        <v>727</v>
      </c>
      <c r="Z93" s="4">
        <v>633</v>
      </c>
      <c r="AA93" s="4">
        <v>672</v>
      </c>
      <c r="AB93" s="4">
        <v>5</v>
      </c>
      <c r="AC93" s="4">
        <v>5</v>
      </c>
      <c r="AD93" s="4">
        <v>24</v>
      </c>
      <c r="AE93" s="4">
        <v>25</v>
      </c>
      <c r="AF93" s="4">
        <v>9</v>
      </c>
      <c r="AG93" s="4">
        <v>9</v>
      </c>
      <c r="AH93" s="4">
        <v>3</v>
      </c>
      <c r="AI93" s="4">
        <v>4</v>
      </c>
      <c r="AJ93" s="4">
        <v>13</v>
      </c>
      <c r="AK93" s="4">
        <v>14</v>
      </c>
      <c r="AL93" s="4">
        <v>4</v>
      </c>
      <c r="AM93" s="4">
        <v>4</v>
      </c>
      <c r="AN93" s="4">
        <v>0</v>
      </c>
      <c r="AO93" s="4">
        <v>0</v>
      </c>
      <c r="AP93" s="3" t="s">
        <v>51</v>
      </c>
      <c r="AQ93" s="3" t="s">
        <v>49</v>
      </c>
      <c r="AR93" s="6" t="str">
        <f>HYPERLINK("http://catalog.hathitrust.org/Record/004415952","HathiTrust Record")</f>
        <v>HathiTrust Record</v>
      </c>
      <c r="AS93" s="6" t="str">
        <f>HYPERLINK("https://creighton-primo.hosted.exlibrisgroup.com/primo-explore/search?tab=default_tab&amp;search_scope=EVERYTHING&amp;vid=01CRU&amp;lang=en_US&amp;offset=0&amp;query=any,contains,991003848719702656","Catalog Record")</f>
        <v>Catalog Record</v>
      </c>
      <c r="AT93" s="6" t="str">
        <f>HYPERLINK("http://www.worldcat.org/oclc/1636441","WorldCat Record")</f>
        <v>WorldCat Record</v>
      </c>
    </row>
    <row r="94" spans="1:46" ht="41.25" customHeight="1" x14ac:dyDescent="0.25">
      <c r="A94" s="8" t="s">
        <v>51</v>
      </c>
      <c r="B94" s="2" t="s">
        <v>675</v>
      </c>
      <c r="C94" s="2" t="s">
        <v>676</v>
      </c>
      <c r="D94" s="2" t="s">
        <v>677</v>
      </c>
      <c r="F94" s="3" t="s">
        <v>51</v>
      </c>
      <c r="G94" s="3" t="s">
        <v>50</v>
      </c>
      <c r="H94" s="3" t="s">
        <v>51</v>
      </c>
      <c r="I94" s="3" t="s">
        <v>51</v>
      </c>
      <c r="J94" s="3" t="s">
        <v>52</v>
      </c>
      <c r="K94" s="2" t="s">
        <v>678</v>
      </c>
      <c r="L94" s="2" t="s">
        <v>679</v>
      </c>
      <c r="M94" s="3" t="s">
        <v>218</v>
      </c>
      <c r="O94" s="3" t="s">
        <v>56</v>
      </c>
      <c r="P94" s="3" t="s">
        <v>87</v>
      </c>
      <c r="R94" s="3" t="s">
        <v>59</v>
      </c>
      <c r="S94" s="4">
        <v>0</v>
      </c>
      <c r="T94" s="4">
        <v>0</v>
      </c>
      <c r="U94" s="5" t="s">
        <v>680</v>
      </c>
      <c r="V94" s="5" t="s">
        <v>680</v>
      </c>
      <c r="W94" s="5" t="s">
        <v>485</v>
      </c>
      <c r="X94" s="5" t="s">
        <v>485</v>
      </c>
      <c r="Y94" s="4">
        <v>133</v>
      </c>
      <c r="Z94" s="4">
        <v>128</v>
      </c>
      <c r="AA94" s="4">
        <v>128</v>
      </c>
      <c r="AB94" s="4">
        <v>1</v>
      </c>
      <c r="AC94" s="4">
        <v>1</v>
      </c>
      <c r="AD94" s="4">
        <v>1</v>
      </c>
      <c r="AE94" s="4">
        <v>1</v>
      </c>
      <c r="AF94" s="4">
        <v>0</v>
      </c>
      <c r="AG94" s="4">
        <v>0</v>
      </c>
      <c r="AH94" s="4">
        <v>0</v>
      </c>
      <c r="AI94" s="4">
        <v>0</v>
      </c>
      <c r="AJ94" s="4">
        <v>1</v>
      </c>
      <c r="AK94" s="4">
        <v>1</v>
      </c>
      <c r="AL94" s="4">
        <v>0</v>
      </c>
      <c r="AM94" s="4">
        <v>0</v>
      </c>
      <c r="AN94" s="4">
        <v>0</v>
      </c>
      <c r="AO94" s="4">
        <v>0</v>
      </c>
      <c r="AP94" s="3" t="s">
        <v>51</v>
      </c>
      <c r="AQ94" s="3" t="s">
        <v>51</v>
      </c>
      <c r="AS94" s="6" t="str">
        <f>HYPERLINK("https://creighton-primo.hosted.exlibrisgroup.com/primo-explore/search?tab=default_tab&amp;search_scope=EVERYTHING&amp;vid=01CRU&amp;lang=en_US&amp;offset=0&amp;query=any,contains,991004019379702656","Catalog Record")</f>
        <v>Catalog Record</v>
      </c>
      <c r="AT94" s="6" t="str">
        <f>HYPERLINK("http://www.worldcat.org/oclc/2119512","WorldCat Record")</f>
        <v>WorldCat Record</v>
      </c>
    </row>
    <row r="95" spans="1:46" ht="41.25" customHeight="1" x14ac:dyDescent="0.25">
      <c r="A95" s="8" t="s">
        <v>51</v>
      </c>
      <c r="B95" s="2" t="s">
        <v>681</v>
      </c>
      <c r="C95" s="2" t="s">
        <v>682</v>
      </c>
      <c r="D95" s="2" t="s">
        <v>683</v>
      </c>
      <c r="F95" s="3" t="s">
        <v>51</v>
      </c>
      <c r="G95" s="3" t="s">
        <v>50</v>
      </c>
      <c r="H95" s="3" t="s">
        <v>51</v>
      </c>
      <c r="I95" s="3" t="s">
        <v>51</v>
      </c>
      <c r="J95" s="3" t="s">
        <v>52</v>
      </c>
      <c r="K95" s="2" t="s">
        <v>684</v>
      </c>
      <c r="L95" s="2" t="s">
        <v>685</v>
      </c>
      <c r="M95" s="3" t="s">
        <v>77</v>
      </c>
      <c r="O95" s="3" t="s">
        <v>56</v>
      </c>
      <c r="P95" s="3" t="s">
        <v>686</v>
      </c>
      <c r="R95" s="3" t="s">
        <v>59</v>
      </c>
      <c r="S95" s="4">
        <v>2</v>
      </c>
      <c r="T95" s="4">
        <v>2</v>
      </c>
      <c r="U95" s="5" t="s">
        <v>687</v>
      </c>
      <c r="V95" s="5" t="s">
        <v>687</v>
      </c>
      <c r="W95" s="5" t="s">
        <v>687</v>
      </c>
      <c r="X95" s="5" t="s">
        <v>687</v>
      </c>
      <c r="Y95" s="4">
        <v>60</v>
      </c>
      <c r="Z95" s="4">
        <v>35</v>
      </c>
      <c r="AA95" s="4">
        <v>35</v>
      </c>
      <c r="AB95" s="4">
        <v>1</v>
      </c>
      <c r="AC95" s="4">
        <v>1</v>
      </c>
      <c r="AD95" s="4">
        <v>3</v>
      </c>
      <c r="AE95" s="4">
        <v>3</v>
      </c>
      <c r="AF95" s="4">
        <v>1</v>
      </c>
      <c r="AG95" s="4">
        <v>1</v>
      </c>
      <c r="AH95" s="4">
        <v>1</v>
      </c>
      <c r="AI95" s="4">
        <v>1</v>
      </c>
      <c r="AJ95" s="4">
        <v>2</v>
      </c>
      <c r="AK95" s="4">
        <v>2</v>
      </c>
      <c r="AL95" s="4">
        <v>0</v>
      </c>
      <c r="AM95" s="4">
        <v>0</v>
      </c>
      <c r="AN95" s="4">
        <v>0</v>
      </c>
      <c r="AO95" s="4">
        <v>0</v>
      </c>
      <c r="AP95" s="3" t="s">
        <v>51</v>
      </c>
      <c r="AQ95" s="3" t="s">
        <v>51</v>
      </c>
      <c r="AS95" s="6" t="str">
        <f>HYPERLINK("https://creighton-primo.hosted.exlibrisgroup.com/primo-explore/search?tab=default_tab&amp;search_scope=EVERYTHING&amp;vid=01CRU&amp;lang=en_US&amp;offset=0&amp;query=any,contains,991004415739702656","Catalog Record")</f>
        <v>Catalog Record</v>
      </c>
      <c r="AT95" s="6" t="str">
        <f>HYPERLINK("http://www.worldcat.org/oclc/25361968","WorldCat Record")</f>
        <v>WorldCat Record</v>
      </c>
    </row>
    <row r="96" spans="1:46" ht="41.25" customHeight="1" x14ac:dyDescent="0.25">
      <c r="A96" s="8" t="s">
        <v>51</v>
      </c>
      <c r="B96" s="2" t="s">
        <v>688</v>
      </c>
      <c r="C96" s="2" t="s">
        <v>689</v>
      </c>
      <c r="D96" s="2" t="s">
        <v>690</v>
      </c>
      <c r="F96" s="3" t="s">
        <v>51</v>
      </c>
      <c r="G96" s="3" t="s">
        <v>50</v>
      </c>
      <c r="H96" s="3" t="s">
        <v>51</v>
      </c>
      <c r="I96" s="3" t="s">
        <v>51</v>
      </c>
      <c r="J96" s="3" t="s">
        <v>52</v>
      </c>
      <c r="K96" s="2" t="s">
        <v>691</v>
      </c>
      <c r="L96" s="2" t="s">
        <v>692</v>
      </c>
      <c r="M96" s="3" t="s">
        <v>498</v>
      </c>
      <c r="N96" s="2" t="s">
        <v>245</v>
      </c>
      <c r="O96" s="3" t="s">
        <v>56</v>
      </c>
      <c r="P96" s="3" t="s">
        <v>87</v>
      </c>
      <c r="R96" s="3" t="s">
        <v>59</v>
      </c>
      <c r="S96" s="4">
        <v>5</v>
      </c>
      <c r="T96" s="4">
        <v>5</v>
      </c>
      <c r="U96" s="5" t="s">
        <v>693</v>
      </c>
      <c r="V96" s="5" t="s">
        <v>693</v>
      </c>
      <c r="W96" s="5" t="s">
        <v>694</v>
      </c>
      <c r="X96" s="5" t="s">
        <v>694</v>
      </c>
      <c r="Y96" s="4">
        <v>251</v>
      </c>
      <c r="Z96" s="4">
        <v>230</v>
      </c>
      <c r="AA96" s="4">
        <v>235</v>
      </c>
      <c r="AB96" s="4">
        <v>4</v>
      </c>
      <c r="AC96" s="4">
        <v>4</v>
      </c>
      <c r="AD96" s="4">
        <v>3</v>
      </c>
      <c r="AE96" s="4">
        <v>3</v>
      </c>
      <c r="AF96" s="4">
        <v>1</v>
      </c>
      <c r="AG96" s="4">
        <v>1</v>
      </c>
      <c r="AH96" s="4">
        <v>0</v>
      </c>
      <c r="AI96" s="4">
        <v>0</v>
      </c>
      <c r="AJ96" s="4">
        <v>0</v>
      </c>
      <c r="AK96" s="4">
        <v>0</v>
      </c>
      <c r="AL96" s="4">
        <v>2</v>
      </c>
      <c r="AM96" s="4">
        <v>2</v>
      </c>
      <c r="AN96" s="4">
        <v>0</v>
      </c>
      <c r="AO96" s="4">
        <v>0</v>
      </c>
      <c r="AP96" s="3" t="s">
        <v>51</v>
      </c>
      <c r="AQ96" s="3" t="s">
        <v>51</v>
      </c>
      <c r="AS96" s="6" t="str">
        <f>HYPERLINK("https://creighton-primo.hosted.exlibrisgroup.com/primo-explore/search?tab=default_tab&amp;search_scope=EVERYTHING&amp;vid=01CRU&amp;lang=en_US&amp;offset=0&amp;query=any,contains,991002719069702656","Catalog Record")</f>
        <v>Catalog Record</v>
      </c>
      <c r="AT96" s="6" t="str">
        <f>HYPERLINK("http://www.worldcat.org/oclc/35650958","WorldCat Record")</f>
        <v>WorldCat Record</v>
      </c>
    </row>
    <row r="97" spans="1:46" ht="41.25" customHeight="1" x14ac:dyDescent="0.25">
      <c r="A97" s="8" t="s">
        <v>51</v>
      </c>
      <c r="B97" s="2" t="s">
        <v>695</v>
      </c>
      <c r="C97" s="2" t="s">
        <v>696</v>
      </c>
      <c r="D97" s="2" t="s">
        <v>697</v>
      </c>
      <c r="F97" s="3" t="s">
        <v>51</v>
      </c>
      <c r="G97" s="3" t="s">
        <v>50</v>
      </c>
      <c r="H97" s="3" t="s">
        <v>51</v>
      </c>
      <c r="I97" s="3" t="s">
        <v>51</v>
      </c>
      <c r="J97" s="3" t="s">
        <v>52</v>
      </c>
      <c r="K97" s="2" t="s">
        <v>698</v>
      </c>
      <c r="L97" s="2" t="s">
        <v>699</v>
      </c>
      <c r="M97" s="3" t="s">
        <v>700</v>
      </c>
      <c r="O97" s="3" t="s">
        <v>56</v>
      </c>
      <c r="P97" s="3" t="s">
        <v>448</v>
      </c>
      <c r="R97" s="3" t="s">
        <v>59</v>
      </c>
      <c r="S97" s="4">
        <v>1</v>
      </c>
      <c r="T97" s="4">
        <v>1</v>
      </c>
      <c r="U97" s="5" t="s">
        <v>701</v>
      </c>
      <c r="V97" s="5" t="s">
        <v>701</v>
      </c>
      <c r="W97" s="5" t="s">
        <v>485</v>
      </c>
      <c r="X97" s="5" t="s">
        <v>485</v>
      </c>
      <c r="Y97" s="4">
        <v>910</v>
      </c>
      <c r="Z97" s="4">
        <v>838</v>
      </c>
      <c r="AA97" s="4">
        <v>972</v>
      </c>
      <c r="AB97" s="4">
        <v>10</v>
      </c>
      <c r="AC97" s="4">
        <v>10</v>
      </c>
      <c r="AD97" s="4">
        <v>27</v>
      </c>
      <c r="AE97" s="4">
        <v>28</v>
      </c>
      <c r="AF97" s="4">
        <v>9</v>
      </c>
      <c r="AG97" s="4">
        <v>10</v>
      </c>
      <c r="AH97" s="4">
        <v>4</v>
      </c>
      <c r="AI97" s="4">
        <v>5</v>
      </c>
      <c r="AJ97" s="4">
        <v>10</v>
      </c>
      <c r="AK97" s="4">
        <v>10</v>
      </c>
      <c r="AL97" s="4">
        <v>7</v>
      </c>
      <c r="AM97" s="4">
        <v>7</v>
      </c>
      <c r="AN97" s="4">
        <v>1</v>
      </c>
      <c r="AO97" s="4">
        <v>1</v>
      </c>
      <c r="AP97" s="3" t="s">
        <v>51</v>
      </c>
      <c r="AQ97" s="3" t="s">
        <v>49</v>
      </c>
      <c r="AR97" s="6" t="str">
        <f>HYPERLINK("http://catalog.hathitrust.org/Record/001557800","HathiTrust Record")</f>
        <v>HathiTrust Record</v>
      </c>
      <c r="AS97" s="6" t="str">
        <f>HYPERLINK("https://creighton-primo.hosted.exlibrisgroup.com/primo-explore/search?tab=default_tab&amp;search_scope=EVERYTHING&amp;vid=01CRU&amp;lang=en_US&amp;offset=0&amp;query=any,contains,991001783209702656","Catalog Record")</f>
        <v>Catalog Record</v>
      </c>
      <c r="AT97" s="6" t="str">
        <f>HYPERLINK("http://www.worldcat.org/oclc/597444","WorldCat Record")</f>
        <v>WorldCat Record</v>
      </c>
    </row>
    <row r="98" spans="1:46" ht="41.25" customHeight="1" x14ac:dyDescent="0.25">
      <c r="A98" s="8" t="s">
        <v>51</v>
      </c>
      <c r="B98" s="2" t="s">
        <v>702</v>
      </c>
      <c r="C98" s="2" t="s">
        <v>703</v>
      </c>
      <c r="D98" s="2" t="s">
        <v>704</v>
      </c>
      <c r="F98" s="3" t="s">
        <v>51</v>
      </c>
      <c r="G98" s="3" t="s">
        <v>50</v>
      </c>
      <c r="H98" s="3" t="s">
        <v>51</v>
      </c>
      <c r="I98" s="3" t="s">
        <v>51</v>
      </c>
      <c r="J98" s="3" t="s">
        <v>52</v>
      </c>
      <c r="K98" s="2" t="s">
        <v>705</v>
      </c>
      <c r="L98" s="2" t="s">
        <v>706</v>
      </c>
      <c r="M98" s="3" t="s">
        <v>707</v>
      </c>
      <c r="O98" s="3" t="s">
        <v>56</v>
      </c>
      <c r="P98" s="3" t="s">
        <v>87</v>
      </c>
      <c r="R98" s="3" t="s">
        <v>59</v>
      </c>
      <c r="S98" s="4">
        <v>3</v>
      </c>
      <c r="T98" s="4">
        <v>3</v>
      </c>
      <c r="U98" s="5" t="s">
        <v>701</v>
      </c>
      <c r="V98" s="5" t="s">
        <v>701</v>
      </c>
      <c r="W98" s="5" t="s">
        <v>239</v>
      </c>
      <c r="X98" s="5" t="s">
        <v>239</v>
      </c>
      <c r="Y98" s="4">
        <v>952</v>
      </c>
      <c r="Z98" s="4">
        <v>930</v>
      </c>
      <c r="AA98" s="4">
        <v>973</v>
      </c>
      <c r="AB98" s="4">
        <v>9</v>
      </c>
      <c r="AC98" s="4">
        <v>9</v>
      </c>
      <c r="AD98" s="4">
        <v>27</v>
      </c>
      <c r="AE98" s="4">
        <v>29</v>
      </c>
      <c r="AF98" s="4">
        <v>11</v>
      </c>
      <c r="AG98" s="4">
        <v>12</v>
      </c>
      <c r="AH98" s="4">
        <v>5</v>
      </c>
      <c r="AI98" s="4">
        <v>5</v>
      </c>
      <c r="AJ98" s="4">
        <v>17</v>
      </c>
      <c r="AK98" s="4">
        <v>19</v>
      </c>
      <c r="AL98" s="4">
        <v>2</v>
      </c>
      <c r="AM98" s="4">
        <v>2</v>
      </c>
      <c r="AN98" s="4">
        <v>0</v>
      </c>
      <c r="AO98" s="4">
        <v>0</v>
      </c>
      <c r="AP98" s="3" t="s">
        <v>51</v>
      </c>
      <c r="AQ98" s="3" t="s">
        <v>51</v>
      </c>
      <c r="AS98" s="6" t="str">
        <f>HYPERLINK("https://creighton-primo.hosted.exlibrisgroup.com/primo-explore/search?tab=default_tab&amp;search_scope=EVERYTHING&amp;vid=01CRU&amp;lang=en_US&amp;offset=0&amp;query=any,contains,991002481369702656","Catalog Record")</f>
        <v>Catalog Record</v>
      </c>
      <c r="AT98" s="6" t="str">
        <f>HYPERLINK("http://www.worldcat.org/oclc/359833","WorldCat Record")</f>
        <v>WorldCat Record</v>
      </c>
    </row>
    <row r="99" spans="1:46" ht="41.25" customHeight="1" x14ac:dyDescent="0.25">
      <c r="A99" s="8" t="s">
        <v>51</v>
      </c>
      <c r="B99" s="2" t="s">
        <v>708</v>
      </c>
      <c r="C99" s="2" t="s">
        <v>709</v>
      </c>
      <c r="D99" s="2" t="s">
        <v>710</v>
      </c>
      <c r="F99" s="3" t="s">
        <v>51</v>
      </c>
      <c r="G99" s="3" t="s">
        <v>50</v>
      </c>
      <c r="H99" s="3" t="s">
        <v>51</v>
      </c>
      <c r="I99" s="3" t="s">
        <v>51</v>
      </c>
      <c r="J99" s="3" t="s">
        <v>52</v>
      </c>
      <c r="K99" s="2" t="s">
        <v>711</v>
      </c>
      <c r="L99" s="2" t="s">
        <v>712</v>
      </c>
      <c r="M99" s="3" t="s">
        <v>171</v>
      </c>
      <c r="O99" s="3" t="s">
        <v>56</v>
      </c>
      <c r="P99" s="3" t="s">
        <v>359</v>
      </c>
      <c r="R99" s="3" t="s">
        <v>59</v>
      </c>
      <c r="S99" s="4">
        <v>8</v>
      </c>
      <c r="T99" s="4">
        <v>8</v>
      </c>
      <c r="U99" s="5" t="s">
        <v>713</v>
      </c>
      <c r="V99" s="5" t="s">
        <v>713</v>
      </c>
      <c r="W99" s="5" t="s">
        <v>485</v>
      </c>
      <c r="X99" s="5" t="s">
        <v>485</v>
      </c>
      <c r="Y99" s="4">
        <v>443</v>
      </c>
      <c r="Z99" s="4">
        <v>374</v>
      </c>
      <c r="AA99" s="4">
        <v>379</v>
      </c>
      <c r="AB99" s="4">
        <v>2</v>
      </c>
      <c r="AC99" s="4">
        <v>2</v>
      </c>
      <c r="AD99" s="4">
        <v>18</v>
      </c>
      <c r="AE99" s="4">
        <v>18</v>
      </c>
      <c r="AF99" s="4">
        <v>4</v>
      </c>
      <c r="AG99" s="4">
        <v>4</v>
      </c>
      <c r="AH99" s="4">
        <v>5</v>
      </c>
      <c r="AI99" s="4">
        <v>5</v>
      </c>
      <c r="AJ99" s="4">
        <v>12</v>
      </c>
      <c r="AK99" s="4">
        <v>12</v>
      </c>
      <c r="AL99" s="4">
        <v>1</v>
      </c>
      <c r="AM99" s="4">
        <v>1</v>
      </c>
      <c r="AN99" s="4">
        <v>0</v>
      </c>
      <c r="AO99" s="4">
        <v>0</v>
      </c>
      <c r="AP99" s="3" t="s">
        <v>51</v>
      </c>
      <c r="AQ99" s="3" t="s">
        <v>51</v>
      </c>
      <c r="AS99" s="6" t="str">
        <f>HYPERLINK("https://creighton-primo.hosted.exlibrisgroup.com/primo-explore/search?tab=default_tab&amp;search_scope=EVERYTHING&amp;vid=01CRU&amp;lang=en_US&amp;offset=0&amp;query=any,contains,991004808569702656","Catalog Record")</f>
        <v>Catalog Record</v>
      </c>
      <c r="AT99" s="6" t="str">
        <f>HYPERLINK("http://www.worldcat.org/oclc/5264518","WorldCat Record")</f>
        <v>WorldCat Record</v>
      </c>
    </row>
    <row r="100" spans="1:46" ht="41.25" customHeight="1" x14ac:dyDescent="0.25">
      <c r="A100" s="8" t="s">
        <v>51</v>
      </c>
      <c r="B100" s="2" t="s">
        <v>714</v>
      </c>
      <c r="C100" s="2" t="s">
        <v>715</v>
      </c>
      <c r="D100" s="2" t="s">
        <v>716</v>
      </c>
      <c r="F100" s="3" t="s">
        <v>51</v>
      </c>
      <c r="G100" s="3" t="s">
        <v>50</v>
      </c>
      <c r="H100" s="3" t="s">
        <v>51</v>
      </c>
      <c r="I100" s="3" t="s">
        <v>51</v>
      </c>
      <c r="J100" s="3" t="s">
        <v>52</v>
      </c>
      <c r="K100" s="2" t="s">
        <v>717</v>
      </c>
      <c r="L100" s="2" t="s">
        <v>718</v>
      </c>
      <c r="M100" s="3" t="s">
        <v>186</v>
      </c>
      <c r="O100" s="3" t="s">
        <v>56</v>
      </c>
      <c r="P100" s="3" t="s">
        <v>69</v>
      </c>
      <c r="R100" s="3" t="s">
        <v>59</v>
      </c>
      <c r="S100" s="4">
        <v>5</v>
      </c>
      <c r="T100" s="4">
        <v>5</v>
      </c>
      <c r="U100" s="5" t="s">
        <v>719</v>
      </c>
      <c r="V100" s="5" t="s">
        <v>719</v>
      </c>
      <c r="W100" s="5" t="s">
        <v>485</v>
      </c>
      <c r="X100" s="5" t="s">
        <v>485</v>
      </c>
      <c r="Y100" s="4">
        <v>376</v>
      </c>
      <c r="Z100" s="4">
        <v>294</v>
      </c>
      <c r="AA100" s="4">
        <v>295</v>
      </c>
      <c r="AB100" s="4">
        <v>2</v>
      </c>
      <c r="AC100" s="4">
        <v>2</v>
      </c>
      <c r="AD100" s="4">
        <v>16</v>
      </c>
      <c r="AE100" s="4">
        <v>16</v>
      </c>
      <c r="AF100" s="4">
        <v>2</v>
      </c>
      <c r="AG100" s="4">
        <v>2</v>
      </c>
      <c r="AH100" s="4">
        <v>6</v>
      </c>
      <c r="AI100" s="4">
        <v>6</v>
      </c>
      <c r="AJ100" s="4">
        <v>12</v>
      </c>
      <c r="AK100" s="4">
        <v>12</v>
      </c>
      <c r="AL100" s="4">
        <v>1</v>
      </c>
      <c r="AM100" s="4">
        <v>1</v>
      </c>
      <c r="AN100" s="4">
        <v>0</v>
      </c>
      <c r="AO100" s="4">
        <v>0</v>
      </c>
      <c r="AP100" s="3" t="s">
        <v>51</v>
      </c>
      <c r="AQ100" s="3" t="s">
        <v>49</v>
      </c>
      <c r="AR100" s="6" t="str">
        <f>HYPERLINK("http://catalog.hathitrust.org/Record/007473182","HathiTrust Record")</f>
        <v>HathiTrust Record</v>
      </c>
      <c r="AS100" s="6" t="str">
        <f>HYPERLINK("https://creighton-primo.hosted.exlibrisgroup.com/primo-explore/search?tab=default_tab&amp;search_scope=EVERYTHING&amp;vid=01CRU&amp;lang=en_US&amp;offset=0&amp;query=any,contains,991000063959702656","Catalog Record")</f>
        <v>Catalog Record</v>
      </c>
      <c r="AT100" s="6" t="str">
        <f>HYPERLINK("http://www.worldcat.org/oclc/8762377","WorldCat Record")</f>
        <v>WorldCat Record</v>
      </c>
    </row>
    <row r="101" spans="1:46" ht="41.25" customHeight="1" x14ac:dyDescent="0.25">
      <c r="A101" s="8" t="s">
        <v>51</v>
      </c>
      <c r="B101" s="2" t="s">
        <v>720</v>
      </c>
      <c r="C101" s="2" t="s">
        <v>721</v>
      </c>
      <c r="D101" s="2" t="s">
        <v>722</v>
      </c>
      <c r="F101" s="3" t="s">
        <v>51</v>
      </c>
      <c r="G101" s="3" t="s">
        <v>50</v>
      </c>
      <c r="H101" s="3" t="s">
        <v>49</v>
      </c>
      <c r="I101" s="3" t="s">
        <v>51</v>
      </c>
      <c r="J101" s="3" t="s">
        <v>52</v>
      </c>
      <c r="K101" s="2" t="s">
        <v>723</v>
      </c>
      <c r="L101" s="2" t="s">
        <v>724</v>
      </c>
      <c r="M101" s="3" t="s">
        <v>103</v>
      </c>
      <c r="O101" s="3" t="s">
        <v>56</v>
      </c>
      <c r="P101" s="3" t="s">
        <v>87</v>
      </c>
      <c r="R101" s="3" t="s">
        <v>59</v>
      </c>
      <c r="S101" s="4">
        <v>3</v>
      </c>
      <c r="T101" s="4">
        <v>5</v>
      </c>
      <c r="U101" s="5" t="s">
        <v>725</v>
      </c>
      <c r="V101" s="5" t="s">
        <v>725</v>
      </c>
      <c r="W101" s="5" t="s">
        <v>485</v>
      </c>
      <c r="X101" s="5" t="s">
        <v>485</v>
      </c>
      <c r="Y101" s="4">
        <v>217</v>
      </c>
      <c r="Z101" s="4">
        <v>195</v>
      </c>
      <c r="AA101" s="4">
        <v>199</v>
      </c>
      <c r="AB101" s="4">
        <v>2</v>
      </c>
      <c r="AC101" s="4">
        <v>2</v>
      </c>
      <c r="AD101" s="4">
        <v>10</v>
      </c>
      <c r="AE101" s="4">
        <v>10</v>
      </c>
      <c r="AF101" s="4">
        <v>3</v>
      </c>
      <c r="AG101" s="4">
        <v>3</v>
      </c>
      <c r="AH101" s="4">
        <v>1</v>
      </c>
      <c r="AI101" s="4">
        <v>1</v>
      </c>
      <c r="AJ101" s="4">
        <v>6</v>
      </c>
      <c r="AK101" s="4">
        <v>6</v>
      </c>
      <c r="AL101" s="4">
        <v>0</v>
      </c>
      <c r="AM101" s="4">
        <v>0</v>
      </c>
      <c r="AN101" s="4">
        <v>3</v>
      </c>
      <c r="AO101" s="4">
        <v>3</v>
      </c>
      <c r="AP101" s="3" t="s">
        <v>51</v>
      </c>
      <c r="AQ101" s="3" t="s">
        <v>49</v>
      </c>
      <c r="AR101" s="6" t="str">
        <f>HYPERLINK("http://catalog.hathitrust.org/Record/000456801","HathiTrust Record")</f>
        <v>HathiTrust Record</v>
      </c>
      <c r="AS101" s="6" t="str">
        <f>HYPERLINK("https://creighton-primo.hosted.exlibrisgroup.com/primo-explore/search?tab=default_tab&amp;search_scope=EVERYTHING&amp;vid=01CRU&amp;lang=en_US&amp;offset=0&amp;query=any,contains,991001805859702656","Catalog Record")</f>
        <v>Catalog Record</v>
      </c>
      <c r="AT101" s="6" t="str">
        <f>HYPERLINK("http://www.worldcat.org/oclc/10780701","WorldCat Record")</f>
        <v>WorldCat Record</v>
      </c>
    </row>
    <row r="102" spans="1:46" ht="41.25" customHeight="1" x14ac:dyDescent="0.25">
      <c r="A102" s="8" t="s">
        <v>51</v>
      </c>
      <c r="B102" s="2" t="s">
        <v>726</v>
      </c>
      <c r="C102" s="2" t="s">
        <v>727</v>
      </c>
      <c r="D102" s="2" t="s">
        <v>728</v>
      </c>
      <c r="F102" s="3" t="s">
        <v>51</v>
      </c>
      <c r="G102" s="3" t="s">
        <v>50</v>
      </c>
      <c r="H102" s="3" t="s">
        <v>51</v>
      </c>
      <c r="I102" s="3" t="s">
        <v>49</v>
      </c>
      <c r="J102" s="3" t="s">
        <v>52</v>
      </c>
      <c r="K102" s="2" t="s">
        <v>209</v>
      </c>
      <c r="L102" s="2" t="s">
        <v>729</v>
      </c>
      <c r="M102" s="3" t="s">
        <v>171</v>
      </c>
      <c r="O102" s="3" t="s">
        <v>56</v>
      </c>
      <c r="P102" s="3" t="s">
        <v>578</v>
      </c>
      <c r="Q102" s="2" t="s">
        <v>730</v>
      </c>
      <c r="R102" s="3" t="s">
        <v>59</v>
      </c>
      <c r="S102" s="4">
        <v>5</v>
      </c>
      <c r="T102" s="4">
        <v>5</v>
      </c>
      <c r="U102" s="5" t="s">
        <v>731</v>
      </c>
      <c r="V102" s="5" t="s">
        <v>731</v>
      </c>
      <c r="W102" s="5" t="s">
        <v>485</v>
      </c>
      <c r="X102" s="5" t="s">
        <v>485</v>
      </c>
      <c r="Y102" s="4">
        <v>267</v>
      </c>
      <c r="Z102" s="4">
        <v>195</v>
      </c>
      <c r="AA102" s="4">
        <v>1010</v>
      </c>
      <c r="AB102" s="4">
        <v>1</v>
      </c>
      <c r="AC102" s="4">
        <v>8</v>
      </c>
      <c r="AD102" s="4">
        <v>7</v>
      </c>
      <c r="AE102" s="4">
        <v>40</v>
      </c>
      <c r="AF102" s="4">
        <v>5</v>
      </c>
      <c r="AG102" s="4">
        <v>17</v>
      </c>
      <c r="AH102" s="4">
        <v>2</v>
      </c>
      <c r="AI102" s="4">
        <v>6</v>
      </c>
      <c r="AJ102" s="4">
        <v>2</v>
      </c>
      <c r="AK102" s="4">
        <v>18</v>
      </c>
      <c r="AL102" s="4">
        <v>0</v>
      </c>
      <c r="AM102" s="4">
        <v>6</v>
      </c>
      <c r="AN102" s="4">
        <v>0</v>
      </c>
      <c r="AO102" s="4">
        <v>1</v>
      </c>
      <c r="AP102" s="3" t="s">
        <v>51</v>
      </c>
      <c r="AQ102" s="3" t="s">
        <v>49</v>
      </c>
      <c r="AR102" s="6" t="str">
        <f>HYPERLINK("http://catalog.hathitrust.org/Record/000710832","HathiTrust Record")</f>
        <v>HathiTrust Record</v>
      </c>
      <c r="AS102" s="6" t="str">
        <f>HYPERLINK("https://creighton-primo.hosted.exlibrisgroup.com/primo-explore/search?tab=default_tab&amp;search_scope=EVERYTHING&amp;vid=01CRU&amp;lang=en_US&amp;offset=0&amp;query=any,contains,991004961419702656","Catalog Record")</f>
        <v>Catalog Record</v>
      </c>
      <c r="AT102" s="6" t="str">
        <f>HYPERLINK("http://www.worldcat.org/oclc/6305228","WorldCat Record")</f>
        <v>WorldCat Record</v>
      </c>
    </row>
    <row r="103" spans="1:46" ht="41.25" customHeight="1" x14ac:dyDescent="0.25">
      <c r="A103" s="8" t="s">
        <v>51</v>
      </c>
      <c r="B103" s="2" t="s">
        <v>732</v>
      </c>
      <c r="C103" s="2" t="s">
        <v>733</v>
      </c>
      <c r="D103" s="2" t="s">
        <v>734</v>
      </c>
      <c r="F103" s="3" t="s">
        <v>51</v>
      </c>
      <c r="G103" s="3" t="s">
        <v>50</v>
      </c>
      <c r="H103" s="3" t="s">
        <v>51</v>
      </c>
      <c r="I103" s="3" t="s">
        <v>51</v>
      </c>
      <c r="J103" s="3" t="s">
        <v>52</v>
      </c>
      <c r="L103" s="2" t="s">
        <v>735</v>
      </c>
      <c r="M103" s="3" t="s">
        <v>129</v>
      </c>
      <c r="O103" s="3" t="s">
        <v>56</v>
      </c>
      <c r="P103" s="3" t="s">
        <v>87</v>
      </c>
      <c r="R103" s="3" t="s">
        <v>59</v>
      </c>
      <c r="S103" s="4">
        <v>5</v>
      </c>
      <c r="T103" s="4">
        <v>5</v>
      </c>
      <c r="U103" s="5" t="s">
        <v>736</v>
      </c>
      <c r="V103" s="5" t="s">
        <v>736</v>
      </c>
      <c r="W103" s="5" t="s">
        <v>485</v>
      </c>
      <c r="X103" s="5" t="s">
        <v>485</v>
      </c>
      <c r="Y103" s="4">
        <v>525</v>
      </c>
      <c r="Z103" s="4">
        <v>471</v>
      </c>
      <c r="AA103" s="4">
        <v>536</v>
      </c>
      <c r="AB103" s="4">
        <v>4</v>
      </c>
      <c r="AC103" s="4">
        <v>4</v>
      </c>
      <c r="AD103" s="4">
        <v>17</v>
      </c>
      <c r="AE103" s="4">
        <v>17</v>
      </c>
      <c r="AF103" s="4">
        <v>6</v>
      </c>
      <c r="AG103" s="4">
        <v>6</v>
      </c>
      <c r="AH103" s="4">
        <v>4</v>
      </c>
      <c r="AI103" s="4">
        <v>4</v>
      </c>
      <c r="AJ103" s="4">
        <v>9</v>
      </c>
      <c r="AK103" s="4">
        <v>9</v>
      </c>
      <c r="AL103" s="4">
        <v>2</v>
      </c>
      <c r="AM103" s="4">
        <v>2</v>
      </c>
      <c r="AN103" s="4">
        <v>1</v>
      </c>
      <c r="AO103" s="4">
        <v>1</v>
      </c>
      <c r="AP103" s="3" t="s">
        <v>51</v>
      </c>
      <c r="AQ103" s="3" t="s">
        <v>49</v>
      </c>
      <c r="AR103" s="6" t="str">
        <f>HYPERLINK("http://catalog.hathitrust.org/Record/000631876","HathiTrust Record")</f>
        <v>HathiTrust Record</v>
      </c>
      <c r="AS103" s="6" t="str">
        <f>HYPERLINK("https://creighton-primo.hosted.exlibrisgroup.com/primo-explore/search?tab=default_tab&amp;search_scope=EVERYTHING&amp;vid=01CRU&amp;lang=en_US&amp;offset=0&amp;query=any,contains,991000789089702656","Catalog Record")</f>
        <v>Catalog Record</v>
      </c>
      <c r="AT103" s="6" t="str">
        <f>HYPERLINK("http://www.worldcat.org/oclc/13132181","WorldCat Record")</f>
        <v>WorldCat Record</v>
      </c>
    </row>
    <row r="104" spans="1:46" ht="41.25" customHeight="1" x14ac:dyDescent="0.25">
      <c r="A104" s="8" t="s">
        <v>51</v>
      </c>
      <c r="B104" s="2" t="s">
        <v>737</v>
      </c>
      <c r="C104" s="2" t="s">
        <v>738</v>
      </c>
      <c r="D104" s="2" t="s">
        <v>739</v>
      </c>
      <c r="F104" s="3" t="s">
        <v>51</v>
      </c>
      <c r="G104" s="3" t="s">
        <v>50</v>
      </c>
      <c r="H104" s="3" t="s">
        <v>51</v>
      </c>
      <c r="I104" s="3" t="s">
        <v>49</v>
      </c>
      <c r="J104" s="3" t="s">
        <v>52</v>
      </c>
      <c r="L104" s="2" t="s">
        <v>740</v>
      </c>
      <c r="M104" s="3" t="s">
        <v>94</v>
      </c>
      <c r="O104" s="3" t="s">
        <v>56</v>
      </c>
      <c r="P104" s="3" t="s">
        <v>87</v>
      </c>
      <c r="R104" s="3" t="s">
        <v>59</v>
      </c>
      <c r="S104" s="4">
        <v>11</v>
      </c>
      <c r="T104" s="4">
        <v>11</v>
      </c>
      <c r="U104" s="5" t="s">
        <v>741</v>
      </c>
      <c r="V104" s="5" t="s">
        <v>741</v>
      </c>
      <c r="W104" s="5" t="s">
        <v>742</v>
      </c>
      <c r="X104" s="5" t="s">
        <v>742</v>
      </c>
      <c r="Y104" s="4">
        <v>169</v>
      </c>
      <c r="Z104" s="4">
        <v>117</v>
      </c>
      <c r="AA104" s="4">
        <v>481</v>
      </c>
      <c r="AB104" s="4">
        <v>1</v>
      </c>
      <c r="AC104" s="4">
        <v>4</v>
      </c>
      <c r="AD104" s="4">
        <v>5</v>
      </c>
      <c r="AE104" s="4">
        <v>15</v>
      </c>
      <c r="AF104" s="4">
        <v>2</v>
      </c>
      <c r="AG104" s="4">
        <v>5</v>
      </c>
      <c r="AH104" s="4">
        <v>0</v>
      </c>
      <c r="AI104" s="4">
        <v>1</v>
      </c>
      <c r="AJ104" s="4">
        <v>4</v>
      </c>
      <c r="AK104" s="4">
        <v>11</v>
      </c>
      <c r="AL104" s="4">
        <v>0</v>
      </c>
      <c r="AM104" s="4">
        <v>1</v>
      </c>
      <c r="AN104" s="4">
        <v>0</v>
      </c>
      <c r="AO104" s="4">
        <v>1</v>
      </c>
      <c r="AP104" s="3" t="s">
        <v>51</v>
      </c>
      <c r="AQ104" s="3" t="s">
        <v>51</v>
      </c>
      <c r="AS104" s="6" t="str">
        <f>HYPERLINK("https://creighton-primo.hosted.exlibrisgroup.com/primo-explore/search?tab=default_tab&amp;search_scope=EVERYTHING&amp;vid=01CRU&amp;lang=en_US&amp;offset=0&amp;query=any,contains,991001625689702656","Catalog Record")</f>
        <v>Catalog Record</v>
      </c>
      <c r="AT104" s="6" t="str">
        <f>HYPERLINK("http://www.worldcat.org/oclc/20852349","WorldCat Record")</f>
        <v>WorldCat Record</v>
      </c>
    </row>
    <row r="105" spans="1:46" ht="41.25" customHeight="1" x14ac:dyDescent="0.25">
      <c r="A105" s="8" t="s">
        <v>51</v>
      </c>
      <c r="B105" s="2" t="s">
        <v>743</v>
      </c>
      <c r="C105" s="2" t="s">
        <v>744</v>
      </c>
      <c r="D105" s="2" t="s">
        <v>745</v>
      </c>
      <c r="F105" s="3" t="s">
        <v>51</v>
      </c>
      <c r="G105" s="3" t="s">
        <v>50</v>
      </c>
      <c r="H105" s="3" t="s">
        <v>51</v>
      </c>
      <c r="I105" s="3" t="s">
        <v>51</v>
      </c>
      <c r="J105" s="3" t="s">
        <v>52</v>
      </c>
      <c r="K105" s="2" t="s">
        <v>746</v>
      </c>
      <c r="L105" s="2" t="s">
        <v>747</v>
      </c>
      <c r="M105" s="3" t="s">
        <v>186</v>
      </c>
      <c r="O105" s="3" t="s">
        <v>56</v>
      </c>
      <c r="P105" s="3" t="s">
        <v>748</v>
      </c>
      <c r="R105" s="3" t="s">
        <v>59</v>
      </c>
      <c r="S105" s="4">
        <v>8</v>
      </c>
      <c r="T105" s="4">
        <v>8</v>
      </c>
      <c r="U105" s="5" t="s">
        <v>749</v>
      </c>
      <c r="V105" s="5" t="s">
        <v>749</v>
      </c>
      <c r="W105" s="5" t="s">
        <v>485</v>
      </c>
      <c r="X105" s="5" t="s">
        <v>485</v>
      </c>
      <c r="Y105" s="4">
        <v>362</v>
      </c>
      <c r="Z105" s="4">
        <v>325</v>
      </c>
      <c r="AA105" s="4">
        <v>341</v>
      </c>
      <c r="AB105" s="4">
        <v>1</v>
      </c>
      <c r="AC105" s="4">
        <v>1</v>
      </c>
      <c r="AD105" s="4">
        <v>8</v>
      </c>
      <c r="AE105" s="4">
        <v>10</v>
      </c>
      <c r="AF105" s="4">
        <v>5</v>
      </c>
      <c r="AG105" s="4">
        <v>6</v>
      </c>
      <c r="AH105" s="4">
        <v>1</v>
      </c>
      <c r="AI105" s="4">
        <v>2</v>
      </c>
      <c r="AJ105" s="4">
        <v>4</v>
      </c>
      <c r="AK105" s="4">
        <v>4</v>
      </c>
      <c r="AL105" s="4">
        <v>0</v>
      </c>
      <c r="AM105" s="4">
        <v>0</v>
      </c>
      <c r="AN105" s="4">
        <v>0</v>
      </c>
      <c r="AO105" s="4">
        <v>0</v>
      </c>
      <c r="AP105" s="3" t="s">
        <v>51</v>
      </c>
      <c r="AQ105" s="3" t="s">
        <v>49</v>
      </c>
      <c r="AR105" s="6" t="str">
        <f>HYPERLINK("http://catalog.hathitrust.org/Record/000368146","HathiTrust Record")</f>
        <v>HathiTrust Record</v>
      </c>
      <c r="AS105" s="6" t="str">
        <f>HYPERLINK("https://creighton-primo.hosted.exlibrisgroup.com/primo-explore/search?tab=default_tab&amp;search_scope=EVERYTHING&amp;vid=01CRU&amp;lang=en_US&amp;offset=0&amp;query=any,contains,991000047479702656","Catalog Record")</f>
        <v>Catalog Record</v>
      </c>
      <c r="AT105" s="6" t="str">
        <f>HYPERLINK("http://www.worldcat.org/oclc/8669868","WorldCat Record")</f>
        <v>WorldCat Record</v>
      </c>
    </row>
    <row r="106" spans="1:46" ht="41.25" customHeight="1" x14ac:dyDescent="0.25">
      <c r="A106" s="8" t="s">
        <v>51</v>
      </c>
      <c r="B106" s="2" t="s">
        <v>750</v>
      </c>
      <c r="C106" s="2" t="s">
        <v>751</v>
      </c>
      <c r="D106" s="2" t="s">
        <v>752</v>
      </c>
      <c r="F106" s="3" t="s">
        <v>51</v>
      </c>
      <c r="G106" s="3" t="s">
        <v>50</v>
      </c>
      <c r="H106" s="3" t="s">
        <v>49</v>
      </c>
      <c r="I106" s="3" t="s">
        <v>51</v>
      </c>
      <c r="J106" s="3" t="s">
        <v>52</v>
      </c>
      <c r="K106" s="2" t="s">
        <v>753</v>
      </c>
      <c r="L106" s="2" t="s">
        <v>754</v>
      </c>
      <c r="M106" s="3" t="s">
        <v>211</v>
      </c>
      <c r="N106" s="2" t="s">
        <v>245</v>
      </c>
      <c r="O106" s="3" t="s">
        <v>56</v>
      </c>
      <c r="P106" s="3" t="s">
        <v>755</v>
      </c>
      <c r="R106" s="3" t="s">
        <v>59</v>
      </c>
      <c r="S106" s="4">
        <v>4</v>
      </c>
      <c r="T106" s="4">
        <v>11</v>
      </c>
      <c r="U106" s="5" t="s">
        <v>756</v>
      </c>
      <c r="V106" s="5" t="s">
        <v>757</v>
      </c>
      <c r="W106" s="5" t="s">
        <v>758</v>
      </c>
      <c r="X106" s="5" t="s">
        <v>758</v>
      </c>
      <c r="Y106" s="4">
        <v>492</v>
      </c>
      <c r="Z106" s="4">
        <v>445</v>
      </c>
      <c r="AA106" s="4">
        <v>448</v>
      </c>
      <c r="AB106" s="4">
        <v>4</v>
      </c>
      <c r="AC106" s="4">
        <v>4</v>
      </c>
      <c r="AD106" s="4">
        <v>28</v>
      </c>
      <c r="AE106" s="4">
        <v>29</v>
      </c>
      <c r="AF106" s="4">
        <v>8</v>
      </c>
      <c r="AG106" s="4">
        <v>9</v>
      </c>
      <c r="AH106" s="4">
        <v>8</v>
      </c>
      <c r="AI106" s="4">
        <v>8</v>
      </c>
      <c r="AJ106" s="4">
        <v>16</v>
      </c>
      <c r="AK106" s="4">
        <v>17</v>
      </c>
      <c r="AL106" s="4">
        <v>2</v>
      </c>
      <c r="AM106" s="4">
        <v>2</v>
      </c>
      <c r="AN106" s="4">
        <v>2</v>
      </c>
      <c r="AO106" s="4">
        <v>2</v>
      </c>
      <c r="AP106" s="3" t="s">
        <v>51</v>
      </c>
      <c r="AQ106" s="3" t="s">
        <v>51</v>
      </c>
      <c r="AS106" s="6" t="str">
        <f>HYPERLINK("https://creighton-primo.hosted.exlibrisgroup.com/primo-explore/search?tab=default_tab&amp;search_scope=EVERYTHING&amp;vid=01CRU&amp;lang=en_US&amp;offset=0&amp;query=any,contains,991001805989702656","Catalog Record")</f>
        <v>Catalog Record</v>
      </c>
      <c r="AT106" s="6" t="str">
        <f>HYPERLINK("http://www.worldcat.org/oclc/4504498","WorldCat Record")</f>
        <v>WorldCat Record</v>
      </c>
    </row>
    <row r="107" spans="1:46" ht="41.25" customHeight="1" x14ac:dyDescent="0.25">
      <c r="A107" s="8" t="s">
        <v>51</v>
      </c>
      <c r="B107" s="2" t="s">
        <v>759</v>
      </c>
      <c r="C107" s="2" t="s">
        <v>760</v>
      </c>
      <c r="D107" s="2" t="s">
        <v>761</v>
      </c>
      <c r="F107" s="3" t="s">
        <v>51</v>
      </c>
      <c r="G107" s="3" t="s">
        <v>50</v>
      </c>
      <c r="H107" s="3" t="s">
        <v>51</v>
      </c>
      <c r="I107" s="3" t="s">
        <v>51</v>
      </c>
      <c r="J107" s="3" t="s">
        <v>52</v>
      </c>
      <c r="K107" s="2" t="s">
        <v>762</v>
      </c>
      <c r="L107" s="2" t="s">
        <v>763</v>
      </c>
      <c r="M107" s="3" t="s">
        <v>211</v>
      </c>
      <c r="O107" s="3" t="s">
        <v>56</v>
      </c>
      <c r="P107" s="3" t="s">
        <v>87</v>
      </c>
      <c r="R107" s="3" t="s">
        <v>59</v>
      </c>
      <c r="S107" s="4">
        <v>10</v>
      </c>
      <c r="T107" s="4">
        <v>10</v>
      </c>
      <c r="U107" s="5" t="s">
        <v>764</v>
      </c>
      <c r="V107" s="5" t="s">
        <v>764</v>
      </c>
      <c r="W107" s="5" t="s">
        <v>765</v>
      </c>
      <c r="X107" s="5" t="s">
        <v>765</v>
      </c>
      <c r="Y107" s="4">
        <v>640</v>
      </c>
      <c r="Z107" s="4">
        <v>599</v>
      </c>
      <c r="AA107" s="4">
        <v>692</v>
      </c>
      <c r="AB107" s="4">
        <v>4</v>
      </c>
      <c r="AC107" s="4">
        <v>4</v>
      </c>
      <c r="AD107" s="4">
        <v>13</v>
      </c>
      <c r="AE107" s="4">
        <v>16</v>
      </c>
      <c r="AF107" s="4">
        <v>5</v>
      </c>
      <c r="AG107" s="4">
        <v>6</v>
      </c>
      <c r="AH107" s="4">
        <v>2</v>
      </c>
      <c r="AI107" s="4">
        <v>3</v>
      </c>
      <c r="AJ107" s="4">
        <v>5</v>
      </c>
      <c r="AK107" s="4">
        <v>6</v>
      </c>
      <c r="AL107" s="4">
        <v>3</v>
      </c>
      <c r="AM107" s="4">
        <v>3</v>
      </c>
      <c r="AN107" s="4">
        <v>0</v>
      </c>
      <c r="AO107" s="4">
        <v>0</v>
      </c>
      <c r="AP107" s="3" t="s">
        <v>51</v>
      </c>
      <c r="AQ107" s="3" t="s">
        <v>49</v>
      </c>
      <c r="AR107" s="6" t="str">
        <f>HYPERLINK("http://catalog.hathitrust.org/Record/000691195","HathiTrust Record")</f>
        <v>HathiTrust Record</v>
      </c>
      <c r="AS107" s="6" t="str">
        <f>HYPERLINK("https://creighton-primo.hosted.exlibrisgroup.com/primo-explore/search?tab=default_tab&amp;search_scope=EVERYTHING&amp;vid=01CRU&amp;lang=en_US&amp;offset=0&amp;query=any,contains,991004798749702656","Catalog Record")</f>
        <v>Catalog Record</v>
      </c>
      <c r="AT107" s="6" t="str">
        <f>HYPERLINK("http://www.worldcat.org/oclc/5196904","WorldCat Record")</f>
        <v>WorldCat Record</v>
      </c>
    </row>
    <row r="108" spans="1:46" ht="41.25" customHeight="1" x14ac:dyDescent="0.25">
      <c r="A108" s="8" t="s">
        <v>51</v>
      </c>
      <c r="B108" s="2" t="s">
        <v>766</v>
      </c>
      <c r="C108" s="2" t="s">
        <v>767</v>
      </c>
      <c r="D108" s="2" t="s">
        <v>768</v>
      </c>
      <c r="F108" s="3" t="s">
        <v>51</v>
      </c>
      <c r="G108" s="3" t="s">
        <v>50</v>
      </c>
      <c r="H108" s="3" t="s">
        <v>51</v>
      </c>
      <c r="I108" s="3" t="s">
        <v>51</v>
      </c>
      <c r="J108" s="3" t="s">
        <v>52</v>
      </c>
      <c r="L108" s="2" t="s">
        <v>769</v>
      </c>
      <c r="M108" s="3" t="s">
        <v>660</v>
      </c>
      <c r="O108" s="3" t="s">
        <v>56</v>
      </c>
      <c r="P108" s="3" t="s">
        <v>57</v>
      </c>
      <c r="Q108" s="2" t="s">
        <v>770</v>
      </c>
      <c r="R108" s="3" t="s">
        <v>59</v>
      </c>
      <c r="S108" s="4">
        <v>1</v>
      </c>
      <c r="T108" s="4">
        <v>1</v>
      </c>
      <c r="U108" s="5" t="s">
        <v>771</v>
      </c>
      <c r="V108" s="5" t="s">
        <v>771</v>
      </c>
      <c r="W108" s="5" t="s">
        <v>771</v>
      </c>
      <c r="X108" s="5" t="s">
        <v>771</v>
      </c>
      <c r="Y108" s="4">
        <v>173</v>
      </c>
      <c r="Z108" s="4">
        <v>135</v>
      </c>
      <c r="AA108" s="4">
        <v>151</v>
      </c>
      <c r="AB108" s="4">
        <v>1</v>
      </c>
      <c r="AC108" s="4">
        <v>1</v>
      </c>
      <c r="AD108" s="4">
        <v>17</v>
      </c>
      <c r="AE108" s="4">
        <v>19</v>
      </c>
      <c r="AF108" s="4">
        <v>6</v>
      </c>
      <c r="AG108" s="4">
        <v>8</v>
      </c>
      <c r="AH108" s="4">
        <v>7</v>
      </c>
      <c r="AI108" s="4">
        <v>8</v>
      </c>
      <c r="AJ108" s="4">
        <v>11</v>
      </c>
      <c r="AK108" s="4">
        <v>12</v>
      </c>
      <c r="AL108" s="4">
        <v>0</v>
      </c>
      <c r="AM108" s="4">
        <v>0</v>
      </c>
      <c r="AN108" s="4">
        <v>0</v>
      </c>
      <c r="AO108" s="4">
        <v>0</v>
      </c>
      <c r="AP108" s="3" t="s">
        <v>51</v>
      </c>
      <c r="AQ108" s="3" t="s">
        <v>51</v>
      </c>
      <c r="AS108" s="6" t="str">
        <f>HYPERLINK("https://creighton-primo.hosted.exlibrisgroup.com/primo-explore/search?tab=default_tab&amp;search_scope=EVERYTHING&amp;vid=01CRU&amp;lang=en_US&amp;offset=0&amp;query=any,contains,991004148349702656","Catalog Record")</f>
        <v>Catalog Record</v>
      </c>
      <c r="AT108" s="6" t="str">
        <f>HYPERLINK("http://www.worldcat.org/oclc/49559057","WorldCat Record")</f>
        <v>WorldCat Record</v>
      </c>
    </row>
    <row r="109" spans="1:46" ht="41.25" customHeight="1" x14ac:dyDescent="0.25">
      <c r="A109" s="8" t="s">
        <v>51</v>
      </c>
      <c r="B109" s="2" t="s">
        <v>772</v>
      </c>
      <c r="C109" s="2" t="s">
        <v>773</v>
      </c>
      <c r="D109" s="2" t="s">
        <v>774</v>
      </c>
      <c r="F109" s="3" t="s">
        <v>51</v>
      </c>
      <c r="G109" s="3" t="s">
        <v>50</v>
      </c>
      <c r="H109" s="3" t="s">
        <v>51</v>
      </c>
      <c r="I109" s="3" t="s">
        <v>51</v>
      </c>
      <c r="J109" s="3" t="s">
        <v>52</v>
      </c>
      <c r="K109" s="2" t="s">
        <v>775</v>
      </c>
      <c r="L109" s="2" t="s">
        <v>776</v>
      </c>
      <c r="M109" s="3" t="s">
        <v>194</v>
      </c>
      <c r="O109" s="3" t="s">
        <v>56</v>
      </c>
      <c r="P109" s="3" t="s">
        <v>87</v>
      </c>
      <c r="R109" s="3" t="s">
        <v>59</v>
      </c>
      <c r="S109" s="4">
        <v>3</v>
      </c>
      <c r="T109" s="4">
        <v>3</v>
      </c>
      <c r="U109" s="5" t="s">
        <v>777</v>
      </c>
      <c r="V109" s="5" t="s">
        <v>777</v>
      </c>
      <c r="W109" s="5" t="s">
        <v>778</v>
      </c>
      <c r="X109" s="5" t="s">
        <v>778</v>
      </c>
      <c r="Y109" s="4">
        <v>249</v>
      </c>
      <c r="Z109" s="4">
        <v>228</v>
      </c>
      <c r="AA109" s="4">
        <v>229</v>
      </c>
      <c r="AB109" s="4">
        <v>4</v>
      </c>
      <c r="AC109" s="4">
        <v>4</v>
      </c>
      <c r="AD109" s="4">
        <v>13</v>
      </c>
      <c r="AE109" s="4">
        <v>13</v>
      </c>
      <c r="AF109" s="4">
        <v>4</v>
      </c>
      <c r="AG109" s="4">
        <v>4</v>
      </c>
      <c r="AH109" s="4">
        <v>3</v>
      </c>
      <c r="AI109" s="4">
        <v>3</v>
      </c>
      <c r="AJ109" s="4">
        <v>5</v>
      </c>
      <c r="AK109" s="4">
        <v>5</v>
      </c>
      <c r="AL109" s="4">
        <v>2</v>
      </c>
      <c r="AM109" s="4">
        <v>2</v>
      </c>
      <c r="AN109" s="4">
        <v>0</v>
      </c>
      <c r="AO109" s="4">
        <v>0</v>
      </c>
      <c r="AP109" s="3" t="s">
        <v>51</v>
      </c>
      <c r="AQ109" s="3" t="s">
        <v>49</v>
      </c>
      <c r="AR109" s="6" t="str">
        <f>HYPERLINK("http://catalog.hathitrust.org/Record/000138901","HathiTrust Record")</f>
        <v>HathiTrust Record</v>
      </c>
      <c r="AS109" s="6" t="str">
        <f>HYPERLINK("https://creighton-primo.hosted.exlibrisgroup.com/primo-explore/search?tab=default_tab&amp;search_scope=EVERYTHING&amp;vid=01CRU&amp;lang=en_US&amp;offset=0&amp;query=any,contains,991004547179702656","Catalog Record")</f>
        <v>Catalog Record</v>
      </c>
      <c r="AT109" s="6" t="str">
        <f>HYPERLINK("http://www.worldcat.org/oclc/3916701","WorldCat Record")</f>
        <v>WorldCat Record</v>
      </c>
    </row>
    <row r="110" spans="1:46" ht="41.25" customHeight="1" x14ac:dyDescent="0.25">
      <c r="A110" s="8" t="s">
        <v>51</v>
      </c>
      <c r="B110" s="2" t="s">
        <v>779</v>
      </c>
      <c r="C110" s="2" t="s">
        <v>780</v>
      </c>
      <c r="D110" s="2" t="s">
        <v>781</v>
      </c>
      <c r="F110" s="3" t="s">
        <v>51</v>
      </c>
      <c r="G110" s="3" t="s">
        <v>50</v>
      </c>
      <c r="H110" s="3" t="s">
        <v>51</v>
      </c>
      <c r="I110" s="3" t="s">
        <v>51</v>
      </c>
      <c r="J110" s="3" t="s">
        <v>52</v>
      </c>
      <c r="K110" s="2" t="s">
        <v>782</v>
      </c>
      <c r="L110" s="2" t="s">
        <v>783</v>
      </c>
      <c r="M110" s="3" t="s">
        <v>146</v>
      </c>
      <c r="O110" s="3" t="s">
        <v>56</v>
      </c>
      <c r="P110" s="3" t="s">
        <v>202</v>
      </c>
      <c r="Q110" s="2" t="s">
        <v>784</v>
      </c>
      <c r="R110" s="3" t="s">
        <v>59</v>
      </c>
      <c r="S110" s="4">
        <v>12</v>
      </c>
      <c r="T110" s="4">
        <v>12</v>
      </c>
      <c r="U110" s="5" t="s">
        <v>785</v>
      </c>
      <c r="V110" s="5" t="s">
        <v>785</v>
      </c>
      <c r="W110" s="5" t="s">
        <v>485</v>
      </c>
      <c r="X110" s="5" t="s">
        <v>485</v>
      </c>
      <c r="Y110" s="4">
        <v>382</v>
      </c>
      <c r="Z110" s="4">
        <v>325</v>
      </c>
      <c r="AA110" s="4">
        <v>327</v>
      </c>
      <c r="AB110" s="4">
        <v>2</v>
      </c>
      <c r="AC110" s="4">
        <v>2</v>
      </c>
      <c r="AD110" s="4">
        <v>17</v>
      </c>
      <c r="AE110" s="4">
        <v>17</v>
      </c>
      <c r="AF110" s="4">
        <v>7</v>
      </c>
      <c r="AG110" s="4">
        <v>7</v>
      </c>
      <c r="AH110" s="4">
        <v>5</v>
      </c>
      <c r="AI110" s="4">
        <v>5</v>
      </c>
      <c r="AJ110" s="4">
        <v>8</v>
      </c>
      <c r="AK110" s="4">
        <v>8</v>
      </c>
      <c r="AL110" s="4">
        <v>1</v>
      </c>
      <c r="AM110" s="4">
        <v>1</v>
      </c>
      <c r="AN110" s="4">
        <v>1</v>
      </c>
      <c r="AO110" s="4">
        <v>1</v>
      </c>
      <c r="AP110" s="3" t="s">
        <v>51</v>
      </c>
      <c r="AQ110" s="3" t="s">
        <v>49</v>
      </c>
      <c r="AR110" s="6" t="str">
        <f>HYPERLINK("http://catalog.hathitrust.org/Record/000836760","HathiTrust Record")</f>
        <v>HathiTrust Record</v>
      </c>
      <c r="AS110" s="6" t="str">
        <f>HYPERLINK("https://creighton-primo.hosted.exlibrisgroup.com/primo-explore/search?tab=default_tab&amp;search_scope=EVERYTHING&amp;vid=01CRU&amp;lang=en_US&amp;offset=0&amp;query=any,contains,991000973479702656","Catalog Record")</f>
        <v>Catalog Record</v>
      </c>
      <c r="AT110" s="6" t="str">
        <f>HYPERLINK("http://www.worldcat.org/oclc/14967363","WorldCat Record")</f>
        <v>WorldCat Record</v>
      </c>
    </row>
    <row r="111" spans="1:46" ht="41.25" customHeight="1" x14ac:dyDescent="0.25">
      <c r="A111" s="8" t="s">
        <v>51</v>
      </c>
      <c r="B111" s="2" t="s">
        <v>786</v>
      </c>
      <c r="C111" s="2" t="s">
        <v>787</v>
      </c>
      <c r="D111" s="2" t="s">
        <v>788</v>
      </c>
      <c r="F111" s="3" t="s">
        <v>51</v>
      </c>
      <c r="G111" s="3" t="s">
        <v>50</v>
      </c>
      <c r="H111" s="3" t="s">
        <v>49</v>
      </c>
      <c r="I111" s="3" t="s">
        <v>51</v>
      </c>
      <c r="J111" s="3" t="s">
        <v>52</v>
      </c>
      <c r="K111" s="2" t="s">
        <v>789</v>
      </c>
      <c r="L111" s="2" t="s">
        <v>790</v>
      </c>
      <c r="M111" s="3" t="s">
        <v>103</v>
      </c>
      <c r="O111" s="3" t="s">
        <v>56</v>
      </c>
      <c r="P111" s="3" t="s">
        <v>748</v>
      </c>
      <c r="Q111" s="2" t="s">
        <v>791</v>
      </c>
      <c r="R111" s="3" t="s">
        <v>59</v>
      </c>
      <c r="S111" s="4">
        <v>29</v>
      </c>
      <c r="T111" s="4">
        <v>29</v>
      </c>
      <c r="U111" s="5" t="s">
        <v>792</v>
      </c>
      <c r="V111" s="5" t="s">
        <v>792</v>
      </c>
      <c r="W111" s="5" t="s">
        <v>793</v>
      </c>
      <c r="X111" s="5" t="s">
        <v>793</v>
      </c>
      <c r="Y111" s="4">
        <v>369</v>
      </c>
      <c r="Z111" s="4">
        <v>283</v>
      </c>
      <c r="AA111" s="4">
        <v>285</v>
      </c>
      <c r="AB111" s="4">
        <v>2</v>
      </c>
      <c r="AC111" s="4">
        <v>2</v>
      </c>
      <c r="AD111" s="4">
        <v>14</v>
      </c>
      <c r="AE111" s="4">
        <v>14</v>
      </c>
      <c r="AF111" s="4">
        <v>3</v>
      </c>
      <c r="AG111" s="4">
        <v>3</v>
      </c>
      <c r="AH111" s="4">
        <v>4</v>
      </c>
      <c r="AI111" s="4">
        <v>4</v>
      </c>
      <c r="AJ111" s="4">
        <v>11</v>
      </c>
      <c r="AK111" s="4">
        <v>11</v>
      </c>
      <c r="AL111" s="4">
        <v>0</v>
      </c>
      <c r="AM111" s="4">
        <v>0</v>
      </c>
      <c r="AN111" s="4">
        <v>1</v>
      </c>
      <c r="AO111" s="4">
        <v>1</v>
      </c>
      <c r="AP111" s="3" t="s">
        <v>51</v>
      </c>
      <c r="AQ111" s="3" t="s">
        <v>49</v>
      </c>
      <c r="AR111" s="6" t="str">
        <f>HYPERLINK("http://catalog.hathitrust.org/Record/000286765","HathiTrust Record")</f>
        <v>HathiTrust Record</v>
      </c>
      <c r="AS111" s="6" t="str">
        <f>HYPERLINK("https://creighton-primo.hosted.exlibrisgroup.com/primo-explore/search?tab=default_tab&amp;search_scope=EVERYTHING&amp;vid=01CRU&amp;lang=en_US&amp;offset=0&amp;query=any,contains,991000306849702656","Catalog Record")</f>
        <v>Catalog Record</v>
      </c>
      <c r="AT111" s="6" t="str">
        <f>HYPERLINK("http://www.worldcat.org/oclc/10072140","WorldCat Record")</f>
        <v>WorldCat Record</v>
      </c>
    </row>
    <row r="112" spans="1:46" ht="41.25" customHeight="1" x14ac:dyDescent="0.25">
      <c r="A112" s="8" t="s">
        <v>51</v>
      </c>
      <c r="B112" s="2" t="s">
        <v>794</v>
      </c>
      <c r="C112" s="2" t="s">
        <v>795</v>
      </c>
      <c r="D112" s="2" t="s">
        <v>796</v>
      </c>
      <c r="F112" s="3" t="s">
        <v>51</v>
      </c>
      <c r="G112" s="3" t="s">
        <v>50</v>
      </c>
      <c r="H112" s="3" t="s">
        <v>51</v>
      </c>
      <c r="I112" s="3" t="s">
        <v>51</v>
      </c>
      <c r="J112" s="3" t="s">
        <v>52</v>
      </c>
      <c r="L112" s="2" t="s">
        <v>797</v>
      </c>
      <c r="M112" s="3" t="s">
        <v>498</v>
      </c>
      <c r="O112" s="3" t="s">
        <v>56</v>
      </c>
      <c r="P112" s="3" t="s">
        <v>79</v>
      </c>
      <c r="Q112" s="2" t="s">
        <v>798</v>
      </c>
      <c r="R112" s="3" t="s">
        <v>59</v>
      </c>
      <c r="S112" s="4">
        <v>35</v>
      </c>
      <c r="T112" s="4">
        <v>35</v>
      </c>
      <c r="U112" s="5" t="s">
        <v>799</v>
      </c>
      <c r="V112" s="5" t="s">
        <v>799</v>
      </c>
      <c r="W112" s="5" t="s">
        <v>800</v>
      </c>
      <c r="X112" s="5" t="s">
        <v>800</v>
      </c>
      <c r="Y112" s="4">
        <v>323</v>
      </c>
      <c r="Z112" s="4">
        <v>261</v>
      </c>
      <c r="AA112" s="4">
        <v>778</v>
      </c>
      <c r="AB112" s="4">
        <v>1</v>
      </c>
      <c r="AC112" s="4">
        <v>1</v>
      </c>
      <c r="AD112" s="4">
        <v>17</v>
      </c>
      <c r="AE112" s="4">
        <v>30</v>
      </c>
      <c r="AF112" s="4">
        <v>8</v>
      </c>
      <c r="AG112" s="4">
        <v>13</v>
      </c>
      <c r="AH112" s="4">
        <v>4</v>
      </c>
      <c r="AI112" s="4">
        <v>6</v>
      </c>
      <c r="AJ112" s="4">
        <v>9</v>
      </c>
      <c r="AK112" s="4">
        <v>16</v>
      </c>
      <c r="AL112" s="4">
        <v>0</v>
      </c>
      <c r="AM112" s="4">
        <v>0</v>
      </c>
      <c r="AN112" s="4">
        <v>2</v>
      </c>
      <c r="AO112" s="4">
        <v>3</v>
      </c>
      <c r="AP112" s="3" t="s">
        <v>51</v>
      </c>
      <c r="AQ112" s="3" t="s">
        <v>49</v>
      </c>
      <c r="AR112" s="6" t="str">
        <f>HYPERLINK("http://catalog.hathitrust.org/Record/003255809","HathiTrust Record")</f>
        <v>HathiTrust Record</v>
      </c>
      <c r="AS112" s="6" t="str">
        <f>HYPERLINK("https://creighton-primo.hosted.exlibrisgroup.com/primo-explore/search?tab=default_tab&amp;search_scope=EVERYTHING&amp;vid=01CRU&amp;lang=en_US&amp;offset=0&amp;query=any,contains,991002718979702656","Catalog Record")</f>
        <v>Catalog Record</v>
      </c>
      <c r="AT112" s="6" t="str">
        <f>HYPERLINK("http://www.worldcat.org/oclc/35650923","WorldCat Record")</f>
        <v>WorldCat Record</v>
      </c>
    </row>
    <row r="113" spans="1:46" ht="41.25" customHeight="1" x14ac:dyDescent="0.25">
      <c r="A113" s="8" t="s">
        <v>51</v>
      </c>
      <c r="B113" s="2" t="s">
        <v>801</v>
      </c>
      <c r="C113" s="2" t="s">
        <v>802</v>
      </c>
      <c r="D113" s="2" t="s">
        <v>803</v>
      </c>
      <c r="F113" s="3" t="s">
        <v>51</v>
      </c>
      <c r="G113" s="3" t="s">
        <v>50</v>
      </c>
      <c r="H113" s="3" t="s">
        <v>49</v>
      </c>
      <c r="I113" s="3" t="s">
        <v>51</v>
      </c>
      <c r="J113" s="3" t="s">
        <v>52</v>
      </c>
      <c r="L113" s="2" t="s">
        <v>804</v>
      </c>
      <c r="M113" s="3" t="s">
        <v>194</v>
      </c>
      <c r="N113" s="2" t="s">
        <v>245</v>
      </c>
      <c r="O113" s="3" t="s">
        <v>56</v>
      </c>
      <c r="P113" s="3" t="s">
        <v>79</v>
      </c>
      <c r="R113" s="3" t="s">
        <v>59</v>
      </c>
      <c r="S113" s="4">
        <v>23</v>
      </c>
      <c r="T113" s="4">
        <v>30</v>
      </c>
      <c r="U113" s="5" t="s">
        <v>805</v>
      </c>
      <c r="V113" s="5" t="s">
        <v>805</v>
      </c>
      <c r="W113" s="5" t="s">
        <v>806</v>
      </c>
      <c r="X113" s="5" t="s">
        <v>806</v>
      </c>
      <c r="Y113" s="4">
        <v>573</v>
      </c>
      <c r="Z113" s="4">
        <v>500</v>
      </c>
      <c r="AA113" s="4">
        <v>535</v>
      </c>
      <c r="AB113" s="4">
        <v>5</v>
      </c>
      <c r="AC113" s="4">
        <v>5</v>
      </c>
      <c r="AD113" s="4">
        <v>34</v>
      </c>
      <c r="AE113" s="4">
        <v>35</v>
      </c>
      <c r="AF113" s="4">
        <v>14</v>
      </c>
      <c r="AG113" s="4">
        <v>14</v>
      </c>
      <c r="AH113" s="4">
        <v>4</v>
      </c>
      <c r="AI113" s="4">
        <v>5</v>
      </c>
      <c r="AJ113" s="4">
        <v>18</v>
      </c>
      <c r="AK113" s="4">
        <v>18</v>
      </c>
      <c r="AL113" s="4">
        <v>2</v>
      </c>
      <c r="AM113" s="4">
        <v>2</v>
      </c>
      <c r="AN113" s="4">
        <v>5</v>
      </c>
      <c r="AO113" s="4">
        <v>5</v>
      </c>
      <c r="AP113" s="3" t="s">
        <v>51</v>
      </c>
      <c r="AQ113" s="3" t="s">
        <v>49</v>
      </c>
      <c r="AR113" s="6" t="str">
        <f>HYPERLINK("http://catalog.hathitrust.org/Record/000223371","HathiTrust Record")</f>
        <v>HathiTrust Record</v>
      </c>
      <c r="AS113" s="6" t="str">
        <f>HYPERLINK("https://creighton-primo.hosted.exlibrisgroup.com/primo-explore/search?tab=default_tab&amp;search_scope=EVERYTHING&amp;vid=01CRU&amp;lang=en_US&amp;offset=0&amp;query=any,contains,991001759909702656","Catalog Record")</f>
        <v>Catalog Record</v>
      </c>
      <c r="AT113" s="6" t="str">
        <f>HYPERLINK("http://www.worldcat.org/oclc/4262774","WorldCat Record")</f>
        <v>WorldCat Record</v>
      </c>
    </row>
    <row r="114" spans="1:46" ht="41.25" customHeight="1" x14ac:dyDescent="0.25">
      <c r="A114" s="8" t="s">
        <v>51</v>
      </c>
      <c r="B114" s="2" t="s">
        <v>807</v>
      </c>
      <c r="C114" s="2" t="s">
        <v>808</v>
      </c>
      <c r="D114" s="2" t="s">
        <v>809</v>
      </c>
      <c r="F114" s="3" t="s">
        <v>51</v>
      </c>
      <c r="G114" s="3" t="s">
        <v>50</v>
      </c>
      <c r="H114" s="3" t="s">
        <v>51</v>
      </c>
      <c r="I114" s="3" t="s">
        <v>49</v>
      </c>
      <c r="J114" s="3" t="s">
        <v>52</v>
      </c>
      <c r="L114" s="2" t="s">
        <v>810</v>
      </c>
      <c r="M114" s="3" t="s">
        <v>146</v>
      </c>
      <c r="N114" s="2" t="s">
        <v>811</v>
      </c>
      <c r="O114" s="3" t="s">
        <v>56</v>
      </c>
      <c r="P114" s="3" t="s">
        <v>748</v>
      </c>
      <c r="R114" s="3" t="s">
        <v>59</v>
      </c>
      <c r="S114" s="4">
        <v>36</v>
      </c>
      <c r="T114" s="4">
        <v>36</v>
      </c>
      <c r="U114" s="5" t="s">
        <v>812</v>
      </c>
      <c r="V114" s="5" t="s">
        <v>812</v>
      </c>
      <c r="W114" s="5" t="s">
        <v>412</v>
      </c>
      <c r="X114" s="5" t="s">
        <v>412</v>
      </c>
      <c r="Y114" s="4">
        <v>318</v>
      </c>
      <c r="Z114" s="4">
        <v>265</v>
      </c>
      <c r="AA114" s="4">
        <v>1001</v>
      </c>
      <c r="AB114" s="4">
        <v>2</v>
      </c>
      <c r="AC114" s="4">
        <v>12</v>
      </c>
      <c r="AD114" s="4">
        <v>16</v>
      </c>
      <c r="AE114" s="4">
        <v>55</v>
      </c>
      <c r="AF114" s="4">
        <v>5</v>
      </c>
      <c r="AG114" s="4">
        <v>18</v>
      </c>
      <c r="AH114" s="4">
        <v>3</v>
      </c>
      <c r="AI114" s="4">
        <v>10</v>
      </c>
      <c r="AJ114" s="4">
        <v>11</v>
      </c>
      <c r="AK114" s="4">
        <v>25</v>
      </c>
      <c r="AL114" s="4">
        <v>1</v>
      </c>
      <c r="AM114" s="4">
        <v>7</v>
      </c>
      <c r="AN114" s="4">
        <v>1</v>
      </c>
      <c r="AO114" s="4">
        <v>7</v>
      </c>
      <c r="AP114" s="3" t="s">
        <v>51</v>
      </c>
      <c r="AQ114" s="3" t="s">
        <v>49</v>
      </c>
      <c r="AR114" s="6" t="str">
        <f>HYPERLINK("http://catalog.hathitrust.org/Record/000856362","HathiTrust Record")</f>
        <v>HathiTrust Record</v>
      </c>
      <c r="AS114" s="6" t="str">
        <f>HYPERLINK("https://creighton-primo.hosted.exlibrisgroup.com/primo-explore/search?tab=default_tab&amp;search_scope=EVERYTHING&amp;vid=01CRU&amp;lang=en_US&amp;offset=0&amp;query=any,contains,991000955629702656","Catalog Record")</f>
        <v>Catalog Record</v>
      </c>
      <c r="AT114" s="6" t="str">
        <f>HYPERLINK("http://www.worldcat.org/oclc/14717665","WorldCat Record")</f>
        <v>WorldCat Record</v>
      </c>
    </row>
    <row r="115" spans="1:46" ht="41.25" customHeight="1" x14ac:dyDescent="0.25">
      <c r="A115" s="8" t="s">
        <v>51</v>
      </c>
      <c r="B115" s="2" t="s">
        <v>813</v>
      </c>
      <c r="C115" s="2" t="s">
        <v>814</v>
      </c>
      <c r="D115" s="2" t="s">
        <v>815</v>
      </c>
      <c r="F115" s="3" t="s">
        <v>51</v>
      </c>
      <c r="G115" s="3" t="s">
        <v>50</v>
      </c>
      <c r="H115" s="3" t="s">
        <v>51</v>
      </c>
      <c r="I115" s="3" t="s">
        <v>51</v>
      </c>
      <c r="J115" s="3" t="s">
        <v>52</v>
      </c>
      <c r="L115" s="2" t="s">
        <v>816</v>
      </c>
      <c r="M115" s="3" t="s">
        <v>644</v>
      </c>
      <c r="O115" s="3" t="s">
        <v>56</v>
      </c>
      <c r="P115" s="3" t="s">
        <v>578</v>
      </c>
      <c r="Q115" s="2" t="s">
        <v>817</v>
      </c>
      <c r="R115" s="3" t="s">
        <v>59</v>
      </c>
      <c r="S115" s="4">
        <v>15</v>
      </c>
      <c r="T115" s="4">
        <v>15</v>
      </c>
      <c r="U115" s="5" t="s">
        <v>818</v>
      </c>
      <c r="V115" s="5" t="s">
        <v>818</v>
      </c>
      <c r="W115" s="5" t="s">
        <v>819</v>
      </c>
      <c r="X115" s="5" t="s">
        <v>819</v>
      </c>
      <c r="Y115" s="4">
        <v>75</v>
      </c>
      <c r="Z115" s="4">
        <v>46</v>
      </c>
      <c r="AA115" s="4">
        <v>51</v>
      </c>
      <c r="AB115" s="4">
        <v>1</v>
      </c>
      <c r="AC115" s="4">
        <v>1</v>
      </c>
      <c r="AD115" s="4">
        <v>3</v>
      </c>
      <c r="AE115" s="4">
        <v>3</v>
      </c>
      <c r="AF115" s="4">
        <v>1</v>
      </c>
      <c r="AG115" s="4">
        <v>1</v>
      </c>
      <c r="AH115" s="4">
        <v>2</v>
      </c>
      <c r="AI115" s="4">
        <v>2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3" t="s">
        <v>51</v>
      </c>
      <c r="AQ115" s="3" t="s">
        <v>51</v>
      </c>
      <c r="AS115" s="6" t="str">
        <f>HYPERLINK("https://creighton-primo.hosted.exlibrisgroup.com/primo-explore/search?tab=default_tab&amp;search_scope=EVERYTHING&amp;vid=01CRU&amp;lang=en_US&amp;offset=0&amp;query=any,contains,991003044229702656","Catalog Record")</f>
        <v>Catalog Record</v>
      </c>
      <c r="AT115" s="6" t="str">
        <f>HYPERLINK("http://www.worldcat.org/oclc/42402347","WorldCat Record")</f>
        <v>WorldCat Record</v>
      </c>
    </row>
    <row r="116" spans="1:46" ht="41.25" customHeight="1" x14ac:dyDescent="0.25">
      <c r="A116" s="8" t="s">
        <v>51</v>
      </c>
      <c r="B116" s="2" t="s">
        <v>820</v>
      </c>
      <c r="C116" s="2" t="s">
        <v>821</v>
      </c>
      <c r="D116" s="2" t="s">
        <v>822</v>
      </c>
      <c r="F116" s="3" t="s">
        <v>51</v>
      </c>
      <c r="G116" s="3" t="s">
        <v>50</v>
      </c>
      <c r="H116" s="3" t="s">
        <v>49</v>
      </c>
      <c r="I116" s="3" t="s">
        <v>49</v>
      </c>
      <c r="J116" s="3" t="s">
        <v>52</v>
      </c>
      <c r="L116" s="2" t="s">
        <v>823</v>
      </c>
      <c r="M116" s="3" t="s">
        <v>253</v>
      </c>
      <c r="N116" s="2" t="s">
        <v>824</v>
      </c>
      <c r="O116" s="3" t="s">
        <v>56</v>
      </c>
      <c r="P116" s="3" t="s">
        <v>79</v>
      </c>
      <c r="R116" s="3" t="s">
        <v>59</v>
      </c>
      <c r="S116" s="4">
        <v>21</v>
      </c>
      <c r="T116" s="4">
        <v>29</v>
      </c>
      <c r="U116" s="5" t="s">
        <v>818</v>
      </c>
      <c r="V116" s="5" t="s">
        <v>818</v>
      </c>
      <c r="W116" s="5" t="s">
        <v>825</v>
      </c>
      <c r="X116" s="5" t="s">
        <v>826</v>
      </c>
      <c r="Y116" s="4">
        <v>466</v>
      </c>
      <c r="Z116" s="4">
        <v>374</v>
      </c>
      <c r="AA116" s="4">
        <v>1225</v>
      </c>
      <c r="AB116" s="4">
        <v>2</v>
      </c>
      <c r="AC116" s="4">
        <v>7</v>
      </c>
      <c r="AD116" s="4">
        <v>10</v>
      </c>
      <c r="AE116" s="4">
        <v>47</v>
      </c>
      <c r="AF116" s="4">
        <v>3</v>
      </c>
      <c r="AG116" s="4">
        <v>15</v>
      </c>
      <c r="AH116" s="4">
        <v>5</v>
      </c>
      <c r="AI116" s="4">
        <v>11</v>
      </c>
      <c r="AJ116" s="4">
        <v>5</v>
      </c>
      <c r="AK116" s="4">
        <v>20</v>
      </c>
      <c r="AL116" s="4">
        <v>0</v>
      </c>
      <c r="AM116" s="4">
        <v>4</v>
      </c>
      <c r="AN116" s="4">
        <v>0</v>
      </c>
      <c r="AO116" s="4">
        <v>8</v>
      </c>
      <c r="AP116" s="3" t="s">
        <v>51</v>
      </c>
      <c r="AQ116" s="3" t="s">
        <v>49</v>
      </c>
      <c r="AR116" s="6" t="str">
        <f>HYPERLINK("http://catalog.hathitrust.org/Record/003563354","HathiTrust Record")</f>
        <v>HathiTrust Record</v>
      </c>
      <c r="AS116" s="6" t="str">
        <f>HYPERLINK("https://creighton-primo.hosted.exlibrisgroup.com/primo-explore/search?tab=default_tab&amp;search_scope=EVERYTHING&amp;vid=01CRU&amp;lang=en_US&amp;offset=0&amp;query=any,contains,991001707749702656","Catalog Record")</f>
        <v>Catalog Record</v>
      </c>
      <c r="AT116" s="6" t="str">
        <f>HYPERLINK("http://www.worldcat.org/oclc/43483741","WorldCat Record")</f>
        <v>WorldCat Record</v>
      </c>
    </row>
    <row r="117" spans="1:46" ht="41.25" customHeight="1" x14ac:dyDescent="0.25">
      <c r="A117" s="8" t="s">
        <v>51</v>
      </c>
      <c r="B117" s="2" t="s">
        <v>827</v>
      </c>
      <c r="C117" s="2" t="s">
        <v>828</v>
      </c>
      <c r="D117" s="2" t="s">
        <v>829</v>
      </c>
      <c r="F117" s="3" t="s">
        <v>51</v>
      </c>
      <c r="G117" s="3" t="s">
        <v>50</v>
      </c>
      <c r="H117" s="3" t="s">
        <v>51</v>
      </c>
      <c r="I117" s="3" t="s">
        <v>51</v>
      </c>
      <c r="J117" s="3" t="s">
        <v>52</v>
      </c>
      <c r="L117" s="2" t="s">
        <v>830</v>
      </c>
      <c r="M117" s="3" t="s">
        <v>154</v>
      </c>
      <c r="O117" s="3" t="s">
        <v>56</v>
      </c>
      <c r="P117" s="3" t="s">
        <v>748</v>
      </c>
      <c r="R117" s="3" t="s">
        <v>59</v>
      </c>
      <c r="S117" s="4">
        <v>13</v>
      </c>
      <c r="T117" s="4">
        <v>13</v>
      </c>
      <c r="U117" s="5" t="s">
        <v>785</v>
      </c>
      <c r="V117" s="5" t="s">
        <v>785</v>
      </c>
      <c r="W117" s="5" t="s">
        <v>831</v>
      </c>
      <c r="X117" s="5" t="s">
        <v>831</v>
      </c>
      <c r="Y117" s="4">
        <v>93</v>
      </c>
      <c r="Z117" s="4">
        <v>87</v>
      </c>
      <c r="AA117" s="4">
        <v>133</v>
      </c>
      <c r="AB117" s="4">
        <v>2</v>
      </c>
      <c r="AC117" s="4">
        <v>2</v>
      </c>
      <c r="AD117" s="4">
        <v>6</v>
      </c>
      <c r="AE117" s="4">
        <v>8</v>
      </c>
      <c r="AF117" s="4">
        <v>3</v>
      </c>
      <c r="AG117" s="4">
        <v>5</v>
      </c>
      <c r="AH117" s="4">
        <v>0</v>
      </c>
      <c r="AI117" s="4">
        <v>0</v>
      </c>
      <c r="AJ117" s="4">
        <v>3</v>
      </c>
      <c r="AK117" s="4">
        <v>4</v>
      </c>
      <c r="AL117" s="4">
        <v>1</v>
      </c>
      <c r="AM117" s="4">
        <v>1</v>
      </c>
      <c r="AN117" s="4">
        <v>1</v>
      </c>
      <c r="AO117" s="4">
        <v>1</v>
      </c>
      <c r="AP117" s="3" t="s">
        <v>51</v>
      </c>
      <c r="AQ117" s="3" t="s">
        <v>51</v>
      </c>
      <c r="AS117" s="6" t="str">
        <f>HYPERLINK("https://creighton-primo.hosted.exlibrisgroup.com/primo-explore/search?tab=default_tab&amp;search_scope=EVERYTHING&amp;vid=01CRU&amp;lang=en_US&amp;offset=0&amp;query=any,contains,991000154069702656","Catalog Record")</f>
        <v>Catalog Record</v>
      </c>
      <c r="AT117" s="6" t="str">
        <f>HYPERLINK("http://www.worldcat.org/oclc/9219395","WorldCat Record")</f>
        <v>WorldCat Record</v>
      </c>
    </row>
    <row r="118" spans="1:46" ht="41.25" customHeight="1" x14ac:dyDescent="0.25">
      <c r="A118" s="8" t="s">
        <v>51</v>
      </c>
      <c r="B118" s="2" t="s">
        <v>832</v>
      </c>
      <c r="C118" s="2" t="s">
        <v>833</v>
      </c>
      <c r="D118" s="2" t="s">
        <v>834</v>
      </c>
      <c r="F118" s="3" t="s">
        <v>51</v>
      </c>
      <c r="G118" s="3" t="s">
        <v>50</v>
      </c>
      <c r="H118" s="3" t="s">
        <v>51</v>
      </c>
      <c r="I118" s="3" t="s">
        <v>51</v>
      </c>
      <c r="J118" s="3" t="s">
        <v>52</v>
      </c>
      <c r="L118" s="2" t="s">
        <v>835</v>
      </c>
      <c r="M118" s="3" t="s">
        <v>77</v>
      </c>
      <c r="O118" s="3" t="s">
        <v>56</v>
      </c>
      <c r="P118" s="3" t="s">
        <v>748</v>
      </c>
      <c r="Q118" s="2" t="s">
        <v>836</v>
      </c>
      <c r="R118" s="3" t="s">
        <v>59</v>
      </c>
      <c r="S118" s="4">
        <v>13</v>
      </c>
      <c r="T118" s="4">
        <v>13</v>
      </c>
      <c r="U118" s="5" t="s">
        <v>837</v>
      </c>
      <c r="V118" s="5" t="s">
        <v>837</v>
      </c>
      <c r="W118" s="5" t="s">
        <v>838</v>
      </c>
      <c r="X118" s="5" t="s">
        <v>838</v>
      </c>
      <c r="Y118" s="4">
        <v>167</v>
      </c>
      <c r="Z118" s="4">
        <v>129</v>
      </c>
      <c r="AA118" s="4">
        <v>156</v>
      </c>
      <c r="AB118" s="4">
        <v>1</v>
      </c>
      <c r="AC118" s="4">
        <v>1</v>
      </c>
      <c r="AD118" s="4">
        <v>7</v>
      </c>
      <c r="AE118" s="4">
        <v>8</v>
      </c>
      <c r="AF118" s="4">
        <v>2</v>
      </c>
      <c r="AG118" s="4">
        <v>3</v>
      </c>
      <c r="AH118" s="4">
        <v>2</v>
      </c>
      <c r="AI118" s="4">
        <v>2</v>
      </c>
      <c r="AJ118" s="4">
        <v>2</v>
      </c>
      <c r="AK118" s="4">
        <v>3</v>
      </c>
      <c r="AL118" s="4">
        <v>0</v>
      </c>
      <c r="AM118" s="4">
        <v>0</v>
      </c>
      <c r="AN118" s="4">
        <v>2</v>
      </c>
      <c r="AO118" s="4">
        <v>2</v>
      </c>
      <c r="AP118" s="3" t="s">
        <v>51</v>
      </c>
      <c r="AQ118" s="3" t="s">
        <v>51</v>
      </c>
      <c r="AS118" s="6" t="str">
        <f>HYPERLINK("https://creighton-primo.hosted.exlibrisgroup.com/primo-explore/search?tab=default_tab&amp;search_scope=EVERYTHING&amp;vid=01CRU&amp;lang=en_US&amp;offset=0&amp;query=any,contains,991002118929702656","Catalog Record")</f>
        <v>Catalog Record</v>
      </c>
      <c r="AT118" s="6" t="str">
        <f>HYPERLINK("http://www.worldcat.org/oclc/27151050","WorldCat Record")</f>
        <v>WorldCat Record</v>
      </c>
    </row>
    <row r="119" spans="1:46" ht="41.25" customHeight="1" x14ac:dyDescent="0.25">
      <c r="A119" s="8" t="s">
        <v>51</v>
      </c>
      <c r="B119" s="2" t="s">
        <v>839</v>
      </c>
      <c r="C119" s="2" t="s">
        <v>840</v>
      </c>
      <c r="D119" s="2" t="s">
        <v>841</v>
      </c>
      <c r="F119" s="3" t="s">
        <v>51</v>
      </c>
      <c r="G119" s="3" t="s">
        <v>50</v>
      </c>
      <c r="H119" s="3" t="s">
        <v>51</v>
      </c>
      <c r="I119" s="3" t="s">
        <v>51</v>
      </c>
      <c r="J119" s="3" t="s">
        <v>52</v>
      </c>
      <c r="L119" s="2" t="s">
        <v>842</v>
      </c>
      <c r="M119" s="3" t="s">
        <v>389</v>
      </c>
      <c r="O119" s="3" t="s">
        <v>56</v>
      </c>
      <c r="P119" s="3" t="s">
        <v>843</v>
      </c>
      <c r="Q119" s="2" t="s">
        <v>844</v>
      </c>
      <c r="R119" s="3" t="s">
        <v>59</v>
      </c>
      <c r="S119" s="4">
        <v>52</v>
      </c>
      <c r="T119" s="4">
        <v>52</v>
      </c>
      <c r="U119" s="5" t="s">
        <v>845</v>
      </c>
      <c r="V119" s="5" t="s">
        <v>845</v>
      </c>
      <c r="W119" s="5" t="s">
        <v>846</v>
      </c>
      <c r="X119" s="5" t="s">
        <v>846</v>
      </c>
      <c r="Y119" s="4">
        <v>583</v>
      </c>
      <c r="Z119" s="4">
        <v>500</v>
      </c>
      <c r="AA119" s="4">
        <v>524</v>
      </c>
      <c r="AB119" s="4">
        <v>4</v>
      </c>
      <c r="AC119" s="4">
        <v>4</v>
      </c>
      <c r="AD119" s="4">
        <v>28</v>
      </c>
      <c r="AE119" s="4">
        <v>29</v>
      </c>
      <c r="AF119" s="4">
        <v>10</v>
      </c>
      <c r="AG119" s="4">
        <v>11</v>
      </c>
      <c r="AH119" s="4">
        <v>4</v>
      </c>
      <c r="AI119" s="4">
        <v>4</v>
      </c>
      <c r="AJ119" s="4">
        <v>12</v>
      </c>
      <c r="AK119" s="4">
        <v>13</v>
      </c>
      <c r="AL119" s="4">
        <v>2</v>
      </c>
      <c r="AM119" s="4">
        <v>2</v>
      </c>
      <c r="AN119" s="4">
        <v>5</v>
      </c>
      <c r="AO119" s="4">
        <v>5</v>
      </c>
      <c r="AP119" s="3" t="s">
        <v>51</v>
      </c>
      <c r="AQ119" s="3" t="s">
        <v>51</v>
      </c>
      <c r="AS119" s="6" t="str">
        <f>HYPERLINK("https://creighton-primo.hosted.exlibrisgroup.com/primo-explore/search?tab=default_tab&amp;search_scope=EVERYTHING&amp;vid=01CRU&amp;lang=en_US&amp;offset=0&amp;query=any,contains,991002310489702656","Catalog Record")</f>
        <v>Catalog Record</v>
      </c>
      <c r="AT119" s="6" t="str">
        <f>HYPERLINK("http://www.worldcat.org/oclc/29981377","WorldCat Record")</f>
        <v>WorldCat Record</v>
      </c>
    </row>
    <row r="120" spans="1:46" ht="41.25" customHeight="1" x14ac:dyDescent="0.25">
      <c r="A120" s="8" t="s">
        <v>51</v>
      </c>
      <c r="B120" s="2" t="s">
        <v>847</v>
      </c>
      <c r="C120" s="2" t="s">
        <v>848</v>
      </c>
      <c r="D120" s="2" t="s">
        <v>849</v>
      </c>
      <c r="F120" s="3" t="s">
        <v>51</v>
      </c>
      <c r="G120" s="3" t="s">
        <v>50</v>
      </c>
      <c r="H120" s="3" t="s">
        <v>51</v>
      </c>
      <c r="I120" s="3" t="s">
        <v>51</v>
      </c>
      <c r="J120" s="3" t="s">
        <v>52</v>
      </c>
      <c r="L120" s="2" t="s">
        <v>850</v>
      </c>
      <c r="M120" s="3" t="s">
        <v>851</v>
      </c>
      <c r="O120" s="3" t="s">
        <v>56</v>
      </c>
      <c r="P120" s="3" t="s">
        <v>748</v>
      </c>
      <c r="Q120" s="2" t="s">
        <v>852</v>
      </c>
      <c r="R120" s="3" t="s">
        <v>59</v>
      </c>
      <c r="S120" s="4">
        <v>17</v>
      </c>
      <c r="T120" s="4">
        <v>17</v>
      </c>
      <c r="U120" s="5" t="s">
        <v>853</v>
      </c>
      <c r="V120" s="5" t="s">
        <v>853</v>
      </c>
      <c r="W120" s="5" t="s">
        <v>838</v>
      </c>
      <c r="X120" s="5" t="s">
        <v>838</v>
      </c>
      <c r="Y120" s="4">
        <v>250</v>
      </c>
      <c r="Z120" s="4">
        <v>202</v>
      </c>
      <c r="AA120" s="4">
        <v>231</v>
      </c>
      <c r="AB120" s="4">
        <v>2</v>
      </c>
      <c r="AC120" s="4">
        <v>2</v>
      </c>
      <c r="AD120" s="4">
        <v>12</v>
      </c>
      <c r="AE120" s="4">
        <v>14</v>
      </c>
      <c r="AF120" s="4">
        <v>5</v>
      </c>
      <c r="AG120" s="4">
        <v>7</v>
      </c>
      <c r="AH120" s="4">
        <v>4</v>
      </c>
      <c r="AI120" s="4">
        <v>5</v>
      </c>
      <c r="AJ120" s="4">
        <v>4</v>
      </c>
      <c r="AK120" s="4">
        <v>5</v>
      </c>
      <c r="AL120" s="4">
        <v>1</v>
      </c>
      <c r="AM120" s="4">
        <v>1</v>
      </c>
      <c r="AN120" s="4">
        <v>2</v>
      </c>
      <c r="AO120" s="4">
        <v>2</v>
      </c>
      <c r="AP120" s="3" t="s">
        <v>51</v>
      </c>
      <c r="AQ120" s="3" t="s">
        <v>51</v>
      </c>
      <c r="AS120" s="6" t="str">
        <f>HYPERLINK("https://creighton-primo.hosted.exlibrisgroup.com/primo-explore/search?tab=default_tab&amp;search_scope=EVERYTHING&amp;vid=01CRU&amp;lang=en_US&amp;offset=0&amp;query=any,contains,991002608429702656","Catalog Record")</f>
        <v>Catalog Record</v>
      </c>
      <c r="AT120" s="6" t="str">
        <f>HYPERLINK("http://www.worldcat.org/oclc/34161749","WorldCat Record")</f>
        <v>WorldCat Record</v>
      </c>
    </row>
    <row r="121" spans="1:46" ht="41.25" customHeight="1" x14ac:dyDescent="0.25">
      <c r="A121" s="8" t="s">
        <v>51</v>
      </c>
      <c r="B121" s="2" t="s">
        <v>854</v>
      </c>
      <c r="C121" s="2" t="s">
        <v>855</v>
      </c>
      <c r="D121" s="2" t="s">
        <v>856</v>
      </c>
      <c r="F121" s="3" t="s">
        <v>51</v>
      </c>
      <c r="G121" s="3" t="s">
        <v>50</v>
      </c>
      <c r="H121" s="3" t="s">
        <v>51</v>
      </c>
      <c r="I121" s="3" t="s">
        <v>51</v>
      </c>
      <c r="J121" s="3" t="s">
        <v>52</v>
      </c>
      <c r="L121" s="2" t="s">
        <v>857</v>
      </c>
      <c r="M121" s="3" t="s">
        <v>858</v>
      </c>
      <c r="O121" s="3" t="s">
        <v>56</v>
      </c>
      <c r="P121" s="3" t="s">
        <v>748</v>
      </c>
      <c r="Q121" s="2" t="s">
        <v>859</v>
      </c>
      <c r="R121" s="3" t="s">
        <v>59</v>
      </c>
      <c r="S121" s="4">
        <v>17</v>
      </c>
      <c r="T121" s="4">
        <v>17</v>
      </c>
      <c r="U121" s="5" t="s">
        <v>860</v>
      </c>
      <c r="V121" s="5" t="s">
        <v>860</v>
      </c>
      <c r="W121" s="5" t="s">
        <v>838</v>
      </c>
      <c r="X121" s="5" t="s">
        <v>838</v>
      </c>
      <c r="Y121" s="4">
        <v>346</v>
      </c>
      <c r="Z121" s="4">
        <v>271</v>
      </c>
      <c r="AA121" s="4">
        <v>1113</v>
      </c>
      <c r="AB121" s="4">
        <v>2</v>
      </c>
      <c r="AC121" s="4">
        <v>27</v>
      </c>
      <c r="AD121" s="4">
        <v>19</v>
      </c>
      <c r="AE121" s="4">
        <v>42</v>
      </c>
      <c r="AF121" s="4">
        <v>7</v>
      </c>
      <c r="AG121" s="4">
        <v>16</v>
      </c>
      <c r="AH121" s="4">
        <v>6</v>
      </c>
      <c r="AI121" s="4">
        <v>8</v>
      </c>
      <c r="AJ121" s="4">
        <v>12</v>
      </c>
      <c r="AK121" s="4">
        <v>17</v>
      </c>
      <c r="AL121" s="4">
        <v>1</v>
      </c>
      <c r="AM121" s="4">
        <v>12</v>
      </c>
      <c r="AN121" s="4">
        <v>1</v>
      </c>
      <c r="AO121" s="4">
        <v>1</v>
      </c>
      <c r="AP121" s="3" t="s">
        <v>51</v>
      </c>
      <c r="AQ121" s="3" t="s">
        <v>51</v>
      </c>
      <c r="AS121" s="6" t="str">
        <f>HYPERLINK("https://creighton-primo.hosted.exlibrisgroup.com/primo-explore/search?tab=default_tab&amp;search_scope=EVERYTHING&amp;vid=01CRU&amp;lang=en_US&amp;offset=0&amp;query=any,contains,991002980249702656","Catalog Record")</f>
        <v>Catalog Record</v>
      </c>
      <c r="AT121" s="6" t="str">
        <f>HYPERLINK("http://www.worldcat.org/oclc/40072645","WorldCat Record")</f>
        <v>WorldCat Record</v>
      </c>
    </row>
    <row r="122" spans="1:46" ht="41.25" customHeight="1" x14ac:dyDescent="0.25">
      <c r="A122" s="8" t="s">
        <v>51</v>
      </c>
      <c r="B122" s="2" t="s">
        <v>861</v>
      </c>
      <c r="C122" s="2" t="s">
        <v>862</v>
      </c>
      <c r="D122" s="2" t="s">
        <v>863</v>
      </c>
      <c r="F122" s="3" t="s">
        <v>51</v>
      </c>
      <c r="G122" s="3" t="s">
        <v>50</v>
      </c>
      <c r="H122" s="3" t="s">
        <v>51</v>
      </c>
      <c r="I122" s="3" t="s">
        <v>51</v>
      </c>
      <c r="J122" s="3" t="s">
        <v>52</v>
      </c>
      <c r="K122" s="2" t="s">
        <v>864</v>
      </c>
      <c r="L122" s="2" t="s">
        <v>865</v>
      </c>
      <c r="M122" s="3" t="s">
        <v>306</v>
      </c>
      <c r="O122" s="3" t="s">
        <v>56</v>
      </c>
      <c r="P122" s="3" t="s">
        <v>545</v>
      </c>
      <c r="R122" s="3" t="s">
        <v>59</v>
      </c>
      <c r="S122" s="4">
        <v>16</v>
      </c>
      <c r="T122" s="4">
        <v>16</v>
      </c>
      <c r="U122" s="5" t="s">
        <v>866</v>
      </c>
      <c r="V122" s="5" t="s">
        <v>866</v>
      </c>
      <c r="W122" s="5" t="s">
        <v>867</v>
      </c>
      <c r="X122" s="5" t="s">
        <v>867</v>
      </c>
      <c r="Y122" s="4">
        <v>137</v>
      </c>
      <c r="Z122" s="4">
        <v>94</v>
      </c>
      <c r="AA122" s="4">
        <v>300</v>
      </c>
      <c r="AB122" s="4">
        <v>1</v>
      </c>
      <c r="AC122" s="4">
        <v>2</v>
      </c>
      <c r="AD122" s="4">
        <v>7</v>
      </c>
      <c r="AE122" s="4">
        <v>15</v>
      </c>
      <c r="AF122" s="4">
        <v>2</v>
      </c>
      <c r="AG122" s="4">
        <v>4</v>
      </c>
      <c r="AH122" s="4">
        <v>2</v>
      </c>
      <c r="AI122" s="4">
        <v>4</v>
      </c>
      <c r="AJ122" s="4">
        <v>6</v>
      </c>
      <c r="AK122" s="4">
        <v>11</v>
      </c>
      <c r="AL122" s="4">
        <v>0</v>
      </c>
      <c r="AM122" s="4">
        <v>1</v>
      </c>
      <c r="AN122" s="4">
        <v>0</v>
      </c>
      <c r="AO122" s="4">
        <v>0</v>
      </c>
      <c r="AP122" s="3" t="s">
        <v>51</v>
      </c>
      <c r="AQ122" s="3" t="s">
        <v>49</v>
      </c>
      <c r="AR122" s="6" t="str">
        <f>HYPERLINK("http://catalog.hathitrust.org/Record/000201069","HathiTrust Record")</f>
        <v>HathiTrust Record</v>
      </c>
      <c r="AS122" s="6" t="str">
        <f>HYPERLINK("https://creighton-primo.hosted.exlibrisgroup.com/primo-explore/search?tab=default_tab&amp;search_scope=EVERYTHING&amp;vid=01CRU&amp;lang=en_US&amp;offset=0&amp;query=any,contains,991003045219702656","Catalog Record")</f>
        <v>Catalog Record</v>
      </c>
      <c r="AT122" s="6" t="str">
        <f>HYPERLINK("http://www.worldcat.org/oclc/605936","WorldCat Record")</f>
        <v>WorldCat Record</v>
      </c>
    </row>
    <row r="123" spans="1:46" ht="41.25" customHeight="1" x14ac:dyDescent="0.25">
      <c r="A123" s="8" t="s">
        <v>51</v>
      </c>
      <c r="B123" s="2" t="s">
        <v>868</v>
      </c>
      <c r="C123" s="2" t="s">
        <v>869</v>
      </c>
      <c r="D123" s="2" t="s">
        <v>870</v>
      </c>
      <c r="F123" s="3" t="s">
        <v>51</v>
      </c>
      <c r="G123" s="3" t="s">
        <v>50</v>
      </c>
      <c r="H123" s="3" t="s">
        <v>49</v>
      </c>
      <c r="I123" s="3" t="s">
        <v>51</v>
      </c>
      <c r="J123" s="3" t="s">
        <v>52</v>
      </c>
      <c r="K123" s="2" t="s">
        <v>871</v>
      </c>
      <c r="L123" s="2" t="s">
        <v>872</v>
      </c>
      <c r="M123" s="3" t="s">
        <v>424</v>
      </c>
      <c r="N123" s="2" t="s">
        <v>245</v>
      </c>
      <c r="O123" s="3" t="s">
        <v>56</v>
      </c>
      <c r="P123" s="3" t="s">
        <v>229</v>
      </c>
      <c r="R123" s="3" t="s">
        <v>59</v>
      </c>
      <c r="S123" s="4">
        <v>17</v>
      </c>
      <c r="T123" s="4">
        <v>24</v>
      </c>
      <c r="U123" s="5" t="s">
        <v>873</v>
      </c>
      <c r="V123" s="5" t="s">
        <v>873</v>
      </c>
      <c r="W123" s="5" t="s">
        <v>793</v>
      </c>
      <c r="X123" s="5" t="s">
        <v>793</v>
      </c>
      <c r="Y123" s="4">
        <v>759</v>
      </c>
      <c r="Z123" s="4">
        <v>674</v>
      </c>
      <c r="AA123" s="4">
        <v>674</v>
      </c>
      <c r="AB123" s="4">
        <v>6</v>
      </c>
      <c r="AC123" s="4">
        <v>6</v>
      </c>
      <c r="AD123" s="4">
        <v>30</v>
      </c>
      <c r="AE123" s="4">
        <v>30</v>
      </c>
      <c r="AF123" s="4">
        <v>14</v>
      </c>
      <c r="AG123" s="4">
        <v>14</v>
      </c>
      <c r="AH123" s="4">
        <v>4</v>
      </c>
      <c r="AI123" s="4">
        <v>4</v>
      </c>
      <c r="AJ123" s="4">
        <v>17</v>
      </c>
      <c r="AK123" s="4">
        <v>17</v>
      </c>
      <c r="AL123" s="4">
        <v>3</v>
      </c>
      <c r="AM123" s="4">
        <v>3</v>
      </c>
      <c r="AN123" s="4">
        <v>0</v>
      </c>
      <c r="AO123" s="4">
        <v>0</v>
      </c>
      <c r="AP123" s="3" t="s">
        <v>51</v>
      </c>
      <c r="AQ123" s="3" t="s">
        <v>49</v>
      </c>
      <c r="AR123" s="6" t="str">
        <f>HYPERLINK("http://catalog.hathitrust.org/Record/010593937","HathiTrust Record")</f>
        <v>HathiTrust Record</v>
      </c>
      <c r="AS123" s="6" t="str">
        <f>HYPERLINK("https://creighton-primo.hosted.exlibrisgroup.com/primo-explore/search?tab=default_tab&amp;search_scope=EVERYTHING&amp;vid=01CRU&amp;lang=en_US&amp;offset=0&amp;query=any,contains,991001760449702656","Catalog Record")</f>
        <v>Catalog Record</v>
      </c>
      <c r="AT123" s="6" t="str">
        <f>HYPERLINK("http://www.worldcat.org/oclc/7197146","WorldCat Record")</f>
        <v>WorldCat Record</v>
      </c>
    </row>
    <row r="124" spans="1:46" ht="41.25" customHeight="1" x14ac:dyDescent="0.25">
      <c r="A124" s="8" t="s">
        <v>51</v>
      </c>
      <c r="B124" s="2" t="s">
        <v>874</v>
      </c>
      <c r="C124" s="2" t="s">
        <v>875</v>
      </c>
      <c r="D124" s="2" t="s">
        <v>876</v>
      </c>
      <c r="F124" s="3" t="s">
        <v>51</v>
      </c>
      <c r="G124" s="3" t="s">
        <v>50</v>
      </c>
      <c r="H124" s="3" t="s">
        <v>51</v>
      </c>
      <c r="I124" s="3" t="s">
        <v>51</v>
      </c>
      <c r="J124" s="3" t="s">
        <v>52</v>
      </c>
      <c r="K124" s="2" t="s">
        <v>877</v>
      </c>
      <c r="L124" s="2" t="s">
        <v>878</v>
      </c>
      <c r="M124" s="3" t="s">
        <v>319</v>
      </c>
      <c r="O124" s="3" t="s">
        <v>56</v>
      </c>
      <c r="P124" s="3" t="s">
        <v>113</v>
      </c>
      <c r="Q124" s="2" t="s">
        <v>879</v>
      </c>
      <c r="R124" s="3" t="s">
        <v>59</v>
      </c>
      <c r="S124" s="4">
        <v>2</v>
      </c>
      <c r="T124" s="4">
        <v>2</v>
      </c>
      <c r="U124" s="5" t="s">
        <v>880</v>
      </c>
      <c r="V124" s="5" t="s">
        <v>880</v>
      </c>
      <c r="W124" s="5" t="s">
        <v>880</v>
      </c>
      <c r="X124" s="5" t="s">
        <v>880</v>
      </c>
      <c r="Y124" s="4">
        <v>245</v>
      </c>
      <c r="Z124" s="4">
        <v>155</v>
      </c>
      <c r="AA124" s="4">
        <v>478</v>
      </c>
      <c r="AB124" s="4">
        <v>1</v>
      </c>
      <c r="AC124" s="4">
        <v>16</v>
      </c>
      <c r="AD124" s="4">
        <v>11</v>
      </c>
      <c r="AE124" s="4">
        <v>26</v>
      </c>
      <c r="AF124" s="4">
        <v>3</v>
      </c>
      <c r="AG124" s="4">
        <v>6</v>
      </c>
      <c r="AH124" s="4">
        <v>5</v>
      </c>
      <c r="AI124" s="4">
        <v>7</v>
      </c>
      <c r="AJ124" s="4">
        <v>5</v>
      </c>
      <c r="AK124" s="4">
        <v>9</v>
      </c>
      <c r="AL124" s="4">
        <v>0</v>
      </c>
      <c r="AM124" s="4">
        <v>8</v>
      </c>
      <c r="AN124" s="4">
        <v>1</v>
      </c>
      <c r="AO124" s="4">
        <v>1</v>
      </c>
      <c r="AP124" s="3" t="s">
        <v>51</v>
      </c>
      <c r="AQ124" s="3" t="s">
        <v>51</v>
      </c>
      <c r="AS124" s="6" t="str">
        <f>HYPERLINK("https://creighton-primo.hosted.exlibrisgroup.com/primo-explore/search?tab=default_tab&amp;search_scope=EVERYTHING&amp;vid=01CRU&amp;lang=en_US&amp;offset=0&amp;query=any,contains,991005193529702656","Catalog Record")</f>
        <v>Catalog Record</v>
      </c>
      <c r="AT124" s="6" t="str">
        <f>HYPERLINK("http://www.worldcat.org/oclc/61176451","WorldCat Record")</f>
        <v>WorldCat Record</v>
      </c>
    </row>
    <row r="125" spans="1:46" ht="41.25" customHeight="1" x14ac:dyDescent="0.25">
      <c r="A125" s="8" t="s">
        <v>51</v>
      </c>
      <c r="B125" s="2" t="s">
        <v>881</v>
      </c>
      <c r="C125" s="2" t="s">
        <v>882</v>
      </c>
      <c r="D125" s="2" t="s">
        <v>883</v>
      </c>
      <c r="F125" s="3" t="s">
        <v>51</v>
      </c>
      <c r="G125" s="3" t="s">
        <v>50</v>
      </c>
      <c r="H125" s="3" t="s">
        <v>51</v>
      </c>
      <c r="I125" s="3" t="s">
        <v>51</v>
      </c>
      <c r="J125" s="3" t="s">
        <v>52</v>
      </c>
      <c r="K125" s="2" t="s">
        <v>884</v>
      </c>
      <c r="L125" s="2" t="s">
        <v>885</v>
      </c>
      <c r="M125" s="3" t="s">
        <v>129</v>
      </c>
      <c r="O125" s="3" t="s">
        <v>56</v>
      </c>
      <c r="P125" s="3" t="s">
        <v>69</v>
      </c>
      <c r="R125" s="3" t="s">
        <v>59</v>
      </c>
      <c r="S125" s="4">
        <v>19</v>
      </c>
      <c r="T125" s="4">
        <v>19</v>
      </c>
      <c r="U125" s="5" t="s">
        <v>886</v>
      </c>
      <c r="V125" s="5" t="s">
        <v>886</v>
      </c>
      <c r="W125" s="5" t="s">
        <v>412</v>
      </c>
      <c r="X125" s="5" t="s">
        <v>412</v>
      </c>
      <c r="Y125" s="4">
        <v>130</v>
      </c>
      <c r="Z125" s="4">
        <v>109</v>
      </c>
      <c r="AA125" s="4">
        <v>111</v>
      </c>
      <c r="AB125" s="4">
        <v>1</v>
      </c>
      <c r="AC125" s="4">
        <v>1</v>
      </c>
      <c r="AD125" s="4">
        <v>4</v>
      </c>
      <c r="AE125" s="4">
        <v>4</v>
      </c>
      <c r="AF125" s="4">
        <v>1</v>
      </c>
      <c r="AG125" s="4">
        <v>1</v>
      </c>
      <c r="AH125" s="4">
        <v>0</v>
      </c>
      <c r="AI125" s="4">
        <v>0</v>
      </c>
      <c r="AJ125" s="4">
        <v>3</v>
      </c>
      <c r="AK125" s="4">
        <v>3</v>
      </c>
      <c r="AL125" s="4">
        <v>0</v>
      </c>
      <c r="AM125" s="4">
        <v>0</v>
      </c>
      <c r="AN125" s="4">
        <v>1</v>
      </c>
      <c r="AO125" s="4">
        <v>1</v>
      </c>
      <c r="AP125" s="3" t="s">
        <v>51</v>
      </c>
      <c r="AQ125" s="3" t="s">
        <v>49</v>
      </c>
      <c r="AR125" s="6" t="str">
        <f>HYPERLINK("http://catalog.hathitrust.org/Record/000347808","HathiTrust Record")</f>
        <v>HathiTrust Record</v>
      </c>
      <c r="AS125" s="6" t="str">
        <f>HYPERLINK("https://creighton-primo.hosted.exlibrisgroup.com/primo-explore/search?tab=default_tab&amp;search_scope=EVERYTHING&amp;vid=01CRU&amp;lang=en_US&amp;offset=0&amp;query=any,contains,991002221439702656","Catalog Record")</f>
        <v>Catalog Record</v>
      </c>
      <c r="AT125" s="6" t="str">
        <f>HYPERLINK("http://www.worldcat.org/oclc/11918195","WorldCat Record")</f>
        <v>WorldCat Record</v>
      </c>
    </row>
    <row r="126" spans="1:46" ht="41.25" customHeight="1" x14ac:dyDescent="0.25">
      <c r="A126" s="8" t="s">
        <v>51</v>
      </c>
      <c r="B126" s="2" t="s">
        <v>887</v>
      </c>
      <c r="C126" s="2" t="s">
        <v>888</v>
      </c>
      <c r="D126" s="2" t="s">
        <v>889</v>
      </c>
      <c r="F126" s="3" t="s">
        <v>51</v>
      </c>
      <c r="G126" s="3" t="s">
        <v>50</v>
      </c>
      <c r="H126" s="3" t="s">
        <v>51</v>
      </c>
      <c r="I126" s="3" t="s">
        <v>51</v>
      </c>
      <c r="J126" s="3" t="s">
        <v>52</v>
      </c>
      <c r="L126" s="2" t="s">
        <v>890</v>
      </c>
      <c r="M126" s="3" t="s">
        <v>186</v>
      </c>
      <c r="O126" s="3" t="s">
        <v>255</v>
      </c>
      <c r="P126" s="3" t="s">
        <v>256</v>
      </c>
      <c r="Q126" s="2" t="s">
        <v>891</v>
      </c>
      <c r="R126" s="3" t="s">
        <v>59</v>
      </c>
      <c r="S126" s="4">
        <v>1</v>
      </c>
      <c r="T126" s="4">
        <v>1</v>
      </c>
      <c r="U126" s="5" t="s">
        <v>892</v>
      </c>
      <c r="V126" s="5" t="s">
        <v>892</v>
      </c>
      <c r="W126" s="5" t="s">
        <v>892</v>
      </c>
      <c r="X126" s="5" t="s">
        <v>892</v>
      </c>
      <c r="Y126" s="4">
        <v>14</v>
      </c>
      <c r="Z126" s="4">
        <v>14</v>
      </c>
      <c r="AA126" s="4">
        <v>15</v>
      </c>
      <c r="AB126" s="4">
        <v>1</v>
      </c>
      <c r="AC126" s="4">
        <v>1</v>
      </c>
      <c r="AD126" s="4">
        <v>1</v>
      </c>
      <c r="AE126" s="4">
        <v>1</v>
      </c>
      <c r="AF126" s="4">
        <v>0</v>
      </c>
      <c r="AG126" s="4">
        <v>0</v>
      </c>
      <c r="AH126" s="4">
        <v>1</v>
      </c>
      <c r="AI126" s="4">
        <v>1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3" t="s">
        <v>51</v>
      </c>
      <c r="AQ126" s="3" t="s">
        <v>51</v>
      </c>
      <c r="AS126" s="6" t="str">
        <f>HYPERLINK("https://creighton-primo.hosted.exlibrisgroup.com/primo-explore/search?tab=default_tab&amp;search_scope=EVERYTHING&amp;vid=01CRU&amp;lang=en_US&amp;offset=0&amp;query=any,contains,991003561279702656","Catalog Record")</f>
        <v>Catalog Record</v>
      </c>
      <c r="AT126" s="6" t="str">
        <f>HYPERLINK("http://www.worldcat.org/oclc/12438847","WorldCat Record")</f>
        <v>WorldCat Record</v>
      </c>
    </row>
    <row r="127" spans="1:46" ht="41.25" customHeight="1" x14ac:dyDescent="0.25">
      <c r="A127" s="8" t="s">
        <v>51</v>
      </c>
      <c r="B127" s="2" t="s">
        <v>893</v>
      </c>
      <c r="C127" s="2" t="s">
        <v>894</v>
      </c>
      <c r="D127" s="2" t="s">
        <v>895</v>
      </c>
      <c r="F127" s="3" t="s">
        <v>51</v>
      </c>
      <c r="G127" s="3" t="s">
        <v>50</v>
      </c>
      <c r="H127" s="3" t="s">
        <v>51</v>
      </c>
      <c r="I127" s="3" t="s">
        <v>51</v>
      </c>
      <c r="J127" s="3" t="s">
        <v>52</v>
      </c>
      <c r="K127" s="2" t="s">
        <v>896</v>
      </c>
      <c r="L127" s="2" t="s">
        <v>897</v>
      </c>
      <c r="M127" s="3" t="s">
        <v>77</v>
      </c>
      <c r="O127" s="3" t="s">
        <v>56</v>
      </c>
      <c r="P127" s="3" t="s">
        <v>79</v>
      </c>
      <c r="R127" s="3" t="s">
        <v>59</v>
      </c>
      <c r="S127" s="4">
        <v>20</v>
      </c>
      <c r="T127" s="4">
        <v>20</v>
      </c>
      <c r="U127" s="5" t="s">
        <v>898</v>
      </c>
      <c r="V127" s="5" t="s">
        <v>898</v>
      </c>
      <c r="W127" s="5" t="s">
        <v>899</v>
      </c>
      <c r="X127" s="5" t="s">
        <v>899</v>
      </c>
      <c r="Y127" s="4">
        <v>633</v>
      </c>
      <c r="Z127" s="4">
        <v>538</v>
      </c>
      <c r="AA127" s="4">
        <v>547</v>
      </c>
      <c r="AB127" s="4">
        <v>4</v>
      </c>
      <c r="AC127" s="4">
        <v>4</v>
      </c>
      <c r="AD127" s="4">
        <v>36</v>
      </c>
      <c r="AE127" s="4">
        <v>36</v>
      </c>
      <c r="AF127" s="4">
        <v>14</v>
      </c>
      <c r="AG127" s="4">
        <v>14</v>
      </c>
      <c r="AH127" s="4">
        <v>6</v>
      </c>
      <c r="AI127" s="4">
        <v>6</v>
      </c>
      <c r="AJ127" s="4">
        <v>15</v>
      </c>
      <c r="AK127" s="4">
        <v>15</v>
      </c>
      <c r="AL127" s="4">
        <v>3</v>
      </c>
      <c r="AM127" s="4">
        <v>3</v>
      </c>
      <c r="AN127" s="4">
        <v>6</v>
      </c>
      <c r="AO127" s="4">
        <v>6</v>
      </c>
      <c r="AP127" s="3" t="s">
        <v>51</v>
      </c>
      <c r="AQ127" s="3" t="s">
        <v>49</v>
      </c>
      <c r="AR127" s="6" t="str">
        <f>HYPERLINK("http://catalog.hathitrust.org/Record/002505556","HathiTrust Record")</f>
        <v>HathiTrust Record</v>
      </c>
      <c r="AS127" s="6" t="str">
        <f>HYPERLINK("https://creighton-primo.hosted.exlibrisgroup.com/primo-explore/search?tab=default_tab&amp;search_scope=EVERYTHING&amp;vid=01CRU&amp;lang=en_US&amp;offset=0&amp;query=any,contains,991001881739702656","Catalog Record")</f>
        <v>Catalog Record</v>
      </c>
      <c r="AT127" s="6" t="str">
        <f>HYPERLINK("http://www.worldcat.org/oclc/23732356","WorldCat Record")</f>
        <v>WorldCat Record</v>
      </c>
    </row>
    <row r="128" spans="1:46" ht="41.25" customHeight="1" x14ac:dyDescent="0.25">
      <c r="A128" s="8" t="s">
        <v>51</v>
      </c>
      <c r="B128" s="2" t="s">
        <v>900</v>
      </c>
      <c r="C128" s="2" t="s">
        <v>901</v>
      </c>
      <c r="D128" s="2" t="s">
        <v>902</v>
      </c>
      <c r="F128" s="3" t="s">
        <v>51</v>
      </c>
      <c r="G128" s="3" t="s">
        <v>50</v>
      </c>
      <c r="H128" s="3" t="s">
        <v>51</v>
      </c>
      <c r="I128" s="3" t="s">
        <v>51</v>
      </c>
      <c r="J128" s="3" t="s">
        <v>52</v>
      </c>
      <c r="L128" s="2" t="s">
        <v>903</v>
      </c>
      <c r="M128" s="3" t="s">
        <v>244</v>
      </c>
      <c r="O128" s="3" t="s">
        <v>56</v>
      </c>
      <c r="P128" s="3" t="s">
        <v>57</v>
      </c>
      <c r="Q128" s="2" t="s">
        <v>904</v>
      </c>
      <c r="R128" s="3" t="s">
        <v>59</v>
      </c>
      <c r="S128" s="4">
        <v>12</v>
      </c>
      <c r="T128" s="4">
        <v>12</v>
      </c>
      <c r="U128" s="5" t="s">
        <v>905</v>
      </c>
      <c r="V128" s="5" t="s">
        <v>905</v>
      </c>
      <c r="W128" s="5" t="s">
        <v>906</v>
      </c>
      <c r="X128" s="5" t="s">
        <v>906</v>
      </c>
      <c r="Y128" s="4">
        <v>145</v>
      </c>
      <c r="Z128" s="4">
        <v>98</v>
      </c>
      <c r="AA128" s="4">
        <v>108</v>
      </c>
      <c r="AB128" s="4">
        <v>1</v>
      </c>
      <c r="AC128" s="4">
        <v>1</v>
      </c>
      <c r="AD128" s="4">
        <v>13</v>
      </c>
      <c r="AE128" s="4">
        <v>15</v>
      </c>
      <c r="AF128" s="4">
        <v>5</v>
      </c>
      <c r="AG128" s="4">
        <v>7</v>
      </c>
      <c r="AH128" s="4">
        <v>2</v>
      </c>
      <c r="AI128" s="4">
        <v>2</v>
      </c>
      <c r="AJ128" s="4">
        <v>12</v>
      </c>
      <c r="AK128" s="4">
        <v>14</v>
      </c>
      <c r="AL128" s="4">
        <v>0</v>
      </c>
      <c r="AM128" s="4">
        <v>0</v>
      </c>
      <c r="AN128" s="4">
        <v>0</v>
      </c>
      <c r="AO128" s="4">
        <v>0</v>
      </c>
      <c r="AP128" s="3" t="s">
        <v>51</v>
      </c>
      <c r="AQ128" s="3" t="s">
        <v>51</v>
      </c>
      <c r="AS128" s="6" t="str">
        <f>HYPERLINK("https://creighton-primo.hosted.exlibrisgroup.com/primo-explore/search?tab=default_tab&amp;search_scope=EVERYTHING&amp;vid=01CRU&amp;lang=en_US&amp;offset=0&amp;query=any,contains,991005420159702656","Catalog Record")</f>
        <v>Catalog Record</v>
      </c>
      <c r="AT128" s="6" t="str">
        <f>HYPERLINK("http://www.worldcat.org/oclc/31738760","WorldCat Record")</f>
        <v>WorldCat Record</v>
      </c>
    </row>
    <row r="129" spans="1:46" ht="41.25" customHeight="1" x14ac:dyDescent="0.25">
      <c r="A129" s="8" t="s">
        <v>51</v>
      </c>
      <c r="B129" s="2" t="s">
        <v>907</v>
      </c>
      <c r="C129" s="2" t="s">
        <v>908</v>
      </c>
      <c r="D129" s="2" t="s">
        <v>909</v>
      </c>
      <c r="F129" s="3" t="s">
        <v>51</v>
      </c>
      <c r="G129" s="3" t="s">
        <v>50</v>
      </c>
      <c r="H129" s="3" t="s">
        <v>49</v>
      </c>
      <c r="I129" s="3" t="s">
        <v>49</v>
      </c>
      <c r="J129" s="3" t="s">
        <v>52</v>
      </c>
      <c r="K129" s="2" t="s">
        <v>910</v>
      </c>
      <c r="L129" s="2" t="s">
        <v>911</v>
      </c>
      <c r="M129" s="3" t="s">
        <v>851</v>
      </c>
      <c r="N129" s="2" t="s">
        <v>78</v>
      </c>
      <c r="O129" s="3" t="s">
        <v>56</v>
      </c>
      <c r="P129" s="3" t="s">
        <v>87</v>
      </c>
      <c r="R129" s="3" t="s">
        <v>59</v>
      </c>
      <c r="S129" s="4">
        <v>8</v>
      </c>
      <c r="T129" s="4">
        <v>34</v>
      </c>
      <c r="U129" s="5" t="s">
        <v>912</v>
      </c>
      <c r="V129" s="5" t="s">
        <v>913</v>
      </c>
      <c r="W129" s="5" t="s">
        <v>914</v>
      </c>
      <c r="X129" s="5" t="s">
        <v>915</v>
      </c>
      <c r="Y129" s="4">
        <v>659</v>
      </c>
      <c r="Z129" s="4">
        <v>514</v>
      </c>
      <c r="AA129" s="4">
        <v>1398</v>
      </c>
      <c r="AB129" s="4">
        <v>4</v>
      </c>
      <c r="AC129" s="4">
        <v>14</v>
      </c>
      <c r="AD129" s="4">
        <v>36</v>
      </c>
      <c r="AE129" s="4">
        <v>73</v>
      </c>
      <c r="AF129" s="4">
        <v>11</v>
      </c>
      <c r="AG129" s="4">
        <v>22</v>
      </c>
      <c r="AH129" s="4">
        <v>8</v>
      </c>
      <c r="AI129" s="4">
        <v>12</v>
      </c>
      <c r="AJ129" s="4">
        <v>19</v>
      </c>
      <c r="AK129" s="4">
        <v>28</v>
      </c>
      <c r="AL129" s="4">
        <v>1</v>
      </c>
      <c r="AM129" s="4">
        <v>10</v>
      </c>
      <c r="AN129" s="4">
        <v>8</v>
      </c>
      <c r="AO129" s="4">
        <v>14</v>
      </c>
      <c r="AP129" s="3" t="s">
        <v>51</v>
      </c>
      <c r="AQ129" s="3" t="s">
        <v>49</v>
      </c>
      <c r="AR129" s="6" t="str">
        <f>HYPERLINK("http://catalog.hathitrust.org/Record/003019249","HathiTrust Record")</f>
        <v>HathiTrust Record</v>
      </c>
      <c r="AS129" s="6" t="str">
        <f>HYPERLINK("https://creighton-primo.hosted.exlibrisgroup.com/primo-explore/search?tab=default_tab&amp;search_scope=EVERYTHING&amp;vid=01CRU&amp;lang=en_US&amp;offset=0&amp;query=any,contains,991001664979702656","Catalog Record")</f>
        <v>Catalog Record</v>
      </c>
      <c r="AT129" s="6" t="str">
        <f>HYPERLINK("http://www.worldcat.org/oclc/31646988","WorldCat Record")</f>
        <v>WorldCat Record</v>
      </c>
    </row>
    <row r="130" spans="1:46" ht="41.25" customHeight="1" x14ac:dyDescent="0.25">
      <c r="A130" s="8" t="s">
        <v>51</v>
      </c>
      <c r="B130" s="2" t="s">
        <v>916</v>
      </c>
      <c r="C130" s="2" t="s">
        <v>917</v>
      </c>
      <c r="D130" s="2" t="s">
        <v>918</v>
      </c>
      <c r="F130" s="3" t="s">
        <v>51</v>
      </c>
      <c r="G130" s="3" t="s">
        <v>50</v>
      </c>
      <c r="H130" s="3" t="s">
        <v>51</v>
      </c>
      <c r="I130" s="3" t="s">
        <v>51</v>
      </c>
      <c r="J130" s="3" t="s">
        <v>52</v>
      </c>
      <c r="L130" s="2" t="s">
        <v>919</v>
      </c>
      <c r="M130" s="3" t="s">
        <v>920</v>
      </c>
      <c r="O130" s="3" t="s">
        <v>56</v>
      </c>
      <c r="P130" s="3" t="s">
        <v>57</v>
      </c>
      <c r="Q130" s="2" t="s">
        <v>921</v>
      </c>
      <c r="R130" s="3" t="s">
        <v>59</v>
      </c>
      <c r="S130" s="4">
        <v>9</v>
      </c>
      <c r="T130" s="4">
        <v>9</v>
      </c>
      <c r="U130" s="5" t="s">
        <v>818</v>
      </c>
      <c r="V130" s="5" t="s">
        <v>818</v>
      </c>
      <c r="W130" s="5" t="s">
        <v>922</v>
      </c>
      <c r="X130" s="5" t="s">
        <v>922</v>
      </c>
      <c r="Y130" s="4">
        <v>230</v>
      </c>
      <c r="Z130" s="4">
        <v>176</v>
      </c>
      <c r="AA130" s="4">
        <v>559</v>
      </c>
      <c r="AB130" s="4">
        <v>1</v>
      </c>
      <c r="AC130" s="4">
        <v>1</v>
      </c>
      <c r="AD130" s="4">
        <v>17</v>
      </c>
      <c r="AE130" s="4">
        <v>21</v>
      </c>
      <c r="AF130" s="4">
        <v>5</v>
      </c>
      <c r="AG130" s="4">
        <v>7</v>
      </c>
      <c r="AH130" s="4">
        <v>7</v>
      </c>
      <c r="AI130" s="4">
        <v>7</v>
      </c>
      <c r="AJ130" s="4">
        <v>12</v>
      </c>
      <c r="AK130" s="4">
        <v>14</v>
      </c>
      <c r="AL130" s="4">
        <v>0</v>
      </c>
      <c r="AM130" s="4">
        <v>0</v>
      </c>
      <c r="AN130" s="4">
        <v>0</v>
      </c>
      <c r="AO130" s="4">
        <v>0</v>
      </c>
      <c r="AP130" s="3" t="s">
        <v>51</v>
      </c>
      <c r="AQ130" s="3" t="s">
        <v>51</v>
      </c>
      <c r="AS130" s="6" t="str">
        <f>HYPERLINK("https://creighton-primo.hosted.exlibrisgroup.com/primo-explore/search?tab=default_tab&amp;search_scope=EVERYTHING&amp;vid=01CRU&amp;lang=en_US&amp;offset=0&amp;query=any,contains,991003489359702656","Catalog Record")</f>
        <v>Catalog Record</v>
      </c>
      <c r="AT130" s="6" t="str">
        <f>HYPERLINK("http://www.worldcat.org/oclc/43751601","WorldCat Record")</f>
        <v>WorldCat Record</v>
      </c>
    </row>
    <row r="131" spans="1:46" ht="41.25" customHeight="1" x14ac:dyDescent="0.25">
      <c r="A131" s="8" t="s">
        <v>51</v>
      </c>
      <c r="B131" s="2" t="s">
        <v>923</v>
      </c>
      <c r="C131" s="2" t="s">
        <v>924</v>
      </c>
      <c r="D131" s="2" t="s">
        <v>925</v>
      </c>
      <c r="F131" s="3" t="s">
        <v>51</v>
      </c>
      <c r="G131" s="3" t="s">
        <v>50</v>
      </c>
      <c r="H131" s="3" t="s">
        <v>51</v>
      </c>
      <c r="I131" s="3" t="s">
        <v>49</v>
      </c>
      <c r="J131" s="3" t="s">
        <v>52</v>
      </c>
      <c r="L131" s="2" t="s">
        <v>926</v>
      </c>
      <c r="M131" s="3" t="s">
        <v>271</v>
      </c>
      <c r="N131" s="2" t="s">
        <v>245</v>
      </c>
      <c r="O131" s="3" t="s">
        <v>56</v>
      </c>
      <c r="P131" s="3" t="s">
        <v>538</v>
      </c>
      <c r="R131" s="3" t="s">
        <v>59</v>
      </c>
      <c r="S131" s="4">
        <v>36</v>
      </c>
      <c r="T131" s="4">
        <v>36</v>
      </c>
      <c r="U131" s="5" t="s">
        <v>927</v>
      </c>
      <c r="V131" s="5" t="s">
        <v>927</v>
      </c>
      <c r="W131" s="5" t="s">
        <v>928</v>
      </c>
      <c r="X131" s="5" t="s">
        <v>928</v>
      </c>
      <c r="Y131" s="4">
        <v>436</v>
      </c>
      <c r="Z131" s="4">
        <v>378</v>
      </c>
      <c r="AA131" s="4">
        <v>773</v>
      </c>
      <c r="AB131" s="4">
        <v>3</v>
      </c>
      <c r="AC131" s="4">
        <v>7</v>
      </c>
      <c r="AD131" s="4">
        <v>21</v>
      </c>
      <c r="AE131" s="4">
        <v>43</v>
      </c>
      <c r="AF131" s="4">
        <v>4</v>
      </c>
      <c r="AG131" s="4">
        <v>13</v>
      </c>
      <c r="AH131" s="4">
        <v>3</v>
      </c>
      <c r="AI131" s="4">
        <v>8</v>
      </c>
      <c r="AJ131" s="4">
        <v>11</v>
      </c>
      <c r="AK131" s="4">
        <v>23</v>
      </c>
      <c r="AL131" s="4">
        <v>2</v>
      </c>
      <c r="AM131" s="4">
        <v>4</v>
      </c>
      <c r="AN131" s="4">
        <v>6</v>
      </c>
      <c r="AO131" s="4">
        <v>8</v>
      </c>
      <c r="AP131" s="3" t="s">
        <v>51</v>
      </c>
      <c r="AQ131" s="3" t="s">
        <v>51</v>
      </c>
      <c r="AS131" s="6" t="str">
        <f>HYPERLINK("https://creighton-primo.hosted.exlibrisgroup.com/primo-explore/search?tab=default_tab&amp;search_scope=EVERYTHING&amp;vid=01CRU&amp;lang=en_US&amp;offset=0&amp;query=any,contains,991004436499702656","Catalog Record")</f>
        <v>Catalog Record</v>
      </c>
      <c r="AT131" s="6" t="str">
        <f>HYPERLINK("http://www.worldcat.org/oclc/3444644","WorldCat Record")</f>
        <v>WorldCat Record</v>
      </c>
    </row>
    <row r="132" spans="1:46" ht="41.25" customHeight="1" x14ac:dyDescent="0.25">
      <c r="A132" s="8" t="s">
        <v>51</v>
      </c>
      <c r="B132" s="2" t="s">
        <v>929</v>
      </c>
      <c r="C132" s="2" t="s">
        <v>930</v>
      </c>
      <c r="D132" s="2" t="s">
        <v>931</v>
      </c>
      <c r="F132" s="3" t="s">
        <v>51</v>
      </c>
      <c r="G132" s="3" t="s">
        <v>50</v>
      </c>
      <c r="H132" s="3" t="s">
        <v>49</v>
      </c>
      <c r="I132" s="3" t="s">
        <v>51</v>
      </c>
      <c r="J132" s="3" t="s">
        <v>52</v>
      </c>
      <c r="L132" s="2" t="s">
        <v>932</v>
      </c>
      <c r="M132" s="3" t="s">
        <v>271</v>
      </c>
      <c r="O132" s="3" t="s">
        <v>56</v>
      </c>
      <c r="P132" s="3" t="s">
        <v>79</v>
      </c>
      <c r="R132" s="3" t="s">
        <v>59</v>
      </c>
      <c r="S132" s="4">
        <v>8</v>
      </c>
      <c r="T132" s="4">
        <v>19</v>
      </c>
      <c r="U132" s="5" t="s">
        <v>818</v>
      </c>
      <c r="V132" s="5" t="s">
        <v>818</v>
      </c>
      <c r="W132" s="5" t="s">
        <v>933</v>
      </c>
      <c r="X132" s="5" t="s">
        <v>933</v>
      </c>
      <c r="Y132" s="4">
        <v>971</v>
      </c>
      <c r="Z132" s="4">
        <v>833</v>
      </c>
      <c r="AA132" s="4">
        <v>850</v>
      </c>
      <c r="AB132" s="4">
        <v>4</v>
      </c>
      <c r="AC132" s="4">
        <v>4</v>
      </c>
      <c r="AD132" s="4">
        <v>46</v>
      </c>
      <c r="AE132" s="4">
        <v>46</v>
      </c>
      <c r="AF132" s="4">
        <v>16</v>
      </c>
      <c r="AG132" s="4">
        <v>16</v>
      </c>
      <c r="AH132" s="4">
        <v>8</v>
      </c>
      <c r="AI132" s="4">
        <v>8</v>
      </c>
      <c r="AJ132" s="4">
        <v>19</v>
      </c>
      <c r="AK132" s="4">
        <v>19</v>
      </c>
      <c r="AL132" s="4">
        <v>2</v>
      </c>
      <c r="AM132" s="4">
        <v>2</v>
      </c>
      <c r="AN132" s="4">
        <v>10</v>
      </c>
      <c r="AO132" s="4">
        <v>10</v>
      </c>
      <c r="AP132" s="3" t="s">
        <v>51</v>
      </c>
      <c r="AQ132" s="3" t="s">
        <v>49</v>
      </c>
      <c r="AR132" s="6" t="str">
        <f>HYPERLINK("http://catalog.hathitrust.org/Record/000173223","HathiTrust Record")</f>
        <v>HathiTrust Record</v>
      </c>
      <c r="AS132" s="6" t="str">
        <f>HYPERLINK("https://creighton-primo.hosted.exlibrisgroup.com/primo-explore/search?tab=default_tab&amp;search_scope=EVERYTHING&amp;vid=01CRU&amp;lang=en_US&amp;offset=0&amp;query=any,contains,991001788119702656","Catalog Record")</f>
        <v>Catalog Record</v>
      </c>
      <c r="AT132" s="6" t="str">
        <f>HYPERLINK("http://www.worldcat.org/oclc/2797893","WorldCat Record")</f>
        <v>WorldCat Record</v>
      </c>
    </row>
    <row r="133" spans="1:46" ht="41.25" customHeight="1" x14ac:dyDescent="0.25">
      <c r="A133" s="8" t="s">
        <v>51</v>
      </c>
      <c r="B133" s="2" t="s">
        <v>934</v>
      </c>
      <c r="C133" s="2" t="s">
        <v>935</v>
      </c>
      <c r="D133" s="2" t="s">
        <v>936</v>
      </c>
      <c r="F133" s="3" t="s">
        <v>51</v>
      </c>
      <c r="G133" s="3" t="s">
        <v>50</v>
      </c>
      <c r="H133" s="3" t="s">
        <v>51</v>
      </c>
      <c r="I133" s="3" t="s">
        <v>49</v>
      </c>
      <c r="J133" s="3" t="s">
        <v>52</v>
      </c>
      <c r="K133" s="2" t="s">
        <v>937</v>
      </c>
      <c r="L133" s="2" t="s">
        <v>938</v>
      </c>
      <c r="M133" s="3" t="s">
        <v>162</v>
      </c>
      <c r="N133" s="2" t="s">
        <v>939</v>
      </c>
      <c r="O133" s="3" t="s">
        <v>56</v>
      </c>
      <c r="P133" s="3" t="s">
        <v>653</v>
      </c>
      <c r="R133" s="3" t="s">
        <v>59</v>
      </c>
      <c r="S133" s="4">
        <v>1</v>
      </c>
      <c r="T133" s="4">
        <v>1</v>
      </c>
      <c r="U133" s="5" t="s">
        <v>940</v>
      </c>
      <c r="V133" s="5" t="s">
        <v>940</v>
      </c>
      <c r="W133" s="5" t="s">
        <v>485</v>
      </c>
      <c r="X133" s="5" t="s">
        <v>485</v>
      </c>
      <c r="Y133" s="4">
        <v>88</v>
      </c>
      <c r="Z133" s="4">
        <v>77</v>
      </c>
      <c r="AA133" s="4">
        <v>305</v>
      </c>
      <c r="AB133" s="4">
        <v>1</v>
      </c>
      <c r="AC133" s="4">
        <v>3</v>
      </c>
      <c r="AD133" s="4">
        <v>11</v>
      </c>
      <c r="AE133" s="4">
        <v>29</v>
      </c>
      <c r="AF133" s="4">
        <v>1</v>
      </c>
      <c r="AG133" s="4">
        <v>8</v>
      </c>
      <c r="AH133" s="4">
        <v>2</v>
      </c>
      <c r="AI133" s="4">
        <v>6</v>
      </c>
      <c r="AJ133" s="4">
        <v>7</v>
      </c>
      <c r="AK133" s="4">
        <v>13</v>
      </c>
      <c r="AL133" s="4">
        <v>0</v>
      </c>
      <c r="AM133" s="4">
        <v>1</v>
      </c>
      <c r="AN133" s="4">
        <v>2</v>
      </c>
      <c r="AO133" s="4">
        <v>7</v>
      </c>
      <c r="AP133" s="3" t="s">
        <v>49</v>
      </c>
      <c r="AQ133" s="3" t="s">
        <v>51</v>
      </c>
      <c r="AR133" s="6" t="str">
        <f>HYPERLINK("http://catalog.hathitrust.org/Record/001557824","HathiTrust Record")</f>
        <v>HathiTrust Record</v>
      </c>
      <c r="AS133" s="6" t="str">
        <f>HYPERLINK("https://creighton-primo.hosted.exlibrisgroup.com/primo-explore/search?tab=default_tab&amp;search_scope=EVERYTHING&amp;vid=01CRU&amp;lang=en_US&amp;offset=0&amp;query=any,contains,991003814979702656","Catalog Record")</f>
        <v>Catalog Record</v>
      </c>
      <c r="AT133" s="6" t="str">
        <f>HYPERLINK("http://www.worldcat.org/oclc/1546178","WorldCat Record")</f>
        <v>WorldCat Record</v>
      </c>
    </row>
    <row r="134" spans="1:46" ht="41.25" customHeight="1" x14ac:dyDescent="0.25">
      <c r="A134" s="8" t="s">
        <v>51</v>
      </c>
      <c r="B134" s="2" t="s">
        <v>941</v>
      </c>
      <c r="C134" s="2" t="s">
        <v>942</v>
      </c>
      <c r="D134" s="2" t="s">
        <v>943</v>
      </c>
      <c r="F134" s="3" t="s">
        <v>51</v>
      </c>
      <c r="G134" s="3" t="s">
        <v>50</v>
      </c>
      <c r="H134" s="3" t="s">
        <v>49</v>
      </c>
      <c r="I134" s="3" t="s">
        <v>51</v>
      </c>
      <c r="J134" s="3" t="s">
        <v>52</v>
      </c>
      <c r="K134" s="2" t="s">
        <v>944</v>
      </c>
      <c r="L134" s="2" t="s">
        <v>945</v>
      </c>
      <c r="M134" s="3" t="s">
        <v>211</v>
      </c>
      <c r="O134" s="3" t="s">
        <v>56</v>
      </c>
      <c r="P134" s="3" t="s">
        <v>87</v>
      </c>
      <c r="R134" s="3" t="s">
        <v>59</v>
      </c>
      <c r="S134" s="4">
        <v>25</v>
      </c>
      <c r="T134" s="4">
        <v>31</v>
      </c>
      <c r="U134" s="5" t="s">
        <v>946</v>
      </c>
      <c r="V134" s="5" t="s">
        <v>946</v>
      </c>
      <c r="W134" s="5" t="s">
        <v>947</v>
      </c>
      <c r="X134" s="5" t="s">
        <v>947</v>
      </c>
      <c r="Y134" s="4">
        <v>940</v>
      </c>
      <c r="Z134" s="4">
        <v>824</v>
      </c>
      <c r="AA134" s="4">
        <v>830</v>
      </c>
      <c r="AB134" s="4">
        <v>4</v>
      </c>
      <c r="AC134" s="4">
        <v>4</v>
      </c>
      <c r="AD134" s="4">
        <v>31</v>
      </c>
      <c r="AE134" s="4">
        <v>31</v>
      </c>
      <c r="AF134" s="4">
        <v>12</v>
      </c>
      <c r="AG134" s="4">
        <v>12</v>
      </c>
      <c r="AH134" s="4">
        <v>7</v>
      </c>
      <c r="AI134" s="4">
        <v>7</v>
      </c>
      <c r="AJ134" s="4">
        <v>16</v>
      </c>
      <c r="AK134" s="4">
        <v>16</v>
      </c>
      <c r="AL134" s="4">
        <v>2</v>
      </c>
      <c r="AM134" s="4">
        <v>2</v>
      </c>
      <c r="AN134" s="4">
        <v>1</v>
      </c>
      <c r="AO134" s="4">
        <v>1</v>
      </c>
      <c r="AP134" s="3" t="s">
        <v>51</v>
      </c>
      <c r="AQ134" s="3" t="s">
        <v>49</v>
      </c>
      <c r="AR134" s="6" t="str">
        <f>HYPERLINK("http://catalog.hathitrust.org/Record/000301063","HathiTrust Record")</f>
        <v>HathiTrust Record</v>
      </c>
      <c r="AS134" s="6" t="str">
        <f>HYPERLINK("https://creighton-primo.hosted.exlibrisgroup.com/primo-explore/search?tab=default_tab&amp;search_scope=EVERYTHING&amp;vid=01CRU&amp;lang=en_US&amp;offset=0&amp;query=any,contains,991001789299702656","Catalog Record")</f>
        <v>Catalog Record</v>
      </c>
      <c r="AT134" s="6" t="str">
        <f>HYPERLINK("http://www.worldcat.org/oclc/4946250","WorldCat Record")</f>
        <v>WorldCat Record</v>
      </c>
    </row>
    <row r="135" spans="1:46" ht="41.25" customHeight="1" x14ac:dyDescent="0.25">
      <c r="A135" s="8" t="s">
        <v>51</v>
      </c>
      <c r="B135" s="2" t="s">
        <v>948</v>
      </c>
      <c r="C135" s="2" t="s">
        <v>949</v>
      </c>
      <c r="D135" s="2" t="s">
        <v>950</v>
      </c>
      <c r="F135" s="3" t="s">
        <v>51</v>
      </c>
      <c r="G135" s="3" t="s">
        <v>50</v>
      </c>
      <c r="H135" s="3" t="s">
        <v>51</v>
      </c>
      <c r="I135" s="3" t="s">
        <v>51</v>
      </c>
      <c r="J135" s="3" t="s">
        <v>52</v>
      </c>
      <c r="K135" s="2" t="s">
        <v>944</v>
      </c>
      <c r="L135" s="2" t="s">
        <v>951</v>
      </c>
      <c r="M135" s="3" t="s">
        <v>952</v>
      </c>
      <c r="O135" s="3" t="s">
        <v>56</v>
      </c>
      <c r="P135" s="3" t="s">
        <v>79</v>
      </c>
      <c r="Q135" s="2" t="s">
        <v>953</v>
      </c>
      <c r="R135" s="3" t="s">
        <v>59</v>
      </c>
      <c r="S135" s="4">
        <v>29</v>
      </c>
      <c r="T135" s="4">
        <v>29</v>
      </c>
      <c r="U135" s="5" t="s">
        <v>954</v>
      </c>
      <c r="V135" s="5" t="s">
        <v>954</v>
      </c>
      <c r="W135" s="5" t="s">
        <v>955</v>
      </c>
      <c r="X135" s="5" t="s">
        <v>955</v>
      </c>
      <c r="Y135" s="4">
        <v>389</v>
      </c>
      <c r="Z135" s="4">
        <v>354</v>
      </c>
      <c r="AA135" s="4">
        <v>1090</v>
      </c>
      <c r="AB135" s="4">
        <v>2</v>
      </c>
      <c r="AC135" s="4">
        <v>8</v>
      </c>
      <c r="AD135" s="4">
        <v>17</v>
      </c>
      <c r="AE135" s="4">
        <v>51</v>
      </c>
      <c r="AF135" s="4">
        <v>4</v>
      </c>
      <c r="AG135" s="4">
        <v>21</v>
      </c>
      <c r="AH135" s="4">
        <v>4</v>
      </c>
      <c r="AI135" s="4">
        <v>10</v>
      </c>
      <c r="AJ135" s="4">
        <v>9</v>
      </c>
      <c r="AK135" s="4">
        <v>20</v>
      </c>
      <c r="AL135" s="4">
        <v>1</v>
      </c>
      <c r="AM135" s="4">
        <v>4</v>
      </c>
      <c r="AN135" s="4">
        <v>2</v>
      </c>
      <c r="AO135" s="4">
        <v>8</v>
      </c>
      <c r="AP135" s="3" t="s">
        <v>51</v>
      </c>
      <c r="AQ135" s="3" t="s">
        <v>49</v>
      </c>
      <c r="AR135" s="6" t="str">
        <f>HYPERLINK("http://catalog.hathitrust.org/Record/002239038","HathiTrust Record")</f>
        <v>HathiTrust Record</v>
      </c>
      <c r="AS135" s="6" t="str">
        <f>HYPERLINK("https://creighton-primo.hosted.exlibrisgroup.com/primo-explore/search?tab=default_tab&amp;search_scope=EVERYTHING&amp;vid=01CRU&amp;lang=en_US&amp;offset=0&amp;query=any,contains,991002101679702656","Catalog Record")</f>
        <v>Catalog Record</v>
      </c>
      <c r="AT135" s="6" t="str">
        <f>HYPERLINK("http://www.worldcat.org/oclc/266371","WorldCat Record")</f>
        <v>WorldCat Record</v>
      </c>
    </row>
    <row r="136" spans="1:46" ht="41.25" customHeight="1" x14ac:dyDescent="0.25">
      <c r="A136" s="8" t="s">
        <v>51</v>
      </c>
      <c r="B136" s="2" t="s">
        <v>956</v>
      </c>
      <c r="C136" s="2" t="s">
        <v>957</v>
      </c>
      <c r="D136" s="2" t="s">
        <v>958</v>
      </c>
      <c r="F136" s="3" t="s">
        <v>51</v>
      </c>
      <c r="G136" s="3" t="s">
        <v>50</v>
      </c>
      <c r="H136" s="3" t="s">
        <v>51</v>
      </c>
      <c r="I136" s="3" t="s">
        <v>51</v>
      </c>
      <c r="J136" s="3" t="s">
        <v>52</v>
      </c>
      <c r="K136" s="2" t="s">
        <v>959</v>
      </c>
      <c r="L136" s="2" t="s">
        <v>960</v>
      </c>
      <c r="M136" s="3" t="s">
        <v>201</v>
      </c>
      <c r="O136" s="3" t="s">
        <v>56</v>
      </c>
      <c r="P136" s="3" t="s">
        <v>359</v>
      </c>
      <c r="R136" s="3" t="s">
        <v>59</v>
      </c>
      <c r="S136" s="4">
        <v>2</v>
      </c>
      <c r="T136" s="4">
        <v>2</v>
      </c>
      <c r="U136" s="5" t="s">
        <v>961</v>
      </c>
      <c r="V136" s="5" t="s">
        <v>961</v>
      </c>
      <c r="W136" s="5" t="s">
        <v>239</v>
      </c>
      <c r="X136" s="5" t="s">
        <v>239</v>
      </c>
      <c r="Y136" s="4">
        <v>553</v>
      </c>
      <c r="Z136" s="4">
        <v>498</v>
      </c>
      <c r="AA136" s="4">
        <v>500</v>
      </c>
      <c r="AB136" s="4">
        <v>3</v>
      </c>
      <c r="AC136" s="4">
        <v>3</v>
      </c>
      <c r="AD136" s="4">
        <v>13</v>
      </c>
      <c r="AE136" s="4">
        <v>13</v>
      </c>
      <c r="AF136" s="4">
        <v>5</v>
      </c>
      <c r="AG136" s="4">
        <v>5</v>
      </c>
      <c r="AH136" s="4">
        <v>3</v>
      </c>
      <c r="AI136" s="4">
        <v>3</v>
      </c>
      <c r="AJ136" s="4">
        <v>7</v>
      </c>
      <c r="AK136" s="4">
        <v>7</v>
      </c>
      <c r="AL136" s="4">
        <v>2</v>
      </c>
      <c r="AM136" s="4">
        <v>2</v>
      </c>
      <c r="AN136" s="4">
        <v>0</v>
      </c>
      <c r="AO136" s="4">
        <v>0</v>
      </c>
      <c r="AP136" s="3" t="s">
        <v>51</v>
      </c>
      <c r="AQ136" s="3" t="s">
        <v>49</v>
      </c>
      <c r="AR136" s="6" t="str">
        <f>HYPERLINK("http://catalog.hathitrust.org/Record/001557826","HathiTrust Record")</f>
        <v>HathiTrust Record</v>
      </c>
      <c r="AS136" s="6" t="str">
        <f>HYPERLINK("https://creighton-primo.hosted.exlibrisgroup.com/primo-explore/search?tab=default_tab&amp;search_scope=EVERYTHING&amp;vid=01CRU&amp;lang=en_US&amp;offset=0&amp;query=any,contains,991003254279702656","Catalog Record")</f>
        <v>Catalog Record</v>
      </c>
      <c r="AT136" s="6" t="str">
        <f>HYPERLINK("http://www.worldcat.org/oclc/779150","WorldCat Record")</f>
        <v>WorldCat Record</v>
      </c>
    </row>
    <row r="137" spans="1:46" ht="41.25" customHeight="1" x14ac:dyDescent="0.25">
      <c r="A137" s="8" t="s">
        <v>51</v>
      </c>
      <c r="B137" s="2" t="s">
        <v>962</v>
      </c>
      <c r="C137" s="2" t="s">
        <v>963</v>
      </c>
      <c r="D137" s="2" t="s">
        <v>964</v>
      </c>
      <c r="F137" s="3" t="s">
        <v>51</v>
      </c>
      <c r="G137" s="3" t="s">
        <v>50</v>
      </c>
      <c r="H137" s="3" t="s">
        <v>51</v>
      </c>
      <c r="I137" s="3" t="s">
        <v>51</v>
      </c>
      <c r="J137" s="3" t="s">
        <v>52</v>
      </c>
      <c r="L137" s="2" t="s">
        <v>965</v>
      </c>
      <c r="M137" s="3" t="s">
        <v>171</v>
      </c>
      <c r="O137" s="3" t="s">
        <v>56</v>
      </c>
      <c r="P137" s="3" t="s">
        <v>79</v>
      </c>
      <c r="R137" s="3" t="s">
        <v>59</v>
      </c>
      <c r="S137" s="4">
        <v>2</v>
      </c>
      <c r="T137" s="4">
        <v>2</v>
      </c>
      <c r="U137" s="5" t="s">
        <v>966</v>
      </c>
      <c r="V137" s="5" t="s">
        <v>966</v>
      </c>
      <c r="W137" s="5" t="s">
        <v>485</v>
      </c>
      <c r="X137" s="5" t="s">
        <v>485</v>
      </c>
      <c r="Y137" s="4">
        <v>345</v>
      </c>
      <c r="Z137" s="4">
        <v>302</v>
      </c>
      <c r="AA137" s="4">
        <v>306</v>
      </c>
      <c r="AB137" s="4">
        <v>1</v>
      </c>
      <c r="AC137" s="4">
        <v>1</v>
      </c>
      <c r="AD137" s="4">
        <v>20</v>
      </c>
      <c r="AE137" s="4">
        <v>20</v>
      </c>
      <c r="AF137" s="4">
        <v>5</v>
      </c>
      <c r="AG137" s="4">
        <v>5</v>
      </c>
      <c r="AH137" s="4">
        <v>4</v>
      </c>
      <c r="AI137" s="4">
        <v>4</v>
      </c>
      <c r="AJ137" s="4">
        <v>9</v>
      </c>
      <c r="AK137" s="4">
        <v>9</v>
      </c>
      <c r="AL137" s="4">
        <v>0</v>
      </c>
      <c r="AM137" s="4">
        <v>0</v>
      </c>
      <c r="AN137" s="4">
        <v>5</v>
      </c>
      <c r="AO137" s="4">
        <v>5</v>
      </c>
      <c r="AP137" s="3" t="s">
        <v>51</v>
      </c>
      <c r="AQ137" s="3" t="s">
        <v>51</v>
      </c>
      <c r="AS137" s="6" t="str">
        <f>HYPERLINK("https://creighton-primo.hosted.exlibrisgroup.com/primo-explore/search?tab=default_tab&amp;search_scope=EVERYTHING&amp;vid=01CRU&amp;lang=en_US&amp;offset=0&amp;query=any,contains,991004858809702656","Catalog Record")</f>
        <v>Catalog Record</v>
      </c>
      <c r="AT137" s="6" t="str">
        <f>HYPERLINK("http://www.worldcat.org/oclc/5677927","WorldCat Record")</f>
        <v>WorldCat Record</v>
      </c>
    </row>
    <row r="138" spans="1:46" ht="41.25" customHeight="1" x14ac:dyDescent="0.25">
      <c r="A138" s="8" t="s">
        <v>51</v>
      </c>
      <c r="B138" s="2" t="s">
        <v>967</v>
      </c>
      <c r="C138" s="2" t="s">
        <v>968</v>
      </c>
      <c r="D138" s="2" t="s">
        <v>969</v>
      </c>
      <c r="F138" s="3" t="s">
        <v>51</v>
      </c>
      <c r="G138" s="3" t="s">
        <v>50</v>
      </c>
      <c r="H138" s="3" t="s">
        <v>49</v>
      </c>
      <c r="I138" s="3" t="s">
        <v>51</v>
      </c>
      <c r="J138" s="3" t="s">
        <v>52</v>
      </c>
      <c r="K138" s="2" t="s">
        <v>970</v>
      </c>
      <c r="L138" s="2" t="s">
        <v>971</v>
      </c>
      <c r="M138" s="3" t="s">
        <v>498</v>
      </c>
      <c r="O138" s="3" t="s">
        <v>56</v>
      </c>
      <c r="P138" s="3" t="s">
        <v>87</v>
      </c>
      <c r="R138" s="3" t="s">
        <v>59</v>
      </c>
      <c r="S138" s="4">
        <v>16</v>
      </c>
      <c r="T138" s="4">
        <v>16</v>
      </c>
      <c r="U138" s="5" t="s">
        <v>972</v>
      </c>
      <c r="V138" s="5" t="s">
        <v>972</v>
      </c>
      <c r="W138" s="5" t="s">
        <v>973</v>
      </c>
      <c r="X138" s="5" t="s">
        <v>973</v>
      </c>
      <c r="Y138" s="4">
        <v>574</v>
      </c>
      <c r="Z138" s="4">
        <v>486</v>
      </c>
      <c r="AA138" s="4">
        <v>823</v>
      </c>
      <c r="AB138" s="4">
        <v>3</v>
      </c>
      <c r="AC138" s="4">
        <v>7</v>
      </c>
      <c r="AD138" s="4">
        <v>34</v>
      </c>
      <c r="AE138" s="4">
        <v>49</v>
      </c>
      <c r="AF138" s="4">
        <v>9</v>
      </c>
      <c r="AG138" s="4">
        <v>15</v>
      </c>
      <c r="AH138" s="4">
        <v>5</v>
      </c>
      <c r="AI138" s="4">
        <v>9</v>
      </c>
      <c r="AJ138" s="4">
        <v>15</v>
      </c>
      <c r="AK138" s="4">
        <v>17</v>
      </c>
      <c r="AL138" s="4">
        <v>0</v>
      </c>
      <c r="AM138" s="4">
        <v>4</v>
      </c>
      <c r="AN138" s="4">
        <v>11</v>
      </c>
      <c r="AO138" s="4">
        <v>12</v>
      </c>
      <c r="AP138" s="3" t="s">
        <v>51</v>
      </c>
      <c r="AQ138" s="3" t="s">
        <v>51</v>
      </c>
      <c r="AS138" s="6" t="str">
        <f>HYPERLINK("https://creighton-primo.hosted.exlibrisgroup.com/primo-explore/search?tab=default_tab&amp;search_scope=EVERYTHING&amp;vid=01CRU&amp;lang=en_US&amp;offset=0&amp;query=any,contains,991001673689702656","Catalog Record")</f>
        <v>Catalog Record</v>
      </c>
      <c r="AT138" s="6" t="str">
        <f>HYPERLINK("http://www.worldcat.org/oclc/35758149","WorldCat Record")</f>
        <v>WorldCat Record</v>
      </c>
    </row>
    <row r="139" spans="1:46" ht="41.25" customHeight="1" x14ac:dyDescent="0.25">
      <c r="A139" s="8" t="s">
        <v>51</v>
      </c>
      <c r="B139" s="2" t="s">
        <v>974</v>
      </c>
      <c r="C139" s="2" t="s">
        <v>975</v>
      </c>
      <c r="D139" s="2" t="s">
        <v>976</v>
      </c>
      <c r="F139" s="3" t="s">
        <v>51</v>
      </c>
      <c r="G139" s="3" t="s">
        <v>50</v>
      </c>
      <c r="H139" s="3" t="s">
        <v>51</v>
      </c>
      <c r="I139" s="3" t="s">
        <v>51</v>
      </c>
      <c r="J139" s="3" t="s">
        <v>52</v>
      </c>
      <c r="K139" s="2" t="s">
        <v>977</v>
      </c>
      <c r="L139" s="2" t="s">
        <v>978</v>
      </c>
      <c r="M139" s="3" t="s">
        <v>979</v>
      </c>
      <c r="O139" s="3" t="s">
        <v>56</v>
      </c>
      <c r="P139" s="3" t="s">
        <v>69</v>
      </c>
      <c r="R139" s="3" t="s">
        <v>59</v>
      </c>
      <c r="S139" s="4">
        <v>10</v>
      </c>
      <c r="T139" s="4">
        <v>10</v>
      </c>
      <c r="U139" s="5" t="s">
        <v>980</v>
      </c>
      <c r="V139" s="5" t="s">
        <v>980</v>
      </c>
      <c r="W139" s="5" t="s">
        <v>981</v>
      </c>
      <c r="X139" s="5" t="s">
        <v>981</v>
      </c>
      <c r="Y139" s="4">
        <v>474</v>
      </c>
      <c r="Z139" s="4">
        <v>404</v>
      </c>
      <c r="AA139" s="4">
        <v>411</v>
      </c>
      <c r="AB139" s="4">
        <v>4</v>
      </c>
      <c r="AC139" s="4">
        <v>4</v>
      </c>
      <c r="AD139" s="4">
        <v>26</v>
      </c>
      <c r="AE139" s="4">
        <v>26</v>
      </c>
      <c r="AF139" s="4">
        <v>12</v>
      </c>
      <c r="AG139" s="4">
        <v>12</v>
      </c>
      <c r="AH139" s="4">
        <v>4</v>
      </c>
      <c r="AI139" s="4">
        <v>4</v>
      </c>
      <c r="AJ139" s="4">
        <v>14</v>
      </c>
      <c r="AK139" s="4">
        <v>14</v>
      </c>
      <c r="AL139" s="4">
        <v>3</v>
      </c>
      <c r="AM139" s="4">
        <v>3</v>
      </c>
      <c r="AN139" s="4">
        <v>1</v>
      </c>
      <c r="AO139" s="4">
        <v>1</v>
      </c>
      <c r="AP139" s="3" t="s">
        <v>51</v>
      </c>
      <c r="AQ139" s="3" t="s">
        <v>49</v>
      </c>
      <c r="AR139" s="6" t="str">
        <f>HYPERLINK("http://catalog.hathitrust.org/Record/004379792","HathiTrust Record")</f>
        <v>HathiTrust Record</v>
      </c>
      <c r="AS139" s="6" t="str">
        <f>HYPERLINK("https://creighton-primo.hosted.exlibrisgroup.com/primo-explore/search?tab=default_tab&amp;search_scope=EVERYTHING&amp;vid=01CRU&amp;lang=en_US&amp;offset=0&amp;query=any,contains,991004845219702656","Catalog Record")</f>
        <v>Catalog Record</v>
      </c>
      <c r="AT139" s="6" t="str">
        <f>HYPERLINK("http://www.worldcat.org/oclc/52595487","WorldCat Record")</f>
        <v>WorldCat Record</v>
      </c>
    </row>
    <row r="140" spans="1:46" ht="41.25" customHeight="1" x14ac:dyDescent="0.25">
      <c r="A140" s="8" t="s">
        <v>51</v>
      </c>
      <c r="B140" s="2" t="s">
        <v>982</v>
      </c>
      <c r="C140" s="2" t="s">
        <v>983</v>
      </c>
      <c r="D140" s="2" t="s">
        <v>984</v>
      </c>
      <c r="F140" s="3" t="s">
        <v>51</v>
      </c>
      <c r="G140" s="3" t="s">
        <v>50</v>
      </c>
      <c r="H140" s="3" t="s">
        <v>49</v>
      </c>
      <c r="I140" s="3" t="s">
        <v>51</v>
      </c>
      <c r="J140" s="3" t="s">
        <v>52</v>
      </c>
      <c r="K140" s="2" t="s">
        <v>985</v>
      </c>
      <c r="L140" s="2" t="s">
        <v>986</v>
      </c>
      <c r="M140" s="3" t="s">
        <v>154</v>
      </c>
      <c r="O140" s="3" t="s">
        <v>56</v>
      </c>
      <c r="P140" s="3" t="s">
        <v>87</v>
      </c>
      <c r="R140" s="3" t="s">
        <v>59</v>
      </c>
      <c r="S140" s="4">
        <v>2</v>
      </c>
      <c r="T140" s="4">
        <v>8</v>
      </c>
      <c r="U140" s="5" t="s">
        <v>139</v>
      </c>
      <c r="V140" s="5" t="s">
        <v>139</v>
      </c>
      <c r="W140" s="5" t="s">
        <v>485</v>
      </c>
      <c r="X140" s="5" t="s">
        <v>485</v>
      </c>
      <c r="Y140" s="4">
        <v>473</v>
      </c>
      <c r="Z140" s="4">
        <v>434</v>
      </c>
      <c r="AA140" s="4">
        <v>619</v>
      </c>
      <c r="AB140" s="4">
        <v>2</v>
      </c>
      <c r="AC140" s="4">
        <v>2</v>
      </c>
      <c r="AD140" s="4">
        <v>13</v>
      </c>
      <c r="AE140" s="4">
        <v>24</v>
      </c>
      <c r="AF140" s="4">
        <v>7</v>
      </c>
      <c r="AG140" s="4">
        <v>9</v>
      </c>
      <c r="AH140" s="4">
        <v>2</v>
      </c>
      <c r="AI140" s="4">
        <v>5</v>
      </c>
      <c r="AJ140" s="4">
        <v>10</v>
      </c>
      <c r="AK140" s="4">
        <v>14</v>
      </c>
      <c r="AL140" s="4">
        <v>0</v>
      </c>
      <c r="AM140" s="4">
        <v>0</v>
      </c>
      <c r="AN140" s="4">
        <v>0</v>
      </c>
      <c r="AO140" s="4">
        <v>4</v>
      </c>
      <c r="AP140" s="3" t="s">
        <v>51</v>
      </c>
      <c r="AQ140" s="3" t="s">
        <v>49</v>
      </c>
      <c r="AR140" s="6" t="str">
        <f>HYPERLINK("http://catalog.hathitrust.org/Record/000270643","HathiTrust Record")</f>
        <v>HathiTrust Record</v>
      </c>
      <c r="AS140" s="6" t="str">
        <f>HYPERLINK("https://creighton-primo.hosted.exlibrisgroup.com/primo-explore/search?tab=default_tab&amp;search_scope=EVERYTHING&amp;vid=01CRU&amp;lang=en_US&amp;offset=0&amp;query=any,contains,991001789369702656","Catalog Record")</f>
        <v>Catalog Record</v>
      </c>
      <c r="AT140" s="6" t="str">
        <f>HYPERLINK("http://www.worldcat.org/oclc/8306792","WorldCat Record")</f>
        <v>WorldCat Record</v>
      </c>
    </row>
    <row r="141" spans="1:46" ht="41.25" customHeight="1" x14ac:dyDescent="0.25">
      <c r="A141" s="8" t="s">
        <v>51</v>
      </c>
      <c r="B141" s="2" t="s">
        <v>987</v>
      </c>
      <c r="C141" s="2" t="s">
        <v>988</v>
      </c>
      <c r="D141" s="2" t="s">
        <v>989</v>
      </c>
      <c r="F141" s="3" t="s">
        <v>51</v>
      </c>
      <c r="G141" s="3" t="s">
        <v>50</v>
      </c>
      <c r="H141" s="3" t="s">
        <v>49</v>
      </c>
      <c r="I141" s="3" t="s">
        <v>51</v>
      </c>
      <c r="J141" s="3" t="s">
        <v>52</v>
      </c>
      <c r="K141" s="2" t="s">
        <v>990</v>
      </c>
      <c r="L141" s="2" t="s">
        <v>991</v>
      </c>
      <c r="M141" s="3" t="s">
        <v>201</v>
      </c>
      <c r="O141" s="3" t="s">
        <v>56</v>
      </c>
      <c r="P141" s="3" t="s">
        <v>992</v>
      </c>
      <c r="R141" s="3" t="s">
        <v>59</v>
      </c>
      <c r="S141" s="4">
        <v>20</v>
      </c>
      <c r="T141" s="4">
        <v>33</v>
      </c>
      <c r="U141" s="5" t="s">
        <v>993</v>
      </c>
      <c r="V141" s="5" t="s">
        <v>993</v>
      </c>
      <c r="W141" s="5" t="s">
        <v>994</v>
      </c>
      <c r="X141" s="5" t="s">
        <v>994</v>
      </c>
      <c r="Y141" s="4">
        <v>471</v>
      </c>
      <c r="Z141" s="4">
        <v>410</v>
      </c>
      <c r="AA141" s="4">
        <v>467</v>
      </c>
      <c r="AB141" s="4">
        <v>5</v>
      </c>
      <c r="AC141" s="4">
        <v>5</v>
      </c>
      <c r="AD141" s="4">
        <v>26</v>
      </c>
      <c r="AE141" s="4">
        <v>29</v>
      </c>
      <c r="AF141" s="4">
        <v>7</v>
      </c>
      <c r="AG141" s="4">
        <v>8</v>
      </c>
      <c r="AH141" s="4">
        <v>7</v>
      </c>
      <c r="AI141" s="4">
        <v>8</v>
      </c>
      <c r="AJ141" s="4">
        <v>18</v>
      </c>
      <c r="AK141" s="4">
        <v>20</v>
      </c>
      <c r="AL141" s="4">
        <v>1</v>
      </c>
      <c r="AM141" s="4">
        <v>1</v>
      </c>
      <c r="AN141" s="4">
        <v>1</v>
      </c>
      <c r="AO141" s="4">
        <v>1</v>
      </c>
      <c r="AP141" s="3" t="s">
        <v>51</v>
      </c>
      <c r="AQ141" s="3" t="s">
        <v>51</v>
      </c>
      <c r="AS141" s="6" t="str">
        <f>HYPERLINK("https://creighton-primo.hosted.exlibrisgroup.com/primo-explore/search?tab=default_tab&amp;search_scope=EVERYTHING&amp;vid=01CRU&amp;lang=en_US&amp;offset=0&amp;query=any,contains,991001789509702656","Catalog Record")</f>
        <v>Catalog Record</v>
      </c>
      <c r="AT141" s="6" t="str">
        <f>HYPERLINK("http://www.worldcat.org/oclc/524317","WorldCat Record")</f>
        <v>WorldCat Record</v>
      </c>
    </row>
    <row r="142" spans="1:46" ht="41.25" customHeight="1" x14ac:dyDescent="0.25">
      <c r="A142" s="8" t="s">
        <v>51</v>
      </c>
      <c r="B142" s="2" t="s">
        <v>995</v>
      </c>
      <c r="C142" s="2" t="s">
        <v>996</v>
      </c>
      <c r="D142" s="2" t="s">
        <v>997</v>
      </c>
      <c r="F142" s="3" t="s">
        <v>51</v>
      </c>
      <c r="G142" s="3" t="s">
        <v>50</v>
      </c>
      <c r="H142" s="3" t="s">
        <v>51</v>
      </c>
      <c r="I142" s="3" t="s">
        <v>51</v>
      </c>
      <c r="J142" s="3" t="s">
        <v>52</v>
      </c>
      <c r="K142" s="2" t="s">
        <v>998</v>
      </c>
      <c r="L142" s="2" t="s">
        <v>999</v>
      </c>
      <c r="M142" s="3" t="s">
        <v>186</v>
      </c>
      <c r="O142" s="3" t="s">
        <v>56</v>
      </c>
      <c r="P142" s="3" t="s">
        <v>578</v>
      </c>
      <c r="R142" s="3" t="s">
        <v>59</v>
      </c>
      <c r="S142" s="4">
        <v>15</v>
      </c>
      <c r="T142" s="4">
        <v>15</v>
      </c>
      <c r="U142" s="5" t="s">
        <v>1000</v>
      </c>
      <c r="V142" s="5" t="s">
        <v>1000</v>
      </c>
      <c r="W142" s="5" t="s">
        <v>1001</v>
      </c>
      <c r="X142" s="5" t="s">
        <v>1001</v>
      </c>
      <c r="Y142" s="4">
        <v>883</v>
      </c>
      <c r="Z142" s="4">
        <v>777</v>
      </c>
      <c r="AA142" s="4">
        <v>780</v>
      </c>
      <c r="AB142" s="4">
        <v>2</v>
      </c>
      <c r="AC142" s="4">
        <v>2</v>
      </c>
      <c r="AD142" s="4">
        <v>35</v>
      </c>
      <c r="AE142" s="4">
        <v>35</v>
      </c>
      <c r="AF142" s="4">
        <v>9</v>
      </c>
      <c r="AG142" s="4">
        <v>9</v>
      </c>
      <c r="AH142" s="4">
        <v>8</v>
      </c>
      <c r="AI142" s="4">
        <v>8</v>
      </c>
      <c r="AJ142" s="4">
        <v>16</v>
      </c>
      <c r="AK142" s="4">
        <v>16</v>
      </c>
      <c r="AL142" s="4">
        <v>1</v>
      </c>
      <c r="AM142" s="4">
        <v>1</v>
      </c>
      <c r="AN142" s="4">
        <v>9</v>
      </c>
      <c r="AO142" s="4">
        <v>9</v>
      </c>
      <c r="AP142" s="3" t="s">
        <v>51</v>
      </c>
      <c r="AQ142" s="3" t="s">
        <v>51</v>
      </c>
      <c r="AS142" s="6" t="str">
        <f>HYPERLINK("https://creighton-primo.hosted.exlibrisgroup.com/primo-explore/search?tab=default_tab&amp;search_scope=EVERYTHING&amp;vid=01CRU&amp;lang=en_US&amp;offset=0&amp;query=any,contains,991000047849702656","Catalog Record")</f>
        <v>Catalog Record</v>
      </c>
      <c r="AT142" s="6" t="str">
        <f>HYPERLINK("http://www.worldcat.org/oclc/8670168","WorldCat Record")</f>
        <v>WorldCat Record</v>
      </c>
    </row>
    <row r="143" spans="1:46" ht="41.25" customHeight="1" x14ac:dyDescent="0.25">
      <c r="A143" s="8" t="s">
        <v>51</v>
      </c>
      <c r="B143" s="2" t="s">
        <v>1002</v>
      </c>
      <c r="C143" s="2" t="s">
        <v>1003</v>
      </c>
      <c r="D143" s="2" t="s">
        <v>1004</v>
      </c>
      <c r="F143" s="3" t="s">
        <v>51</v>
      </c>
      <c r="G143" s="3" t="s">
        <v>50</v>
      </c>
      <c r="H143" s="3" t="s">
        <v>51</v>
      </c>
      <c r="I143" s="3" t="s">
        <v>51</v>
      </c>
      <c r="J143" s="3" t="s">
        <v>52</v>
      </c>
      <c r="L143" s="2" t="s">
        <v>1005</v>
      </c>
      <c r="M143" s="3" t="s">
        <v>146</v>
      </c>
      <c r="O143" s="3" t="s">
        <v>56</v>
      </c>
      <c r="P143" s="3" t="s">
        <v>229</v>
      </c>
      <c r="R143" s="3" t="s">
        <v>59</v>
      </c>
      <c r="S143" s="4">
        <v>29</v>
      </c>
      <c r="T143" s="4">
        <v>29</v>
      </c>
      <c r="U143" s="5" t="s">
        <v>873</v>
      </c>
      <c r="V143" s="5" t="s">
        <v>873</v>
      </c>
      <c r="W143" s="5" t="s">
        <v>1006</v>
      </c>
      <c r="X143" s="5" t="s">
        <v>1006</v>
      </c>
      <c r="Y143" s="4">
        <v>438</v>
      </c>
      <c r="Z143" s="4">
        <v>392</v>
      </c>
      <c r="AA143" s="4">
        <v>396</v>
      </c>
      <c r="AB143" s="4">
        <v>2</v>
      </c>
      <c r="AC143" s="4">
        <v>2</v>
      </c>
      <c r="AD143" s="4">
        <v>20</v>
      </c>
      <c r="AE143" s="4">
        <v>21</v>
      </c>
      <c r="AF143" s="4">
        <v>3</v>
      </c>
      <c r="AG143" s="4">
        <v>4</v>
      </c>
      <c r="AH143" s="4">
        <v>3</v>
      </c>
      <c r="AI143" s="4">
        <v>3</v>
      </c>
      <c r="AJ143" s="4">
        <v>9</v>
      </c>
      <c r="AK143" s="4">
        <v>10</v>
      </c>
      <c r="AL143" s="4">
        <v>1</v>
      </c>
      <c r="AM143" s="4">
        <v>1</v>
      </c>
      <c r="AN143" s="4">
        <v>8</v>
      </c>
      <c r="AO143" s="4">
        <v>8</v>
      </c>
      <c r="AP143" s="3" t="s">
        <v>51</v>
      </c>
      <c r="AQ143" s="3" t="s">
        <v>51</v>
      </c>
      <c r="AS143" s="6" t="str">
        <f>HYPERLINK("https://creighton-primo.hosted.exlibrisgroup.com/primo-explore/search?tab=default_tab&amp;search_scope=EVERYTHING&amp;vid=01CRU&amp;lang=en_US&amp;offset=0&amp;query=any,contains,991000708319702656","Catalog Record")</f>
        <v>Catalog Record</v>
      </c>
      <c r="AT143" s="6" t="str">
        <f>HYPERLINK("http://www.worldcat.org/oclc/12558701","WorldCat Record")</f>
        <v>WorldCat Record</v>
      </c>
    </row>
    <row r="144" spans="1:46" ht="41.25" customHeight="1" x14ac:dyDescent="0.25">
      <c r="A144" s="8" t="s">
        <v>51</v>
      </c>
      <c r="B144" s="2" t="s">
        <v>1007</v>
      </c>
      <c r="C144" s="2" t="s">
        <v>1008</v>
      </c>
      <c r="D144" s="2" t="s">
        <v>1009</v>
      </c>
      <c r="F144" s="3" t="s">
        <v>51</v>
      </c>
      <c r="G144" s="3" t="s">
        <v>50</v>
      </c>
      <c r="H144" s="3" t="s">
        <v>51</v>
      </c>
      <c r="I144" s="3" t="s">
        <v>51</v>
      </c>
      <c r="J144" s="3" t="s">
        <v>52</v>
      </c>
      <c r="K144" s="2" t="s">
        <v>1010</v>
      </c>
      <c r="L144" s="2" t="s">
        <v>1011</v>
      </c>
      <c r="M144" s="3" t="s">
        <v>253</v>
      </c>
      <c r="O144" s="3" t="s">
        <v>56</v>
      </c>
      <c r="P144" s="3" t="s">
        <v>69</v>
      </c>
      <c r="R144" s="3" t="s">
        <v>59</v>
      </c>
      <c r="S144" s="4">
        <v>1</v>
      </c>
      <c r="T144" s="4">
        <v>1</v>
      </c>
      <c r="U144" s="5" t="s">
        <v>1012</v>
      </c>
      <c r="V144" s="5" t="s">
        <v>1012</v>
      </c>
      <c r="W144" s="5" t="s">
        <v>1012</v>
      </c>
      <c r="X144" s="5" t="s">
        <v>1012</v>
      </c>
      <c r="Y144" s="4">
        <v>248</v>
      </c>
      <c r="Z144" s="4">
        <v>227</v>
      </c>
      <c r="AA144" s="4">
        <v>249</v>
      </c>
      <c r="AB144" s="4">
        <v>1</v>
      </c>
      <c r="AC144" s="4">
        <v>1</v>
      </c>
      <c r="AD144" s="4">
        <v>17</v>
      </c>
      <c r="AE144" s="4">
        <v>19</v>
      </c>
      <c r="AF144" s="4">
        <v>8</v>
      </c>
      <c r="AG144" s="4">
        <v>9</v>
      </c>
      <c r="AH144" s="4">
        <v>3</v>
      </c>
      <c r="AI144" s="4">
        <v>4</v>
      </c>
      <c r="AJ144" s="4">
        <v>11</v>
      </c>
      <c r="AK144" s="4">
        <v>11</v>
      </c>
      <c r="AL144" s="4">
        <v>0</v>
      </c>
      <c r="AM144" s="4">
        <v>0</v>
      </c>
      <c r="AN144" s="4">
        <v>0</v>
      </c>
      <c r="AO144" s="4">
        <v>1</v>
      </c>
      <c r="AP144" s="3" t="s">
        <v>51</v>
      </c>
      <c r="AQ144" s="3" t="s">
        <v>49</v>
      </c>
      <c r="AR144" s="6" t="str">
        <f>HYPERLINK("http://catalog.hathitrust.org/Record/004597941","HathiTrust Record")</f>
        <v>HathiTrust Record</v>
      </c>
      <c r="AS144" s="6" t="str">
        <f>HYPERLINK("https://creighton-primo.hosted.exlibrisgroup.com/primo-explore/search?tab=default_tab&amp;search_scope=EVERYTHING&amp;vid=01CRU&amp;lang=en_US&amp;offset=0&amp;query=any,contains,991004169989702656","Catalog Record")</f>
        <v>Catalog Record</v>
      </c>
      <c r="AT144" s="6" t="str">
        <f>HYPERLINK("http://www.worldcat.org/oclc/45668847","WorldCat Record")</f>
        <v>WorldCat Record</v>
      </c>
    </row>
    <row r="145" spans="1:46" ht="41.25" customHeight="1" x14ac:dyDescent="0.25">
      <c r="A145" s="8" t="s">
        <v>51</v>
      </c>
      <c r="B145" s="2" t="s">
        <v>1013</v>
      </c>
      <c r="C145" s="2" t="s">
        <v>1014</v>
      </c>
      <c r="D145" s="2" t="s">
        <v>1015</v>
      </c>
      <c r="F145" s="3" t="s">
        <v>51</v>
      </c>
      <c r="G145" s="3" t="s">
        <v>50</v>
      </c>
      <c r="H145" s="3" t="s">
        <v>51</v>
      </c>
      <c r="I145" s="3" t="s">
        <v>51</v>
      </c>
      <c r="J145" s="3" t="s">
        <v>52</v>
      </c>
      <c r="L145" s="2" t="s">
        <v>1016</v>
      </c>
      <c r="M145" s="3" t="s">
        <v>103</v>
      </c>
      <c r="O145" s="3" t="s">
        <v>56</v>
      </c>
      <c r="P145" s="3" t="s">
        <v>1017</v>
      </c>
      <c r="R145" s="3" t="s">
        <v>59</v>
      </c>
      <c r="S145" s="4">
        <v>12</v>
      </c>
      <c r="T145" s="4">
        <v>12</v>
      </c>
      <c r="U145" s="5" t="s">
        <v>1018</v>
      </c>
      <c r="V145" s="5" t="s">
        <v>1018</v>
      </c>
      <c r="W145" s="5" t="s">
        <v>1019</v>
      </c>
      <c r="X145" s="5" t="s">
        <v>1019</v>
      </c>
      <c r="Y145" s="4">
        <v>400</v>
      </c>
      <c r="Z145" s="4">
        <v>367</v>
      </c>
      <c r="AA145" s="4">
        <v>375</v>
      </c>
      <c r="AB145" s="4">
        <v>2</v>
      </c>
      <c r="AC145" s="4">
        <v>2</v>
      </c>
      <c r="AD145" s="4">
        <v>22</v>
      </c>
      <c r="AE145" s="4">
        <v>22</v>
      </c>
      <c r="AF145" s="4">
        <v>4</v>
      </c>
      <c r="AG145" s="4">
        <v>4</v>
      </c>
      <c r="AH145" s="4">
        <v>5</v>
      </c>
      <c r="AI145" s="4">
        <v>5</v>
      </c>
      <c r="AJ145" s="4">
        <v>10</v>
      </c>
      <c r="AK145" s="4">
        <v>10</v>
      </c>
      <c r="AL145" s="4">
        <v>0</v>
      </c>
      <c r="AM145" s="4">
        <v>0</v>
      </c>
      <c r="AN145" s="4">
        <v>10</v>
      </c>
      <c r="AO145" s="4">
        <v>10</v>
      </c>
      <c r="AP145" s="3" t="s">
        <v>51</v>
      </c>
      <c r="AQ145" s="3" t="s">
        <v>49</v>
      </c>
      <c r="AR145" s="6" t="str">
        <f>HYPERLINK("http://catalog.hathitrust.org/Record/000336660","HathiTrust Record")</f>
        <v>HathiTrust Record</v>
      </c>
      <c r="AS145" s="6" t="str">
        <f>HYPERLINK("https://creighton-primo.hosted.exlibrisgroup.com/primo-explore/search?tab=default_tab&amp;search_scope=EVERYTHING&amp;vid=01CRU&amp;lang=en_US&amp;offset=0&amp;query=any,contains,991000454449702656","Catalog Record")</f>
        <v>Catalog Record</v>
      </c>
      <c r="AT145" s="6" t="str">
        <f>HYPERLINK("http://www.worldcat.org/oclc/10913297","WorldCat Record")</f>
        <v>WorldCat Record</v>
      </c>
    </row>
    <row r="146" spans="1:46" ht="41.25" customHeight="1" x14ac:dyDescent="0.25">
      <c r="A146" s="8" t="s">
        <v>51</v>
      </c>
      <c r="B146" s="2" t="s">
        <v>1020</v>
      </c>
      <c r="C146" s="2" t="s">
        <v>1021</v>
      </c>
      <c r="D146" s="2" t="s">
        <v>1022</v>
      </c>
      <c r="F146" s="3" t="s">
        <v>51</v>
      </c>
      <c r="G146" s="3" t="s">
        <v>50</v>
      </c>
      <c r="H146" s="3" t="s">
        <v>51</v>
      </c>
      <c r="I146" s="3" t="s">
        <v>51</v>
      </c>
      <c r="J146" s="3" t="s">
        <v>52</v>
      </c>
      <c r="K146" s="2" t="s">
        <v>1023</v>
      </c>
      <c r="L146" s="2" t="s">
        <v>1024</v>
      </c>
      <c r="M146" s="3" t="s">
        <v>858</v>
      </c>
      <c r="O146" s="3" t="s">
        <v>56</v>
      </c>
      <c r="P146" s="3" t="s">
        <v>87</v>
      </c>
      <c r="R146" s="3" t="s">
        <v>59</v>
      </c>
      <c r="S146" s="4">
        <v>11</v>
      </c>
      <c r="T146" s="4">
        <v>11</v>
      </c>
      <c r="U146" s="5" t="s">
        <v>1025</v>
      </c>
      <c r="V146" s="5" t="s">
        <v>1025</v>
      </c>
      <c r="W146" s="5" t="s">
        <v>1026</v>
      </c>
      <c r="X146" s="5" t="s">
        <v>1026</v>
      </c>
      <c r="Y146" s="4">
        <v>501</v>
      </c>
      <c r="Z146" s="4">
        <v>395</v>
      </c>
      <c r="AA146" s="4">
        <v>985</v>
      </c>
      <c r="AB146" s="4">
        <v>3</v>
      </c>
      <c r="AC146" s="4">
        <v>10</v>
      </c>
      <c r="AD146" s="4">
        <v>34</v>
      </c>
      <c r="AE146" s="4">
        <v>52</v>
      </c>
      <c r="AF146" s="4">
        <v>10</v>
      </c>
      <c r="AG146" s="4">
        <v>17</v>
      </c>
      <c r="AH146" s="4">
        <v>8</v>
      </c>
      <c r="AI146" s="4">
        <v>10</v>
      </c>
      <c r="AJ146" s="4">
        <v>18</v>
      </c>
      <c r="AK146" s="4">
        <v>20</v>
      </c>
      <c r="AL146" s="4">
        <v>1</v>
      </c>
      <c r="AM146" s="4">
        <v>8</v>
      </c>
      <c r="AN146" s="4">
        <v>5</v>
      </c>
      <c r="AO146" s="4">
        <v>6</v>
      </c>
      <c r="AP146" s="3" t="s">
        <v>51</v>
      </c>
      <c r="AQ146" s="3" t="s">
        <v>49</v>
      </c>
      <c r="AR146" s="6" t="str">
        <f>HYPERLINK("http://catalog.hathitrust.org/Record/003269862","HathiTrust Record")</f>
        <v>HathiTrust Record</v>
      </c>
      <c r="AS146" s="6" t="str">
        <f>HYPERLINK("https://creighton-primo.hosted.exlibrisgroup.com/primo-explore/search?tab=default_tab&amp;search_scope=EVERYTHING&amp;vid=01CRU&amp;lang=en_US&amp;offset=0&amp;query=any,contains,991001692799702656","Catalog Record")</f>
        <v>Catalog Record</v>
      </c>
      <c r="AT146" s="6" t="str">
        <f>HYPERLINK("http://www.worldcat.org/oclc/37801388","WorldCat Record")</f>
        <v>WorldCat Record</v>
      </c>
    </row>
    <row r="147" spans="1:46" ht="41.25" customHeight="1" x14ac:dyDescent="0.25">
      <c r="A147" s="8" t="s">
        <v>51</v>
      </c>
      <c r="B147" s="2" t="s">
        <v>1027</v>
      </c>
      <c r="C147" s="2" t="s">
        <v>1028</v>
      </c>
      <c r="D147" s="2" t="s">
        <v>1029</v>
      </c>
      <c r="F147" s="3" t="s">
        <v>51</v>
      </c>
      <c r="G147" s="3" t="s">
        <v>50</v>
      </c>
      <c r="H147" s="3" t="s">
        <v>49</v>
      </c>
      <c r="I147" s="3" t="s">
        <v>51</v>
      </c>
      <c r="J147" s="3" t="s">
        <v>52</v>
      </c>
      <c r="K147" s="2" t="s">
        <v>1030</v>
      </c>
      <c r="L147" s="2" t="s">
        <v>1031</v>
      </c>
      <c r="M147" s="3" t="s">
        <v>1032</v>
      </c>
      <c r="O147" s="3" t="s">
        <v>56</v>
      </c>
      <c r="P147" s="3" t="s">
        <v>69</v>
      </c>
      <c r="R147" s="3" t="s">
        <v>59</v>
      </c>
      <c r="S147" s="4">
        <v>0</v>
      </c>
      <c r="T147" s="4">
        <v>5</v>
      </c>
      <c r="V147" s="5" t="s">
        <v>1033</v>
      </c>
      <c r="W147" s="5" t="s">
        <v>239</v>
      </c>
      <c r="X147" s="5" t="s">
        <v>239</v>
      </c>
      <c r="Y147" s="4">
        <v>131</v>
      </c>
      <c r="Z147" s="4">
        <v>114</v>
      </c>
      <c r="AA147" s="4">
        <v>363</v>
      </c>
      <c r="AB147" s="4">
        <v>2</v>
      </c>
      <c r="AC147" s="4">
        <v>6</v>
      </c>
      <c r="AD147" s="4">
        <v>17</v>
      </c>
      <c r="AE147" s="4">
        <v>35</v>
      </c>
      <c r="AF147" s="4">
        <v>5</v>
      </c>
      <c r="AG147" s="4">
        <v>10</v>
      </c>
      <c r="AH147" s="4">
        <v>3</v>
      </c>
      <c r="AI147" s="4">
        <v>7</v>
      </c>
      <c r="AJ147" s="4">
        <v>15</v>
      </c>
      <c r="AK147" s="4">
        <v>18</v>
      </c>
      <c r="AL147" s="4">
        <v>0</v>
      </c>
      <c r="AM147" s="4">
        <v>2</v>
      </c>
      <c r="AN147" s="4">
        <v>0</v>
      </c>
      <c r="AO147" s="4">
        <v>7</v>
      </c>
      <c r="AP147" s="3" t="s">
        <v>49</v>
      </c>
      <c r="AQ147" s="3" t="s">
        <v>51</v>
      </c>
      <c r="AR147" s="6" t="str">
        <f>HYPERLINK("http://catalog.hathitrust.org/Record/102256773","HathiTrust Record")</f>
        <v>HathiTrust Record</v>
      </c>
      <c r="AS147" s="6" t="str">
        <f>HYPERLINK("https://creighton-primo.hosted.exlibrisgroup.com/primo-explore/search?tab=default_tab&amp;search_scope=EVERYTHING&amp;vid=01CRU&amp;lang=en_US&amp;offset=0&amp;query=any,contains,991001792199702656","Catalog Record")</f>
        <v>Catalog Record</v>
      </c>
      <c r="AT147" s="6" t="str">
        <f>HYPERLINK("http://www.worldcat.org/oclc/368281","WorldCat Record")</f>
        <v>WorldCat Record</v>
      </c>
    </row>
    <row r="148" spans="1:46" ht="41.25" customHeight="1" x14ac:dyDescent="0.25">
      <c r="A148" s="8" t="s">
        <v>51</v>
      </c>
      <c r="B148" s="2" t="s">
        <v>1034</v>
      </c>
      <c r="C148" s="2" t="s">
        <v>1035</v>
      </c>
      <c r="D148" s="2" t="s">
        <v>1036</v>
      </c>
      <c r="F148" s="3" t="s">
        <v>51</v>
      </c>
      <c r="G148" s="3" t="s">
        <v>50</v>
      </c>
      <c r="H148" s="3" t="s">
        <v>51</v>
      </c>
      <c r="I148" s="3" t="s">
        <v>51</v>
      </c>
      <c r="J148" s="3" t="s">
        <v>52</v>
      </c>
      <c r="K148" s="2" t="s">
        <v>1037</v>
      </c>
      <c r="L148" s="2" t="s">
        <v>1038</v>
      </c>
      <c r="M148" s="3" t="s">
        <v>146</v>
      </c>
      <c r="O148" s="3" t="s">
        <v>56</v>
      </c>
      <c r="P148" s="3" t="s">
        <v>113</v>
      </c>
      <c r="R148" s="3" t="s">
        <v>59</v>
      </c>
      <c r="S148" s="4">
        <v>15</v>
      </c>
      <c r="T148" s="4">
        <v>15</v>
      </c>
      <c r="U148" s="5" t="s">
        <v>1039</v>
      </c>
      <c r="V148" s="5" t="s">
        <v>1039</v>
      </c>
      <c r="W148" s="5" t="s">
        <v>412</v>
      </c>
      <c r="X148" s="5" t="s">
        <v>412</v>
      </c>
      <c r="Y148" s="4">
        <v>487</v>
      </c>
      <c r="Z148" s="4">
        <v>343</v>
      </c>
      <c r="AA148" s="4">
        <v>346</v>
      </c>
      <c r="AB148" s="4">
        <v>3</v>
      </c>
      <c r="AC148" s="4">
        <v>3</v>
      </c>
      <c r="AD148" s="4">
        <v>20</v>
      </c>
      <c r="AE148" s="4">
        <v>20</v>
      </c>
      <c r="AF148" s="4">
        <v>5</v>
      </c>
      <c r="AG148" s="4">
        <v>5</v>
      </c>
      <c r="AH148" s="4">
        <v>5</v>
      </c>
      <c r="AI148" s="4">
        <v>5</v>
      </c>
      <c r="AJ148" s="4">
        <v>11</v>
      </c>
      <c r="AK148" s="4">
        <v>11</v>
      </c>
      <c r="AL148" s="4">
        <v>1</v>
      </c>
      <c r="AM148" s="4">
        <v>1</v>
      </c>
      <c r="AN148" s="4">
        <v>5</v>
      </c>
      <c r="AO148" s="4">
        <v>5</v>
      </c>
      <c r="AP148" s="3" t="s">
        <v>51</v>
      </c>
      <c r="AQ148" s="3" t="s">
        <v>49</v>
      </c>
      <c r="AR148" s="6" t="str">
        <f>HYPERLINK("http://catalog.hathitrust.org/Record/000857911","HathiTrust Record")</f>
        <v>HathiTrust Record</v>
      </c>
      <c r="AS148" s="6" t="str">
        <f>HYPERLINK("https://creighton-primo.hosted.exlibrisgroup.com/primo-explore/search?tab=default_tab&amp;search_scope=EVERYTHING&amp;vid=01CRU&amp;lang=en_US&amp;offset=0&amp;query=any,contains,991001028749702656","Catalog Record")</f>
        <v>Catalog Record</v>
      </c>
      <c r="AT148" s="6" t="str">
        <f>HYPERLINK("http://www.worldcat.org/oclc/15489323","WorldCat Record")</f>
        <v>WorldCat Record</v>
      </c>
    </row>
    <row r="149" spans="1:46" ht="41.25" customHeight="1" x14ac:dyDescent="0.25">
      <c r="A149" s="8" t="s">
        <v>51</v>
      </c>
      <c r="B149" s="2" t="s">
        <v>1040</v>
      </c>
      <c r="C149" s="2" t="s">
        <v>1041</v>
      </c>
      <c r="D149" s="2" t="s">
        <v>1042</v>
      </c>
      <c r="F149" s="3" t="s">
        <v>51</v>
      </c>
      <c r="G149" s="3" t="s">
        <v>50</v>
      </c>
      <c r="H149" s="3" t="s">
        <v>51</v>
      </c>
      <c r="I149" s="3" t="s">
        <v>49</v>
      </c>
      <c r="J149" s="3" t="s">
        <v>52</v>
      </c>
      <c r="K149" s="2" t="s">
        <v>1043</v>
      </c>
      <c r="L149" s="2" t="s">
        <v>1044</v>
      </c>
      <c r="M149" s="3" t="s">
        <v>162</v>
      </c>
      <c r="N149" s="2" t="s">
        <v>1045</v>
      </c>
      <c r="O149" s="3" t="s">
        <v>56</v>
      </c>
      <c r="P149" s="3" t="s">
        <v>653</v>
      </c>
      <c r="R149" s="3" t="s">
        <v>59</v>
      </c>
      <c r="S149" s="4">
        <v>2</v>
      </c>
      <c r="T149" s="4">
        <v>2</v>
      </c>
      <c r="U149" s="5" t="s">
        <v>1046</v>
      </c>
      <c r="V149" s="5" t="s">
        <v>1046</v>
      </c>
      <c r="W149" s="5" t="s">
        <v>1047</v>
      </c>
      <c r="X149" s="5" t="s">
        <v>1047</v>
      </c>
      <c r="Y149" s="4">
        <v>76</v>
      </c>
      <c r="Z149" s="4">
        <v>71</v>
      </c>
      <c r="AA149" s="4">
        <v>622</v>
      </c>
      <c r="AB149" s="4">
        <v>1</v>
      </c>
      <c r="AC149" s="4">
        <v>8</v>
      </c>
      <c r="AD149" s="4">
        <v>6</v>
      </c>
      <c r="AE149" s="4">
        <v>38</v>
      </c>
      <c r="AF149" s="4">
        <v>0</v>
      </c>
      <c r="AG149" s="4">
        <v>9</v>
      </c>
      <c r="AH149" s="4">
        <v>1</v>
      </c>
      <c r="AI149" s="4">
        <v>8</v>
      </c>
      <c r="AJ149" s="4">
        <v>4</v>
      </c>
      <c r="AK149" s="4">
        <v>18</v>
      </c>
      <c r="AL149" s="4">
        <v>0</v>
      </c>
      <c r="AM149" s="4">
        <v>3</v>
      </c>
      <c r="AN149" s="4">
        <v>1</v>
      </c>
      <c r="AO149" s="4">
        <v>7</v>
      </c>
      <c r="AP149" s="3" t="s">
        <v>51</v>
      </c>
      <c r="AQ149" s="3" t="s">
        <v>51</v>
      </c>
      <c r="AS149" s="6" t="str">
        <f>HYPERLINK("https://creighton-primo.hosted.exlibrisgroup.com/primo-explore/search?tab=default_tab&amp;search_scope=EVERYTHING&amp;vid=01CRU&amp;lang=en_US&amp;offset=0&amp;query=any,contains,991004522789702656","Catalog Record")</f>
        <v>Catalog Record</v>
      </c>
      <c r="AT149" s="6" t="str">
        <f>HYPERLINK("http://www.worldcat.org/oclc/3829817","WorldCat Record")</f>
        <v>WorldCat Record</v>
      </c>
    </row>
    <row r="150" spans="1:46" ht="41.25" customHeight="1" x14ac:dyDescent="0.25">
      <c r="A150" s="8" t="s">
        <v>51</v>
      </c>
      <c r="B150" s="2" t="s">
        <v>1048</v>
      </c>
      <c r="C150" s="2" t="s">
        <v>1049</v>
      </c>
      <c r="D150" s="2" t="s">
        <v>1050</v>
      </c>
      <c r="F150" s="3" t="s">
        <v>51</v>
      </c>
      <c r="G150" s="3" t="s">
        <v>1051</v>
      </c>
      <c r="H150" s="3" t="s">
        <v>49</v>
      </c>
      <c r="I150" s="3" t="s">
        <v>49</v>
      </c>
      <c r="J150" s="3" t="s">
        <v>52</v>
      </c>
      <c r="K150" s="2" t="s">
        <v>1043</v>
      </c>
      <c r="L150" s="2" t="s">
        <v>1052</v>
      </c>
      <c r="M150" s="3" t="s">
        <v>1053</v>
      </c>
      <c r="N150" s="2" t="s">
        <v>1054</v>
      </c>
      <c r="O150" s="3" t="s">
        <v>56</v>
      </c>
      <c r="P150" s="3" t="s">
        <v>229</v>
      </c>
      <c r="R150" s="3" t="s">
        <v>59</v>
      </c>
      <c r="S150" s="4">
        <v>4</v>
      </c>
      <c r="T150" s="4">
        <v>9</v>
      </c>
      <c r="U150" s="5" t="s">
        <v>1055</v>
      </c>
      <c r="V150" s="5" t="s">
        <v>1055</v>
      </c>
      <c r="W150" s="5" t="s">
        <v>1056</v>
      </c>
      <c r="X150" s="5" t="s">
        <v>1056</v>
      </c>
      <c r="Y150" s="4">
        <v>336</v>
      </c>
      <c r="Z150" s="4">
        <v>300</v>
      </c>
      <c r="AA150" s="4">
        <v>622</v>
      </c>
      <c r="AB150" s="4">
        <v>4</v>
      </c>
      <c r="AC150" s="4">
        <v>8</v>
      </c>
      <c r="AD150" s="4">
        <v>17</v>
      </c>
      <c r="AE150" s="4">
        <v>38</v>
      </c>
      <c r="AF150" s="4">
        <v>4</v>
      </c>
      <c r="AG150" s="4">
        <v>9</v>
      </c>
      <c r="AH150" s="4">
        <v>4</v>
      </c>
      <c r="AI150" s="4">
        <v>8</v>
      </c>
      <c r="AJ150" s="4">
        <v>12</v>
      </c>
      <c r="AK150" s="4">
        <v>18</v>
      </c>
      <c r="AL150" s="4">
        <v>1</v>
      </c>
      <c r="AM150" s="4">
        <v>3</v>
      </c>
      <c r="AN150" s="4">
        <v>0</v>
      </c>
      <c r="AO150" s="4">
        <v>7</v>
      </c>
      <c r="AP150" s="3" t="s">
        <v>51</v>
      </c>
      <c r="AQ150" s="3" t="s">
        <v>49</v>
      </c>
      <c r="AR150" s="6" t="str">
        <f>HYPERLINK("http://catalog.hathitrust.org/Record/001557837","HathiTrust Record")</f>
        <v>HathiTrust Record</v>
      </c>
      <c r="AS150" s="6" t="str">
        <f>HYPERLINK("https://creighton-primo.hosted.exlibrisgroup.com/primo-explore/search?tab=default_tab&amp;search_scope=EVERYTHING&amp;vid=01CRU&amp;lang=en_US&amp;offset=0&amp;query=any,contains,991001787309702656","Catalog Record")</f>
        <v>Catalog Record</v>
      </c>
      <c r="AT150" s="6" t="str">
        <f>HYPERLINK("http://www.worldcat.org/oclc/618880","WorldCat Record")</f>
        <v>WorldCat Record</v>
      </c>
    </row>
    <row r="151" spans="1:46" ht="41.25" customHeight="1" x14ac:dyDescent="0.25">
      <c r="A151" s="8" t="s">
        <v>51</v>
      </c>
      <c r="B151" s="2" t="s">
        <v>1057</v>
      </c>
      <c r="C151" s="2" t="s">
        <v>1058</v>
      </c>
      <c r="D151" s="2" t="s">
        <v>1059</v>
      </c>
      <c r="F151" s="3" t="s">
        <v>51</v>
      </c>
      <c r="G151" s="3" t="s">
        <v>50</v>
      </c>
      <c r="H151" s="3" t="s">
        <v>51</v>
      </c>
      <c r="I151" s="3" t="s">
        <v>51</v>
      </c>
      <c r="J151" s="3" t="s">
        <v>52</v>
      </c>
      <c r="K151" s="2" t="s">
        <v>1060</v>
      </c>
      <c r="L151" s="2" t="s">
        <v>1061</v>
      </c>
      <c r="M151" s="3" t="s">
        <v>146</v>
      </c>
      <c r="N151" s="2" t="s">
        <v>245</v>
      </c>
      <c r="O151" s="3" t="s">
        <v>56</v>
      </c>
      <c r="P151" s="3" t="s">
        <v>87</v>
      </c>
      <c r="R151" s="3" t="s">
        <v>59</v>
      </c>
      <c r="S151" s="4">
        <v>7</v>
      </c>
      <c r="T151" s="4">
        <v>7</v>
      </c>
      <c r="U151" s="5" t="s">
        <v>1062</v>
      </c>
      <c r="V151" s="5" t="s">
        <v>1062</v>
      </c>
      <c r="W151" s="5" t="s">
        <v>1063</v>
      </c>
      <c r="X151" s="5" t="s">
        <v>1063</v>
      </c>
      <c r="Y151" s="4">
        <v>1077</v>
      </c>
      <c r="Z151" s="4">
        <v>994</v>
      </c>
      <c r="AA151" s="4">
        <v>1001</v>
      </c>
      <c r="AB151" s="4">
        <v>6</v>
      </c>
      <c r="AC151" s="4">
        <v>6</v>
      </c>
      <c r="AD151" s="4">
        <v>24</v>
      </c>
      <c r="AE151" s="4">
        <v>24</v>
      </c>
      <c r="AF151" s="4">
        <v>7</v>
      </c>
      <c r="AG151" s="4">
        <v>7</v>
      </c>
      <c r="AH151" s="4">
        <v>4</v>
      </c>
      <c r="AI151" s="4">
        <v>4</v>
      </c>
      <c r="AJ151" s="4">
        <v>14</v>
      </c>
      <c r="AK151" s="4">
        <v>14</v>
      </c>
      <c r="AL151" s="4">
        <v>3</v>
      </c>
      <c r="AM151" s="4">
        <v>3</v>
      </c>
      <c r="AN151" s="4">
        <v>3</v>
      </c>
      <c r="AO151" s="4">
        <v>3</v>
      </c>
      <c r="AP151" s="3" t="s">
        <v>51</v>
      </c>
      <c r="AQ151" s="3" t="s">
        <v>49</v>
      </c>
      <c r="AR151" s="6" t="str">
        <f>HYPERLINK("http://catalog.hathitrust.org/Record/000825877","HathiTrust Record")</f>
        <v>HathiTrust Record</v>
      </c>
      <c r="AS151" s="6" t="str">
        <f>HYPERLINK("https://creighton-primo.hosted.exlibrisgroup.com/primo-explore/search?tab=default_tab&amp;search_scope=EVERYTHING&amp;vid=01CRU&amp;lang=en_US&amp;offset=0&amp;query=any,contains,991000984129702656","Catalog Record")</f>
        <v>Catalog Record</v>
      </c>
      <c r="AT151" s="6" t="str">
        <f>HYPERLINK("http://www.worldcat.org/oclc/15055157","WorldCat Record")</f>
        <v>WorldCat Record</v>
      </c>
    </row>
    <row r="152" spans="1:46" ht="41.25" customHeight="1" x14ac:dyDescent="0.25">
      <c r="A152" s="8" t="s">
        <v>51</v>
      </c>
      <c r="B152" s="2" t="s">
        <v>1064</v>
      </c>
      <c r="C152" s="2" t="s">
        <v>1065</v>
      </c>
      <c r="D152" s="2" t="s">
        <v>1066</v>
      </c>
      <c r="F152" s="3" t="s">
        <v>51</v>
      </c>
      <c r="G152" s="3" t="s">
        <v>50</v>
      </c>
      <c r="H152" s="3" t="s">
        <v>51</v>
      </c>
      <c r="I152" s="3" t="s">
        <v>49</v>
      </c>
      <c r="J152" s="3" t="s">
        <v>52</v>
      </c>
      <c r="K152" s="2" t="s">
        <v>1067</v>
      </c>
      <c r="L152" s="2" t="s">
        <v>1068</v>
      </c>
      <c r="M152" s="3" t="s">
        <v>103</v>
      </c>
      <c r="O152" s="3" t="s">
        <v>56</v>
      </c>
      <c r="P152" s="3" t="s">
        <v>69</v>
      </c>
      <c r="R152" s="3" t="s">
        <v>59</v>
      </c>
      <c r="S152" s="4">
        <v>13</v>
      </c>
      <c r="T152" s="4">
        <v>13</v>
      </c>
      <c r="U152" s="5" t="s">
        <v>1069</v>
      </c>
      <c r="V152" s="5" t="s">
        <v>1069</v>
      </c>
      <c r="W152" s="5" t="s">
        <v>765</v>
      </c>
      <c r="X152" s="5" t="s">
        <v>765</v>
      </c>
      <c r="Y152" s="4">
        <v>91</v>
      </c>
      <c r="Z152" s="4">
        <v>84</v>
      </c>
      <c r="AA152" s="4">
        <v>187</v>
      </c>
      <c r="AB152" s="4">
        <v>1</v>
      </c>
      <c r="AC152" s="4">
        <v>4</v>
      </c>
      <c r="AD152" s="4">
        <v>11</v>
      </c>
      <c r="AE152" s="4">
        <v>21</v>
      </c>
      <c r="AF152" s="4">
        <v>2</v>
      </c>
      <c r="AG152" s="4">
        <v>5</v>
      </c>
      <c r="AH152" s="4">
        <v>3</v>
      </c>
      <c r="AI152" s="4">
        <v>4</v>
      </c>
      <c r="AJ152" s="4">
        <v>9</v>
      </c>
      <c r="AK152" s="4">
        <v>17</v>
      </c>
      <c r="AL152" s="4">
        <v>0</v>
      </c>
      <c r="AM152" s="4">
        <v>1</v>
      </c>
      <c r="AN152" s="4">
        <v>0</v>
      </c>
      <c r="AO152" s="4">
        <v>0</v>
      </c>
      <c r="AP152" s="3" t="s">
        <v>51</v>
      </c>
      <c r="AQ152" s="3" t="s">
        <v>51</v>
      </c>
      <c r="AS152" s="6" t="str">
        <f>HYPERLINK("https://creighton-primo.hosted.exlibrisgroup.com/primo-explore/search?tab=default_tab&amp;search_scope=EVERYTHING&amp;vid=01CRU&amp;lang=en_US&amp;offset=0&amp;query=any,contains,991000575879702656","Catalog Record")</f>
        <v>Catalog Record</v>
      </c>
      <c r="AT152" s="6" t="str">
        <f>HYPERLINK("http://www.worldcat.org/oclc/11682682","WorldCat Record")</f>
        <v>WorldCat Record</v>
      </c>
    </row>
    <row r="153" spans="1:46" ht="41.25" customHeight="1" x14ac:dyDescent="0.25">
      <c r="A153" s="8" t="s">
        <v>51</v>
      </c>
      <c r="B153" s="2" t="s">
        <v>1070</v>
      </c>
      <c r="C153" s="2" t="s">
        <v>1071</v>
      </c>
      <c r="D153" s="2" t="s">
        <v>1072</v>
      </c>
      <c r="F153" s="3" t="s">
        <v>51</v>
      </c>
      <c r="G153" s="3" t="s">
        <v>50</v>
      </c>
      <c r="H153" s="3" t="s">
        <v>51</v>
      </c>
      <c r="I153" s="3" t="s">
        <v>51</v>
      </c>
      <c r="J153" s="3" t="s">
        <v>52</v>
      </c>
      <c r="K153" s="2" t="s">
        <v>1073</v>
      </c>
      <c r="L153" s="2" t="s">
        <v>1074</v>
      </c>
      <c r="M153" s="3" t="s">
        <v>851</v>
      </c>
      <c r="O153" s="3" t="s">
        <v>56</v>
      </c>
      <c r="P153" s="3" t="s">
        <v>1017</v>
      </c>
      <c r="Q153" s="2" t="s">
        <v>1075</v>
      </c>
      <c r="R153" s="3" t="s">
        <v>59</v>
      </c>
      <c r="S153" s="4">
        <v>5</v>
      </c>
      <c r="T153" s="4">
        <v>5</v>
      </c>
      <c r="U153" s="5" t="s">
        <v>873</v>
      </c>
      <c r="V153" s="5" t="s">
        <v>873</v>
      </c>
      <c r="W153" s="5" t="s">
        <v>1076</v>
      </c>
      <c r="X153" s="5" t="s">
        <v>1076</v>
      </c>
      <c r="Y153" s="4">
        <v>556</v>
      </c>
      <c r="Z153" s="4">
        <v>510</v>
      </c>
      <c r="AA153" s="4">
        <v>518</v>
      </c>
      <c r="AB153" s="4">
        <v>2</v>
      </c>
      <c r="AC153" s="4">
        <v>2</v>
      </c>
      <c r="AD153" s="4">
        <v>30</v>
      </c>
      <c r="AE153" s="4">
        <v>30</v>
      </c>
      <c r="AF153" s="4">
        <v>9</v>
      </c>
      <c r="AG153" s="4">
        <v>9</v>
      </c>
      <c r="AH153" s="4">
        <v>6</v>
      </c>
      <c r="AI153" s="4">
        <v>6</v>
      </c>
      <c r="AJ153" s="4">
        <v>18</v>
      </c>
      <c r="AK153" s="4">
        <v>18</v>
      </c>
      <c r="AL153" s="4">
        <v>1</v>
      </c>
      <c r="AM153" s="4">
        <v>1</v>
      </c>
      <c r="AN153" s="4">
        <v>3</v>
      </c>
      <c r="AO153" s="4">
        <v>3</v>
      </c>
      <c r="AP153" s="3" t="s">
        <v>51</v>
      </c>
      <c r="AQ153" s="3" t="s">
        <v>49</v>
      </c>
      <c r="AR153" s="6" t="str">
        <f>HYPERLINK("http://catalog.hathitrust.org/Record/004539118","HathiTrust Record")</f>
        <v>HathiTrust Record</v>
      </c>
      <c r="AS153" s="6" t="str">
        <f>HYPERLINK("https://creighton-primo.hosted.exlibrisgroup.com/primo-explore/search?tab=default_tab&amp;search_scope=EVERYTHING&amp;vid=01CRU&amp;lang=en_US&amp;offset=0&amp;query=any,contains,991003360919702656","Catalog Record")</f>
        <v>Catalog Record</v>
      </c>
      <c r="AT153" s="6" t="str">
        <f>HYPERLINK("http://www.worldcat.org/oclc/34919792","WorldCat Record")</f>
        <v>WorldCat Record</v>
      </c>
    </row>
    <row r="154" spans="1:46" ht="41.25" customHeight="1" x14ac:dyDescent="0.25">
      <c r="A154" s="8" t="s">
        <v>51</v>
      </c>
      <c r="B154" s="2" t="s">
        <v>1077</v>
      </c>
      <c r="C154" s="2" t="s">
        <v>1078</v>
      </c>
      <c r="D154" s="2" t="s">
        <v>1079</v>
      </c>
      <c r="F154" s="3" t="s">
        <v>51</v>
      </c>
      <c r="G154" s="3" t="s">
        <v>50</v>
      </c>
      <c r="H154" s="3" t="s">
        <v>51</v>
      </c>
      <c r="I154" s="3" t="s">
        <v>51</v>
      </c>
      <c r="J154" s="3" t="s">
        <v>52</v>
      </c>
      <c r="K154" s="2" t="s">
        <v>1080</v>
      </c>
      <c r="L154" s="2" t="s">
        <v>1081</v>
      </c>
      <c r="M154" s="3" t="s">
        <v>498</v>
      </c>
      <c r="N154" s="2" t="s">
        <v>78</v>
      </c>
      <c r="O154" s="3" t="s">
        <v>56</v>
      </c>
      <c r="P154" s="3" t="s">
        <v>538</v>
      </c>
      <c r="R154" s="3" t="s">
        <v>59</v>
      </c>
      <c r="S154" s="4">
        <v>33</v>
      </c>
      <c r="T154" s="4">
        <v>33</v>
      </c>
      <c r="U154" s="5" t="s">
        <v>1082</v>
      </c>
      <c r="V154" s="5" t="s">
        <v>1082</v>
      </c>
      <c r="W154" s="5" t="s">
        <v>1083</v>
      </c>
      <c r="X154" s="5" t="s">
        <v>1083</v>
      </c>
      <c r="Y154" s="4">
        <v>187</v>
      </c>
      <c r="Z154" s="4">
        <v>144</v>
      </c>
      <c r="AA154" s="4">
        <v>338</v>
      </c>
      <c r="AB154" s="4">
        <v>1</v>
      </c>
      <c r="AC154" s="4">
        <v>2</v>
      </c>
      <c r="AD154" s="4">
        <v>12</v>
      </c>
      <c r="AE154" s="4">
        <v>23</v>
      </c>
      <c r="AF154" s="4">
        <v>5</v>
      </c>
      <c r="AG154" s="4">
        <v>11</v>
      </c>
      <c r="AH154" s="4">
        <v>2</v>
      </c>
      <c r="AI154" s="4">
        <v>6</v>
      </c>
      <c r="AJ154" s="4">
        <v>9</v>
      </c>
      <c r="AK154" s="4">
        <v>14</v>
      </c>
      <c r="AL154" s="4">
        <v>0</v>
      </c>
      <c r="AM154" s="4">
        <v>1</v>
      </c>
      <c r="AN154" s="4">
        <v>0</v>
      </c>
      <c r="AO154" s="4">
        <v>0</v>
      </c>
      <c r="AP154" s="3" t="s">
        <v>51</v>
      </c>
      <c r="AQ154" s="3" t="s">
        <v>49</v>
      </c>
      <c r="AR154" s="6" t="str">
        <f>HYPERLINK("http://catalog.hathitrust.org/Record/003110488","HathiTrust Record")</f>
        <v>HathiTrust Record</v>
      </c>
      <c r="AS154" s="6" t="str">
        <f>HYPERLINK("https://creighton-primo.hosted.exlibrisgroup.com/primo-explore/search?tab=default_tab&amp;search_scope=EVERYTHING&amp;vid=01CRU&amp;lang=en_US&amp;offset=0&amp;query=any,contains,991002644539702656","Catalog Record")</f>
        <v>Catalog Record</v>
      </c>
      <c r="AT154" s="6" t="str">
        <f>HYPERLINK("http://www.worldcat.org/oclc/34604313","WorldCat Record")</f>
        <v>WorldCat Record</v>
      </c>
    </row>
    <row r="155" spans="1:46" ht="41.25" customHeight="1" x14ac:dyDescent="0.25">
      <c r="A155" s="8" t="s">
        <v>51</v>
      </c>
      <c r="B155" s="2" t="s">
        <v>1084</v>
      </c>
      <c r="C155" s="2" t="s">
        <v>1085</v>
      </c>
      <c r="D155" s="2" t="s">
        <v>1086</v>
      </c>
      <c r="F155" s="3" t="s">
        <v>51</v>
      </c>
      <c r="G155" s="3" t="s">
        <v>50</v>
      </c>
      <c r="H155" s="3" t="s">
        <v>51</v>
      </c>
      <c r="I155" s="3" t="s">
        <v>49</v>
      </c>
      <c r="J155" s="3" t="s">
        <v>52</v>
      </c>
      <c r="L155" s="2" t="s">
        <v>1087</v>
      </c>
      <c r="M155" s="3" t="s">
        <v>553</v>
      </c>
      <c r="O155" s="3" t="s">
        <v>56</v>
      </c>
      <c r="P155" s="3" t="s">
        <v>79</v>
      </c>
      <c r="R155" s="3" t="s">
        <v>59</v>
      </c>
      <c r="S155" s="4">
        <v>50</v>
      </c>
      <c r="T155" s="4">
        <v>50</v>
      </c>
      <c r="U155" s="5" t="s">
        <v>1088</v>
      </c>
      <c r="V155" s="5" t="s">
        <v>1088</v>
      </c>
      <c r="W155" s="5" t="s">
        <v>1089</v>
      </c>
      <c r="X155" s="5" t="s">
        <v>1089</v>
      </c>
      <c r="Y155" s="4">
        <v>748</v>
      </c>
      <c r="Z155" s="4">
        <v>639</v>
      </c>
      <c r="AA155" s="4">
        <v>1634</v>
      </c>
      <c r="AB155" s="4">
        <v>4</v>
      </c>
      <c r="AC155" s="4">
        <v>7</v>
      </c>
      <c r="AD155" s="4">
        <v>32</v>
      </c>
      <c r="AE155" s="4">
        <v>54</v>
      </c>
      <c r="AF155" s="4">
        <v>14</v>
      </c>
      <c r="AG155" s="4">
        <v>25</v>
      </c>
      <c r="AH155" s="4">
        <v>6</v>
      </c>
      <c r="AI155" s="4">
        <v>11</v>
      </c>
      <c r="AJ155" s="4">
        <v>15</v>
      </c>
      <c r="AK155" s="4">
        <v>25</v>
      </c>
      <c r="AL155" s="4">
        <v>3</v>
      </c>
      <c r="AM155" s="4">
        <v>5</v>
      </c>
      <c r="AN155" s="4">
        <v>1</v>
      </c>
      <c r="AO155" s="4">
        <v>2</v>
      </c>
      <c r="AP155" s="3" t="s">
        <v>51</v>
      </c>
      <c r="AQ155" s="3" t="s">
        <v>49</v>
      </c>
      <c r="AR155" s="6" t="str">
        <f>HYPERLINK("http://catalog.hathitrust.org/Record/001085912","HathiTrust Record")</f>
        <v>HathiTrust Record</v>
      </c>
      <c r="AS155" s="6" t="str">
        <f>HYPERLINK("https://creighton-primo.hosted.exlibrisgroup.com/primo-explore/search?tab=default_tab&amp;search_scope=EVERYTHING&amp;vid=01CRU&amp;lang=en_US&amp;offset=0&amp;query=any,contains,991003188109702656","Catalog Record")</f>
        <v>Catalog Record</v>
      </c>
      <c r="AT155" s="6" t="str">
        <f>HYPERLINK("http://www.worldcat.org/oclc/18628721","WorldCat Record")</f>
        <v>WorldCat Record</v>
      </c>
    </row>
    <row r="156" spans="1:46" ht="41.25" customHeight="1" x14ac:dyDescent="0.25">
      <c r="A156" s="8" t="s">
        <v>51</v>
      </c>
      <c r="B156" s="2" t="s">
        <v>1090</v>
      </c>
      <c r="C156" s="2" t="s">
        <v>1091</v>
      </c>
      <c r="D156" s="2" t="s">
        <v>1092</v>
      </c>
      <c r="F156" s="3" t="s">
        <v>51</v>
      </c>
      <c r="G156" s="3" t="s">
        <v>50</v>
      </c>
      <c r="H156" s="3" t="s">
        <v>49</v>
      </c>
      <c r="I156" s="3" t="s">
        <v>51</v>
      </c>
      <c r="J156" s="3" t="s">
        <v>52</v>
      </c>
      <c r="L156" s="2" t="s">
        <v>1093</v>
      </c>
      <c r="M156" s="3" t="s">
        <v>186</v>
      </c>
      <c r="O156" s="3" t="s">
        <v>56</v>
      </c>
      <c r="P156" s="3" t="s">
        <v>79</v>
      </c>
      <c r="R156" s="3" t="s">
        <v>59</v>
      </c>
      <c r="S156" s="4">
        <v>20</v>
      </c>
      <c r="T156" s="4">
        <v>38</v>
      </c>
      <c r="U156" s="5" t="s">
        <v>1000</v>
      </c>
      <c r="V156" s="5" t="s">
        <v>1000</v>
      </c>
      <c r="W156" s="5" t="s">
        <v>1094</v>
      </c>
      <c r="X156" s="5" t="s">
        <v>1094</v>
      </c>
      <c r="Y156" s="4">
        <v>598</v>
      </c>
      <c r="Z156" s="4">
        <v>513</v>
      </c>
      <c r="AA156" s="4">
        <v>513</v>
      </c>
      <c r="AB156" s="4">
        <v>3</v>
      </c>
      <c r="AC156" s="4">
        <v>3</v>
      </c>
      <c r="AD156" s="4">
        <v>28</v>
      </c>
      <c r="AE156" s="4">
        <v>28</v>
      </c>
      <c r="AF156" s="4">
        <v>10</v>
      </c>
      <c r="AG156" s="4">
        <v>10</v>
      </c>
      <c r="AH156" s="4">
        <v>4</v>
      </c>
      <c r="AI156" s="4">
        <v>4</v>
      </c>
      <c r="AJ156" s="4">
        <v>16</v>
      </c>
      <c r="AK156" s="4">
        <v>16</v>
      </c>
      <c r="AL156" s="4">
        <v>0</v>
      </c>
      <c r="AM156" s="4">
        <v>0</v>
      </c>
      <c r="AN156" s="4">
        <v>6</v>
      </c>
      <c r="AO156" s="4">
        <v>6</v>
      </c>
      <c r="AP156" s="3" t="s">
        <v>51</v>
      </c>
      <c r="AQ156" s="3" t="s">
        <v>51</v>
      </c>
      <c r="AS156" s="6" t="str">
        <f>HYPERLINK("https://creighton-primo.hosted.exlibrisgroup.com/primo-explore/search?tab=default_tab&amp;search_scope=EVERYTHING&amp;vid=01CRU&amp;lang=en_US&amp;offset=0&amp;query=any,contains,991001624319702656","Catalog Record")</f>
        <v>Catalog Record</v>
      </c>
      <c r="AT156" s="6" t="str">
        <f>HYPERLINK("http://www.worldcat.org/oclc/9066415","WorldCat Record")</f>
        <v>WorldCat Record</v>
      </c>
    </row>
    <row r="157" spans="1:46" ht="41.25" customHeight="1" x14ac:dyDescent="0.25">
      <c r="A157" s="8" t="s">
        <v>51</v>
      </c>
      <c r="B157" s="2" t="s">
        <v>1095</v>
      </c>
      <c r="C157" s="2" t="s">
        <v>1096</v>
      </c>
      <c r="D157" s="2" t="s">
        <v>1097</v>
      </c>
      <c r="F157" s="3" t="s">
        <v>51</v>
      </c>
      <c r="G157" s="3" t="s">
        <v>50</v>
      </c>
      <c r="H157" s="3" t="s">
        <v>49</v>
      </c>
      <c r="I157" s="3" t="s">
        <v>51</v>
      </c>
      <c r="J157" s="3" t="s">
        <v>52</v>
      </c>
      <c r="L157" s="2" t="s">
        <v>1098</v>
      </c>
      <c r="M157" s="3" t="s">
        <v>424</v>
      </c>
      <c r="O157" s="3" t="s">
        <v>56</v>
      </c>
      <c r="P157" s="3" t="s">
        <v>79</v>
      </c>
      <c r="R157" s="3" t="s">
        <v>59</v>
      </c>
      <c r="S157" s="4">
        <v>27</v>
      </c>
      <c r="T157" s="4">
        <v>27</v>
      </c>
      <c r="U157" s="5" t="s">
        <v>1099</v>
      </c>
      <c r="V157" s="5" t="s">
        <v>1099</v>
      </c>
      <c r="W157" s="5" t="s">
        <v>1100</v>
      </c>
      <c r="X157" s="5" t="s">
        <v>1100</v>
      </c>
      <c r="Y157" s="4">
        <v>485</v>
      </c>
      <c r="Z157" s="4">
        <v>422</v>
      </c>
      <c r="AA157" s="4">
        <v>431</v>
      </c>
      <c r="AB157" s="4">
        <v>4</v>
      </c>
      <c r="AC157" s="4">
        <v>4</v>
      </c>
      <c r="AD157" s="4">
        <v>32</v>
      </c>
      <c r="AE157" s="4">
        <v>32</v>
      </c>
      <c r="AF157" s="4">
        <v>7</v>
      </c>
      <c r="AG157" s="4">
        <v>7</v>
      </c>
      <c r="AH157" s="4">
        <v>5</v>
      </c>
      <c r="AI157" s="4">
        <v>5</v>
      </c>
      <c r="AJ157" s="4">
        <v>12</v>
      </c>
      <c r="AK157" s="4">
        <v>12</v>
      </c>
      <c r="AL157" s="4">
        <v>1</v>
      </c>
      <c r="AM157" s="4">
        <v>1</v>
      </c>
      <c r="AN157" s="4">
        <v>15</v>
      </c>
      <c r="AO157" s="4">
        <v>15</v>
      </c>
      <c r="AP157" s="3" t="s">
        <v>51</v>
      </c>
      <c r="AQ157" s="3" t="s">
        <v>49</v>
      </c>
      <c r="AR157" s="6" t="str">
        <f>HYPERLINK("http://catalog.hathitrust.org/Record/000186938","HathiTrust Record")</f>
        <v>HathiTrust Record</v>
      </c>
      <c r="AS157" s="6" t="str">
        <f>HYPERLINK("https://creighton-primo.hosted.exlibrisgroup.com/primo-explore/search?tab=default_tab&amp;search_scope=EVERYTHING&amp;vid=01CRU&amp;lang=en_US&amp;offset=0&amp;query=any,contains,991005115559702656","Catalog Record")</f>
        <v>Catalog Record</v>
      </c>
      <c r="AT157" s="6" t="str">
        <f>HYPERLINK("http://www.worldcat.org/oclc/7462112","WorldCat Record")</f>
        <v>WorldCat Record</v>
      </c>
    </row>
    <row r="158" spans="1:46" ht="41.25" customHeight="1" x14ac:dyDescent="0.25">
      <c r="A158" s="8" t="s">
        <v>51</v>
      </c>
      <c r="B158" s="2" t="s">
        <v>1101</v>
      </c>
      <c r="C158" s="2" t="s">
        <v>1102</v>
      </c>
      <c r="D158" s="2" t="s">
        <v>1103</v>
      </c>
      <c r="F158" s="3" t="s">
        <v>51</v>
      </c>
      <c r="G158" s="3" t="s">
        <v>50</v>
      </c>
      <c r="H158" s="3" t="s">
        <v>49</v>
      </c>
      <c r="I158" s="3" t="s">
        <v>51</v>
      </c>
      <c r="J158" s="3" t="s">
        <v>52</v>
      </c>
      <c r="L158" s="2" t="s">
        <v>1104</v>
      </c>
      <c r="M158" s="3" t="s">
        <v>389</v>
      </c>
      <c r="O158" s="3" t="s">
        <v>56</v>
      </c>
      <c r="P158" s="3" t="s">
        <v>113</v>
      </c>
      <c r="R158" s="3" t="s">
        <v>59</v>
      </c>
      <c r="S158" s="4">
        <v>22</v>
      </c>
      <c r="T158" s="4">
        <v>25</v>
      </c>
      <c r="U158" s="5" t="s">
        <v>980</v>
      </c>
      <c r="V158" s="5" t="s">
        <v>980</v>
      </c>
      <c r="W158" s="5" t="s">
        <v>1105</v>
      </c>
      <c r="X158" s="5" t="s">
        <v>1106</v>
      </c>
      <c r="Y158" s="4">
        <v>379</v>
      </c>
      <c r="Z158" s="4">
        <v>257</v>
      </c>
      <c r="AA158" s="4">
        <v>272</v>
      </c>
      <c r="AB158" s="4">
        <v>2</v>
      </c>
      <c r="AC158" s="4">
        <v>2</v>
      </c>
      <c r="AD158" s="4">
        <v>21</v>
      </c>
      <c r="AE158" s="4">
        <v>21</v>
      </c>
      <c r="AF158" s="4">
        <v>7</v>
      </c>
      <c r="AG158" s="4">
        <v>7</v>
      </c>
      <c r="AH158" s="4">
        <v>6</v>
      </c>
      <c r="AI158" s="4">
        <v>6</v>
      </c>
      <c r="AJ158" s="4">
        <v>13</v>
      </c>
      <c r="AK158" s="4">
        <v>13</v>
      </c>
      <c r="AL158" s="4">
        <v>0</v>
      </c>
      <c r="AM158" s="4">
        <v>0</v>
      </c>
      <c r="AN158" s="4">
        <v>1</v>
      </c>
      <c r="AO158" s="4">
        <v>1</v>
      </c>
      <c r="AP158" s="3" t="s">
        <v>51</v>
      </c>
      <c r="AQ158" s="3" t="s">
        <v>51</v>
      </c>
      <c r="AS158" s="6" t="str">
        <f>HYPERLINK("https://creighton-primo.hosted.exlibrisgroup.com/primo-explore/search?tab=default_tab&amp;search_scope=EVERYTHING&amp;vid=01CRU&amp;lang=en_US&amp;offset=0&amp;query=any,contains,991001798289702656","Catalog Record")</f>
        <v>Catalog Record</v>
      </c>
      <c r="AT158" s="6" t="str">
        <f>HYPERLINK("http://www.worldcat.org/oclc/27974313","WorldCat Record")</f>
        <v>WorldCat Record</v>
      </c>
    </row>
    <row r="159" spans="1:46" ht="41.25" customHeight="1" x14ac:dyDescent="0.25">
      <c r="A159" s="8" t="s">
        <v>51</v>
      </c>
      <c r="B159" s="2" t="s">
        <v>1107</v>
      </c>
      <c r="C159" s="2" t="s">
        <v>1108</v>
      </c>
      <c r="D159" s="2" t="s">
        <v>1109</v>
      </c>
      <c r="F159" s="3" t="s">
        <v>51</v>
      </c>
      <c r="G159" s="3" t="s">
        <v>50</v>
      </c>
      <c r="H159" s="3" t="s">
        <v>49</v>
      </c>
      <c r="I159" s="3" t="s">
        <v>51</v>
      </c>
      <c r="J159" s="3" t="s">
        <v>52</v>
      </c>
      <c r="K159" s="2" t="s">
        <v>1110</v>
      </c>
      <c r="L159" s="2" t="s">
        <v>1111</v>
      </c>
      <c r="M159" s="3" t="s">
        <v>244</v>
      </c>
      <c r="O159" s="3" t="s">
        <v>56</v>
      </c>
      <c r="P159" s="3" t="s">
        <v>992</v>
      </c>
      <c r="R159" s="3" t="s">
        <v>59</v>
      </c>
      <c r="S159" s="4">
        <v>12</v>
      </c>
      <c r="T159" s="4">
        <v>12</v>
      </c>
      <c r="U159" s="5" t="s">
        <v>1112</v>
      </c>
      <c r="V159" s="5" t="s">
        <v>1112</v>
      </c>
      <c r="W159" s="5" t="s">
        <v>1113</v>
      </c>
      <c r="X159" s="5" t="s">
        <v>1114</v>
      </c>
      <c r="Y159" s="4">
        <v>424</v>
      </c>
      <c r="Z159" s="4">
        <v>360</v>
      </c>
      <c r="AA159" s="4">
        <v>368</v>
      </c>
      <c r="AB159" s="4">
        <v>3</v>
      </c>
      <c r="AC159" s="4">
        <v>3</v>
      </c>
      <c r="AD159" s="4">
        <v>21</v>
      </c>
      <c r="AE159" s="4">
        <v>21</v>
      </c>
      <c r="AF159" s="4">
        <v>8</v>
      </c>
      <c r="AG159" s="4">
        <v>8</v>
      </c>
      <c r="AH159" s="4">
        <v>5</v>
      </c>
      <c r="AI159" s="4">
        <v>5</v>
      </c>
      <c r="AJ159" s="4">
        <v>13</v>
      </c>
      <c r="AK159" s="4">
        <v>13</v>
      </c>
      <c r="AL159" s="4">
        <v>1</v>
      </c>
      <c r="AM159" s="4">
        <v>1</v>
      </c>
      <c r="AN159" s="4">
        <v>1</v>
      </c>
      <c r="AO159" s="4">
        <v>1</v>
      </c>
      <c r="AP159" s="3" t="s">
        <v>51</v>
      </c>
      <c r="AQ159" s="3" t="s">
        <v>49</v>
      </c>
      <c r="AR159" s="6" t="str">
        <f>HYPERLINK("http://catalog.hathitrust.org/Record/101973874","HathiTrust Record")</f>
        <v>HathiTrust Record</v>
      </c>
      <c r="AS159" s="6" t="str">
        <f>HYPERLINK("https://creighton-primo.hosted.exlibrisgroup.com/primo-explore/search?tab=default_tab&amp;search_scope=EVERYTHING&amp;vid=01CRU&amp;lang=en_US&amp;offset=0&amp;query=any,contains,991001690149702656","Catalog Record")</f>
        <v>Catalog Record</v>
      </c>
      <c r="AT159" s="6" t="str">
        <f>HYPERLINK("http://www.worldcat.org/oclc/32464966","WorldCat Record")</f>
        <v>WorldCat Record</v>
      </c>
    </row>
    <row r="160" spans="1:46" ht="41.25" customHeight="1" x14ac:dyDescent="0.25">
      <c r="A160" s="8" t="s">
        <v>51</v>
      </c>
      <c r="B160" s="2" t="s">
        <v>1115</v>
      </c>
      <c r="C160" s="2" t="s">
        <v>1116</v>
      </c>
      <c r="D160" s="2" t="s">
        <v>1117</v>
      </c>
      <c r="F160" s="3" t="s">
        <v>51</v>
      </c>
      <c r="G160" s="3" t="s">
        <v>50</v>
      </c>
      <c r="H160" s="3" t="s">
        <v>49</v>
      </c>
      <c r="I160" s="3" t="s">
        <v>51</v>
      </c>
      <c r="J160" s="3" t="s">
        <v>52</v>
      </c>
      <c r="L160" s="2" t="s">
        <v>1118</v>
      </c>
      <c r="M160" s="3" t="s">
        <v>194</v>
      </c>
      <c r="O160" s="3" t="s">
        <v>56</v>
      </c>
      <c r="P160" s="3" t="s">
        <v>229</v>
      </c>
      <c r="Q160" s="2" t="s">
        <v>1119</v>
      </c>
      <c r="R160" s="3" t="s">
        <v>59</v>
      </c>
      <c r="S160" s="4">
        <v>5</v>
      </c>
      <c r="T160" s="4">
        <v>10</v>
      </c>
      <c r="U160" s="5" t="s">
        <v>940</v>
      </c>
      <c r="V160" s="5" t="s">
        <v>940</v>
      </c>
      <c r="W160" s="5" t="s">
        <v>765</v>
      </c>
      <c r="X160" s="5" t="s">
        <v>765</v>
      </c>
      <c r="Y160" s="4">
        <v>389</v>
      </c>
      <c r="Z160" s="4">
        <v>343</v>
      </c>
      <c r="AA160" s="4">
        <v>352</v>
      </c>
      <c r="AB160" s="4">
        <v>3</v>
      </c>
      <c r="AC160" s="4">
        <v>3</v>
      </c>
      <c r="AD160" s="4">
        <v>15</v>
      </c>
      <c r="AE160" s="4">
        <v>15</v>
      </c>
      <c r="AF160" s="4">
        <v>4</v>
      </c>
      <c r="AG160" s="4">
        <v>4</v>
      </c>
      <c r="AH160" s="4">
        <v>2</v>
      </c>
      <c r="AI160" s="4">
        <v>2</v>
      </c>
      <c r="AJ160" s="4">
        <v>9</v>
      </c>
      <c r="AK160" s="4">
        <v>9</v>
      </c>
      <c r="AL160" s="4">
        <v>1</v>
      </c>
      <c r="AM160" s="4">
        <v>1</v>
      </c>
      <c r="AN160" s="4">
        <v>3</v>
      </c>
      <c r="AO160" s="4">
        <v>3</v>
      </c>
      <c r="AP160" s="3" t="s">
        <v>51</v>
      </c>
      <c r="AQ160" s="3" t="s">
        <v>51</v>
      </c>
      <c r="AS160" s="6" t="str">
        <f>HYPERLINK("https://creighton-primo.hosted.exlibrisgroup.com/primo-explore/search?tab=default_tab&amp;search_scope=EVERYTHING&amp;vid=01CRU&amp;lang=en_US&amp;offset=0&amp;query=any,contains,991001792399702656","Catalog Record")</f>
        <v>Catalog Record</v>
      </c>
      <c r="AT160" s="6" t="str">
        <f>HYPERLINK("http://www.worldcat.org/oclc/3964331","WorldCat Record")</f>
        <v>WorldCat Record</v>
      </c>
    </row>
    <row r="161" spans="1:46" ht="41.25" customHeight="1" x14ac:dyDescent="0.25">
      <c r="A161" s="8" t="s">
        <v>51</v>
      </c>
      <c r="B161" s="2" t="s">
        <v>1120</v>
      </c>
      <c r="C161" s="2" t="s">
        <v>1121</v>
      </c>
      <c r="D161" s="2" t="s">
        <v>1122</v>
      </c>
      <c r="F161" s="3" t="s">
        <v>51</v>
      </c>
      <c r="G161" s="3" t="s">
        <v>50</v>
      </c>
      <c r="H161" s="3" t="s">
        <v>51</v>
      </c>
      <c r="I161" s="3" t="s">
        <v>49</v>
      </c>
      <c r="J161" s="3" t="s">
        <v>52</v>
      </c>
      <c r="L161" s="2" t="s">
        <v>1123</v>
      </c>
      <c r="M161" s="3" t="s">
        <v>218</v>
      </c>
      <c r="O161" s="3" t="s">
        <v>56</v>
      </c>
      <c r="P161" s="3" t="s">
        <v>748</v>
      </c>
      <c r="R161" s="3" t="s">
        <v>59</v>
      </c>
      <c r="S161" s="4">
        <v>30</v>
      </c>
      <c r="T161" s="4">
        <v>30</v>
      </c>
      <c r="U161" s="5" t="s">
        <v>1124</v>
      </c>
      <c r="V161" s="5" t="s">
        <v>1124</v>
      </c>
      <c r="W161" s="5" t="s">
        <v>563</v>
      </c>
      <c r="X161" s="5" t="s">
        <v>563</v>
      </c>
      <c r="Y161" s="4">
        <v>725</v>
      </c>
      <c r="Z161" s="4">
        <v>595</v>
      </c>
      <c r="AA161" s="4">
        <v>771</v>
      </c>
      <c r="AB161" s="4">
        <v>4</v>
      </c>
      <c r="AC161" s="4">
        <v>6</v>
      </c>
      <c r="AD161" s="4">
        <v>25</v>
      </c>
      <c r="AE161" s="4">
        <v>38</v>
      </c>
      <c r="AF161" s="4">
        <v>9</v>
      </c>
      <c r="AG161" s="4">
        <v>12</v>
      </c>
      <c r="AH161" s="4">
        <v>4</v>
      </c>
      <c r="AI161" s="4">
        <v>5</v>
      </c>
      <c r="AJ161" s="4">
        <v>13</v>
      </c>
      <c r="AK161" s="4">
        <v>20</v>
      </c>
      <c r="AL161" s="4">
        <v>3</v>
      </c>
      <c r="AM161" s="4">
        <v>3</v>
      </c>
      <c r="AN161" s="4">
        <v>2</v>
      </c>
      <c r="AO161" s="4">
        <v>7</v>
      </c>
      <c r="AP161" s="3" t="s">
        <v>51</v>
      </c>
      <c r="AQ161" s="3" t="s">
        <v>49</v>
      </c>
      <c r="AR161" s="6" t="str">
        <f>HYPERLINK("http://catalog.hathitrust.org/Record/000716142","HathiTrust Record")</f>
        <v>HathiTrust Record</v>
      </c>
      <c r="AS161" s="6" t="str">
        <f>HYPERLINK("https://creighton-primo.hosted.exlibrisgroup.com/primo-explore/search?tab=default_tab&amp;search_scope=EVERYTHING&amp;vid=01CRU&amp;lang=en_US&amp;offset=0&amp;query=any,contains,991003959439702656","Catalog Record")</f>
        <v>Catalog Record</v>
      </c>
      <c r="AT161" s="6" t="str">
        <f>HYPERLINK("http://www.worldcat.org/oclc/1974034","WorldCat Record")</f>
        <v>WorldCat Record</v>
      </c>
    </row>
    <row r="162" spans="1:46" ht="41.25" customHeight="1" x14ac:dyDescent="0.25">
      <c r="A162" s="8" t="s">
        <v>51</v>
      </c>
      <c r="B162" s="2" t="s">
        <v>1125</v>
      </c>
      <c r="C162" s="2" t="s">
        <v>1126</v>
      </c>
      <c r="D162" s="2" t="s">
        <v>1127</v>
      </c>
      <c r="F162" s="3" t="s">
        <v>51</v>
      </c>
      <c r="G162" s="3" t="s">
        <v>50</v>
      </c>
      <c r="H162" s="3" t="s">
        <v>51</v>
      </c>
      <c r="I162" s="3" t="s">
        <v>51</v>
      </c>
      <c r="J162" s="3" t="s">
        <v>52</v>
      </c>
      <c r="K162" s="2" t="s">
        <v>1128</v>
      </c>
      <c r="L162" s="2" t="s">
        <v>1129</v>
      </c>
      <c r="M162" s="3" t="s">
        <v>201</v>
      </c>
      <c r="O162" s="3" t="s">
        <v>56</v>
      </c>
      <c r="P162" s="3" t="s">
        <v>1130</v>
      </c>
      <c r="R162" s="3" t="s">
        <v>59</v>
      </c>
      <c r="S162" s="4">
        <v>4</v>
      </c>
      <c r="T162" s="4">
        <v>4</v>
      </c>
      <c r="U162" s="5" t="s">
        <v>1131</v>
      </c>
      <c r="V162" s="5" t="s">
        <v>1131</v>
      </c>
      <c r="W162" s="5" t="s">
        <v>1132</v>
      </c>
      <c r="X162" s="5" t="s">
        <v>1132</v>
      </c>
      <c r="Y162" s="4">
        <v>391</v>
      </c>
      <c r="Z162" s="4">
        <v>328</v>
      </c>
      <c r="AA162" s="4">
        <v>514</v>
      </c>
      <c r="AB162" s="4">
        <v>2</v>
      </c>
      <c r="AC162" s="4">
        <v>3</v>
      </c>
      <c r="AD162" s="4">
        <v>12</v>
      </c>
      <c r="AE162" s="4">
        <v>22</v>
      </c>
      <c r="AF162" s="4">
        <v>2</v>
      </c>
      <c r="AG162" s="4">
        <v>5</v>
      </c>
      <c r="AH162" s="4">
        <v>3</v>
      </c>
      <c r="AI162" s="4">
        <v>5</v>
      </c>
      <c r="AJ162" s="4">
        <v>9</v>
      </c>
      <c r="AK162" s="4">
        <v>14</v>
      </c>
      <c r="AL162" s="4">
        <v>1</v>
      </c>
      <c r="AM162" s="4">
        <v>2</v>
      </c>
      <c r="AN162" s="4">
        <v>0</v>
      </c>
      <c r="AO162" s="4">
        <v>0</v>
      </c>
      <c r="AP162" s="3" t="s">
        <v>51</v>
      </c>
      <c r="AQ162" s="3" t="s">
        <v>49</v>
      </c>
      <c r="AR162" s="6" t="str">
        <f>HYPERLINK("http://catalog.hathitrust.org/Record/001557841","HathiTrust Record")</f>
        <v>HathiTrust Record</v>
      </c>
      <c r="AS162" s="6" t="str">
        <f>HYPERLINK("https://creighton-primo.hosted.exlibrisgroup.com/primo-explore/search?tab=default_tab&amp;search_scope=EVERYTHING&amp;vid=01CRU&amp;lang=en_US&amp;offset=0&amp;query=any,contains,991005265319702656","Catalog Record")</f>
        <v>Catalog Record</v>
      </c>
      <c r="AT162" s="6" t="str">
        <f>HYPERLINK("http://www.worldcat.org/oclc/703354","WorldCat Record")</f>
        <v>WorldCat Record</v>
      </c>
    </row>
    <row r="163" spans="1:46" ht="41.25" customHeight="1" x14ac:dyDescent="0.25">
      <c r="A163" s="8" t="s">
        <v>51</v>
      </c>
      <c r="B163" s="2" t="s">
        <v>1133</v>
      </c>
      <c r="C163" s="2" t="s">
        <v>1134</v>
      </c>
      <c r="D163" s="2" t="s">
        <v>1135</v>
      </c>
      <c r="F163" s="3" t="s">
        <v>51</v>
      </c>
      <c r="G163" s="3" t="s">
        <v>50</v>
      </c>
      <c r="H163" s="3" t="s">
        <v>51</v>
      </c>
      <c r="I163" s="3" t="s">
        <v>51</v>
      </c>
      <c r="J163" s="3" t="s">
        <v>52</v>
      </c>
      <c r="K163" s="2" t="s">
        <v>1128</v>
      </c>
      <c r="L163" s="2" t="s">
        <v>1136</v>
      </c>
      <c r="M163" s="3" t="s">
        <v>218</v>
      </c>
      <c r="O163" s="3" t="s">
        <v>56</v>
      </c>
      <c r="P163" s="3" t="s">
        <v>1130</v>
      </c>
      <c r="R163" s="3" t="s">
        <v>59</v>
      </c>
      <c r="S163" s="4">
        <v>5</v>
      </c>
      <c r="T163" s="4">
        <v>5</v>
      </c>
      <c r="U163" s="5" t="s">
        <v>1137</v>
      </c>
      <c r="V163" s="5" t="s">
        <v>1137</v>
      </c>
      <c r="W163" s="5" t="s">
        <v>485</v>
      </c>
      <c r="X163" s="5" t="s">
        <v>485</v>
      </c>
      <c r="Y163" s="4">
        <v>176</v>
      </c>
      <c r="Z163" s="4">
        <v>150</v>
      </c>
      <c r="AA163" s="4">
        <v>157</v>
      </c>
      <c r="AB163" s="4">
        <v>2</v>
      </c>
      <c r="AC163" s="4">
        <v>2</v>
      </c>
      <c r="AD163" s="4">
        <v>11</v>
      </c>
      <c r="AE163" s="4">
        <v>11</v>
      </c>
      <c r="AF163" s="4">
        <v>3</v>
      </c>
      <c r="AG163" s="4">
        <v>3</v>
      </c>
      <c r="AH163" s="4">
        <v>1</v>
      </c>
      <c r="AI163" s="4">
        <v>1</v>
      </c>
      <c r="AJ163" s="4">
        <v>8</v>
      </c>
      <c r="AK163" s="4">
        <v>8</v>
      </c>
      <c r="AL163" s="4">
        <v>1</v>
      </c>
      <c r="AM163" s="4">
        <v>1</v>
      </c>
      <c r="AN163" s="4">
        <v>0</v>
      </c>
      <c r="AO163" s="4">
        <v>0</v>
      </c>
      <c r="AP163" s="3" t="s">
        <v>51</v>
      </c>
      <c r="AQ163" s="3" t="s">
        <v>49</v>
      </c>
      <c r="AR163" s="6" t="str">
        <f>HYPERLINK("http://catalog.hathitrust.org/Record/004934148","HathiTrust Record")</f>
        <v>HathiTrust Record</v>
      </c>
      <c r="AS163" s="6" t="str">
        <f>HYPERLINK("https://creighton-primo.hosted.exlibrisgroup.com/primo-explore/search?tab=default_tab&amp;search_scope=EVERYTHING&amp;vid=01CRU&amp;lang=en_US&amp;offset=0&amp;query=any,contains,991004129549702656","Catalog Record")</f>
        <v>Catalog Record</v>
      </c>
      <c r="AT163" s="6" t="str">
        <f>HYPERLINK("http://www.worldcat.org/oclc/2464486","WorldCat Record")</f>
        <v>WorldCat Record</v>
      </c>
    </row>
    <row r="164" spans="1:46" ht="41.25" customHeight="1" x14ac:dyDescent="0.25">
      <c r="A164" s="8" t="s">
        <v>51</v>
      </c>
      <c r="B164" s="2" t="s">
        <v>1138</v>
      </c>
      <c r="C164" s="2" t="s">
        <v>1139</v>
      </c>
      <c r="D164" s="2" t="s">
        <v>1140</v>
      </c>
      <c r="F164" s="3" t="s">
        <v>51</v>
      </c>
      <c r="G164" s="3" t="s">
        <v>50</v>
      </c>
      <c r="H164" s="3" t="s">
        <v>49</v>
      </c>
      <c r="I164" s="3" t="s">
        <v>49</v>
      </c>
      <c r="J164" s="3" t="s">
        <v>52</v>
      </c>
      <c r="K164" s="2" t="s">
        <v>1141</v>
      </c>
      <c r="L164" s="2" t="s">
        <v>1142</v>
      </c>
      <c r="M164" s="3" t="s">
        <v>218</v>
      </c>
      <c r="O164" s="3" t="s">
        <v>56</v>
      </c>
      <c r="P164" s="3" t="s">
        <v>87</v>
      </c>
      <c r="R164" s="3" t="s">
        <v>59</v>
      </c>
      <c r="S164" s="4">
        <v>6</v>
      </c>
      <c r="T164" s="4">
        <v>8</v>
      </c>
      <c r="U164" s="5" t="s">
        <v>1143</v>
      </c>
      <c r="V164" s="5" t="s">
        <v>1143</v>
      </c>
      <c r="W164" s="5" t="s">
        <v>239</v>
      </c>
      <c r="X164" s="5" t="s">
        <v>239</v>
      </c>
      <c r="Y164" s="4">
        <v>261</v>
      </c>
      <c r="Z164" s="4">
        <v>230</v>
      </c>
      <c r="AA164" s="4">
        <v>301</v>
      </c>
      <c r="AB164" s="4">
        <v>3</v>
      </c>
      <c r="AC164" s="4">
        <v>4</v>
      </c>
      <c r="AD164" s="4">
        <v>23</v>
      </c>
      <c r="AE164" s="4">
        <v>27</v>
      </c>
      <c r="AF164" s="4">
        <v>6</v>
      </c>
      <c r="AG164" s="4">
        <v>7</v>
      </c>
      <c r="AH164" s="4">
        <v>7</v>
      </c>
      <c r="AI164" s="4">
        <v>8</v>
      </c>
      <c r="AJ164" s="4">
        <v>17</v>
      </c>
      <c r="AK164" s="4">
        <v>20</v>
      </c>
      <c r="AL164" s="4">
        <v>0</v>
      </c>
      <c r="AM164" s="4">
        <v>0</v>
      </c>
      <c r="AN164" s="4">
        <v>0</v>
      </c>
      <c r="AO164" s="4">
        <v>0</v>
      </c>
      <c r="AP164" s="3" t="s">
        <v>51</v>
      </c>
      <c r="AQ164" s="3" t="s">
        <v>51</v>
      </c>
      <c r="AS164" s="6" t="str">
        <f>HYPERLINK("https://creighton-primo.hosted.exlibrisgroup.com/primo-explore/search?tab=default_tab&amp;search_scope=EVERYTHING&amp;vid=01CRU&amp;lang=en_US&amp;offset=0&amp;query=any,contains,991001786509702656","Catalog Record")</f>
        <v>Catalog Record</v>
      </c>
      <c r="AT164" s="6" t="str">
        <f>HYPERLINK("http://www.worldcat.org/oclc/1975980","WorldCat Record")</f>
        <v>WorldCat Record</v>
      </c>
    </row>
    <row r="165" spans="1:46" ht="41.25" customHeight="1" x14ac:dyDescent="0.25">
      <c r="A165" s="8" t="s">
        <v>51</v>
      </c>
      <c r="B165" s="2" t="s">
        <v>1144</v>
      </c>
      <c r="C165" s="2" t="s">
        <v>1145</v>
      </c>
      <c r="D165" s="2" t="s">
        <v>1146</v>
      </c>
      <c r="F165" s="3" t="s">
        <v>51</v>
      </c>
      <c r="G165" s="3" t="s">
        <v>50</v>
      </c>
      <c r="H165" s="3" t="s">
        <v>51</v>
      </c>
      <c r="I165" s="3" t="s">
        <v>51</v>
      </c>
      <c r="J165" s="3" t="s">
        <v>52</v>
      </c>
      <c r="K165" s="2" t="s">
        <v>1147</v>
      </c>
      <c r="L165" s="2" t="s">
        <v>1148</v>
      </c>
      <c r="M165" s="3" t="s">
        <v>577</v>
      </c>
      <c r="O165" s="3" t="s">
        <v>56</v>
      </c>
      <c r="P165" s="3" t="s">
        <v>69</v>
      </c>
      <c r="R165" s="3" t="s">
        <v>59</v>
      </c>
      <c r="S165" s="4">
        <v>1</v>
      </c>
      <c r="T165" s="4">
        <v>1</v>
      </c>
      <c r="U165" s="5" t="s">
        <v>1149</v>
      </c>
      <c r="V165" s="5" t="s">
        <v>1149</v>
      </c>
      <c r="W165" s="5" t="s">
        <v>1149</v>
      </c>
      <c r="X165" s="5" t="s">
        <v>1149</v>
      </c>
      <c r="Y165" s="4">
        <v>196</v>
      </c>
      <c r="Z165" s="4">
        <v>154</v>
      </c>
      <c r="AA165" s="4">
        <v>157</v>
      </c>
      <c r="AB165" s="4">
        <v>1</v>
      </c>
      <c r="AC165" s="4">
        <v>1</v>
      </c>
      <c r="AD165" s="4">
        <v>16</v>
      </c>
      <c r="AE165" s="4">
        <v>16</v>
      </c>
      <c r="AF165" s="4">
        <v>4</v>
      </c>
      <c r="AG165" s="4">
        <v>4</v>
      </c>
      <c r="AH165" s="4">
        <v>4</v>
      </c>
      <c r="AI165" s="4">
        <v>4</v>
      </c>
      <c r="AJ165" s="4">
        <v>12</v>
      </c>
      <c r="AK165" s="4">
        <v>12</v>
      </c>
      <c r="AL165" s="4">
        <v>0</v>
      </c>
      <c r="AM165" s="4">
        <v>0</v>
      </c>
      <c r="AN165" s="4">
        <v>1</v>
      </c>
      <c r="AO165" s="4">
        <v>1</v>
      </c>
      <c r="AP165" s="3" t="s">
        <v>51</v>
      </c>
      <c r="AQ165" s="3" t="s">
        <v>51</v>
      </c>
      <c r="AS165" s="6" t="str">
        <f>HYPERLINK("https://creighton-primo.hosted.exlibrisgroup.com/primo-explore/search?tab=default_tab&amp;search_scope=EVERYTHING&amp;vid=01CRU&amp;lang=en_US&amp;offset=0&amp;query=any,contains,991000174469702656","Catalog Record")</f>
        <v>Catalog Record</v>
      </c>
      <c r="AT165" s="6" t="str">
        <f>HYPERLINK("http://www.worldcat.org/oclc/69671882","WorldCat Record")</f>
        <v>WorldCat Record</v>
      </c>
    </row>
    <row r="166" spans="1:46" ht="41.25" customHeight="1" x14ac:dyDescent="0.25">
      <c r="A166" s="8" t="s">
        <v>51</v>
      </c>
      <c r="B166" s="2" t="s">
        <v>1150</v>
      </c>
      <c r="C166" s="2" t="s">
        <v>1151</v>
      </c>
      <c r="D166" s="2" t="s">
        <v>1152</v>
      </c>
      <c r="F166" s="3" t="s">
        <v>51</v>
      </c>
      <c r="G166" s="3" t="s">
        <v>50</v>
      </c>
      <c r="H166" s="3" t="s">
        <v>49</v>
      </c>
      <c r="I166" s="3" t="s">
        <v>51</v>
      </c>
      <c r="J166" s="3" t="s">
        <v>52</v>
      </c>
      <c r="K166" s="2" t="s">
        <v>1153</v>
      </c>
      <c r="L166" s="2" t="s">
        <v>1154</v>
      </c>
      <c r="M166" s="3" t="s">
        <v>171</v>
      </c>
      <c r="O166" s="3" t="s">
        <v>56</v>
      </c>
      <c r="P166" s="3" t="s">
        <v>748</v>
      </c>
      <c r="R166" s="3" t="s">
        <v>59</v>
      </c>
      <c r="S166" s="4">
        <v>11</v>
      </c>
      <c r="T166" s="4">
        <v>11</v>
      </c>
      <c r="U166" s="5" t="s">
        <v>1155</v>
      </c>
      <c r="V166" s="5" t="s">
        <v>1155</v>
      </c>
      <c r="W166" s="5" t="s">
        <v>1100</v>
      </c>
      <c r="X166" s="5" t="s">
        <v>1100</v>
      </c>
      <c r="Y166" s="4">
        <v>247</v>
      </c>
      <c r="Z166" s="4">
        <v>223</v>
      </c>
      <c r="AA166" s="4">
        <v>228</v>
      </c>
      <c r="AB166" s="4">
        <v>2</v>
      </c>
      <c r="AC166" s="4">
        <v>2</v>
      </c>
      <c r="AD166" s="4">
        <v>12</v>
      </c>
      <c r="AE166" s="4">
        <v>12</v>
      </c>
      <c r="AF166" s="4">
        <v>3</v>
      </c>
      <c r="AG166" s="4">
        <v>3</v>
      </c>
      <c r="AH166" s="4">
        <v>3</v>
      </c>
      <c r="AI166" s="4">
        <v>3</v>
      </c>
      <c r="AJ166" s="4">
        <v>8</v>
      </c>
      <c r="AK166" s="4">
        <v>8</v>
      </c>
      <c r="AL166" s="4">
        <v>0</v>
      </c>
      <c r="AM166" s="4">
        <v>0</v>
      </c>
      <c r="AN166" s="4">
        <v>2</v>
      </c>
      <c r="AO166" s="4">
        <v>2</v>
      </c>
      <c r="AP166" s="3" t="s">
        <v>51</v>
      </c>
      <c r="AQ166" s="3" t="s">
        <v>51</v>
      </c>
      <c r="AS166" s="6" t="str">
        <f>HYPERLINK("https://creighton-primo.hosted.exlibrisgroup.com/primo-explore/search?tab=default_tab&amp;search_scope=EVERYTHING&amp;vid=01CRU&amp;lang=en_US&amp;offset=0&amp;query=any,contains,991004970359702656","Catalog Record")</f>
        <v>Catalog Record</v>
      </c>
      <c r="AT166" s="6" t="str">
        <f>HYPERLINK("http://www.worldcat.org/oclc/6357394","WorldCat Record")</f>
        <v>WorldCat Record</v>
      </c>
    </row>
    <row r="167" spans="1:46" ht="41.25" customHeight="1" x14ac:dyDescent="0.25">
      <c r="A167" s="8" t="s">
        <v>51</v>
      </c>
      <c r="B167" s="2" t="s">
        <v>1156</v>
      </c>
      <c r="C167" s="2" t="s">
        <v>1157</v>
      </c>
      <c r="D167" s="2" t="s">
        <v>1158</v>
      </c>
      <c r="F167" s="3" t="s">
        <v>51</v>
      </c>
      <c r="G167" s="3" t="s">
        <v>50</v>
      </c>
      <c r="H167" s="3" t="s">
        <v>51</v>
      </c>
      <c r="I167" s="3" t="s">
        <v>51</v>
      </c>
      <c r="J167" s="3" t="s">
        <v>52</v>
      </c>
      <c r="K167" s="2" t="s">
        <v>1159</v>
      </c>
      <c r="L167" s="2" t="s">
        <v>1160</v>
      </c>
      <c r="M167" s="3" t="s">
        <v>858</v>
      </c>
      <c r="N167" s="2" t="s">
        <v>1161</v>
      </c>
      <c r="O167" s="3" t="s">
        <v>56</v>
      </c>
      <c r="P167" s="3" t="s">
        <v>79</v>
      </c>
      <c r="R167" s="3" t="s">
        <v>59</v>
      </c>
      <c r="S167" s="4">
        <v>11</v>
      </c>
      <c r="T167" s="4">
        <v>11</v>
      </c>
      <c r="U167" s="5" t="s">
        <v>1162</v>
      </c>
      <c r="V167" s="5" t="s">
        <v>1162</v>
      </c>
      <c r="W167" s="5" t="s">
        <v>1163</v>
      </c>
      <c r="X167" s="5" t="s">
        <v>1163</v>
      </c>
      <c r="Y167" s="4">
        <v>78</v>
      </c>
      <c r="Z167" s="4">
        <v>43</v>
      </c>
      <c r="AA167" s="4">
        <v>358</v>
      </c>
      <c r="AB167" s="4">
        <v>1</v>
      </c>
      <c r="AC167" s="4">
        <v>2</v>
      </c>
      <c r="AD167" s="4">
        <v>1</v>
      </c>
      <c r="AE167" s="4">
        <v>17</v>
      </c>
      <c r="AF167" s="4">
        <v>0</v>
      </c>
      <c r="AG167" s="4">
        <v>7</v>
      </c>
      <c r="AH167" s="4">
        <v>0</v>
      </c>
      <c r="AI167" s="4">
        <v>4</v>
      </c>
      <c r="AJ167" s="4">
        <v>1</v>
      </c>
      <c r="AK167" s="4">
        <v>12</v>
      </c>
      <c r="AL167" s="4">
        <v>0</v>
      </c>
      <c r="AM167" s="4">
        <v>1</v>
      </c>
      <c r="AN167" s="4">
        <v>0</v>
      </c>
      <c r="AO167" s="4">
        <v>1</v>
      </c>
      <c r="AP167" s="3" t="s">
        <v>51</v>
      </c>
      <c r="AQ167" s="3" t="s">
        <v>51</v>
      </c>
      <c r="AS167" s="6" t="str">
        <f>HYPERLINK("https://creighton-primo.hosted.exlibrisgroup.com/primo-explore/search?tab=default_tab&amp;search_scope=EVERYTHING&amp;vid=01CRU&amp;lang=en_US&amp;offset=0&amp;query=any,contains,991002941769702656","Catalog Record")</f>
        <v>Catalog Record</v>
      </c>
      <c r="AT167" s="6" t="str">
        <f>HYPERLINK("http://www.worldcat.org/oclc/39162308","WorldCat Record")</f>
        <v>WorldCat Record</v>
      </c>
    </row>
    <row r="168" spans="1:46" ht="41.25" customHeight="1" x14ac:dyDescent="0.25">
      <c r="A168" s="8" t="s">
        <v>51</v>
      </c>
      <c r="B168" s="2" t="s">
        <v>1164</v>
      </c>
      <c r="C168" s="2" t="s">
        <v>1165</v>
      </c>
      <c r="D168" s="2" t="s">
        <v>1166</v>
      </c>
      <c r="F168" s="3" t="s">
        <v>51</v>
      </c>
      <c r="G168" s="3" t="s">
        <v>50</v>
      </c>
      <c r="H168" s="3" t="s">
        <v>51</v>
      </c>
      <c r="I168" s="3" t="s">
        <v>49</v>
      </c>
      <c r="J168" s="3" t="s">
        <v>52</v>
      </c>
      <c r="L168" s="2" t="s">
        <v>1167</v>
      </c>
      <c r="M168" s="3" t="s">
        <v>424</v>
      </c>
      <c r="O168" s="3" t="s">
        <v>56</v>
      </c>
      <c r="P168" s="3" t="s">
        <v>113</v>
      </c>
      <c r="R168" s="3" t="s">
        <v>59</v>
      </c>
      <c r="S168" s="4">
        <v>11</v>
      </c>
      <c r="T168" s="4">
        <v>11</v>
      </c>
      <c r="U168" s="5" t="s">
        <v>805</v>
      </c>
      <c r="V168" s="5" t="s">
        <v>805</v>
      </c>
      <c r="W168" s="5" t="s">
        <v>1168</v>
      </c>
      <c r="X168" s="5" t="s">
        <v>1168</v>
      </c>
      <c r="Y168" s="4">
        <v>553</v>
      </c>
      <c r="Z168" s="4">
        <v>430</v>
      </c>
      <c r="AA168" s="4">
        <v>692</v>
      </c>
      <c r="AB168" s="4">
        <v>2</v>
      </c>
      <c r="AC168" s="4">
        <v>3</v>
      </c>
      <c r="AD168" s="4">
        <v>17</v>
      </c>
      <c r="AE168" s="4">
        <v>35</v>
      </c>
      <c r="AF168" s="4">
        <v>6</v>
      </c>
      <c r="AG168" s="4">
        <v>16</v>
      </c>
      <c r="AH168" s="4">
        <v>5</v>
      </c>
      <c r="AI168" s="4">
        <v>7</v>
      </c>
      <c r="AJ168" s="4">
        <v>8</v>
      </c>
      <c r="AK168" s="4">
        <v>16</v>
      </c>
      <c r="AL168" s="4">
        <v>1</v>
      </c>
      <c r="AM168" s="4">
        <v>1</v>
      </c>
      <c r="AN168" s="4">
        <v>1</v>
      </c>
      <c r="AO168" s="4">
        <v>3</v>
      </c>
      <c r="AP168" s="3" t="s">
        <v>51</v>
      </c>
      <c r="AQ168" s="3" t="s">
        <v>49</v>
      </c>
      <c r="AR168" s="6" t="str">
        <f>HYPERLINK("http://catalog.hathitrust.org/Record/000103376","HathiTrust Record")</f>
        <v>HathiTrust Record</v>
      </c>
      <c r="AS168" s="6" t="str">
        <f>HYPERLINK("https://creighton-primo.hosted.exlibrisgroup.com/primo-explore/search?tab=default_tab&amp;search_scope=EVERYTHING&amp;vid=01CRU&amp;lang=en_US&amp;offset=0&amp;query=any,contains,991005266329702656","Catalog Record")</f>
        <v>Catalog Record</v>
      </c>
      <c r="AT168" s="6" t="str">
        <f>HYPERLINK("http://www.worldcat.org/oclc/7789518","WorldCat Record")</f>
        <v>WorldCat Record</v>
      </c>
    </row>
    <row r="169" spans="1:46" ht="41.25" customHeight="1" x14ac:dyDescent="0.25">
      <c r="A169" s="8" t="s">
        <v>51</v>
      </c>
      <c r="B169" s="2" t="s">
        <v>1169</v>
      </c>
      <c r="C169" s="2" t="s">
        <v>1170</v>
      </c>
      <c r="D169" s="2" t="s">
        <v>1171</v>
      </c>
      <c r="F169" s="3" t="s">
        <v>51</v>
      </c>
      <c r="G169" s="3" t="s">
        <v>50</v>
      </c>
      <c r="H169" s="3" t="s">
        <v>49</v>
      </c>
      <c r="I169" s="3" t="s">
        <v>51</v>
      </c>
      <c r="J169" s="3" t="s">
        <v>52</v>
      </c>
      <c r="K169" s="2" t="s">
        <v>1172</v>
      </c>
      <c r="L169" s="2" t="s">
        <v>1173</v>
      </c>
      <c r="M169" s="3" t="s">
        <v>194</v>
      </c>
      <c r="O169" s="3" t="s">
        <v>56</v>
      </c>
      <c r="P169" s="3" t="s">
        <v>578</v>
      </c>
      <c r="Q169" s="2" t="s">
        <v>1174</v>
      </c>
      <c r="R169" s="3" t="s">
        <v>59</v>
      </c>
      <c r="S169" s="4">
        <v>7</v>
      </c>
      <c r="T169" s="4">
        <v>18</v>
      </c>
      <c r="U169" s="5" t="s">
        <v>1175</v>
      </c>
      <c r="V169" s="5" t="s">
        <v>1175</v>
      </c>
      <c r="W169" s="5" t="s">
        <v>1063</v>
      </c>
      <c r="X169" s="5" t="s">
        <v>1176</v>
      </c>
      <c r="Y169" s="4">
        <v>1269</v>
      </c>
      <c r="Z169" s="4">
        <v>1106</v>
      </c>
      <c r="AA169" s="4">
        <v>1118</v>
      </c>
      <c r="AB169" s="4">
        <v>9</v>
      </c>
      <c r="AC169" s="4">
        <v>9</v>
      </c>
      <c r="AD169" s="4">
        <v>59</v>
      </c>
      <c r="AE169" s="4">
        <v>59</v>
      </c>
      <c r="AF169" s="4">
        <v>17</v>
      </c>
      <c r="AG169" s="4">
        <v>17</v>
      </c>
      <c r="AH169" s="4">
        <v>7</v>
      </c>
      <c r="AI169" s="4">
        <v>7</v>
      </c>
      <c r="AJ169" s="4">
        <v>23</v>
      </c>
      <c r="AK169" s="4">
        <v>23</v>
      </c>
      <c r="AL169" s="4">
        <v>4</v>
      </c>
      <c r="AM169" s="4">
        <v>4</v>
      </c>
      <c r="AN169" s="4">
        <v>20</v>
      </c>
      <c r="AO169" s="4">
        <v>20</v>
      </c>
      <c r="AP169" s="3" t="s">
        <v>51</v>
      </c>
      <c r="AQ169" s="3" t="s">
        <v>49</v>
      </c>
      <c r="AR169" s="6" t="str">
        <f>HYPERLINK("http://catalog.hathitrust.org/Record/000029697","HathiTrust Record")</f>
        <v>HathiTrust Record</v>
      </c>
      <c r="AS169" s="6" t="str">
        <f>HYPERLINK("https://creighton-primo.hosted.exlibrisgroup.com/primo-explore/search?tab=default_tab&amp;search_scope=EVERYTHING&amp;vid=01CRU&amp;lang=en_US&amp;offset=0&amp;query=any,contains,991001782839702656","Catalog Record")</f>
        <v>Catalog Record</v>
      </c>
      <c r="AT169" s="6" t="str">
        <f>HYPERLINK("http://www.worldcat.org/oclc/3414018","WorldCat Record")</f>
        <v>WorldCat Record</v>
      </c>
    </row>
    <row r="170" spans="1:46" ht="41.25" customHeight="1" x14ac:dyDescent="0.25">
      <c r="A170" s="8" t="s">
        <v>51</v>
      </c>
      <c r="B170" s="2" t="s">
        <v>1177</v>
      </c>
      <c r="C170" s="2" t="s">
        <v>1178</v>
      </c>
      <c r="D170" s="2" t="s">
        <v>1179</v>
      </c>
      <c r="F170" s="3" t="s">
        <v>51</v>
      </c>
      <c r="G170" s="3" t="s">
        <v>50</v>
      </c>
      <c r="H170" s="3" t="s">
        <v>49</v>
      </c>
      <c r="I170" s="3" t="s">
        <v>51</v>
      </c>
      <c r="J170" s="3" t="s">
        <v>52</v>
      </c>
      <c r="L170" s="2" t="s">
        <v>1180</v>
      </c>
      <c r="M170" s="3" t="s">
        <v>154</v>
      </c>
      <c r="O170" s="3" t="s">
        <v>56</v>
      </c>
      <c r="P170" s="3" t="s">
        <v>79</v>
      </c>
      <c r="R170" s="3" t="s">
        <v>59</v>
      </c>
      <c r="S170" s="4">
        <v>4</v>
      </c>
      <c r="T170" s="4">
        <v>5</v>
      </c>
      <c r="U170" s="5" t="s">
        <v>1018</v>
      </c>
      <c r="V170" s="5" t="s">
        <v>1018</v>
      </c>
      <c r="W170" s="5" t="s">
        <v>485</v>
      </c>
      <c r="X170" s="5" t="s">
        <v>485</v>
      </c>
      <c r="Y170" s="4">
        <v>248</v>
      </c>
      <c r="Z170" s="4">
        <v>192</v>
      </c>
      <c r="AA170" s="4">
        <v>194</v>
      </c>
      <c r="AB170" s="4">
        <v>1</v>
      </c>
      <c r="AC170" s="4">
        <v>1</v>
      </c>
      <c r="AD170" s="4">
        <v>7</v>
      </c>
      <c r="AE170" s="4">
        <v>7</v>
      </c>
      <c r="AF170" s="4">
        <v>2</v>
      </c>
      <c r="AG170" s="4">
        <v>2</v>
      </c>
      <c r="AH170" s="4">
        <v>4</v>
      </c>
      <c r="AI170" s="4">
        <v>4</v>
      </c>
      <c r="AJ170" s="4">
        <v>4</v>
      </c>
      <c r="AK170" s="4">
        <v>4</v>
      </c>
      <c r="AL170" s="4">
        <v>0</v>
      </c>
      <c r="AM170" s="4">
        <v>0</v>
      </c>
      <c r="AN170" s="4">
        <v>0</v>
      </c>
      <c r="AO170" s="4">
        <v>0</v>
      </c>
      <c r="AP170" s="3" t="s">
        <v>51</v>
      </c>
      <c r="AQ170" s="3" t="s">
        <v>51</v>
      </c>
      <c r="AS170" s="6" t="str">
        <f>HYPERLINK("https://creighton-primo.hosted.exlibrisgroup.com/primo-explore/search?tab=default_tab&amp;search_scope=EVERYTHING&amp;vid=01CRU&amp;lang=en_US&amp;offset=0&amp;query=any,contains,991001795409702656","Catalog Record")</f>
        <v>Catalog Record</v>
      </c>
      <c r="AT170" s="6" t="str">
        <f>HYPERLINK("http://www.worldcat.org/oclc/7998547","WorldCat Record")</f>
        <v>WorldCat Record</v>
      </c>
    </row>
    <row r="171" spans="1:46" ht="41.25" customHeight="1" x14ac:dyDescent="0.25">
      <c r="A171" s="8" t="s">
        <v>51</v>
      </c>
      <c r="B171" s="2" t="s">
        <v>1181</v>
      </c>
      <c r="C171" s="2" t="s">
        <v>1182</v>
      </c>
      <c r="D171" s="2" t="s">
        <v>1183</v>
      </c>
      <c r="F171" s="3" t="s">
        <v>51</v>
      </c>
      <c r="G171" s="3" t="s">
        <v>50</v>
      </c>
      <c r="H171" s="3" t="s">
        <v>51</v>
      </c>
      <c r="I171" s="3" t="s">
        <v>51</v>
      </c>
      <c r="J171" s="3" t="s">
        <v>52</v>
      </c>
      <c r="K171" s="2" t="s">
        <v>1184</v>
      </c>
      <c r="L171" s="2" t="s">
        <v>1185</v>
      </c>
      <c r="M171" s="3" t="s">
        <v>146</v>
      </c>
      <c r="O171" s="3" t="s">
        <v>56</v>
      </c>
      <c r="P171" s="3" t="s">
        <v>87</v>
      </c>
      <c r="R171" s="3" t="s">
        <v>59</v>
      </c>
      <c r="S171" s="4">
        <v>22</v>
      </c>
      <c r="T171" s="4">
        <v>22</v>
      </c>
      <c r="U171" s="5" t="s">
        <v>1186</v>
      </c>
      <c r="V171" s="5" t="s">
        <v>1186</v>
      </c>
      <c r="W171" s="5" t="s">
        <v>806</v>
      </c>
      <c r="X171" s="5" t="s">
        <v>806</v>
      </c>
      <c r="Y171" s="4">
        <v>739</v>
      </c>
      <c r="Z171" s="4">
        <v>703</v>
      </c>
      <c r="AA171" s="4">
        <v>705</v>
      </c>
      <c r="AB171" s="4">
        <v>2</v>
      </c>
      <c r="AC171" s="4">
        <v>2</v>
      </c>
      <c r="AD171" s="4">
        <v>24</v>
      </c>
      <c r="AE171" s="4">
        <v>24</v>
      </c>
      <c r="AF171" s="4">
        <v>7</v>
      </c>
      <c r="AG171" s="4">
        <v>7</v>
      </c>
      <c r="AH171" s="4">
        <v>7</v>
      </c>
      <c r="AI171" s="4">
        <v>7</v>
      </c>
      <c r="AJ171" s="4">
        <v>15</v>
      </c>
      <c r="AK171" s="4">
        <v>15</v>
      </c>
      <c r="AL171" s="4">
        <v>1</v>
      </c>
      <c r="AM171" s="4">
        <v>1</v>
      </c>
      <c r="AN171" s="4">
        <v>1</v>
      </c>
      <c r="AO171" s="4">
        <v>1</v>
      </c>
      <c r="AP171" s="3" t="s">
        <v>51</v>
      </c>
      <c r="AQ171" s="3" t="s">
        <v>49</v>
      </c>
      <c r="AR171" s="6" t="str">
        <f>HYPERLINK("http://catalog.hathitrust.org/Record/000912602","HathiTrust Record")</f>
        <v>HathiTrust Record</v>
      </c>
      <c r="AS171" s="6" t="str">
        <f>HYPERLINK("https://creighton-primo.hosted.exlibrisgroup.com/primo-explore/search?tab=default_tab&amp;search_scope=EVERYTHING&amp;vid=01CRU&amp;lang=en_US&amp;offset=0&amp;query=any,contains,991001107459702656","Catalog Record")</f>
        <v>Catalog Record</v>
      </c>
      <c r="AT171" s="6" t="str">
        <f>HYPERLINK("http://www.worldcat.org/oclc/16406163","WorldCat Record")</f>
        <v>WorldCat Record</v>
      </c>
    </row>
    <row r="172" spans="1:46" ht="41.25" customHeight="1" x14ac:dyDescent="0.25">
      <c r="A172" s="8" t="s">
        <v>51</v>
      </c>
      <c r="B172" s="2" t="s">
        <v>1187</v>
      </c>
      <c r="C172" s="2" t="s">
        <v>1188</v>
      </c>
      <c r="D172" s="2" t="s">
        <v>1189</v>
      </c>
      <c r="F172" s="3" t="s">
        <v>51</v>
      </c>
      <c r="G172" s="3" t="s">
        <v>50</v>
      </c>
      <c r="H172" s="3" t="s">
        <v>51</v>
      </c>
      <c r="I172" s="3" t="s">
        <v>51</v>
      </c>
      <c r="J172" s="3" t="s">
        <v>52</v>
      </c>
      <c r="K172" s="2" t="s">
        <v>1190</v>
      </c>
      <c r="L172" s="2" t="s">
        <v>1191</v>
      </c>
      <c r="M172" s="3" t="s">
        <v>498</v>
      </c>
      <c r="N172" s="2" t="s">
        <v>1192</v>
      </c>
      <c r="O172" s="3" t="s">
        <v>56</v>
      </c>
      <c r="P172" s="3" t="s">
        <v>87</v>
      </c>
      <c r="R172" s="3" t="s">
        <v>59</v>
      </c>
      <c r="S172" s="4">
        <v>28</v>
      </c>
      <c r="T172" s="4">
        <v>28</v>
      </c>
      <c r="U172" s="5" t="s">
        <v>1193</v>
      </c>
      <c r="V172" s="5" t="s">
        <v>1193</v>
      </c>
      <c r="W172" s="5" t="s">
        <v>1194</v>
      </c>
      <c r="X172" s="5" t="s">
        <v>1194</v>
      </c>
      <c r="Y172" s="4">
        <v>317</v>
      </c>
      <c r="Z172" s="4">
        <v>265</v>
      </c>
      <c r="AA172" s="4">
        <v>658</v>
      </c>
      <c r="AB172" s="4">
        <v>2</v>
      </c>
      <c r="AC172" s="4">
        <v>5</v>
      </c>
      <c r="AD172" s="4">
        <v>22</v>
      </c>
      <c r="AE172" s="4">
        <v>44</v>
      </c>
      <c r="AF172" s="4">
        <v>9</v>
      </c>
      <c r="AG172" s="4">
        <v>18</v>
      </c>
      <c r="AH172" s="4">
        <v>5</v>
      </c>
      <c r="AI172" s="4">
        <v>8</v>
      </c>
      <c r="AJ172" s="4">
        <v>13</v>
      </c>
      <c r="AK172" s="4">
        <v>24</v>
      </c>
      <c r="AL172" s="4">
        <v>1</v>
      </c>
      <c r="AM172" s="4">
        <v>3</v>
      </c>
      <c r="AN172" s="4">
        <v>0</v>
      </c>
      <c r="AO172" s="4">
        <v>2</v>
      </c>
      <c r="AP172" s="3" t="s">
        <v>51</v>
      </c>
      <c r="AQ172" s="3" t="s">
        <v>51</v>
      </c>
      <c r="AS172" s="6" t="str">
        <f>HYPERLINK("https://creighton-primo.hosted.exlibrisgroup.com/primo-explore/search?tab=default_tab&amp;search_scope=EVERYTHING&amp;vid=01CRU&amp;lang=en_US&amp;offset=0&amp;query=any,contains,991002737379702656","Catalog Record")</f>
        <v>Catalog Record</v>
      </c>
      <c r="AT172" s="6" t="str">
        <f>HYPERLINK("http://www.worldcat.org/oclc/35927998","WorldCat Record")</f>
        <v>WorldCat Record</v>
      </c>
    </row>
    <row r="173" spans="1:46" ht="41.25" customHeight="1" x14ac:dyDescent="0.25">
      <c r="A173" s="8" t="s">
        <v>51</v>
      </c>
      <c r="B173" s="2" t="s">
        <v>1195</v>
      </c>
      <c r="C173" s="2" t="s">
        <v>1196</v>
      </c>
      <c r="D173" s="2" t="s">
        <v>1197</v>
      </c>
      <c r="F173" s="3" t="s">
        <v>51</v>
      </c>
      <c r="G173" s="3" t="s">
        <v>50</v>
      </c>
      <c r="H173" s="3" t="s">
        <v>49</v>
      </c>
      <c r="I173" s="3" t="s">
        <v>51</v>
      </c>
      <c r="J173" s="3" t="s">
        <v>52</v>
      </c>
      <c r="L173" s="2" t="s">
        <v>1198</v>
      </c>
      <c r="M173" s="3" t="s">
        <v>858</v>
      </c>
      <c r="O173" s="3" t="s">
        <v>56</v>
      </c>
      <c r="P173" s="3" t="s">
        <v>202</v>
      </c>
      <c r="R173" s="3" t="s">
        <v>59</v>
      </c>
      <c r="S173" s="4">
        <v>0</v>
      </c>
      <c r="T173" s="4">
        <v>21</v>
      </c>
      <c r="V173" s="5" t="s">
        <v>1199</v>
      </c>
      <c r="W173" s="5" t="s">
        <v>1200</v>
      </c>
      <c r="X173" s="5" t="s">
        <v>1201</v>
      </c>
      <c r="Y173" s="4">
        <v>778</v>
      </c>
      <c r="Z173" s="4">
        <v>694</v>
      </c>
      <c r="AA173" s="4">
        <v>717</v>
      </c>
      <c r="AB173" s="4">
        <v>3</v>
      </c>
      <c r="AC173" s="4">
        <v>3</v>
      </c>
      <c r="AD173" s="4">
        <v>40</v>
      </c>
      <c r="AE173" s="4">
        <v>40</v>
      </c>
      <c r="AF173" s="4">
        <v>12</v>
      </c>
      <c r="AG173" s="4">
        <v>12</v>
      </c>
      <c r="AH173" s="4">
        <v>8</v>
      </c>
      <c r="AI173" s="4">
        <v>8</v>
      </c>
      <c r="AJ173" s="4">
        <v>15</v>
      </c>
      <c r="AK173" s="4">
        <v>15</v>
      </c>
      <c r="AL173" s="4">
        <v>1</v>
      </c>
      <c r="AM173" s="4">
        <v>1</v>
      </c>
      <c r="AN173" s="4">
        <v>11</v>
      </c>
      <c r="AO173" s="4">
        <v>11</v>
      </c>
      <c r="AP173" s="3" t="s">
        <v>51</v>
      </c>
      <c r="AQ173" s="3" t="s">
        <v>49</v>
      </c>
      <c r="AR173" s="6" t="str">
        <f>HYPERLINK("http://catalog.hathitrust.org/Record/004018307","HathiTrust Record")</f>
        <v>HathiTrust Record</v>
      </c>
      <c r="AS173" s="6" t="str">
        <f>HYPERLINK("https://creighton-primo.hosted.exlibrisgroup.com/primo-explore/search?tab=default_tab&amp;search_scope=EVERYTHING&amp;vid=01CRU&amp;lang=en_US&amp;offset=0&amp;query=any,contains,991001693119702656","Catalog Record")</f>
        <v>Catalog Record</v>
      </c>
      <c r="AT173" s="6" t="str">
        <f>HYPERLINK("http://www.worldcat.org/oclc/37695741","WorldCat Record")</f>
        <v>WorldCat Record</v>
      </c>
    </row>
    <row r="174" spans="1:46" ht="41.25" customHeight="1" x14ac:dyDescent="0.25">
      <c r="A174" s="8" t="s">
        <v>51</v>
      </c>
      <c r="B174" s="2" t="s">
        <v>1202</v>
      </c>
      <c r="C174" s="2" t="s">
        <v>1203</v>
      </c>
      <c r="D174" s="2" t="s">
        <v>1204</v>
      </c>
      <c r="F174" s="3" t="s">
        <v>51</v>
      </c>
      <c r="G174" s="3" t="s">
        <v>50</v>
      </c>
      <c r="H174" s="3" t="s">
        <v>51</v>
      </c>
      <c r="I174" s="3" t="s">
        <v>51</v>
      </c>
      <c r="J174" s="3" t="s">
        <v>52</v>
      </c>
      <c r="K174" s="2" t="s">
        <v>1205</v>
      </c>
      <c r="L174" s="2" t="s">
        <v>1206</v>
      </c>
      <c r="M174" s="3" t="s">
        <v>858</v>
      </c>
      <c r="O174" s="3" t="s">
        <v>56</v>
      </c>
      <c r="P174" s="3" t="s">
        <v>69</v>
      </c>
      <c r="R174" s="3" t="s">
        <v>59</v>
      </c>
      <c r="S174" s="4">
        <v>21</v>
      </c>
      <c r="T174" s="4">
        <v>21</v>
      </c>
      <c r="U174" s="5" t="s">
        <v>1207</v>
      </c>
      <c r="V174" s="5" t="s">
        <v>1207</v>
      </c>
      <c r="W174" s="5" t="s">
        <v>1208</v>
      </c>
      <c r="X174" s="5" t="s">
        <v>1208</v>
      </c>
      <c r="Y174" s="4">
        <v>151</v>
      </c>
      <c r="Z174" s="4">
        <v>132</v>
      </c>
      <c r="AA174" s="4">
        <v>132</v>
      </c>
      <c r="AB174" s="4">
        <v>1</v>
      </c>
      <c r="AC174" s="4">
        <v>1</v>
      </c>
      <c r="AD174" s="4">
        <v>11</v>
      </c>
      <c r="AE174" s="4">
        <v>11</v>
      </c>
      <c r="AF174" s="4">
        <v>1</v>
      </c>
      <c r="AG174" s="4">
        <v>1</v>
      </c>
      <c r="AH174" s="4">
        <v>2</v>
      </c>
      <c r="AI174" s="4">
        <v>2</v>
      </c>
      <c r="AJ174" s="4">
        <v>6</v>
      </c>
      <c r="AK174" s="4">
        <v>6</v>
      </c>
      <c r="AL174" s="4">
        <v>0</v>
      </c>
      <c r="AM174" s="4">
        <v>0</v>
      </c>
      <c r="AN174" s="4">
        <v>4</v>
      </c>
      <c r="AO174" s="4">
        <v>4</v>
      </c>
      <c r="AP174" s="3" t="s">
        <v>51</v>
      </c>
      <c r="AQ174" s="3" t="s">
        <v>51</v>
      </c>
      <c r="AS174" s="6" t="str">
        <f>HYPERLINK("https://creighton-primo.hosted.exlibrisgroup.com/primo-explore/search?tab=default_tab&amp;search_scope=EVERYTHING&amp;vid=01CRU&amp;lang=en_US&amp;offset=0&amp;query=any,contains,991002884799702656","Catalog Record")</f>
        <v>Catalog Record</v>
      </c>
      <c r="AT174" s="6" t="str">
        <f>HYPERLINK("http://www.worldcat.org/oclc/38014436","WorldCat Record")</f>
        <v>WorldCat Record</v>
      </c>
    </row>
    <row r="175" spans="1:46" ht="41.25" customHeight="1" x14ac:dyDescent="0.25">
      <c r="A175" s="8" t="s">
        <v>51</v>
      </c>
      <c r="B175" s="2" t="s">
        <v>1209</v>
      </c>
      <c r="C175" s="2" t="s">
        <v>1210</v>
      </c>
      <c r="D175" s="2" t="s">
        <v>1211</v>
      </c>
      <c r="F175" s="3" t="s">
        <v>51</v>
      </c>
      <c r="G175" s="3" t="s">
        <v>50</v>
      </c>
      <c r="H175" s="3" t="s">
        <v>51</v>
      </c>
      <c r="I175" s="3" t="s">
        <v>51</v>
      </c>
      <c r="J175" s="3" t="s">
        <v>52</v>
      </c>
      <c r="L175" s="2" t="s">
        <v>1212</v>
      </c>
      <c r="M175" s="3" t="s">
        <v>77</v>
      </c>
      <c r="O175" s="3" t="s">
        <v>56</v>
      </c>
      <c r="P175" s="3" t="s">
        <v>87</v>
      </c>
      <c r="Q175" s="2" t="s">
        <v>1213</v>
      </c>
      <c r="R175" s="3" t="s">
        <v>59</v>
      </c>
      <c r="S175" s="4">
        <v>54</v>
      </c>
      <c r="T175" s="4">
        <v>54</v>
      </c>
      <c r="U175" s="5" t="s">
        <v>1214</v>
      </c>
      <c r="V175" s="5" t="s">
        <v>1214</v>
      </c>
      <c r="W175" s="5" t="s">
        <v>1132</v>
      </c>
      <c r="X175" s="5" t="s">
        <v>1132</v>
      </c>
      <c r="Y175" s="4">
        <v>672</v>
      </c>
      <c r="Z175" s="4">
        <v>570</v>
      </c>
      <c r="AA175" s="4">
        <v>570</v>
      </c>
      <c r="AB175" s="4">
        <v>4</v>
      </c>
      <c r="AC175" s="4">
        <v>4</v>
      </c>
      <c r="AD175" s="4">
        <v>28</v>
      </c>
      <c r="AE175" s="4">
        <v>28</v>
      </c>
      <c r="AF175" s="4">
        <v>12</v>
      </c>
      <c r="AG175" s="4">
        <v>12</v>
      </c>
      <c r="AH175" s="4">
        <v>5</v>
      </c>
      <c r="AI175" s="4">
        <v>5</v>
      </c>
      <c r="AJ175" s="4">
        <v>14</v>
      </c>
      <c r="AK175" s="4">
        <v>14</v>
      </c>
      <c r="AL175" s="4">
        <v>3</v>
      </c>
      <c r="AM175" s="4">
        <v>3</v>
      </c>
      <c r="AN175" s="4">
        <v>1</v>
      </c>
      <c r="AO175" s="4">
        <v>1</v>
      </c>
      <c r="AP175" s="3" t="s">
        <v>51</v>
      </c>
      <c r="AQ175" s="3" t="s">
        <v>51</v>
      </c>
      <c r="AS175" s="6" t="str">
        <f>HYPERLINK("https://creighton-primo.hosted.exlibrisgroup.com/primo-explore/search?tab=default_tab&amp;search_scope=EVERYTHING&amp;vid=01CRU&amp;lang=en_US&amp;offset=0&amp;query=any,contains,991001832759702656","Catalog Record")</f>
        <v>Catalog Record</v>
      </c>
      <c r="AT175" s="6" t="str">
        <f>HYPERLINK("http://www.worldcat.org/oclc/23017298","WorldCat Record")</f>
        <v>WorldCat Record</v>
      </c>
    </row>
    <row r="176" spans="1:46" ht="41.25" customHeight="1" x14ac:dyDescent="0.25">
      <c r="A176" s="8" t="s">
        <v>51</v>
      </c>
      <c r="B176" s="2" t="s">
        <v>1215</v>
      </c>
      <c r="C176" s="2" t="s">
        <v>1216</v>
      </c>
      <c r="D176" s="2" t="s">
        <v>1217</v>
      </c>
      <c r="F176" s="3" t="s">
        <v>51</v>
      </c>
      <c r="G176" s="3" t="s">
        <v>50</v>
      </c>
      <c r="H176" s="3" t="s">
        <v>51</v>
      </c>
      <c r="I176" s="3" t="s">
        <v>51</v>
      </c>
      <c r="J176" s="3" t="s">
        <v>52</v>
      </c>
      <c r="K176" s="2" t="s">
        <v>1218</v>
      </c>
      <c r="L176" s="2" t="s">
        <v>1219</v>
      </c>
      <c r="M176" s="3" t="s">
        <v>68</v>
      </c>
      <c r="N176" s="2" t="s">
        <v>1220</v>
      </c>
      <c r="O176" s="3" t="s">
        <v>56</v>
      </c>
      <c r="P176" s="3" t="s">
        <v>79</v>
      </c>
      <c r="R176" s="3" t="s">
        <v>59</v>
      </c>
      <c r="S176" s="4">
        <v>6</v>
      </c>
      <c r="T176" s="4">
        <v>6</v>
      </c>
      <c r="U176" s="5" t="s">
        <v>1221</v>
      </c>
      <c r="V176" s="5" t="s">
        <v>1221</v>
      </c>
      <c r="W176" s="5" t="s">
        <v>1222</v>
      </c>
      <c r="X176" s="5" t="s">
        <v>1222</v>
      </c>
      <c r="Y176" s="4">
        <v>275</v>
      </c>
      <c r="Z176" s="4">
        <v>234</v>
      </c>
      <c r="AA176" s="4">
        <v>236</v>
      </c>
      <c r="AB176" s="4">
        <v>2</v>
      </c>
      <c r="AC176" s="4">
        <v>2</v>
      </c>
      <c r="AD176" s="4">
        <v>11</v>
      </c>
      <c r="AE176" s="4">
        <v>11</v>
      </c>
      <c r="AF176" s="4">
        <v>2</v>
      </c>
      <c r="AG176" s="4">
        <v>2</v>
      </c>
      <c r="AH176" s="4">
        <v>3</v>
      </c>
      <c r="AI176" s="4">
        <v>3</v>
      </c>
      <c r="AJ176" s="4">
        <v>8</v>
      </c>
      <c r="AK176" s="4">
        <v>8</v>
      </c>
      <c r="AL176" s="4">
        <v>1</v>
      </c>
      <c r="AM176" s="4">
        <v>1</v>
      </c>
      <c r="AN176" s="4">
        <v>1</v>
      </c>
      <c r="AO176" s="4">
        <v>1</v>
      </c>
      <c r="AP176" s="3" t="s">
        <v>51</v>
      </c>
      <c r="AQ176" s="3" t="s">
        <v>49</v>
      </c>
      <c r="AR176" s="6" t="str">
        <f>HYPERLINK("http://catalog.hathitrust.org/Record/000002723","HathiTrust Record")</f>
        <v>HathiTrust Record</v>
      </c>
      <c r="AS176" s="6" t="str">
        <f>HYPERLINK("https://creighton-primo.hosted.exlibrisgroup.com/primo-explore/search?tab=default_tab&amp;search_scope=EVERYTHING&amp;vid=01CRU&amp;lang=en_US&amp;offset=0&amp;query=any,contains,991001137589702656","Catalog Record")</f>
        <v>Catalog Record</v>
      </c>
      <c r="AT176" s="6" t="str">
        <f>HYPERLINK("http://www.worldcat.org/oclc/185196","WorldCat Record")</f>
        <v>WorldCat Record</v>
      </c>
    </row>
    <row r="177" spans="1:46" ht="41.25" customHeight="1" x14ac:dyDescent="0.25">
      <c r="A177" s="8" t="s">
        <v>51</v>
      </c>
      <c r="B177" s="2" t="s">
        <v>1223</v>
      </c>
      <c r="C177" s="2" t="s">
        <v>1224</v>
      </c>
      <c r="D177" s="2" t="s">
        <v>1225</v>
      </c>
      <c r="F177" s="3" t="s">
        <v>51</v>
      </c>
      <c r="G177" s="3" t="s">
        <v>50</v>
      </c>
      <c r="H177" s="3" t="s">
        <v>49</v>
      </c>
      <c r="I177" s="3" t="s">
        <v>51</v>
      </c>
      <c r="J177" s="3" t="s">
        <v>52</v>
      </c>
      <c r="K177" s="2" t="s">
        <v>1226</v>
      </c>
      <c r="L177" s="2" t="s">
        <v>1227</v>
      </c>
      <c r="M177" s="3" t="s">
        <v>424</v>
      </c>
      <c r="O177" s="3" t="s">
        <v>56</v>
      </c>
      <c r="P177" s="3" t="s">
        <v>87</v>
      </c>
      <c r="R177" s="3" t="s">
        <v>59</v>
      </c>
      <c r="S177" s="4">
        <v>9</v>
      </c>
      <c r="T177" s="4">
        <v>45</v>
      </c>
      <c r="U177" s="5" t="s">
        <v>1221</v>
      </c>
      <c r="V177" s="5" t="s">
        <v>1221</v>
      </c>
      <c r="W177" s="5" t="s">
        <v>793</v>
      </c>
      <c r="X177" s="5" t="s">
        <v>793</v>
      </c>
      <c r="Y177" s="4">
        <v>861</v>
      </c>
      <c r="Z177" s="4">
        <v>742</v>
      </c>
      <c r="AA177" s="4">
        <v>748</v>
      </c>
      <c r="AB177" s="4">
        <v>4</v>
      </c>
      <c r="AC177" s="4">
        <v>4</v>
      </c>
      <c r="AD177" s="4">
        <v>40</v>
      </c>
      <c r="AE177" s="4">
        <v>40</v>
      </c>
      <c r="AF177" s="4">
        <v>15</v>
      </c>
      <c r="AG177" s="4">
        <v>15</v>
      </c>
      <c r="AH177" s="4">
        <v>6</v>
      </c>
      <c r="AI177" s="4">
        <v>6</v>
      </c>
      <c r="AJ177" s="4">
        <v>20</v>
      </c>
      <c r="AK177" s="4">
        <v>20</v>
      </c>
      <c r="AL177" s="4">
        <v>2</v>
      </c>
      <c r="AM177" s="4">
        <v>2</v>
      </c>
      <c r="AN177" s="4">
        <v>7</v>
      </c>
      <c r="AO177" s="4">
        <v>7</v>
      </c>
      <c r="AP177" s="3" t="s">
        <v>51</v>
      </c>
      <c r="AQ177" s="3" t="s">
        <v>49</v>
      </c>
      <c r="AR177" s="6" t="str">
        <f>HYPERLINK("http://catalog.hathitrust.org/Record/000104024","HathiTrust Record")</f>
        <v>HathiTrust Record</v>
      </c>
      <c r="AS177" s="6" t="str">
        <f>HYPERLINK("https://creighton-primo.hosted.exlibrisgroup.com/primo-explore/search?tab=default_tab&amp;search_scope=EVERYTHING&amp;vid=01CRU&amp;lang=en_US&amp;offset=0&amp;query=any,contains,991001801379702656","Catalog Record")</f>
        <v>Catalog Record</v>
      </c>
      <c r="AT177" s="6" t="str">
        <f>HYPERLINK("http://www.worldcat.org/oclc/7739374","WorldCat Record")</f>
        <v>WorldCat Record</v>
      </c>
    </row>
    <row r="178" spans="1:46" ht="41.25" customHeight="1" x14ac:dyDescent="0.25">
      <c r="A178" s="8" t="s">
        <v>51</v>
      </c>
      <c r="B178" s="2" t="s">
        <v>1228</v>
      </c>
      <c r="C178" s="2" t="s">
        <v>1229</v>
      </c>
      <c r="D178" s="2" t="s">
        <v>1230</v>
      </c>
      <c r="F178" s="3" t="s">
        <v>51</v>
      </c>
      <c r="G178" s="3" t="s">
        <v>50</v>
      </c>
      <c r="H178" s="3" t="s">
        <v>51</v>
      </c>
      <c r="I178" s="3" t="s">
        <v>51</v>
      </c>
      <c r="J178" s="3" t="s">
        <v>52</v>
      </c>
      <c r="L178" s="2" t="s">
        <v>1231</v>
      </c>
      <c r="M178" s="3" t="s">
        <v>129</v>
      </c>
      <c r="O178" s="3" t="s">
        <v>56</v>
      </c>
      <c r="P178" s="3" t="s">
        <v>57</v>
      </c>
      <c r="Q178" s="2" t="s">
        <v>1232</v>
      </c>
      <c r="R178" s="3" t="s">
        <v>59</v>
      </c>
      <c r="S178" s="4">
        <v>2</v>
      </c>
      <c r="T178" s="4">
        <v>2</v>
      </c>
      <c r="U178" s="5" t="s">
        <v>1233</v>
      </c>
      <c r="V178" s="5" t="s">
        <v>1233</v>
      </c>
      <c r="W178" s="5" t="s">
        <v>1234</v>
      </c>
      <c r="X178" s="5" t="s">
        <v>1234</v>
      </c>
      <c r="Y178" s="4">
        <v>314</v>
      </c>
      <c r="Z178" s="4">
        <v>251</v>
      </c>
      <c r="AA178" s="4">
        <v>268</v>
      </c>
      <c r="AB178" s="4">
        <v>1</v>
      </c>
      <c r="AC178" s="4">
        <v>1</v>
      </c>
      <c r="AD178" s="4">
        <v>21</v>
      </c>
      <c r="AE178" s="4">
        <v>22</v>
      </c>
      <c r="AF178" s="4">
        <v>7</v>
      </c>
      <c r="AG178" s="4">
        <v>8</v>
      </c>
      <c r="AH178" s="4">
        <v>6</v>
      </c>
      <c r="AI178" s="4">
        <v>6</v>
      </c>
      <c r="AJ178" s="4">
        <v>17</v>
      </c>
      <c r="AK178" s="4">
        <v>18</v>
      </c>
      <c r="AL178" s="4">
        <v>0</v>
      </c>
      <c r="AM178" s="4">
        <v>0</v>
      </c>
      <c r="AN178" s="4">
        <v>1</v>
      </c>
      <c r="AO178" s="4">
        <v>1</v>
      </c>
      <c r="AP178" s="3" t="s">
        <v>51</v>
      </c>
      <c r="AQ178" s="3" t="s">
        <v>51</v>
      </c>
      <c r="AS178" s="6" t="str">
        <f>HYPERLINK("https://creighton-primo.hosted.exlibrisgroup.com/primo-explore/search?tab=default_tab&amp;search_scope=EVERYTHING&amp;vid=01CRU&amp;lang=en_US&amp;offset=0&amp;query=any,contains,991000571689702656","Catalog Record")</f>
        <v>Catalog Record</v>
      </c>
      <c r="AT178" s="6" t="str">
        <f>HYPERLINK("http://www.worldcat.org/oclc/11650648","WorldCat Record")</f>
        <v>WorldCat Record</v>
      </c>
    </row>
    <row r="179" spans="1:46" ht="41.25" customHeight="1" x14ac:dyDescent="0.25">
      <c r="A179" s="8" t="s">
        <v>51</v>
      </c>
      <c r="B179" s="2" t="s">
        <v>1235</v>
      </c>
      <c r="C179" s="2" t="s">
        <v>1236</v>
      </c>
      <c r="D179" s="2" t="s">
        <v>1237</v>
      </c>
      <c r="F179" s="3" t="s">
        <v>51</v>
      </c>
      <c r="G179" s="3" t="s">
        <v>50</v>
      </c>
      <c r="H179" s="3" t="s">
        <v>49</v>
      </c>
      <c r="I179" s="3" t="s">
        <v>51</v>
      </c>
      <c r="J179" s="3" t="s">
        <v>52</v>
      </c>
      <c r="K179" s="2" t="s">
        <v>1238</v>
      </c>
      <c r="L179" s="2" t="s">
        <v>1239</v>
      </c>
      <c r="M179" s="3" t="s">
        <v>858</v>
      </c>
      <c r="O179" s="3" t="s">
        <v>56</v>
      </c>
      <c r="P179" s="3" t="s">
        <v>1240</v>
      </c>
      <c r="Q179" s="2" t="s">
        <v>1241</v>
      </c>
      <c r="R179" s="3" t="s">
        <v>59</v>
      </c>
      <c r="S179" s="4">
        <v>9</v>
      </c>
      <c r="T179" s="4">
        <v>28</v>
      </c>
      <c r="U179" s="5" t="s">
        <v>1242</v>
      </c>
      <c r="V179" s="5" t="s">
        <v>1243</v>
      </c>
      <c r="W179" s="5" t="s">
        <v>1244</v>
      </c>
      <c r="X179" s="5" t="s">
        <v>1244</v>
      </c>
      <c r="Y179" s="4">
        <v>160</v>
      </c>
      <c r="Z179" s="4">
        <v>139</v>
      </c>
      <c r="AA179" s="4">
        <v>1038</v>
      </c>
      <c r="AB179" s="4">
        <v>2</v>
      </c>
      <c r="AC179" s="4">
        <v>5</v>
      </c>
      <c r="AD179" s="4">
        <v>10</v>
      </c>
      <c r="AE179" s="4">
        <v>30</v>
      </c>
      <c r="AF179" s="4">
        <v>0</v>
      </c>
      <c r="AG179" s="4">
        <v>12</v>
      </c>
      <c r="AH179" s="4">
        <v>5</v>
      </c>
      <c r="AI179" s="4">
        <v>8</v>
      </c>
      <c r="AJ179" s="4">
        <v>7</v>
      </c>
      <c r="AK179" s="4">
        <v>14</v>
      </c>
      <c r="AL179" s="4">
        <v>0</v>
      </c>
      <c r="AM179" s="4">
        <v>3</v>
      </c>
      <c r="AN179" s="4">
        <v>0</v>
      </c>
      <c r="AO179" s="4">
        <v>0</v>
      </c>
      <c r="AP179" s="3" t="s">
        <v>51</v>
      </c>
      <c r="AQ179" s="3" t="s">
        <v>49</v>
      </c>
      <c r="AR179" s="6" t="str">
        <f>HYPERLINK("http://catalog.hathitrust.org/Record/004097919","HathiTrust Record")</f>
        <v>HathiTrust Record</v>
      </c>
      <c r="AS179" s="6" t="str">
        <f>HYPERLINK("https://creighton-primo.hosted.exlibrisgroup.com/primo-explore/search?tab=default_tab&amp;search_scope=EVERYTHING&amp;vid=01CRU&amp;lang=en_US&amp;offset=0&amp;query=any,contains,991001761399702656","Catalog Record")</f>
        <v>Catalog Record</v>
      </c>
      <c r="AT179" s="6" t="str">
        <f>HYPERLINK("http://www.worldcat.org/oclc/41508760","WorldCat Record")</f>
        <v>WorldCat Record</v>
      </c>
    </row>
    <row r="180" spans="1:46" ht="41.25" customHeight="1" x14ac:dyDescent="0.25">
      <c r="A180" s="8" t="s">
        <v>51</v>
      </c>
      <c r="B180" s="2" t="s">
        <v>1245</v>
      </c>
      <c r="C180" s="2" t="s">
        <v>1246</v>
      </c>
      <c r="D180" s="2" t="s">
        <v>1247</v>
      </c>
      <c r="F180" s="3" t="s">
        <v>51</v>
      </c>
      <c r="G180" s="3" t="s">
        <v>50</v>
      </c>
      <c r="H180" s="3" t="s">
        <v>49</v>
      </c>
      <c r="I180" s="3" t="s">
        <v>51</v>
      </c>
      <c r="J180" s="3" t="s">
        <v>52</v>
      </c>
      <c r="K180" s="2" t="s">
        <v>1248</v>
      </c>
      <c r="L180" s="2" t="s">
        <v>1249</v>
      </c>
      <c r="M180" s="3" t="s">
        <v>194</v>
      </c>
      <c r="O180" s="3" t="s">
        <v>56</v>
      </c>
      <c r="P180" s="3" t="s">
        <v>992</v>
      </c>
      <c r="Q180" s="2" t="s">
        <v>1250</v>
      </c>
      <c r="R180" s="3" t="s">
        <v>59</v>
      </c>
      <c r="S180" s="4">
        <v>11</v>
      </c>
      <c r="T180" s="4">
        <v>15</v>
      </c>
      <c r="U180" s="5" t="s">
        <v>1251</v>
      </c>
      <c r="V180" s="5" t="s">
        <v>1251</v>
      </c>
      <c r="W180" s="5" t="s">
        <v>1252</v>
      </c>
      <c r="X180" s="5" t="s">
        <v>1252</v>
      </c>
      <c r="Y180" s="4">
        <v>439</v>
      </c>
      <c r="Z180" s="4">
        <v>405</v>
      </c>
      <c r="AA180" s="4">
        <v>408</v>
      </c>
      <c r="AB180" s="4">
        <v>2</v>
      </c>
      <c r="AC180" s="4">
        <v>2</v>
      </c>
      <c r="AD180" s="4">
        <v>25</v>
      </c>
      <c r="AE180" s="4">
        <v>25</v>
      </c>
      <c r="AF180" s="4">
        <v>9</v>
      </c>
      <c r="AG180" s="4">
        <v>9</v>
      </c>
      <c r="AH180" s="4">
        <v>4</v>
      </c>
      <c r="AI180" s="4">
        <v>4</v>
      </c>
      <c r="AJ180" s="4">
        <v>12</v>
      </c>
      <c r="AK180" s="4">
        <v>12</v>
      </c>
      <c r="AL180" s="4">
        <v>0</v>
      </c>
      <c r="AM180" s="4">
        <v>0</v>
      </c>
      <c r="AN180" s="4">
        <v>6</v>
      </c>
      <c r="AO180" s="4">
        <v>6</v>
      </c>
      <c r="AP180" s="3" t="s">
        <v>51</v>
      </c>
      <c r="AQ180" s="3" t="s">
        <v>49</v>
      </c>
      <c r="AR180" s="6" t="str">
        <f>HYPERLINK("http://catalog.hathitrust.org/Record/000136964","HathiTrust Record")</f>
        <v>HathiTrust Record</v>
      </c>
      <c r="AS180" s="6" t="str">
        <f>HYPERLINK("https://creighton-primo.hosted.exlibrisgroup.com/primo-explore/search?tab=default_tab&amp;search_scope=EVERYTHING&amp;vid=01CRU&amp;lang=en_US&amp;offset=0&amp;query=any,contains,991001805779702656","Catalog Record")</f>
        <v>Catalog Record</v>
      </c>
      <c r="AT180" s="6" t="str">
        <f>HYPERLINK("http://www.worldcat.org/oclc/3884524","WorldCat Record")</f>
        <v>WorldCat Record</v>
      </c>
    </row>
    <row r="181" spans="1:46" ht="41.25" customHeight="1" x14ac:dyDescent="0.25">
      <c r="A181" s="8" t="s">
        <v>51</v>
      </c>
      <c r="B181" s="2" t="s">
        <v>1253</v>
      </c>
      <c r="C181" s="2" t="s">
        <v>1254</v>
      </c>
      <c r="D181" s="2" t="s">
        <v>1255</v>
      </c>
      <c r="F181" s="3" t="s">
        <v>51</v>
      </c>
      <c r="G181" s="3" t="s">
        <v>50</v>
      </c>
      <c r="H181" s="3" t="s">
        <v>49</v>
      </c>
      <c r="I181" s="3" t="s">
        <v>51</v>
      </c>
      <c r="J181" s="3" t="s">
        <v>52</v>
      </c>
      <c r="K181" s="2" t="s">
        <v>1256</v>
      </c>
      <c r="L181" s="2" t="s">
        <v>1257</v>
      </c>
      <c r="M181" s="3" t="s">
        <v>171</v>
      </c>
      <c r="O181" s="3" t="s">
        <v>56</v>
      </c>
      <c r="P181" s="3" t="s">
        <v>87</v>
      </c>
      <c r="R181" s="3" t="s">
        <v>59</v>
      </c>
      <c r="S181" s="4">
        <v>14</v>
      </c>
      <c r="T181" s="4">
        <v>14</v>
      </c>
      <c r="U181" s="5" t="s">
        <v>1258</v>
      </c>
      <c r="V181" s="5" t="s">
        <v>1258</v>
      </c>
      <c r="W181" s="5" t="s">
        <v>1094</v>
      </c>
      <c r="X181" s="5" t="s">
        <v>1094</v>
      </c>
      <c r="Y181" s="4">
        <v>210</v>
      </c>
      <c r="Z181" s="4">
        <v>145</v>
      </c>
      <c r="AA181" s="4">
        <v>147</v>
      </c>
      <c r="AB181" s="4">
        <v>2</v>
      </c>
      <c r="AC181" s="4">
        <v>2</v>
      </c>
      <c r="AD181" s="4">
        <v>4</v>
      </c>
      <c r="AE181" s="4">
        <v>4</v>
      </c>
      <c r="AF181" s="4">
        <v>2</v>
      </c>
      <c r="AG181" s="4">
        <v>2</v>
      </c>
      <c r="AH181" s="4">
        <v>0</v>
      </c>
      <c r="AI181" s="4">
        <v>0</v>
      </c>
      <c r="AJ181" s="4">
        <v>3</v>
      </c>
      <c r="AK181" s="4">
        <v>3</v>
      </c>
      <c r="AL181" s="4">
        <v>0</v>
      </c>
      <c r="AM181" s="4">
        <v>0</v>
      </c>
      <c r="AN181" s="4">
        <v>0</v>
      </c>
      <c r="AO181" s="4">
        <v>0</v>
      </c>
      <c r="AP181" s="3" t="s">
        <v>51</v>
      </c>
      <c r="AQ181" s="3" t="s">
        <v>49</v>
      </c>
      <c r="AR181" s="6" t="str">
        <f>HYPERLINK("http://catalog.hathitrust.org/Record/006182582","HathiTrust Record")</f>
        <v>HathiTrust Record</v>
      </c>
      <c r="AS181" s="6" t="str">
        <f>HYPERLINK("https://creighton-primo.hosted.exlibrisgroup.com/primo-explore/search?tab=default_tab&amp;search_scope=EVERYTHING&amp;vid=01CRU&amp;lang=en_US&amp;offset=0&amp;query=any,contains,991004877489702656","Catalog Record")</f>
        <v>Catalog Record</v>
      </c>
      <c r="AT181" s="6" t="str">
        <f>HYPERLINK("http://www.worldcat.org/oclc/5798973","WorldCat Record")</f>
        <v>WorldCat Record</v>
      </c>
    </row>
    <row r="182" spans="1:46" ht="41.25" customHeight="1" x14ac:dyDescent="0.25">
      <c r="A182" s="8" t="s">
        <v>51</v>
      </c>
      <c r="B182" s="2" t="s">
        <v>1259</v>
      </c>
      <c r="C182" s="2" t="s">
        <v>1260</v>
      </c>
      <c r="D182" s="2" t="s">
        <v>1261</v>
      </c>
      <c r="F182" s="3" t="s">
        <v>51</v>
      </c>
      <c r="G182" s="3" t="s">
        <v>50</v>
      </c>
      <c r="H182" s="3" t="s">
        <v>51</v>
      </c>
      <c r="I182" s="3" t="s">
        <v>51</v>
      </c>
      <c r="J182" s="3" t="s">
        <v>52</v>
      </c>
      <c r="K182" s="2" t="s">
        <v>1262</v>
      </c>
      <c r="L182" s="2" t="s">
        <v>1263</v>
      </c>
      <c r="M182" s="3" t="s">
        <v>86</v>
      </c>
      <c r="O182" s="3" t="s">
        <v>56</v>
      </c>
      <c r="P182" s="3" t="s">
        <v>538</v>
      </c>
      <c r="Q182" s="2" t="s">
        <v>1264</v>
      </c>
      <c r="R182" s="3" t="s">
        <v>59</v>
      </c>
      <c r="S182" s="4">
        <v>1</v>
      </c>
      <c r="T182" s="4">
        <v>1</v>
      </c>
      <c r="U182" s="5" t="s">
        <v>1265</v>
      </c>
      <c r="V182" s="5" t="s">
        <v>1265</v>
      </c>
      <c r="W182" s="5" t="s">
        <v>1265</v>
      </c>
      <c r="X182" s="5" t="s">
        <v>1265</v>
      </c>
      <c r="Y182" s="4">
        <v>27</v>
      </c>
      <c r="Z182" s="4">
        <v>27</v>
      </c>
      <c r="AA182" s="4">
        <v>333</v>
      </c>
      <c r="AB182" s="4">
        <v>1</v>
      </c>
      <c r="AC182" s="4">
        <v>2</v>
      </c>
      <c r="AD182" s="4">
        <v>0</v>
      </c>
      <c r="AE182" s="4">
        <v>13</v>
      </c>
      <c r="AF182" s="4">
        <v>0</v>
      </c>
      <c r="AG182" s="4">
        <v>3</v>
      </c>
      <c r="AH182" s="4">
        <v>0</v>
      </c>
      <c r="AI182" s="4">
        <v>3</v>
      </c>
      <c r="AJ182" s="4">
        <v>0</v>
      </c>
      <c r="AK182" s="4">
        <v>7</v>
      </c>
      <c r="AL182" s="4">
        <v>0</v>
      </c>
      <c r="AM182" s="4">
        <v>1</v>
      </c>
      <c r="AN182" s="4">
        <v>0</v>
      </c>
      <c r="AO182" s="4">
        <v>2</v>
      </c>
      <c r="AP182" s="3" t="s">
        <v>51</v>
      </c>
      <c r="AQ182" s="3" t="s">
        <v>51</v>
      </c>
      <c r="AS182" s="6" t="str">
        <f>HYPERLINK("https://creighton-primo.hosted.exlibrisgroup.com/primo-explore/search?tab=default_tab&amp;search_scope=EVERYTHING&amp;vid=01CRU&amp;lang=en_US&amp;offset=0&amp;query=any,contains,991004400249702656","Catalog Record")</f>
        <v>Catalog Record</v>
      </c>
      <c r="AT182" s="6" t="str">
        <f>HYPERLINK("http://www.worldcat.org/oclc/21278930","WorldCat Record")</f>
        <v>WorldCat Record</v>
      </c>
    </row>
    <row r="183" spans="1:46" ht="41.25" customHeight="1" x14ac:dyDescent="0.25">
      <c r="A183" s="8" t="s">
        <v>51</v>
      </c>
      <c r="B183" s="2" t="s">
        <v>1266</v>
      </c>
      <c r="C183" s="2" t="s">
        <v>1267</v>
      </c>
      <c r="D183" s="2" t="s">
        <v>1268</v>
      </c>
      <c r="F183" s="3" t="s">
        <v>51</v>
      </c>
      <c r="G183" s="3" t="s">
        <v>50</v>
      </c>
      <c r="H183" s="3" t="s">
        <v>51</v>
      </c>
      <c r="I183" s="3" t="s">
        <v>51</v>
      </c>
      <c r="J183" s="3" t="s">
        <v>52</v>
      </c>
      <c r="K183" s="2" t="s">
        <v>1269</v>
      </c>
      <c r="L183" s="2" t="s">
        <v>1270</v>
      </c>
      <c r="M183" s="3" t="s">
        <v>1271</v>
      </c>
      <c r="O183" s="3" t="s">
        <v>56</v>
      </c>
      <c r="P183" s="3" t="s">
        <v>87</v>
      </c>
      <c r="Q183" s="2" t="s">
        <v>1272</v>
      </c>
      <c r="R183" s="3" t="s">
        <v>59</v>
      </c>
      <c r="S183" s="4">
        <v>2</v>
      </c>
      <c r="T183" s="4">
        <v>2</v>
      </c>
      <c r="U183" s="5" t="s">
        <v>1193</v>
      </c>
      <c r="V183" s="5" t="s">
        <v>1193</v>
      </c>
      <c r="W183" s="5" t="s">
        <v>1273</v>
      </c>
      <c r="X183" s="5" t="s">
        <v>1273</v>
      </c>
      <c r="Y183" s="4">
        <v>266</v>
      </c>
      <c r="Z183" s="4">
        <v>215</v>
      </c>
      <c r="AA183" s="4">
        <v>236</v>
      </c>
      <c r="AB183" s="4">
        <v>1</v>
      </c>
      <c r="AC183" s="4">
        <v>1</v>
      </c>
      <c r="AD183" s="4">
        <v>13</v>
      </c>
      <c r="AE183" s="4">
        <v>13</v>
      </c>
      <c r="AF183" s="4">
        <v>7</v>
      </c>
      <c r="AG183" s="4">
        <v>7</v>
      </c>
      <c r="AH183" s="4">
        <v>4</v>
      </c>
      <c r="AI183" s="4">
        <v>4</v>
      </c>
      <c r="AJ183" s="4">
        <v>7</v>
      </c>
      <c r="AK183" s="4">
        <v>7</v>
      </c>
      <c r="AL183" s="4">
        <v>0</v>
      </c>
      <c r="AM183" s="4">
        <v>0</v>
      </c>
      <c r="AN183" s="4">
        <v>0</v>
      </c>
      <c r="AO183" s="4">
        <v>0</v>
      </c>
      <c r="AP183" s="3" t="s">
        <v>51</v>
      </c>
      <c r="AQ183" s="3" t="s">
        <v>49</v>
      </c>
      <c r="AR183" s="6" t="str">
        <f>HYPERLINK("http://catalog.hathitrust.org/Record/004318730","HathiTrust Record")</f>
        <v>HathiTrust Record</v>
      </c>
      <c r="AS183" s="6" t="str">
        <f>HYPERLINK("https://creighton-primo.hosted.exlibrisgroup.com/primo-explore/search?tab=default_tab&amp;search_scope=EVERYTHING&amp;vid=01CRU&amp;lang=en_US&amp;offset=0&amp;query=any,contains,991003990909702656","Catalog Record")</f>
        <v>Catalog Record</v>
      </c>
      <c r="AT183" s="6" t="str">
        <f>HYPERLINK("http://www.worldcat.org/oclc/49416048","WorldCat Record")</f>
        <v>WorldCat Record</v>
      </c>
    </row>
    <row r="184" spans="1:46" ht="41.25" customHeight="1" x14ac:dyDescent="0.25">
      <c r="A184" s="8" t="s">
        <v>51</v>
      </c>
      <c r="B184" s="2" t="s">
        <v>1274</v>
      </c>
      <c r="C184" s="2" t="s">
        <v>1275</v>
      </c>
      <c r="D184" s="2" t="s">
        <v>1276</v>
      </c>
      <c r="F184" s="3" t="s">
        <v>51</v>
      </c>
      <c r="G184" s="3" t="s">
        <v>50</v>
      </c>
      <c r="H184" s="3" t="s">
        <v>51</v>
      </c>
      <c r="I184" s="3" t="s">
        <v>51</v>
      </c>
      <c r="J184" s="3" t="s">
        <v>52</v>
      </c>
      <c r="L184" s="2" t="s">
        <v>1277</v>
      </c>
      <c r="M184" s="3" t="s">
        <v>1278</v>
      </c>
      <c r="O184" s="3" t="s">
        <v>56</v>
      </c>
      <c r="P184" s="3" t="s">
        <v>69</v>
      </c>
      <c r="R184" s="3" t="s">
        <v>59</v>
      </c>
      <c r="S184" s="4">
        <v>2</v>
      </c>
      <c r="T184" s="4">
        <v>2</v>
      </c>
      <c r="U184" s="5" t="s">
        <v>1279</v>
      </c>
      <c r="V184" s="5" t="s">
        <v>1279</v>
      </c>
      <c r="W184" s="5" t="s">
        <v>845</v>
      </c>
      <c r="X184" s="5" t="s">
        <v>845</v>
      </c>
      <c r="Y184" s="4">
        <v>260</v>
      </c>
      <c r="Z184" s="4">
        <v>201</v>
      </c>
      <c r="AA184" s="4">
        <v>201</v>
      </c>
      <c r="AB184" s="4">
        <v>1</v>
      </c>
      <c r="AC184" s="4">
        <v>1</v>
      </c>
      <c r="AD184" s="4">
        <v>17</v>
      </c>
      <c r="AE184" s="4">
        <v>17</v>
      </c>
      <c r="AF184" s="4">
        <v>5</v>
      </c>
      <c r="AG184" s="4">
        <v>5</v>
      </c>
      <c r="AH184" s="4">
        <v>5</v>
      </c>
      <c r="AI184" s="4">
        <v>5</v>
      </c>
      <c r="AJ184" s="4">
        <v>8</v>
      </c>
      <c r="AK184" s="4">
        <v>8</v>
      </c>
      <c r="AL184" s="4">
        <v>0</v>
      </c>
      <c r="AM184" s="4">
        <v>0</v>
      </c>
      <c r="AN184" s="4">
        <v>3</v>
      </c>
      <c r="AO184" s="4">
        <v>3</v>
      </c>
      <c r="AP184" s="3" t="s">
        <v>51</v>
      </c>
      <c r="AQ184" s="3" t="s">
        <v>51</v>
      </c>
      <c r="AS184" s="6" t="str">
        <f>HYPERLINK("https://creighton-primo.hosted.exlibrisgroup.com/primo-explore/search?tab=default_tab&amp;search_scope=EVERYTHING&amp;vid=01CRU&amp;lang=en_US&amp;offset=0&amp;query=any,contains,991005340829702656","Catalog Record")</f>
        <v>Catalog Record</v>
      </c>
      <c r="AT184" s="6" t="str">
        <f>HYPERLINK("http://www.worldcat.org/oclc/222250226","WorldCat Record")</f>
        <v>WorldCat Record</v>
      </c>
    </row>
    <row r="185" spans="1:46" ht="41.25" customHeight="1" x14ac:dyDescent="0.25">
      <c r="A185" s="8" t="s">
        <v>51</v>
      </c>
      <c r="B185" s="2" t="s">
        <v>1280</v>
      </c>
      <c r="C185" s="2" t="s">
        <v>1281</v>
      </c>
      <c r="D185" s="2" t="s">
        <v>1282</v>
      </c>
      <c r="F185" s="3" t="s">
        <v>51</v>
      </c>
      <c r="G185" s="3" t="s">
        <v>50</v>
      </c>
      <c r="H185" s="3" t="s">
        <v>49</v>
      </c>
      <c r="I185" s="3" t="s">
        <v>51</v>
      </c>
      <c r="J185" s="3" t="s">
        <v>52</v>
      </c>
      <c r="K185" s="2" t="s">
        <v>871</v>
      </c>
      <c r="L185" s="2" t="s">
        <v>1283</v>
      </c>
      <c r="M185" s="3" t="s">
        <v>154</v>
      </c>
      <c r="O185" s="3" t="s">
        <v>56</v>
      </c>
      <c r="P185" s="3" t="s">
        <v>87</v>
      </c>
      <c r="R185" s="3" t="s">
        <v>59</v>
      </c>
      <c r="S185" s="4">
        <v>44</v>
      </c>
      <c r="T185" s="4">
        <v>44</v>
      </c>
      <c r="U185" s="5" t="s">
        <v>1284</v>
      </c>
      <c r="V185" s="5" t="s">
        <v>1284</v>
      </c>
      <c r="W185" s="5" t="s">
        <v>1285</v>
      </c>
      <c r="X185" s="5" t="s">
        <v>1285</v>
      </c>
      <c r="Y185" s="4">
        <v>767</v>
      </c>
      <c r="Z185" s="4">
        <v>649</v>
      </c>
      <c r="AA185" s="4">
        <v>682</v>
      </c>
      <c r="AB185" s="4">
        <v>5</v>
      </c>
      <c r="AC185" s="4">
        <v>5</v>
      </c>
      <c r="AD185" s="4">
        <v>32</v>
      </c>
      <c r="AE185" s="4">
        <v>33</v>
      </c>
      <c r="AF185" s="4">
        <v>12</v>
      </c>
      <c r="AG185" s="4">
        <v>13</v>
      </c>
      <c r="AH185" s="4">
        <v>6</v>
      </c>
      <c r="AI185" s="4">
        <v>6</v>
      </c>
      <c r="AJ185" s="4">
        <v>14</v>
      </c>
      <c r="AK185" s="4">
        <v>15</v>
      </c>
      <c r="AL185" s="4">
        <v>2</v>
      </c>
      <c r="AM185" s="4">
        <v>2</v>
      </c>
      <c r="AN185" s="4">
        <v>4</v>
      </c>
      <c r="AO185" s="4">
        <v>4</v>
      </c>
      <c r="AP185" s="3" t="s">
        <v>51</v>
      </c>
      <c r="AQ185" s="3" t="s">
        <v>49</v>
      </c>
      <c r="AR185" s="6" t="str">
        <f>HYPERLINK("http://catalog.hathitrust.org/Record/000192659","HathiTrust Record")</f>
        <v>HathiTrust Record</v>
      </c>
      <c r="AS185" s="6" t="str">
        <f>HYPERLINK("https://creighton-primo.hosted.exlibrisgroup.com/primo-explore/search?tab=default_tab&amp;search_scope=EVERYTHING&amp;vid=01CRU&amp;lang=en_US&amp;offset=0&amp;query=any,contains,991005245419702656","Catalog Record")</f>
        <v>Catalog Record</v>
      </c>
      <c r="AT185" s="6" t="str">
        <f>HYPERLINK("http://www.worldcat.org/oclc/8452099","WorldCat Record")</f>
        <v>WorldCat Record</v>
      </c>
    </row>
    <row r="186" spans="1:46" ht="41.25" customHeight="1" x14ac:dyDescent="0.25">
      <c r="A186" s="8" t="s">
        <v>51</v>
      </c>
      <c r="B186" s="2" t="s">
        <v>1286</v>
      </c>
      <c r="C186" s="2" t="s">
        <v>1287</v>
      </c>
      <c r="D186" s="2" t="s">
        <v>1288</v>
      </c>
      <c r="F186" s="3" t="s">
        <v>51</v>
      </c>
      <c r="G186" s="3" t="s">
        <v>50</v>
      </c>
      <c r="H186" s="3" t="s">
        <v>49</v>
      </c>
      <c r="I186" s="3" t="s">
        <v>51</v>
      </c>
      <c r="J186" s="3" t="s">
        <v>52</v>
      </c>
      <c r="K186" s="2" t="s">
        <v>1289</v>
      </c>
      <c r="L186" s="2" t="s">
        <v>1290</v>
      </c>
      <c r="M186" s="3" t="s">
        <v>112</v>
      </c>
      <c r="O186" s="3" t="s">
        <v>56</v>
      </c>
      <c r="P186" s="3" t="s">
        <v>87</v>
      </c>
      <c r="R186" s="3" t="s">
        <v>59</v>
      </c>
      <c r="S186" s="4">
        <v>11</v>
      </c>
      <c r="T186" s="4">
        <v>11</v>
      </c>
      <c r="U186" s="5" t="s">
        <v>912</v>
      </c>
      <c r="V186" s="5" t="s">
        <v>912</v>
      </c>
      <c r="W186" s="5" t="s">
        <v>1291</v>
      </c>
      <c r="X186" s="5" t="s">
        <v>1291</v>
      </c>
      <c r="Y186" s="4">
        <v>428</v>
      </c>
      <c r="Z186" s="4">
        <v>333</v>
      </c>
      <c r="AA186" s="4">
        <v>341</v>
      </c>
      <c r="AB186" s="4">
        <v>2</v>
      </c>
      <c r="AC186" s="4">
        <v>2</v>
      </c>
      <c r="AD186" s="4">
        <v>17</v>
      </c>
      <c r="AE186" s="4">
        <v>18</v>
      </c>
      <c r="AF186" s="4">
        <v>5</v>
      </c>
      <c r="AG186" s="4">
        <v>6</v>
      </c>
      <c r="AH186" s="4">
        <v>3</v>
      </c>
      <c r="AI186" s="4">
        <v>3</v>
      </c>
      <c r="AJ186" s="4">
        <v>9</v>
      </c>
      <c r="AK186" s="4">
        <v>10</v>
      </c>
      <c r="AL186" s="4">
        <v>0</v>
      </c>
      <c r="AM186" s="4">
        <v>0</v>
      </c>
      <c r="AN186" s="4">
        <v>4</v>
      </c>
      <c r="AO186" s="4">
        <v>4</v>
      </c>
      <c r="AP186" s="3" t="s">
        <v>51</v>
      </c>
      <c r="AQ186" s="3" t="s">
        <v>49</v>
      </c>
      <c r="AR186" s="6" t="str">
        <f>HYPERLINK("http://catalog.hathitrust.org/Record/000465735","HathiTrust Record")</f>
        <v>HathiTrust Record</v>
      </c>
      <c r="AS186" s="6" t="str">
        <f>HYPERLINK("https://creighton-primo.hosted.exlibrisgroup.com/primo-explore/search?tab=default_tab&amp;search_scope=EVERYTHING&amp;vid=01CRU&amp;lang=en_US&amp;offset=0&amp;query=any,contains,991000620039702656","Catalog Record")</f>
        <v>Catalog Record</v>
      </c>
      <c r="AT186" s="6" t="str">
        <f>HYPERLINK("http://www.worldcat.org/oclc/11971183","WorldCat Record")</f>
        <v>WorldCat Record</v>
      </c>
    </row>
    <row r="187" spans="1:46" ht="41.25" customHeight="1" x14ac:dyDescent="0.25">
      <c r="A187" s="8" t="s">
        <v>51</v>
      </c>
      <c r="B187" s="2" t="s">
        <v>1292</v>
      </c>
      <c r="C187" s="2" t="s">
        <v>1293</v>
      </c>
      <c r="D187" s="2" t="s">
        <v>1294</v>
      </c>
      <c r="F187" s="3" t="s">
        <v>51</v>
      </c>
      <c r="G187" s="3" t="s">
        <v>50</v>
      </c>
      <c r="H187" s="3" t="s">
        <v>51</v>
      </c>
      <c r="I187" s="3" t="s">
        <v>51</v>
      </c>
      <c r="J187" s="3" t="s">
        <v>52</v>
      </c>
      <c r="L187" s="2" t="s">
        <v>1295</v>
      </c>
      <c r="M187" s="3" t="s">
        <v>129</v>
      </c>
      <c r="O187" s="3" t="s">
        <v>56</v>
      </c>
      <c r="P187" s="3" t="s">
        <v>57</v>
      </c>
      <c r="Q187" s="2" t="s">
        <v>1296</v>
      </c>
      <c r="R187" s="3" t="s">
        <v>59</v>
      </c>
      <c r="S187" s="4">
        <v>6</v>
      </c>
      <c r="T187" s="4">
        <v>6</v>
      </c>
      <c r="U187" s="5" t="s">
        <v>1062</v>
      </c>
      <c r="V187" s="5" t="s">
        <v>1062</v>
      </c>
      <c r="W187" s="5" t="s">
        <v>806</v>
      </c>
      <c r="X187" s="5" t="s">
        <v>806</v>
      </c>
      <c r="Y187" s="4">
        <v>322</v>
      </c>
      <c r="Z187" s="4">
        <v>235</v>
      </c>
      <c r="AA187" s="4">
        <v>249</v>
      </c>
      <c r="AB187" s="4">
        <v>1</v>
      </c>
      <c r="AC187" s="4">
        <v>1</v>
      </c>
      <c r="AD187" s="4">
        <v>18</v>
      </c>
      <c r="AE187" s="4">
        <v>19</v>
      </c>
      <c r="AF187" s="4">
        <v>4</v>
      </c>
      <c r="AG187" s="4">
        <v>5</v>
      </c>
      <c r="AH187" s="4">
        <v>6</v>
      </c>
      <c r="AI187" s="4">
        <v>6</v>
      </c>
      <c r="AJ187" s="4">
        <v>15</v>
      </c>
      <c r="AK187" s="4">
        <v>16</v>
      </c>
      <c r="AL187" s="4">
        <v>0</v>
      </c>
      <c r="AM187" s="4">
        <v>0</v>
      </c>
      <c r="AN187" s="4">
        <v>1</v>
      </c>
      <c r="AO187" s="4">
        <v>1</v>
      </c>
      <c r="AP187" s="3" t="s">
        <v>51</v>
      </c>
      <c r="AQ187" s="3" t="s">
        <v>51</v>
      </c>
      <c r="AS187" s="6" t="str">
        <f>HYPERLINK("https://creighton-primo.hosted.exlibrisgroup.com/primo-explore/search?tab=default_tab&amp;search_scope=EVERYTHING&amp;vid=01CRU&amp;lang=en_US&amp;offset=0&amp;query=any,contains,991000523569702656","Catalog Record")</f>
        <v>Catalog Record</v>
      </c>
      <c r="AT187" s="6" t="str">
        <f>HYPERLINK("http://www.worldcat.org/oclc/11346493","WorldCat Record")</f>
        <v>WorldCat Record</v>
      </c>
    </row>
    <row r="188" spans="1:46" ht="41.25" customHeight="1" x14ac:dyDescent="0.25">
      <c r="A188" s="8" t="s">
        <v>51</v>
      </c>
      <c r="B188" s="2" t="s">
        <v>1297</v>
      </c>
      <c r="C188" s="2" t="s">
        <v>1298</v>
      </c>
      <c r="D188" s="2" t="s">
        <v>1299</v>
      </c>
      <c r="F188" s="3" t="s">
        <v>51</v>
      </c>
      <c r="G188" s="3" t="s">
        <v>50</v>
      </c>
      <c r="H188" s="3" t="s">
        <v>51</v>
      </c>
      <c r="I188" s="3" t="s">
        <v>51</v>
      </c>
      <c r="J188" s="3" t="s">
        <v>52</v>
      </c>
      <c r="K188" s="2" t="s">
        <v>1300</v>
      </c>
      <c r="L188" s="2" t="s">
        <v>1301</v>
      </c>
      <c r="M188" s="3" t="s">
        <v>858</v>
      </c>
      <c r="O188" s="3" t="s">
        <v>56</v>
      </c>
      <c r="P188" s="3" t="s">
        <v>87</v>
      </c>
      <c r="Q188" s="2" t="s">
        <v>1302</v>
      </c>
      <c r="R188" s="3" t="s">
        <v>59</v>
      </c>
      <c r="S188" s="4">
        <v>2</v>
      </c>
      <c r="T188" s="4">
        <v>2</v>
      </c>
      <c r="U188" s="5" t="s">
        <v>1303</v>
      </c>
      <c r="V188" s="5" t="s">
        <v>1303</v>
      </c>
      <c r="W188" s="5" t="s">
        <v>1186</v>
      </c>
      <c r="X188" s="5" t="s">
        <v>1186</v>
      </c>
      <c r="Y188" s="4">
        <v>197</v>
      </c>
      <c r="Z188" s="4">
        <v>181</v>
      </c>
      <c r="AA188" s="4">
        <v>198</v>
      </c>
      <c r="AB188" s="4">
        <v>1</v>
      </c>
      <c r="AC188" s="4">
        <v>1</v>
      </c>
      <c r="AD188" s="4">
        <v>11</v>
      </c>
      <c r="AE188" s="4">
        <v>12</v>
      </c>
      <c r="AF188" s="4">
        <v>3</v>
      </c>
      <c r="AG188" s="4">
        <v>3</v>
      </c>
      <c r="AH188" s="4">
        <v>3</v>
      </c>
      <c r="AI188" s="4">
        <v>4</v>
      </c>
      <c r="AJ188" s="4">
        <v>8</v>
      </c>
      <c r="AK188" s="4">
        <v>9</v>
      </c>
      <c r="AL188" s="4">
        <v>0</v>
      </c>
      <c r="AM188" s="4">
        <v>0</v>
      </c>
      <c r="AN188" s="4">
        <v>2</v>
      </c>
      <c r="AO188" s="4">
        <v>2</v>
      </c>
      <c r="AP188" s="3" t="s">
        <v>51</v>
      </c>
      <c r="AQ188" s="3" t="s">
        <v>51</v>
      </c>
      <c r="AS188" s="6" t="str">
        <f>HYPERLINK("https://creighton-primo.hosted.exlibrisgroup.com/primo-explore/search?tab=default_tab&amp;search_scope=EVERYTHING&amp;vid=01CRU&amp;lang=en_US&amp;offset=0&amp;query=any,contains,991003726249702656","Catalog Record")</f>
        <v>Catalog Record</v>
      </c>
      <c r="AT188" s="6" t="str">
        <f>HYPERLINK("http://www.worldcat.org/oclc/37844421","WorldCat Record")</f>
        <v>WorldCat Record</v>
      </c>
    </row>
    <row r="189" spans="1:46" ht="41.25" customHeight="1" x14ac:dyDescent="0.25">
      <c r="A189" s="8" t="s">
        <v>51</v>
      </c>
      <c r="B189" s="2" t="s">
        <v>1304</v>
      </c>
      <c r="C189" s="2" t="s">
        <v>1305</v>
      </c>
      <c r="D189" s="2" t="s">
        <v>1306</v>
      </c>
      <c r="F189" s="3" t="s">
        <v>51</v>
      </c>
      <c r="G189" s="3" t="s">
        <v>50</v>
      </c>
      <c r="H189" s="3" t="s">
        <v>51</v>
      </c>
      <c r="I189" s="3" t="s">
        <v>51</v>
      </c>
      <c r="J189" s="3" t="s">
        <v>52</v>
      </c>
      <c r="L189" s="2" t="s">
        <v>1307</v>
      </c>
      <c r="M189" s="3" t="s">
        <v>211</v>
      </c>
      <c r="N189" s="2" t="s">
        <v>245</v>
      </c>
      <c r="O189" s="3" t="s">
        <v>56</v>
      </c>
      <c r="P189" s="3" t="s">
        <v>538</v>
      </c>
      <c r="R189" s="3" t="s">
        <v>59</v>
      </c>
      <c r="S189" s="4">
        <v>5</v>
      </c>
      <c r="T189" s="4">
        <v>5</v>
      </c>
      <c r="U189" s="5" t="s">
        <v>961</v>
      </c>
      <c r="V189" s="5" t="s">
        <v>961</v>
      </c>
      <c r="W189" s="5" t="s">
        <v>867</v>
      </c>
      <c r="X189" s="5" t="s">
        <v>867</v>
      </c>
      <c r="Y189" s="4">
        <v>387</v>
      </c>
      <c r="Z189" s="4">
        <v>349</v>
      </c>
      <c r="AA189" s="4">
        <v>353</v>
      </c>
      <c r="AB189" s="4">
        <v>2</v>
      </c>
      <c r="AC189" s="4">
        <v>2</v>
      </c>
      <c r="AD189" s="4">
        <v>17</v>
      </c>
      <c r="AE189" s="4">
        <v>17</v>
      </c>
      <c r="AF189" s="4">
        <v>6</v>
      </c>
      <c r="AG189" s="4">
        <v>6</v>
      </c>
      <c r="AH189" s="4">
        <v>2</v>
      </c>
      <c r="AI189" s="4">
        <v>2</v>
      </c>
      <c r="AJ189" s="4">
        <v>13</v>
      </c>
      <c r="AK189" s="4">
        <v>13</v>
      </c>
      <c r="AL189" s="4">
        <v>1</v>
      </c>
      <c r="AM189" s="4">
        <v>1</v>
      </c>
      <c r="AN189" s="4">
        <v>0</v>
      </c>
      <c r="AO189" s="4">
        <v>0</v>
      </c>
      <c r="AP189" s="3" t="s">
        <v>51</v>
      </c>
      <c r="AQ189" s="3" t="s">
        <v>49</v>
      </c>
      <c r="AR189" s="6" t="str">
        <f>HYPERLINK("http://catalog.hathitrust.org/Record/000685059","HathiTrust Record")</f>
        <v>HathiTrust Record</v>
      </c>
      <c r="AS189" s="6" t="str">
        <f>HYPERLINK("https://creighton-primo.hosted.exlibrisgroup.com/primo-explore/search?tab=default_tab&amp;search_scope=EVERYTHING&amp;vid=01CRU&amp;lang=en_US&amp;offset=0&amp;query=any,contains,991004660099702656","Catalog Record")</f>
        <v>Catalog Record</v>
      </c>
      <c r="AT189" s="6" t="str">
        <f>HYPERLINK("http://www.worldcat.org/oclc/4496525","WorldCat Record")</f>
        <v>WorldCat Record</v>
      </c>
    </row>
    <row r="190" spans="1:46" ht="41.25" customHeight="1" x14ac:dyDescent="0.25">
      <c r="A190" s="8" t="s">
        <v>51</v>
      </c>
      <c r="B190" s="2" t="s">
        <v>1308</v>
      </c>
      <c r="C190" s="2" t="s">
        <v>1309</v>
      </c>
      <c r="D190" s="2" t="s">
        <v>1310</v>
      </c>
      <c r="F190" s="3" t="s">
        <v>51</v>
      </c>
      <c r="G190" s="3" t="s">
        <v>50</v>
      </c>
      <c r="H190" s="3" t="s">
        <v>51</v>
      </c>
      <c r="I190" s="3" t="s">
        <v>51</v>
      </c>
      <c r="J190" s="3" t="s">
        <v>52</v>
      </c>
      <c r="K190" s="2" t="s">
        <v>1073</v>
      </c>
      <c r="L190" s="2" t="s">
        <v>1311</v>
      </c>
      <c r="M190" s="3" t="s">
        <v>186</v>
      </c>
      <c r="N190" s="2" t="s">
        <v>245</v>
      </c>
      <c r="O190" s="3" t="s">
        <v>56</v>
      </c>
      <c r="P190" s="3" t="s">
        <v>229</v>
      </c>
      <c r="R190" s="3" t="s">
        <v>59</v>
      </c>
      <c r="S190" s="4">
        <v>14</v>
      </c>
      <c r="T190" s="4">
        <v>14</v>
      </c>
      <c r="U190" s="5" t="s">
        <v>1312</v>
      </c>
      <c r="V190" s="5" t="s">
        <v>1312</v>
      </c>
      <c r="W190" s="5" t="s">
        <v>867</v>
      </c>
      <c r="X190" s="5" t="s">
        <v>867</v>
      </c>
      <c r="Y190" s="4">
        <v>473</v>
      </c>
      <c r="Z190" s="4">
        <v>412</v>
      </c>
      <c r="AA190" s="4">
        <v>512</v>
      </c>
      <c r="AB190" s="4">
        <v>2</v>
      </c>
      <c r="AC190" s="4">
        <v>3</v>
      </c>
      <c r="AD190" s="4">
        <v>22</v>
      </c>
      <c r="AE190" s="4">
        <v>30</v>
      </c>
      <c r="AF190" s="4">
        <v>8</v>
      </c>
      <c r="AG190" s="4">
        <v>12</v>
      </c>
      <c r="AH190" s="4">
        <v>5</v>
      </c>
      <c r="AI190" s="4">
        <v>6</v>
      </c>
      <c r="AJ190" s="4">
        <v>16</v>
      </c>
      <c r="AK190" s="4">
        <v>20</v>
      </c>
      <c r="AL190" s="4">
        <v>0</v>
      </c>
      <c r="AM190" s="4">
        <v>1</v>
      </c>
      <c r="AN190" s="4">
        <v>0</v>
      </c>
      <c r="AO190" s="4">
        <v>0</v>
      </c>
      <c r="AP190" s="3" t="s">
        <v>51</v>
      </c>
      <c r="AQ190" s="3" t="s">
        <v>49</v>
      </c>
      <c r="AR190" s="6" t="str">
        <f>HYPERLINK("http://catalog.hathitrust.org/Record/000167252","HathiTrust Record")</f>
        <v>HathiTrust Record</v>
      </c>
      <c r="AS190" s="6" t="str">
        <f>HYPERLINK("https://creighton-primo.hosted.exlibrisgroup.com/primo-explore/search?tab=default_tab&amp;search_scope=EVERYTHING&amp;vid=01CRU&amp;lang=en_US&amp;offset=0&amp;query=any,contains,991000286309702656","Catalog Record")</f>
        <v>Catalog Record</v>
      </c>
      <c r="AT190" s="6" t="str">
        <f>HYPERLINK("http://www.worldcat.org/oclc/9944039","WorldCat Record")</f>
        <v>WorldCat Record</v>
      </c>
    </row>
    <row r="191" spans="1:46" ht="41.25" customHeight="1" x14ac:dyDescent="0.25">
      <c r="A191" s="8" t="s">
        <v>51</v>
      </c>
      <c r="B191" s="2" t="s">
        <v>1313</v>
      </c>
      <c r="C191" s="2" t="s">
        <v>1314</v>
      </c>
      <c r="D191" s="2" t="s">
        <v>1315</v>
      </c>
      <c r="F191" s="3" t="s">
        <v>51</v>
      </c>
      <c r="G191" s="3" t="s">
        <v>50</v>
      </c>
      <c r="H191" s="3" t="s">
        <v>49</v>
      </c>
      <c r="I191" s="3" t="s">
        <v>51</v>
      </c>
      <c r="J191" s="3" t="s">
        <v>52</v>
      </c>
      <c r="K191" s="2" t="s">
        <v>753</v>
      </c>
      <c r="L191" s="2" t="s">
        <v>1316</v>
      </c>
      <c r="M191" s="3" t="s">
        <v>86</v>
      </c>
      <c r="O191" s="3" t="s">
        <v>56</v>
      </c>
      <c r="P191" s="3" t="s">
        <v>87</v>
      </c>
      <c r="R191" s="3" t="s">
        <v>59</v>
      </c>
      <c r="S191" s="4">
        <v>36</v>
      </c>
      <c r="T191" s="4">
        <v>36</v>
      </c>
      <c r="U191" s="5" t="s">
        <v>397</v>
      </c>
      <c r="V191" s="5" t="s">
        <v>397</v>
      </c>
      <c r="W191" s="5" t="s">
        <v>1063</v>
      </c>
      <c r="X191" s="5" t="s">
        <v>1063</v>
      </c>
      <c r="Y191" s="4">
        <v>580</v>
      </c>
      <c r="Z191" s="4">
        <v>471</v>
      </c>
      <c r="AA191" s="4">
        <v>474</v>
      </c>
      <c r="AB191" s="4">
        <v>4</v>
      </c>
      <c r="AC191" s="4">
        <v>4</v>
      </c>
      <c r="AD191" s="4">
        <v>32</v>
      </c>
      <c r="AE191" s="4">
        <v>32</v>
      </c>
      <c r="AF191" s="4">
        <v>12</v>
      </c>
      <c r="AG191" s="4">
        <v>12</v>
      </c>
      <c r="AH191" s="4">
        <v>7</v>
      </c>
      <c r="AI191" s="4">
        <v>7</v>
      </c>
      <c r="AJ191" s="4">
        <v>18</v>
      </c>
      <c r="AK191" s="4">
        <v>18</v>
      </c>
      <c r="AL191" s="4">
        <v>2</v>
      </c>
      <c r="AM191" s="4">
        <v>2</v>
      </c>
      <c r="AN191" s="4">
        <v>5</v>
      </c>
      <c r="AO191" s="4">
        <v>5</v>
      </c>
      <c r="AP191" s="3" t="s">
        <v>51</v>
      </c>
      <c r="AQ191" s="3" t="s">
        <v>49</v>
      </c>
      <c r="AR191" s="6" t="str">
        <f>HYPERLINK("http://catalog.hathitrust.org/Record/000874489","HathiTrust Record")</f>
        <v>HathiTrust Record</v>
      </c>
      <c r="AS191" s="6" t="str">
        <f>HYPERLINK("https://creighton-primo.hosted.exlibrisgroup.com/primo-explore/search?tab=default_tab&amp;search_scope=EVERYTHING&amp;vid=01CRU&amp;lang=en_US&amp;offset=0&amp;query=any,contains,991001068679702656","Catalog Record")</f>
        <v>Catalog Record</v>
      </c>
      <c r="AT191" s="6" t="str">
        <f>HYPERLINK("http://www.worldcat.org/oclc/15856289","WorldCat Record")</f>
        <v>WorldCat Record</v>
      </c>
    </row>
    <row r="192" spans="1:46" ht="41.25" customHeight="1" x14ac:dyDescent="0.25">
      <c r="A192" s="8" t="s">
        <v>51</v>
      </c>
      <c r="B192" s="2" t="s">
        <v>1317</v>
      </c>
      <c r="C192" s="2" t="s">
        <v>1318</v>
      </c>
      <c r="D192" s="2" t="s">
        <v>1319</v>
      </c>
      <c r="F192" s="3" t="s">
        <v>51</v>
      </c>
      <c r="G192" s="3" t="s">
        <v>50</v>
      </c>
      <c r="H192" s="3" t="s">
        <v>51</v>
      </c>
      <c r="I192" s="3" t="s">
        <v>51</v>
      </c>
      <c r="J192" s="3" t="s">
        <v>52</v>
      </c>
      <c r="K192" s="2" t="s">
        <v>1153</v>
      </c>
      <c r="L192" s="2" t="s">
        <v>1320</v>
      </c>
      <c r="M192" s="3" t="s">
        <v>920</v>
      </c>
      <c r="O192" s="3" t="s">
        <v>56</v>
      </c>
      <c r="P192" s="3" t="s">
        <v>69</v>
      </c>
      <c r="R192" s="3" t="s">
        <v>59</v>
      </c>
      <c r="S192" s="4">
        <v>8</v>
      </c>
      <c r="T192" s="4">
        <v>8</v>
      </c>
      <c r="U192" s="5" t="s">
        <v>1321</v>
      </c>
      <c r="V192" s="5" t="s">
        <v>1321</v>
      </c>
      <c r="W192" s="5" t="s">
        <v>1322</v>
      </c>
      <c r="X192" s="5" t="s">
        <v>1322</v>
      </c>
      <c r="Y192" s="4">
        <v>671</v>
      </c>
      <c r="Z192" s="4">
        <v>598</v>
      </c>
      <c r="AA192" s="4">
        <v>619</v>
      </c>
      <c r="AB192" s="4">
        <v>3</v>
      </c>
      <c r="AC192" s="4">
        <v>3</v>
      </c>
      <c r="AD192" s="4">
        <v>25</v>
      </c>
      <c r="AE192" s="4">
        <v>25</v>
      </c>
      <c r="AF192" s="4">
        <v>10</v>
      </c>
      <c r="AG192" s="4">
        <v>10</v>
      </c>
      <c r="AH192" s="4">
        <v>4</v>
      </c>
      <c r="AI192" s="4">
        <v>4</v>
      </c>
      <c r="AJ192" s="4">
        <v>16</v>
      </c>
      <c r="AK192" s="4">
        <v>16</v>
      </c>
      <c r="AL192" s="4">
        <v>2</v>
      </c>
      <c r="AM192" s="4">
        <v>2</v>
      </c>
      <c r="AN192" s="4">
        <v>0</v>
      </c>
      <c r="AO192" s="4">
        <v>0</v>
      </c>
      <c r="AP192" s="3" t="s">
        <v>51</v>
      </c>
      <c r="AQ192" s="3" t="s">
        <v>51</v>
      </c>
      <c r="AS192" s="6" t="str">
        <f>HYPERLINK("https://creighton-primo.hosted.exlibrisgroup.com/primo-explore/search?tab=default_tab&amp;search_scope=EVERYTHING&amp;vid=01CRU&amp;lang=en_US&amp;offset=0&amp;query=any,contains,991003913519702656","Catalog Record")</f>
        <v>Catalog Record</v>
      </c>
      <c r="AT192" s="6" t="str">
        <f>HYPERLINK("http://www.worldcat.org/oclc/43114535","WorldCat Record")</f>
        <v>WorldCat Record</v>
      </c>
    </row>
    <row r="193" spans="1:46" ht="41.25" customHeight="1" x14ac:dyDescent="0.25">
      <c r="A193" s="8" t="s">
        <v>51</v>
      </c>
      <c r="B193" s="2" t="s">
        <v>1323</v>
      </c>
      <c r="C193" s="2" t="s">
        <v>1324</v>
      </c>
      <c r="D193" s="2" t="s">
        <v>1325</v>
      </c>
      <c r="F193" s="3" t="s">
        <v>51</v>
      </c>
      <c r="G193" s="3" t="s">
        <v>50</v>
      </c>
      <c r="H193" s="3" t="s">
        <v>49</v>
      </c>
      <c r="I193" s="3" t="s">
        <v>51</v>
      </c>
      <c r="J193" s="3" t="s">
        <v>52</v>
      </c>
      <c r="L193" s="2" t="s">
        <v>1326</v>
      </c>
      <c r="M193" s="3" t="s">
        <v>129</v>
      </c>
      <c r="O193" s="3" t="s">
        <v>56</v>
      </c>
      <c r="P193" s="3" t="s">
        <v>57</v>
      </c>
      <c r="Q193" s="2" t="s">
        <v>1327</v>
      </c>
      <c r="R193" s="3" t="s">
        <v>59</v>
      </c>
      <c r="S193" s="4">
        <v>12</v>
      </c>
      <c r="T193" s="4">
        <v>12</v>
      </c>
      <c r="U193" s="5" t="s">
        <v>1328</v>
      </c>
      <c r="V193" s="5" t="s">
        <v>1328</v>
      </c>
      <c r="W193" s="5" t="s">
        <v>485</v>
      </c>
      <c r="X193" s="5" t="s">
        <v>485</v>
      </c>
      <c r="Y193" s="4">
        <v>470</v>
      </c>
      <c r="Z193" s="4">
        <v>357</v>
      </c>
      <c r="AA193" s="4">
        <v>362</v>
      </c>
      <c r="AB193" s="4">
        <v>2</v>
      </c>
      <c r="AC193" s="4">
        <v>2</v>
      </c>
      <c r="AD193" s="4">
        <v>23</v>
      </c>
      <c r="AE193" s="4">
        <v>23</v>
      </c>
      <c r="AF193" s="4">
        <v>8</v>
      </c>
      <c r="AG193" s="4">
        <v>8</v>
      </c>
      <c r="AH193" s="4">
        <v>6</v>
      </c>
      <c r="AI193" s="4">
        <v>6</v>
      </c>
      <c r="AJ193" s="4">
        <v>18</v>
      </c>
      <c r="AK193" s="4">
        <v>18</v>
      </c>
      <c r="AL193" s="4">
        <v>0</v>
      </c>
      <c r="AM193" s="4">
        <v>0</v>
      </c>
      <c r="AN193" s="4">
        <v>1</v>
      </c>
      <c r="AO193" s="4">
        <v>1</v>
      </c>
      <c r="AP193" s="3" t="s">
        <v>51</v>
      </c>
      <c r="AQ193" s="3" t="s">
        <v>51</v>
      </c>
      <c r="AS193" s="6" t="str">
        <f>HYPERLINK("https://creighton-primo.hosted.exlibrisgroup.com/primo-explore/search?tab=default_tab&amp;search_scope=EVERYTHING&amp;vid=01CRU&amp;lang=en_US&amp;offset=0&amp;query=any,contains,991000642839702656","Catalog Record")</f>
        <v>Catalog Record</v>
      </c>
      <c r="AT193" s="6" t="str">
        <f>HYPERLINK("http://www.worldcat.org/oclc/12107447","WorldCat Record")</f>
        <v>WorldCat Record</v>
      </c>
    </row>
    <row r="194" spans="1:46" ht="41.25" customHeight="1" x14ac:dyDescent="0.25">
      <c r="A194" s="8" t="s">
        <v>51</v>
      </c>
      <c r="B194" s="2" t="s">
        <v>1329</v>
      </c>
      <c r="C194" s="2" t="s">
        <v>1330</v>
      </c>
      <c r="D194" s="2" t="s">
        <v>1331</v>
      </c>
      <c r="F194" s="3" t="s">
        <v>51</v>
      </c>
      <c r="G194" s="3" t="s">
        <v>50</v>
      </c>
      <c r="H194" s="3" t="s">
        <v>51</v>
      </c>
      <c r="I194" s="3" t="s">
        <v>51</v>
      </c>
      <c r="J194" s="3" t="s">
        <v>52</v>
      </c>
      <c r="K194" s="2" t="s">
        <v>1332</v>
      </c>
      <c r="L194" s="2" t="s">
        <v>1333</v>
      </c>
      <c r="M194" s="3" t="s">
        <v>253</v>
      </c>
      <c r="O194" s="3" t="s">
        <v>56</v>
      </c>
      <c r="P194" s="3" t="s">
        <v>992</v>
      </c>
      <c r="Q194" s="2" t="s">
        <v>1334</v>
      </c>
      <c r="R194" s="3" t="s">
        <v>59</v>
      </c>
      <c r="S194" s="4">
        <v>3</v>
      </c>
      <c r="T194" s="4">
        <v>3</v>
      </c>
      <c r="U194" s="5" t="s">
        <v>1335</v>
      </c>
      <c r="V194" s="5" t="s">
        <v>1335</v>
      </c>
      <c r="W194" s="5" t="s">
        <v>1336</v>
      </c>
      <c r="X194" s="5" t="s">
        <v>1336</v>
      </c>
      <c r="Y194" s="4">
        <v>293</v>
      </c>
      <c r="Z194" s="4">
        <v>259</v>
      </c>
      <c r="AA194" s="4">
        <v>647</v>
      </c>
      <c r="AB194" s="4">
        <v>2</v>
      </c>
      <c r="AC194" s="4">
        <v>6</v>
      </c>
      <c r="AD194" s="4">
        <v>15</v>
      </c>
      <c r="AE194" s="4">
        <v>33</v>
      </c>
      <c r="AF194" s="4">
        <v>3</v>
      </c>
      <c r="AG194" s="4">
        <v>10</v>
      </c>
      <c r="AH194" s="4">
        <v>4</v>
      </c>
      <c r="AI194" s="4">
        <v>8</v>
      </c>
      <c r="AJ194" s="4">
        <v>9</v>
      </c>
      <c r="AK194" s="4">
        <v>13</v>
      </c>
      <c r="AL194" s="4">
        <v>1</v>
      </c>
      <c r="AM194" s="4">
        <v>5</v>
      </c>
      <c r="AN194" s="4">
        <v>2</v>
      </c>
      <c r="AO194" s="4">
        <v>3</v>
      </c>
      <c r="AP194" s="3" t="s">
        <v>51</v>
      </c>
      <c r="AQ194" s="3" t="s">
        <v>51</v>
      </c>
      <c r="AS194" s="6" t="str">
        <f>HYPERLINK("https://creighton-primo.hosted.exlibrisgroup.com/primo-explore/search?tab=default_tab&amp;search_scope=EVERYTHING&amp;vid=01CRU&amp;lang=en_US&amp;offset=0&amp;query=any,contains,991003719659702656","Catalog Record")</f>
        <v>Catalog Record</v>
      </c>
      <c r="AT194" s="6" t="str">
        <f>HYPERLINK("http://www.worldcat.org/oclc/44493256","WorldCat Record")</f>
        <v>WorldCat Record</v>
      </c>
    </row>
    <row r="195" spans="1:46" ht="41.25" customHeight="1" x14ac:dyDescent="0.25">
      <c r="A195" s="8" t="s">
        <v>51</v>
      </c>
      <c r="B195" s="2" t="s">
        <v>1337</v>
      </c>
      <c r="C195" s="2" t="s">
        <v>1338</v>
      </c>
      <c r="D195" s="2" t="s">
        <v>1339</v>
      </c>
      <c r="F195" s="3" t="s">
        <v>51</v>
      </c>
      <c r="G195" s="3" t="s">
        <v>50</v>
      </c>
      <c r="H195" s="3" t="s">
        <v>49</v>
      </c>
      <c r="I195" s="3" t="s">
        <v>51</v>
      </c>
      <c r="J195" s="3" t="s">
        <v>52</v>
      </c>
      <c r="K195" s="2" t="s">
        <v>1340</v>
      </c>
      <c r="L195" s="2" t="s">
        <v>1341</v>
      </c>
      <c r="M195" s="3" t="s">
        <v>920</v>
      </c>
      <c r="O195" s="3" t="s">
        <v>56</v>
      </c>
      <c r="P195" s="3" t="s">
        <v>992</v>
      </c>
      <c r="R195" s="3" t="s">
        <v>59</v>
      </c>
      <c r="S195" s="4">
        <v>2</v>
      </c>
      <c r="T195" s="4">
        <v>2</v>
      </c>
      <c r="U195" s="5" t="s">
        <v>1342</v>
      </c>
      <c r="V195" s="5" t="s">
        <v>1342</v>
      </c>
      <c r="W195" s="5" t="s">
        <v>1342</v>
      </c>
      <c r="X195" s="5" t="s">
        <v>1114</v>
      </c>
      <c r="Y195" s="4">
        <v>346</v>
      </c>
      <c r="Z195" s="4">
        <v>282</v>
      </c>
      <c r="AA195" s="4">
        <v>289</v>
      </c>
      <c r="AB195" s="4">
        <v>2</v>
      </c>
      <c r="AC195" s="4">
        <v>2</v>
      </c>
      <c r="AD195" s="4">
        <v>25</v>
      </c>
      <c r="AE195" s="4">
        <v>25</v>
      </c>
      <c r="AF195" s="4">
        <v>9</v>
      </c>
      <c r="AG195" s="4">
        <v>9</v>
      </c>
      <c r="AH195" s="4">
        <v>6</v>
      </c>
      <c r="AI195" s="4">
        <v>6</v>
      </c>
      <c r="AJ195" s="4">
        <v>18</v>
      </c>
      <c r="AK195" s="4">
        <v>18</v>
      </c>
      <c r="AL195" s="4">
        <v>0</v>
      </c>
      <c r="AM195" s="4">
        <v>0</v>
      </c>
      <c r="AN195" s="4">
        <v>2</v>
      </c>
      <c r="AO195" s="4">
        <v>2</v>
      </c>
      <c r="AP195" s="3" t="s">
        <v>51</v>
      </c>
      <c r="AQ195" s="3" t="s">
        <v>49</v>
      </c>
      <c r="AR195" s="6" t="str">
        <f>HYPERLINK("http://catalog.hathitrust.org/Record/003510260","HathiTrust Record")</f>
        <v>HathiTrust Record</v>
      </c>
      <c r="AS195" s="6" t="str">
        <f>HYPERLINK("https://creighton-primo.hosted.exlibrisgroup.com/primo-explore/search?tab=default_tab&amp;search_scope=EVERYTHING&amp;vid=01CRU&amp;lang=en_US&amp;offset=0&amp;query=any,contains,991001721229702656","Catalog Record")</f>
        <v>Catalog Record</v>
      </c>
      <c r="AT195" s="6" t="str">
        <f>HYPERLINK("http://www.worldcat.org/oclc/44016638","WorldCat Record")</f>
        <v>WorldCat Record</v>
      </c>
    </row>
    <row r="196" spans="1:46" ht="41.25" customHeight="1" x14ac:dyDescent="0.25">
      <c r="A196" s="8" t="s">
        <v>51</v>
      </c>
      <c r="B196" s="2" t="s">
        <v>1343</v>
      </c>
      <c r="C196" s="2" t="s">
        <v>1344</v>
      </c>
      <c r="D196" s="2" t="s">
        <v>1345</v>
      </c>
      <c r="E196" s="3" t="s">
        <v>1346</v>
      </c>
      <c r="F196" s="3" t="s">
        <v>51</v>
      </c>
      <c r="G196" s="3" t="s">
        <v>50</v>
      </c>
      <c r="H196" s="3" t="s">
        <v>51</v>
      </c>
      <c r="I196" s="3" t="s">
        <v>51</v>
      </c>
      <c r="J196" s="3" t="s">
        <v>52</v>
      </c>
      <c r="L196" s="2" t="s">
        <v>1347</v>
      </c>
      <c r="M196" s="3" t="s">
        <v>244</v>
      </c>
      <c r="O196" s="3" t="s">
        <v>56</v>
      </c>
      <c r="P196" s="3" t="s">
        <v>57</v>
      </c>
      <c r="Q196" s="2" t="s">
        <v>1348</v>
      </c>
      <c r="R196" s="3" t="s">
        <v>59</v>
      </c>
      <c r="S196" s="4">
        <v>6</v>
      </c>
      <c r="T196" s="4">
        <v>6</v>
      </c>
      <c r="U196" s="5" t="s">
        <v>1349</v>
      </c>
      <c r="V196" s="5" t="s">
        <v>1349</v>
      </c>
      <c r="W196" s="5" t="s">
        <v>1350</v>
      </c>
      <c r="X196" s="5" t="s">
        <v>1350</v>
      </c>
      <c r="Y196" s="4">
        <v>40</v>
      </c>
      <c r="Z196" s="4">
        <v>28</v>
      </c>
      <c r="AA196" s="4">
        <v>31</v>
      </c>
      <c r="AB196" s="4">
        <v>1</v>
      </c>
      <c r="AC196" s="4">
        <v>1</v>
      </c>
      <c r="AD196" s="4">
        <v>2</v>
      </c>
      <c r="AE196" s="4">
        <v>3</v>
      </c>
      <c r="AF196" s="4">
        <v>0</v>
      </c>
      <c r="AG196" s="4">
        <v>1</v>
      </c>
      <c r="AH196" s="4">
        <v>0</v>
      </c>
      <c r="AI196" s="4">
        <v>0</v>
      </c>
      <c r="AJ196" s="4">
        <v>1</v>
      </c>
      <c r="AK196" s="4">
        <v>2</v>
      </c>
      <c r="AL196" s="4">
        <v>0</v>
      </c>
      <c r="AM196" s="4">
        <v>0</v>
      </c>
      <c r="AN196" s="4">
        <v>1</v>
      </c>
      <c r="AO196" s="4">
        <v>1</v>
      </c>
      <c r="AP196" s="3" t="s">
        <v>51</v>
      </c>
      <c r="AQ196" s="3" t="s">
        <v>51</v>
      </c>
      <c r="AS196" s="6" t="str">
        <f>HYPERLINK("https://creighton-primo.hosted.exlibrisgroup.com/primo-explore/search?tab=default_tab&amp;search_scope=EVERYTHING&amp;vid=01CRU&amp;lang=en_US&amp;offset=0&amp;query=any,contains,991002439659702656","Catalog Record")</f>
        <v>Catalog Record</v>
      </c>
      <c r="AT196" s="6" t="str">
        <f>HYPERLINK("http://www.worldcat.org/oclc/31794209","WorldCat Record")</f>
        <v>WorldCat Record</v>
      </c>
    </row>
    <row r="197" spans="1:46" ht="41.25" customHeight="1" x14ac:dyDescent="0.25">
      <c r="A197" s="8" t="s">
        <v>51</v>
      </c>
      <c r="B197" s="2" t="s">
        <v>1351</v>
      </c>
      <c r="C197" s="2" t="s">
        <v>1352</v>
      </c>
      <c r="D197" s="2" t="s">
        <v>1353</v>
      </c>
      <c r="F197" s="3" t="s">
        <v>51</v>
      </c>
      <c r="G197" s="3" t="s">
        <v>50</v>
      </c>
      <c r="H197" s="3" t="s">
        <v>51</v>
      </c>
      <c r="I197" s="3" t="s">
        <v>51</v>
      </c>
      <c r="J197" s="3" t="s">
        <v>52</v>
      </c>
      <c r="K197" s="2" t="s">
        <v>1354</v>
      </c>
      <c r="L197" s="2" t="s">
        <v>631</v>
      </c>
      <c r="M197" s="3" t="s">
        <v>553</v>
      </c>
      <c r="O197" s="3" t="s">
        <v>56</v>
      </c>
      <c r="P197" s="3" t="s">
        <v>87</v>
      </c>
      <c r="R197" s="3" t="s">
        <v>59</v>
      </c>
      <c r="S197" s="4">
        <v>26</v>
      </c>
      <c r="T197" s="4">
        <v>26</v>
      </c>
      <c r="U197" s="5" t="s">
        <v>1355</v>
      </c>
      <c r="V197" s="5" t="s">
        <v>1355</v>
      </c>
      <c r="W197" s="5" t="s">
        <v>1356</v>
      </c>
      <c r="X197" s="5" t="s">
        <v>1356</v>
      </c>
      <c r="Y197" s="4">
        <v>501</v>
      </c>
      <c r="Z197" s="4">
        <v>436</v>
      </c>
      <c r="AA197" s="4">
        <v>443</v>
      </c>
      <c r="AB197" s="4">
        <v>5</v>
      </c>
      <c r="AC197" s="4">
        <v>5</v>
      </c>
      <c r="AD197" s="4">
        <v>28</v>
      </c>
      <c r="AE197" s="4">
        <v>28</v>
      </c>
      <c r="AF197" s="4">
        <v>8</v>
      </c>
      <c r="AG197" s="4">
        <v>8</v>
      </c>
      <c r="AH197" s="4">
        <v>7</v>
      </c>
      <c r="AI197" s="4">
        <v>7</v>
      </c>
      <c r="AJ197" s="4">
        <v>18</v>
      </c>
      <c r="AK197" s="4">
        <v>18</v>
      </c>
      <c r="AL197" s="4">
        <v>4</v>
      </c>
      <c r="AM197" s="4">
        <v>4</v>
      </c>
      <c r="AN197" s="4">
        <v>0</v>
      </c>
      <c r="AO197" s="4">
        <v>0</v>
      </c>
      <c r="AP197" s="3" t="s">
        <v>51</v>
      </c>
      <c r="AQ197" s="3" t="s">
        <v>49</v>
      </c>
      <c r="AR197" s="6" t="str">
        <f>HYPERLINK("http://catalog.hathitrust.org/Record/001815684","HathiTrust Record")</f>
        <v>HathiTrust Record</v>
      </c>
      <c r="AS197" s="6" t="str">
        <f>HYPERLINK("https://creighton-primo.hosted.exlibrisgroup.com/primo-explore/search?tab=default_tab&amp;search_scope=EVERYTHING&amp;vid=01CRU&amp;lang=en_US&amp;offset=0&amp;query=any,contains,991001481299702656","Catalog Record")</f>
        <v>Catalog Record</v>
      </c>
      <c r="AT197" s="6" t="str">
        <f>HYPERLINK("http://www.worldcat.org/oclc/19626080","WorldCat Record")</f>
        <v>WorldCat Record</v>
      </c>
    </row>
    <row r="198" spans="1:46" ht="41.25" customHeight="1" x14ac:dyDescent="0.25">
      <c r="A198" s="8" t="s">
        <v>51</v>
      </c>
      <c r="B198" s="2" t="s">
        <v>1357</v>
      </c>
      <c r="C198" s="2" t="s">
        <v>1358</v>
      </c>
      <c r="D198" s="2" t="s">
        <v>1359</v>
      </c>
      <c r="F198" s="3" t="s">
        <v>51</v>
      </c>
      <c r="G198" s="3" t="s">
        <v>50</v>
      </c>
      <c r="H198" s="3" t="s">
        <v>49</v>
      </c>
      <c r="I198" s="3" t="s">
        <v>51</v>
      </c>
      <c r="J198" s="3" t="s">
        <v>52</v>
      </c>
      <c r="L198" s="2" t="s">
        <v>1360</v>
      </c>
      <c r="M198" s="3" t="s">
        <v>553</v>
      </c>
      <c r="O198" s="3" t="s">
        <v>56</v>
      </c>
      <c r="P198" s="3" t="s">
        <v>57</v>
      </c>
      <c r="Q198" s="2" t="s">
        <v>1361</v>
      </c>
      <c r="R198" s="3" t="s">
        <v>59</v>
      </c>
      <c r="S198" s="4">
        <v>20</v>
      </c>
      <c r="T198" s="4">
        <v>29</v>
      </c>
      <c r="U198" s="5" t="s">
        <v>1362</v>
      </c>
      <c r="V198" s="5" t="s">
        <v>1362</v>
      </c>
      <c r="W198" s="5" t="s">
        <v>1363</v>
      </c>
      <c r="X198" s="5" t="s">
        <v>1363</v>
      </c>
      <c r="Y198" s="4">
        <v>388</v>
      </c>
      <c r="Z198" s="4">
        <v>303</v>
      </c>
      <c r="AA198" s="4">
        <v>312</v>
      </c>
      <c r="AB198" s="4">
        <v>2</v>
      </c>
      <c r="AC198" s="4">
        <v>2</v>
      </c>
      <c r="AD198" s="4">
        <v>35</v>
      </c>
      <c r="AE198" s="4">
        <v>35</v>
      </c>
      <c r="AF198" s="4">
        <v>10</v>
      </c>
      <c r="AG198" s="4">
        <v>10</v>
      </c>
      <c r="AH198" s="4">
        <v>11</v>
      </c>
      <c r="AI198" s="4">
        <v>11</v>
      </c>
      <c r="AJ198" s="4">
        <v>23</v>
      </c>
      <c r="AK198" s="4">
        <v>23</v>
      </c>
      <c r="AL198" s="4">
        <v>0</v>
      </c>
      <c r="AM198" s="4">
        <v>0</v>
      </c>
      <c r="AN198" s="4">
        <v>3</v>
      </c>
      <c r="AO198" s="4">
        <v>3</v>
      </c>
      <c r="AP198" s="3" t="s">
        <v>51</v>
      </c>
      <c r="AQ198" s="3" t="s">
        <v>49</v>
      </c>
      <c r="AR198" s="6" t="str">
        <f>HYPERLINK("http://catalog.hathitrust.org/Record/001105803","HathiTrust Record")</f>
        <v>HathiTrust Record</v>
      </c>
      <c r="AS198" s="6" t="str">
        <f>HYPERLINK("https://creighton-primo.hosted.exlibrisgroup.com/primo-explore/search?tab=default_tab&amp;search_scope=EVERYTHING&amp;vid=01CRU&amp;lang=en_US&amp;offset=0&amp;query=any,contains,991001794269702656","Catalog Record")</f>
        <v>Catalog Record</v>
      </c>
      <c r="AT198" s="6" t="str">
        <f>HYPERLINK("http://www.worldcat.org/oclc/18327337","WorldCat Record")</f>
        <v>WorldCat Record</v>
      </c>
    </row>
    <row r="199" spans="1:46" ht="41.25" customHeight="1" x14ac:dyDescent="0.25">
      <c r="A199" s="8" t="s">
        <v>51</v>
      </c>
      <c r="B199" s="2" t="s">
        <v>1364</v>
      </c>
      <c r="C199" s="2" t="s">
        <v>1365</v>
      </c>
      <c r="D199" s="2" t="s">
        <v>1366</v>
      </c>
      <c r="F199" s="3" t="s">
        <v>51</v>
      </c>
      <c r="G199" s="3" t="s">
        <v>50</v>
      </c>
      <c r="H199" s="3" t="s">
        <v>49</v>
      </c>
      <c r="I199" s="3" t="s">
        <v>51</v>
      </c>
      <c r="J199" s="3" t="s">
        <v>52</v>
      </c>
      <c r="K199" s="2" t="s">
        <v>1367</v>
      </c>
      <c r="L199" s="2" t="s">
        <v>1368</v>
      </c>
      <c r="M199" s="3" t="s">
        <v>1271</v>
      </c>
      <c r="O199" s="3" t="s">
        <v>56</v>
      </c>
      <c r="P199" s="3" t="s">
        <v>229</v>
      </c>
      <c r="R199" s="3" t="s">
        <v>59</v>
      </c>
      <c r="S199" s="4">
        <v>3</v>
      </c>
      <c r="T199" s="4">
        <v>3</v>
      </c>
      <c r="U199" s="5" t="s">
        <v>905</v>
      </c>
      <c r="V199" s="5" t="s">
        <v>905</v>
      </c>
      <c r="W199" s="5" t="s">
        <v>1369</v>
      </c>
      <c r="X199" s="5" t="s">
        <v>1370</v>
      </c>
      <c r="Y199" s="4">
        <v>216</v>
      </c>
      <c r="Z199" s="4">
        <v>199</v>
      </c>
      <c r="AA199" s="4">
        <v>205</v>
      </c>
      <c r="AB199" s="4">
        <v>2</v>
      </c>
      <c r="AC199" s="4">
        <v>2</v>
      </c>
      <c r="AD199" s="4">
        <v>30</v>
      </c>
      <c r="AE199" s="4">
        <v>30</v>
      </c>
      <c r="AF199" s="4">
        <v>11</v>
      </c>
      <c r="AG199" s="4">
        <v>11</v>
      </c>
      <c r="AH199" s="4">
        <v>6</v>
      </c>
      <c r="AI199" s="4">
        <v>6</v>
      </c>
      <c r="AJ199" s="4">
        <v>16</v>
      </c>
      <c r="AK199" s="4">
        <v>16</v>
      </c>
      <c r="AL199" s="4">
        <v>0</v>
      </c>
      <c r="AM199" s="4">
        <v>0</v>
      </c>
      <c r="AN199" s="4">
        <v>5</v>
      </c>
      <c r="AO199" s="4">
        <v>5</v>
      </c>
      <c r="AP199" s="3" t="s">
        <v>51</v>
      </c>
      <c r="AQ199" s="3" t="s">
        <v>49</v>
      </c>
      <c r="AR199" s="6" t="str">
        <f>HYPERLINK("http://catalog.hathitrust.org/Record/004719205","HathiTrust Record")</f>
        <v>HathiTrust Record</v>
      </c>
      <c r="AS199" s="6" t="str">
        <f>HYPERLINK("https://creighton-primo.hosted.exlibrisgroup.com/primo-explore/search?tab=default_tab&amp;search_scope=EVERYTHING&amp;vid=01CRU&amp;lang=en_US&amp;offset=0&amp;query=any,contains,991001728489702656","Catalog Record")</f>
        <v>Catalog Record</v>
      </c>
      <c r="AT199" s="6" t="str">
        <f>HYPERLINK("http://www.worldcat.org/oclc/53023494","WorldCat Record")</f>
        <v>WorldCat Record</v>
      </c>
    </row>
    <row r="200" spans="1:46" ht="41.25" customHeight="1" x14ac:dyDescent="0.25">
      <c r="A200" s="8" t="s">
        <v>51</v>
      </c>
      <c r="B200" s="2" t="s">
        <v>1371</v>
      </c>
      <c r="C200" s="2" t="s">
        <v>1372</v>
      </c>
      <c r="D200" s="2" t="s">
        <v>1140</v>
      </c>
      <c r="F200" s="3" t="s">
        <v>51</v>
      </c>
      <c r="G200" s="3" t="s">
        <v>50</v>
      </c>
      <c r="H200" s="3" t="s">
        <v>51</v>
      </c>
      <c r="I200" s="3" t="s">
        <v>49</v>
      </c>
      <c r="J200" s="3" t="s">
        <v>52</v>
      </c>
      <c r="K200" s="2" t="s">
        <v>1141</v>
      </c>
      <c r="L200" s="2" t="s">
        <v>1373</v>
      </c>
      <c r="M200" s="3" t="s">
        <v>851</v>
      </c>
      <c r="N200" s="2" t="s">
        <v>1374</v>
      </c>
      <c r="O200" s="3" t="s">
        <v>56</v>
      </c>
      <c r="P200" s="3" t="s">
        <v>87</v>
      </c>
      <c r="R200" s="3" t="s">
        <v>59</v>
      </c>
      <c r="S200" s="4">
        <v>33</v>
      </c>
      <c r="T200" s="4">
        <v>33</v>
      </c>
      <c r="U200" s="5" t="s">
        <v>980</v>
      </c>
      <c r="V200" s="5" t="s">
        <v>980</v>
      </c>
      <c r="W200" s="5" t="s">
        <v>1375</v>
      </c>
      <c r="X200" s="5" t="s">
        <v>1375</v>
      </c>
      <c r="Y200" s="4">
        <v>75</v>
      </c>
      <c r="Z200" s="4">
        <v>65</v>
      </c>
      <c r="AA200" s="4">
        <v>301</v>
      </c>
      <c r="AB200" s="4">
        <v>1</v>
      </c>
      <c r="AC200" s="4">
        <v>4</v>
      </c>
      <c r="AD200" s="4">
        <v>5</v>
      </c>
      <c r="AE200" s="4">
        <v>27</v>
      </c>
      <c r="AF200" s="4">
        <v>1</v>
      </c>
      <c r="AG200" s="4">
        <v>7</v>
      </c>
      <c r="AH200" s="4">
        <v>1</v>
      </c>
      <c r="AI200" s="4">
        <v>8</v>
      </c>
      <c r="AJ200" s="4">
        <v>3</v>
      </c>
      <c r="AK200" s="4">
        <v>20</v>
      </c>
      <c r="AL200" s="4">
        <v>0</v>
      </c>
      <c r="AM200" s="4">
        <v>0</v>
      </c>
      <c r="AN200" s="4">
        <v>0</v>
      </c>
      <c r="AO200" s="4">
        <v>0</v>
      </c>
      <c r="AP200" s="3" t="s">
        <v>51</v>
      </c>
      <c r="AQ200" s="3" t="s">
        <v>51</v>
      </c>
      <c r="AS200" s="6" t="str">
        <f>HYPERLINK("https://creighton-primo.hosted.exlibrisgroup.com/primo-explore/search?tab=default_tab&amp;search_scope=EVERYTHING&amp;vid=01CRU&amp;lang=en_US&amp;offset=0&amp;query=any,contains,991002651249702656","Catalog Record")</f>
        <v>Catalog Record</v>
      </c>
      <c r="AT200" s="6" t="str">
        <f>HYPERLINK("http://www.worldcat.org/oclc/34674923","WorldCat Record")</f>
        <v>WorldCat Record</v>
      </c>
    </row>
    <row r="201" spans="1:46" ht="41.25" customHeight="1" x14ac:dyDescent="0.25">
      <c r="A201" s="8" t="s">
        <v>51</v>
      </c>
      <c r="B201" s="2" t="s">
        <v>1376</v>
      </c>
      <c r="C201" s="2" t="s">
        <v>1377</v>
      </c>
      <c r="D201" s="2" t="s">
        <v>1378</v>
      </c>
      <c r="F201" s="3" t="s">
        <v>51</v>
      </c>
      <c r="G201" s="3" t="s">
        <v>50</v>
      </c>
      <c r="H201" s="3" t="s">
        <v>51</v>
      </c>
      <c r="I201" s="3" t="s">
        <v>51</v>
      </c>
      <c r="J201" s="3" t="s">
        <v>52</v>
      </c>
      <c r="K201" s="2" t="s">
        <v>1379</v>
      </c>
      <c r="L201" s="2" t="s">
        <v>1380</v>
      </c>
      <c r="M201" s="3" t="s">
        <v>644</v>
      </c>
      <c r="O201" s="3" t="s">
        <v>56</v>
      </c>
      <c r="P201" s="3" t="s">
        <v>476</v>
      </c>
      <c r="Q201" s="2" t="s">
        <v>1381</v>
      </c>
      <c r="R201" s="3" t="s">
        <v>59</v>
      </c>
      <c r="S201" s="4">
        <v>6</v>
      </c>
      <c r="T201" s="4">
        <v>6</v>
      </c>
      <c r="U201" s="5" t="s">
        <v>905</v>
      </c>
      <c r="V201" s="5" t="s">
        <v>905</v>
      </c>
      <c r="W201" s="5" t="s">
        <v>1382</v>
      </c>
      <c r="X201" s="5" t="s">
        <v>1382</v>
      </c>
      <c r="Y201" s="4">
        <v>357</v>
      </c>
      <c r="Z201" s="4">
        <v>291</v>
      </c>
      <c r="AA201" s="4">
        <v>308</v>
      </c>
      <c r="AB201" s="4">
        <v>3</v>
      </c>
      <c r="AC201" s="4">
        <v>3</v>
      </c>
      <c r="AD201" s="4">
        <v>19</v>
      </c>
      <c r="AE201" s="4">
        <v>21</v>
      </c>
      <c r="AF201" s="4">
        <v>5</v>
      </c>
      <c r="AG201" s="4">
        <v>7</v>
      </c>
      <c r="AH201" s="4">
        <v>6</v>
      </c>
      <c r="AI201" s="4">
        <v>6</v>
      </c>
      <c r="AJ201" s="4">
        <v>10</v>
      </c>
      <c r="AK201" s="4">
        <v>10</v>
      </c>
      <c r="AL201" s="4">
        <v>2</v>
      </c>
      <c r="AM201" s="4">
        <v>2</v>
      </c>
      <c r="AN201" s="4">
        <v>0</v>
      </c>
      <c r="AO201" s="4">
        <v>0</v>
      </c>
      <c r="AP201" s="3" t="s">
        <v>51</v>
      </c>
      <c r="AQ201" s="3" t="s">
        <v>49</v>
      </c>
      <c r="AR201" s="6" t="str">
        <f>HYPERLINK("http://catalog.hathitrust.org/Record/004027832","HathiTrust Record")</f>
        <v>HathiTrust Record</v>
      </c>
      <c r="AS201" s="6" t="str">
        <f>HYPERLINK("https://creighton-primo.hosted.exlibrisgroup.com/primo-explore/search?tab=default_tab&amp;search_scope=EVERYTHING&amp;vid=01CRU&amp;lang=en_US&amp;offset=0&amp;query=any,contains,991003316449702656","Catalog Record")</f>
        <v>Catalog Record</v>
      </c>
      <c r="AT201" s="6" t="str">
        <f>HYPERLINK("http://www.worldcat.org/oclc/40516754","WorldCat Record")</f>
        <v>WorldCat Record</v>
      </c>
    </row>
    <row r="202" spans="1:46" ht="41.25" customHeight="1" x14ac:dyDescent="0.25">
      <c r="A202" s="8" t="s">
        <v>51</v>
      </c>
      <c r="B202" s="2" t="s">
        <v>1383</v>
      </c>
      <c r="C202" s="2" t="s">
        <v>1384</v>
      </c>
      <c r="D202" s="2" t="s">
        <v>1385</v>
      </c>
      <c r="F202" s="3" t="s">
        <v>51</v>
      </c>
      <c r="G202" s="3" t="s">
        <v>50</v>
      </c>
      <c r="H202" s="3" t="s">
        <v>49</v>
      </c>
      <c r="I202" s="3" t="s">
        <v>51</v>
      </c>
      <c r="J202" s="3" t="s">
        <v>52</v>
      </c>
      <c r="L202" s="2" t="s">
        <v>1386</v>
      </c>
      <c r="M202" s="3" t="s">
        <v>586</v>
      </c>
      <c r="O202" s="3" t="s">
        <v>56</v>
      </c>
      <c r="P202" s="3" t="s">
        <v>1017</v>
      </c>
      <c r="R202" s="3" t="s">
        <v>59</v>
      </c>
      <c r="S202" s="4">
        <v>27</v>
      </c>
      <c r="T202" s="4">
        <v>36</v>
      </c>
      <c r="U202" s="5" t="s">
        <v>845</v>
      </c>
      <c r="V202" s="5" t="s">
        <v>845</v>
      </c>
      <c r="W202" s="5" t="s">
        <v>1387</v>
      </c>
      <c r="X202" s="5" t="s">
        <v>1387</v>
      </c>
      <c r="Y202" s="4">
        <v>472</v>
      </c>
      <c r="Z202" s="4">
        <v>371</v>
      </c>
      <c r="AA202" s="4">
        <v>374</v>
      </c>
      <c r="AB202" s="4">
        <v>2</v>
      </c>
      <c r="AC202" s="4">
        <v>2</v>
      </c>
      <c r="AD202" s="4">
        <v>23</v>
      </c>
      <c r="AE202" s="4">
        <v>23</v>
      </c>
      <c r="AF202" s="4">
        <v>10</v>
      </c>
      <c r="AG202" s="4">
        <v>10</v>
      </c>
      <c r="AH202" s="4">
        <v>4</v>
      </c>
      <c r="AI202" s="4">
        <v>4</v>
      </c>
      <c r="AJ202" s="4">
        <v>12</v>
      </c>
      <c r="AK202" s="4">
        <v>12</v>
      </c>
      <c r="AL202" s="4">
        <v>0</v>
      </c>
      <c r="AM202" s="4">
        <v>0</v>
      </c>
      <c r="AN202" s="4">
        <v>2</v>
      </c>
      <c r="AO202" s="4">
        <v>2</v>
      </c>
      <c r="AP202" s="3" t="s">
        <v>51</v>
      </c>
      <c r="AQ202" s="3" t="s">
        <v>49</v>
      </c>
      <c r="AR202" s="6" t="str">
        <f>HYPERLINK("http://catalog.hathitrust.org/Record/003016154","HathiTrust Record")</f>
        <v>HathiTrust Record</v>
      </c>
      <c r="AS202" s="6" t="str">
        <f>HYPERLINK("https://creighton-primo.hosted.exlibrisgroup.com/primo-explore/search?tab=default_tab&amp;search_scope=EVERYTHING&amp;vid=01CRU&amp;lang=en_US&amp;offset=0&amp;query=any,contains,991001802629702656","Catalog Record")</f>
        <v>Catalog Record</v>
      </c>
      <c r="AT202" s="6" t="str">
        <f>HYPERLINK("http://www.worldcat.org/oclc/27066826","WorldCat Record")</f>
        <v>WorldCat Record</v>
      </c>
    </row>
    <row r="203" spans="1:46" ht="41.25" customHeight="1" x14ac:dyDescent="0.25">
      <c r="A203" s="8" t="s">
        <v>51</v>
      </c>
      <c r="B203" s="2" t="s">
        <v>1388</v>
      </c>
      <c r="C203" s="2" t="s">
        <v>1389</v>
      </c>
      <c r="D203" s="2" t="s">
        <v>1390</v>
      </c>
      <c r="F203" s="3" t="s">
        <v>51</v>
      </c>
      <c r="G203" s="3" t="s">
        <v>50</v>
      </c>
      <c r="H203" s="3" t="s">
        <v>49</v>
      </c>
      <c r="I203" s="3" t="s">
        <v>51</v>
      </c>
      <c r="J203" s="3" t="s">
        <v>52</v>
      </c>
      <c r="L203" s="2" t="s">
        <v>1391</v>
      </c>
      <c r="M203" s="3" t="s">
        <v>263</v>
      </c>
      <c r="O203" s="3" t="s">
        <v>56</v>
      </c>
      <c r="P203" s="3" t="s">
        <v>87</v>
      </c>
      <c r="R203" s="3" t="s">
        <v>59</v>
      </c>
      <c r="S203" s="4">
        <v>51</v>
      </c>
      <c r="T203" s="4">
        <v>67</v>
      </c>
      <c r="U203" s="5" t="s">
        <v>1392</v>
      </c>
      <c r="V203" s="5" t="s">
        <v>1392</v>
      </c>
      <c r="W203" s="5" t="s">
        <v>1393</v>
      </c>
      <c r="X203" s="5" t="s">
        <v>1393</v>
      </c>
      <c r="Y203" s="4">
        <v>1183</v>
      </c>
      <c r="Z203" s="4">
        <v>1052</v>
      </c>
      <c r="AA203" s="4">
        <v>1066</v>
      </c>
      <c r="AB203" s="4">
        <v>9</v>
      </c>
      <c r="AC203" s="4">
        <v>9</v>
      </c>
      <c r="AD203" s="4">
        <v>41</v>
      </c>
      <c r="AE203" s="4">
        <v>42</v>
      </c>
      <c r="AF203" s="4">
        <v>13</v>
      </c>
      <c r="AG203" s="4">
        <v>14</v>
      </c>
      <c r="AH203" s="4">
        <v>6</v>
      </c>
      <c r="AI203" s="4">
        <v>6</v>
      </c>
      <c r="AJ203" s="4">
        <v>17</v>
      </c>
      <c r="AK203" s="4">
        <v>17</v>
      </c>
      <c r="AL203" s="4">
        <v>5</v>
      </c>
      <c r="AM203" s="4">
        <v>5</v>
      </c>
      <c r="AN203" s="4">
        <v>8</v>
      </c>
      <c r="AO203" s="4">
        <v>8</v>
      </c>
      <c r="AP203" s="3" t="s">
        <v>51</v>
      </c>
      <c r="AQ203" s="3" t="s">
        <v>49</v>
      </c>
      <c r="AR203" s="6" t="str">
        <f>HYPERLINK("http://catalog.hathitrust.org/Record/000044758","HathiTrust Record")</f>
        <v>HathiTrust Record</v>
      </c>
      <c r="AS203" s="6" t="str">
        <f>HYPERLINK("https://creighton-primo.hosted.exlibrisgroup.com/primo-explore/search?tab=default_tab&amp;search_scope=EVERYTHING&amp;vid=01CRU&amp;lang=en_US&amp;offset=0&amp;query=any,contains,991001789009702656","Catalog Record")</f>
        <v>Catalog Record</v>
      </c>
      <c r="AT203" s="6" t="str">
        <f>HYPERLINK("http://www.worldcat.org/oclc/1527377","WorldCat Record")</f>
        <v>WorldCat Record</v>
      </c>
    </row>
    <row r="204" spans="1:46" ht="41.25" customHeight="1" x14ac:dyDescent="0.25">
      <c r="A204" s="8" t="s">
        <v>51</v>
      </c>
      <c r="B204" s="2" t="s">
        <v>1394</v>
      </c>
      <c r="C204" s="2" t="s">
        <v>1395</v>
      </c>
      <c r="D204" s="2" t="s">
        <v>1396</v>
      </c>
      <c r="F204" s="3" t="s">
        <v>51</v>
      </c>
      <c r="G204" s="3" t="s">
        <v>50</v>
      </c>
      <c r="H204" s="3" t="s">
        <v>51</v>
      </c>
      <c r="I204" s="3" t="s">
        <v>51</v>
      </c>
      <c r="J204" s="3" t="s">
        <v>52</v>
      </c>
      <c r="K204" s="2" t="s">
        <v>1397</v>
      </c>
      <c r="L204" s="2" t="s">
        <v>1398</v>
      </c>
      <c r="M204" s="3" t="s">
        <v>979</v>
      </c>
      <c r="O204" s="3" t="s">
        <v>56</v>
      </c>
      <c r="P204" s="3" t="s">
        <v>1399</v>
      </c>
      <c r="R204" s="3" t="s">
        <v>59</v>
      </c>
      <c r="S204" s="4">
        <v>2</v>
      </c>
      <c r="T204" s="4">
        <v>2</v>
      </c>
      <c r="U204" s="5" t="s">
        <v>1400</v>
      </c>
      <c r="V204" s="5" t="s">
        <v>1400</v>
      </c>
      <c r="W204" s="5" t="s">
        <v>1400</v>
      </c>
      <c r="X204" s="5" t="s">
        <v>1400</v>
      </c>
      <c r="Y204" s="4">
        <v>216</v>
      </c>
      <c r="Z204" s="4">
        <v>187</v>
      </c>
      <c r="AA204" s="4">
        <v>222</v>
      </c>
      <c r="AB204" s="4">
        <v>1</v>
      </c>
      <c r="AC204" s="4">
        <v>1</v>
      </c>
      <c r="AD204" s="4">
        <v>16</v>
      </c>
      <c r="AE204" s="4">
        <v>17</v>
      </c>
      <c r="AF204" s="4">
        <v>5</v>
      </c>
      <c r="AG204" s="4">
        <v>6</v>
      </c>
      <c r="AH204" s="4">
        <v>5</v>
      </c>
      <c r="AI204" s="4">
        <v>5</v>
      </c>
      <c r="AJ204" s="4">
        <v>9</v>
      </c>
      <c r="AK204" s="4">
        <v>10</v>
      </c>
      <c r="AL204" s="4">
        <v>0</v>
      </c>
      <c r="AM204" s="4">
        <v>0</v>
      </c>
      <c r="AN204" s="4">
        <v>1</v>
      </c>
      <c r="AO204" s="4">
        <v>1</v>
      </c>
      <c r="AP204" s="3" t="s">
        <v>51</v>
      </c>
      <c r="AQ204" s="3" t="s">
        <v>49</v>
      </c>
      <c r="AR204" s="6" t="str">
        <f>HYPERLINK("http://catalog.hathitrust.org/Record/102035076","HathiTrust Record")</f>
        <v>HathiTrust Record</v>
      </c>
      <c r="AS204" s="6" t="str">
        <f>HYPERLINK("https://creighton-primo.hosted.exlibrisgroup.com/primo-explore/search?tab=default_tab&amp;search_scope=EVERYTHING&amp;vid=01CRU&amp;lang=en_US&amp;offset=0&amp;query=any,contains,991005310889702656","Catalog Record")</f>
        <v>Catalog Record</v>
      </c>
      <c r="AT204" s="6" t="str">
        <f>HYPERLINK("http://www.worldcat.org/oclc/56748857","WorldCat Record")</f>
        <v>WorldCat Record</v>
      </c>
    </row>
    <row r="205" spans="1:46" ht="41.25" customHeight="1" x14ac:dyDescent="0.25">
      <c r="A205" s="8" t="s">
        <v>51</v>
      </c>
      <c r="B205" s="2" t="s">
        <v>1401</v>
      </c>
      <c r="C205" s="2" t="s">
        <v>1402</v>
      </c>
      <c r="D205" s="2" t="s">
        <v>1403</v>
      </c>
      <c r="F205" s="3" t="s">
        <v>51</v>
      </c>
      <c r="G205" s="3" t="s">
        <v>50</v>
      </c>
      <c r="H205" s="3" t="s">
        <v>51</v>
      </c>
      <c r="I205" s="3" t="s">
        <v>51</v>
      </c>
      <c r="J205" s="3" t="s">
        <v>52</v>
      </c>
      <c r="K205" s="2" t="s">
        <v>1404</v>
      </c>
      <c r="L205" s="2" t="s">
        <v>1405</v>
      </c>
      <c r="M205" s="3" t="s">
        <v>218</v>
      </c>
      <c r="O205" s="3" t="s">
        <v>56</v>
      </c>
      <c r="P205" s="3" t="s">
        <v>87</v>
      </c>
      <c r="R205" s="3" t="s">
        <v>59</v>
      </c>
      <c r="S205" s="4">
        <v>24</v>
      </c>
      <c r="T205" s="4">
        <v>24</v>
      </c>
      <c r="U205" s="5" t="s">
        <v>1406</v>
      </c>
      <c r="V205" s="5" t="s">
        <v>1406</v>
      </c>
      <c r="W205" s="5" t="s">
        <v>1407</v>
      </c>
      <c r="X205" s="5" t="s">
        <v>1407</v>
      </c>
      <c r="Y205" s="4">
        <v>700</v>
      </c>
      <c r="Z205" s="4">
        <v>665</v>
      </c>
      <c r="AA205" s="4">
        <v>667</v>
      </c>
      <c r="AB205" s="4">
        <v>8</v>
      </c>
      <c r="AC205" s="4">
        <v>8</v>
      </c>
      <c r="AD205" s="4">
        <v>19</v>
      </c>
      <c r="AE205" s="4">
        <v>19</v>
      </c>
      <c r="AF205" s="4">
        <v>2</v>
      </c>
      <c r="AG205" s="4">
        <v>2</v>
      </c>
      <c r="AH205" s="4">
        <v>3</v>
      </c>
      <c r="AI205" s="4">
        <v>3</v>
      </c>
      <c r="AJ205" s="4">
        <v>5</v>
      </c>
      <c r="AK205" s="4">
        <v>5</v>
      </c>
      <c r="AL205" s="4">
        <v>4</v>
      </c>
      <c r="AM205" s="4">
        <v>4</v>
      </c>
      <c r="AN205" s="4">
        <v>7</v>
      </c>
      <c r="AO205" s="4">
        <v>7</v>
      </c>
      <c r="AP205" s="3" t="s">
        <v>51</v>
      </c>
      <c r="AQ205" s="3" t="s">
        <v>49</v>
      </c>
      <c r="AR205" s="6" t="str">
        <f>HYPERLINK("http://catalog.hathitrust.org/Record/000425731","HathiTrust Record")</f>
        <v>HathiTrust Record</v>
      </c>
      <c r="AS205" s="6" t="str">
        <f>HYPERLINK("https://creighton-primo.hosted.exlibrisgroup.com/primo-explore/search?tab=default_tab&amp;search_scope=EVERYTHING&amp;vid=01CRU&amp;lang=en_US&amp;offset=0&amp;query=any,contains,991004159729702656","Catalog Record")</f>
        <v>Catalog Record</v>
      </c>
      <c r="AT205" s="6" t="str">
        <f>HYPERLINK("http://www.worldcat.org/oclc/2546796","WorldCat Record")</f>
        <v>WorldCat Record</v>
      </c>
    </row>
    <row r="206" spans="1:46" ht="41.25" customHeight="1" x14ac:dyDescent="0.25">
      <c r="A206" s="8" t="s">
        <v>51</v>
      </c>
      <c r="B206" s="2" t="s">
        <v>1408</v>
      </c>
      <c r="C206" s="2" t="s">
        <v>1409</v>
      </c>
      <c r="D206" s="2" t="s">
        <v>1410</v>
      </c>
      <c r="F206" s="3" t="s">
        <v>51</v>
      </c>
      <c r="G206" s="3" t="s">
        <v>50</v>
      </c>
      <c r="H206" s="3" t="s">
        <v>51</v>
      </c>
      <c r="I206" s="3" t="s">
        <v>51</v>
      </c>
      <c r="J206" s="3" t="s">
        <v>52</v>
      </c>
      <c r="K206" s="2" t="s">
        <v>1411</v>
      </c>
      <c r="L206" s="2" t="s">
        <v>1412</v>
      </c>
      <c r="M206" s="3" t="s">
        <v>298</v>
      </c>
      <c r="O206" s="3" t="s">
        <v>56</v>
      </c>
      <c r="P206" s="3" t="s">
        <v>748</v>
      </c>
      <c r="R206" s="3" t="s">
        <v>59</v>
      </c>
      <c r="S206" s="4">
        <v>23</v>
      </c>
      <c r="T206" s="4">
        <v>23</v>
      </c>
      <c r="U206" s="5" t="s">
        <v>980</v>
      </c>
      <c r="V206" s="5" t="s">
        <v>980</v>
      </c>
      <c r="W206" s="5" t="s">
        <v>838</v>
      </c>
      <c r="X206" s="5" t="s">
        <v>838</v>
      </c>
      <c r="Y206" s="4">
        <v>1046</v>
      </c>
      <c r="Z206" s="4">
        <v>941</v>
      </c>
      <c r="AA206" s="4">
        <v>955</v>
      </c>
      <c r="AB206" s="4">
        <v>7</v>
      </c>
      <c r="AC206" s="4">
        <v>7</v>
      </c>
      <c r="AD206" s="4">
        <v>26</v>
      </c>
      <c r="AE206" s="4">
        <v>27</v>
      </c>
      <c r="AF206" s="4">
        <v>8</v>
      </c>
      <c r="AG206" s="4">
        <v>9</v>
      </c>
      <c r="AH206" s="4">
        <v>5</v>
      </c>
      <c r="AI206" s="4">
        <v>5</v>
      </c>
      <c r="AJ206" s="4">
        <v>16</v>
      </c>
      <c r="AK206" s="4">
        <v>17</v>
      </c>
      <c r="AL206" s="4">
        <v>3</v>
      </c>
      <c r="AM206" s="4">
        <v>3</v>
      </c>
      <c r="AN206" s="4">
        <v>2</v>
      </c>
      <c r="AO206" s="4">
        <v>2</v>
      </c>
      <c r="AP206" s="3" t="s">
        <v>51</v>
      </c>
      <c r="AQ206" s="3" t="s">
        <v>49</v>
      </c>
      <c r="AR206" s="6" t="str">
        <f>HYPERLINK("http://catalog.hathitrust.org/Record/002565484","HathiTrust Record")</f>
        <v>HathiTrust Record</v>
      </c>
      <c r="AS206" s="6" t="str">
        <f>HYPERLINK("https://creighton-primo.hosted.exlibrisgroup.com/primo-explore/search?tab=default_tab&amp;search_scope=EVERYTHING&amp;vid=01CRU&amp;lang=en_US&amp;offset=0&amp;query=any,contains,991002036389702656","Catalog Record")</f>
        <v>Catalog Record</v>
      </c>
      <c r="AT206" s="6" t="str">
        <f>HYPERLINK("http://www.worldcat.org/oclc/25964400","WorldCat Record")</f>
        <v>WorldCat Record</v>
      </c>
    </row>
    <row r="207" spans="1:46" ht="41.25" customHeight="1" x14ac:dyDescent="0.25">
      <c r="A207" s="8" t="s">
        <v>51</v>
      </c>
      <c r="B207" s="2" t="s">
        <v>1413</v>
      </c>
      <c r="C207" s="2" t="s">
        <v>1414</v>
      </c>
      <c r="D207" s="2" t="s">
        <v>1415</v>
      </c>
      <c r="F207" s="3" t="s">
        <v>51</v>
      </c>
      <c r="G207" s="3" t="s">
        <v>50</v>
      </c>
      <c r="H207" s="3" t="s">
        <v>51</v>
      </c>
      <c r="I207" s="3" t="s">
        <v>51</v>
      </c>
      <c r="J207" s="3" t="s">
        <v>52</v>
      </c>
      <c r="L207" s="2" t="s">
        <v>1416</v>
      </c>
      <c r="M207" s="3" t="s">
        <v>194</v>
      </c>
      <c r="O207" s="3" t="s">
        <v>56</v>
      </c>
      <c r="P207" s="3" t="s">
        <v>476</v>
      </c>
      <c r="Q207" s="2" t="s">
        <v>1417</v>
      </c>
      <c r="R207" s="3" t="s">
        <v>59</v>
      </c>
      <c r="S207" s="4">
        <v>27</v>
      </c>
      <c r="T207" s="4">
        <v>27</v>
      </c>
      <c r="U207" s="5" t="s">
        <v>1418</v>
      </c>
      <c r="V207" s="5" t="s">
        <v>1418</v>
      </c>
      <c r="W207" s="5" t="s">
        <v>1419</v>
      </c>
      <c r="X207" s="5" t="s">
        <v>1419</v>
      </c>
      <c r="Y207" s="4">
        <v>405</v>
      </c>
      <c r="Z207" s="4">
        <v>345</v>
      </c>
      <c r="AA207" s="4">
        <v>365</v>
      </c>
      <c r="AB207" s="4">
        <v>3</v>
      </c>
      <c r="AC207" s="4">
        <v>3</v>
      </c>
      <c r="AD207" s="4">
        <v>18</v>
      </c>
      <c r="AE207" s="4">
        <v>18</v>
      </c>
      <c r="AF207" s="4">
        <v>2</v>
      </c>
      <c r="AG207" s="4">
        <v>2</v>
      </c>
      <c r="AH207" s="4">
        <v>4</v>
      </c>
      <c r="AI207" s="4">
        <v>4</v>
      </c>
      <c r="AJ207" s="4">
        <v>5</v>
      </c>
      <c r="AK207" s="4">
        <v>5</v>
      </c>
      <c r="AL207" s="4">
        <v>2</v>
      </c>
      <c r="AM207" s="4">
        <v>2</v>
      </c>
      <c r="AN207" s="4">
        <v>8</v>
      </c>
      <c r="AO207" s="4">
        <v>8</v>
      </c>
      <c r="AP207" s="3" t="s">
        <v>51</v>
      </c>
      <c r="AQ207" s="3" t="s">
        <v>49</v>
      </c>
      <c r="AR207" s="6" t="str">
        <f>HYPERLINK("http://catalog.hathitrust.org/Record/000261991","HathiTrust Record")</f>
        <v>HathiTrust Record</v>
      </c>
      <c r="AS207" s="6" t="str">
        <f>HYPERLINK("https://creighton-primo.hosted.exlibrisgroup.com/primo-explore/search?tab=default_tab&amp;search_scope=EVERYTHING&amp;vid=01CRU&amp;lang=en_US&amp;offset=0&amp;query=any,contains,991004461419702656","Catalog Record")</f>
        <v>Catalog Record</v>
      </c>
      <c r="AT207" s="6" t="str">
        <f>HYPERLINK("http://www.worldcat.org/oclc/3543561","WorldCat Record")</f>
        <v>WorldCat Record</v>
      </c>
    </row>
    <row r="208" spans="1:46" ht="41.25" customHeight="1" x14ac:dyDescent="0.25">
      <c r="A208" s="8" t="s">
        <v>51</v>
      </c>
      <c r="B208" s="2" t="s">
        <v>1420</v>
      </c>
      <c r="C208" s="2" t="s">
        <v>1421</v>
      </c>
      <c r="D208" s="2" t="s">
        <v>1422</v>
      </c>
      <c r="F208" s="3" t="s">
        <v>51</v>
      </c>
      <c r="G208" s="3" t="s">
        <v>50</v>
      </c>
      <c r="H208" s="3" t="s">
        <v>49</v>
      </c>
      <c r="I208" s="3" t="s">
        <v>51</v>
      </c>
      <c r="J208" s="3" t="s">
        <v>52</v>
      </c>
      <c r="L208" s="2" t="s">
        <v>1423</v>
      </c>
      <c r="M208" s="3" t="s">
        <v>211</v>
      </c>
      <c r="O208" s="3" t="s">
        <v>56</v>
      </c>
      <c r="P208" s="3" t="s">
        <v>545</v>
      </c>
      <c r="Q208" s="2" t="s">
        <v>1424</v>
      </c>
      <c r="R208" s="3" t="s">
        <v>59</v>
      </c>
      <c r="S208" s="4">
        <v>33</v>
      </c>
      <c r="T208" s="4">
        <v>41</v>
      </c>
      <c r="U208" s="5" t="s">
        <v>1425</v>
      </c>
      <c r="V208" s="5" t="s">
        <v>1425</v>
      </c>
      <c r="W208" s="5" t="s">
        <v>1426</v>
      </c>
      <c r="X208" s="5" t="s">
        <v>1426</v>
      </c>
      <c r="Y208" s="4">
        <v>379</v>
      </c>
      <c r="Z208" s="4">
        <v>244</v>
      </c>
      <c r="AA208" s="4">
        <v>249</v>
      </c>
      <c r="AB208" s="4">
        <v>5</v>
      </c>
      <c r="AC208" s="4">
        <v>5</v>
      </c>
      <c r="AD208" s="4">
        <v>11</v>
      </c>
      <c r="AE208" s="4">
        <v>11</v>
      </c>
      <c r="AF208" s="4">
        <v>3</v>
      </c>
      <c r="AG208" s="4">
        <v>3</v>
      </c>
      <c r="AH208" s="4">
        <v>1</v>
      </c>
      <c r="AI208" s="4">
        <v>1</v>
      </c>
      <c r="AJ208" s="4">
        <v>4</v>
      </c>
      <c r="AK208" s="4">
        <v>4</v>
      </c>
      <c r="AL208" s="4">
        <v>3</v>
      </c>
      <c r="AM208" s="4">
        <v>3</v>
      </c>
      <c r="AN208" s="4">
        <v>1</v>
      </c>
      <c r="AO208" s="4">
        <v>1</v>
      </c>
      <c r="AP208" s="3" t="s">
        <v>51</v>
      </c>
      <c r="AQ208" s="3" t="s">
        <v>51</v>
      </c>
      <c r="AS208" s="6" t="str">
        <f>HYPERLINK("https://creighton-primo.hosted.exlibrisgroup.com/primo-explore/search?tab=default_tab&amp;search_scope=EVERYTHING&amp;vid=01CRU&amp;lang=en_US&amp;offset=0&amp;query=any,contains,991001789229702656","Catalog Record")</f>
        <v>Catalog Record</v>
      </c>
      <c r="AT208" s="6" t="str">
        <f>HYPERLINK("http://www.worldcat.org/oclc/6329029","WorldCat Record")</f>
        <v>WorldCat Record</v>
      </c>
    </row>
    <row r="209" spans="1:46" ht="41.25" customHeight="1" x14ac:dyDescent="0.25">
      <c r="A209" s="8" t="s">
        <v>51</v>
      </c>
      <c r="B209" s="2" t="s">
        <v>1427</v>
      </c>
      <c r="C209" s="2" t="s">
        <v>1428</v>
      </c>
      <c r="D209" s="2" t="s">
        <v>1429</v>
      </c>
      <c r="F209" s="3" t="s">
        <v>51</v>
      </c>
      <c r="G209" s="3" t="s">
        <v>50</v>
      </c>
      <c r="H209" s="3" t="s">
        <v>51</v>
      </c>
      <c r="I209" s="3" t="s">
        <v>51</v>
      </c>
      <c r="J209" s="3" t="s">
        <v>52</v>
      </c>
      <c r="K209" s="2" t="s">
        <v>1430</v>
      </c>
      <c r="L209" s="2" t="s">
        <v>1431</v>
      </c>
      <c r="M209" s="3" t="s">
        <v>94</v>
      </c>
      <c r="N209" s="2" t="s">
        <v>245</v>
      </c>
      <c r="O209" s="3" t="s">
        <v>56</v>
      </c>
      <c r="P209" s="3" t="s">
        <v>87</v>
      </c>
      <c r="R209" s="3" t="s">
        <v>59</v>
      </c>
      <c r="S209" s="4">
        <v>17</v>
      </c>
      <c r="T209" s="4">
        <v>17</v>
      </c>
      <c r="U209" s="5" t="s">
        <v>1432</v>
      </c>
      <c r="V209" s="5" t="s">
        <v>1432</v>
      </c>
      <c r="W209" s="5" t="s">
        <v>1433</v>
      </c>
      <c r="X209" s="5" t="s">
        <v>1433</v>
      </c>
      <c r="Y209" s="4">
        <v>415</v>
      </c>
      <c r="Z209" s="4">
        <v>378</v>
      </c>
      <c r="AA209" s="4">
        <v>511</v>
      </c>
      <c r="AB209" s="4">
        <v>6</v>
      </c>
      <c r="AC209" s="4">
        <v>7</v>
      </c>
      <c r="AD209" s="4">
        <v>13</v>
      </c>
      <c r="AE209" s="4">
        <v>20</v>
      </c>
      <c r="AF209" s="4">
        <v>4</v>
      </c>
      <c r="AG209" s="4">
        <v>7</v>
      </c>
      <c r="AH209" s="4">
        <v>3</v>
      </c>
      <c r="AI209" s="4">
        <v>3</v>
      </c>
      <c r="AJ209" s="4">
        <v>8</v>
      </c>
      <c r="AK209" s="4">
        <v>12</v>
      </c>
      <c r="AL209" s="4">
        <v>3</v>
      </c>
      <c r="AM209" s="4">
        <v>4</v>
      </c>
      <c r="AN209" s="4">
        <v>0</v>
      </c>
      <c r="AO209" s="4">
        <v>0</v>
      </c>
      <c r="AP209" s="3" t="s">
        <v>51</v>
      </c>
      <c r="AQ209" s="3" t="s">
        <v>51</v>
      </c>
      <c r="AS209" s="6" t="str">
        <f>HYPERLINK("https://creighton-primo.hosted.exlibrisgroup.com/primo-explore/search?tab=default_tab&amp;search_scope=EVERYTHING&amp;vid=01CRU&amp;lang=en_US&amp;offset=0&amp;query=any,contains,991001498459702656","Catalog Record")</f>
        <v>Catalog Record</v>
      </c>
      <c r="AT209" s="6" t="str">
        <f>HYPERLINK("http://www.worldcat.org/oclc/19778112","WorldCat Record")</f>
        <v>WorldCat Record</v>
      </c>
    </row>
    <row r="210" spans="1:46" ht="41.25" customHeight="1" x14ac:dyDescent="0.25">
      <c r="A210" s="8" t="s">
        <v>51</v>
      </c>
      <c r="B210" s="2" t="s">
        <v>1434</v>
      </c>
      <c r="C210" s="2" t="s">
        <v>1435</v>
      </c>
      <c r="D210" s="2" t="s">
        <v>1436</v>
      </c>
      <c r="F210" s="3" t="s">
        <v>51</v>
      </c>
      <c r="G210" s="3" t="s">
        <v>50</v>
      </c>
      <c r="H210" s="3" t="s">
        <v>51</v>
      </c>
      <c r="I210" s="3" t="s">
        <v>51</v>
      </c>
      <c r="J210" s="3" t="s">
        <v>52</v>
      </c>
      <c r="K210" s="2" t="s">
        <v>1437</v>
      </c>
      <c r="L210" s="2" t="s">
        <v>1438</v>
      </c>
      <c r="M210" s="3" t="s">
        <v>498</v>
      </c>
      <c r="N210" s="2" t="s">
        <v>245</v>
      </c>
      <c r="O210" s="3" t="s">
        <v>56</v>
      </c>
      <c r="P210" s="3" t="s">
        <v>87</v>
      </c>
      <c r="R210" s="3" t="s">
        <v>59</v>
      </c>
      <c r="S210" s="4">
        <v>30</v>
      </c>
      <c r="T210" s="4">
        <v>30</v>
      </c>
      <c r="U210" s="5" t="s">
        <v>1439</v>
      </c>
      <c r="V210" s="5" t="s">
        <v>1439</v>
      </c>
      <c r="W210" s="5" t="s">
        <v>1440</v>
      </c>
      <c r="X210" s="5" t="s">
        <v>1440</v>
      </c>
      <c r="Y210" s="4">
        <v>847</v>
      </c>
      <c r="Z210" s="4">
        <v>771</v>
      </c>
      <c r="AA210" s="4">
        <v>796</v>
      </c>
      <c r="AB210" s="4">
        <v>5</v>
      </c>
      <c r="AC210" s="4">
        <v>5</v>
      </c>
      <c r="AD210" s="4">
        <v>28</v>
      </c>
      <c r="AE210" s="4">
        <v>28</v>
      </c>
      <c r="AF210" s="4">
        <v>10</v>
      </c>
      <c r="AG210" s="4">
        <v>10</v>
      </c>
      <c r="AH210" s="4">
        <v>4</v>
      </c>
      <c r="AI210" s="4">
        <v>4</v>
      </c>
      <c r="AJ210" s="4">
        <v>15</v>
      </c>
      <c r="AK210" s="4">
        <v>15</v>
      </c>
      <c r="AL210" s="4">
        <v>3</v>
      </c>
      <c r="AM210" s="4">
        <v>3</v>
      </c>
      <c r="AN210" s="4">
        <v>3</v>
      </c>
      <c r="AO210" s="4">
        <v>3</v>
      </c>
      <c r="AP210" s="3" t="s">
        <v>51</v>
      </c>
      <c r="AQ210" s="3" t="s">
        <v>51</v>
      </c>
      <c r="AS210" s="6" t="str">
        <f>HYPERLINK("https://creighton-primo.hosted.exlibrisgroup.com/primo-explore/search?tab=default_tab&amp;search_scope=EVERYTHING&amp;vid=01CRU&amp;lang=en_US&amp;offset=0&amp;query=any,contains,991002623289702656","Catalog Record")</f>
        <v>Catalog Record</v>
      </c>
      <c r="AT210" s="6" t="str">
        <f>HYPERLINK("http://www.worldcat.org/oclc/34357859","WorldCat Record")</f>
        <v>WorldCat Record</v>
      </c>
    </row>
    <row r="211" spans="1:46" ht="41.25" customHeight="1" x14ac:dyDescent="0.25">
      <c r="A211" s="8" t="s">
        <v>51</v>
      </c>
      <c r="B211" s="2" t="s">
        <v>1441</v>
      </c>
      <c r="C211" s="2" t="s">
        <v>1442</v>
      </c>
      <c r="D211" s="2" t="s">
        <v>1443</v>
      </c>
      <c r="F211" s="3" t="s">
        <v>51</v>
      </c>
      <c r="G211" s="3" t="s">
        <v>50</v>
      </c>
      <c r="H211" s="3" t="s">
        <v>51</v>
      </c>
      <c r="I211" s="3" t="s">
        <v>51</v>
      </c>
      <c r="J211" s="3" t="s">
        <v>52</v>
      </c>
      <c r="K211" s="2" t="s">
        <v>1444</v>
      </c>
      <c r="L211" s="2" t="s">
        <v>1445</v>
      </c>
      <c r="M211" s="3" t="s">
        <v>103</v>
      </c>
      <c r="N211" s="2" t="s">
        <v>811</v>
      </c>
      <c r="O211" s="3" t="s">
        <v>56</v>
      </c>
      <c r="P211" s="3" t="s">
        <v>538</v>
      </c>
      <c r="R211" s="3" t="s">
        <v>59</v>
      </c>
      <c r="S211" s="4">
        <v>53</v>
      </c>
      <c r="T211" s="4">
        <v>53</v>
      </c>
      <c r="U211" s="5" t="s">
        <v>1446</v>
      </c>
      <c r="V211" s="5" t="s">
        <v>1446</v>
      </c>
      <c r="W211" s="5" t="s">
        <v>1447</v>
      </c>
      <c r="X211" s="5" t="s">
        <v>1447</v>
      </c>
      <c r="Y211" s="4">
        <v>172</v>
      </c>
      <c r="Z211" s="4">
        <v>159</v>
      </c>
      <c r="AA211" s="4">
        <v>637</v>
      </c>
      <c r="AB211" s="4">
        <v>3</v>
      </c>
      <c r="AC211" s="4">
        <v>5</v>
      </c>
      <c r="AD211" s="4">
        <v>4</v>
      </c>
      <c r="AE211" s="4">
        <v>15</v>
      </c>
      <c r="AF211" s="4">
        <v>1</v>
      </c>
      <c r="AG211" s="4">
        <v>6</v>
      </c>
      <c r="AH211" s="4">
        <v>1</v>
      </c>
      <c r="AI211" s="4">
        <v>3</v>
      </c>
      <c r="AJ211" s="4">
        <v>3</v>
      </c>
      <c r="AK211" s="4">
        <v>6</v>
      </c>
      <c r="AL211" s="4">
        <v>1</v>
      </c>
      <c r="AM211" s="4">
        <v>1</v>
      </c>
      <c r="AN211" s="4">
        <v>0</v>
      </c>
      <c r="AO211" s="4">
        <v>3</v>
      </c>
      <c r="AP211" s="3" t="s">
        <v>51</v>
      </c>
      <c r="AQ211" s="3" t="s">
        <v>51</v>
      </c>
      <c r="AS211" s="6" t="str">
        <f>HYPERLINK("https://creighton-primo.hosted.exlibrisgroup.com/primo-explore/search?tab=default_tab&amp;search_scope=EVERYTHING&amp;vid=01CRU&amp;lang=en_US&amp;offset=0&amp;query=any,contains,991000560979702656","Catalog Record")</f>
        <v>Catalog Record</v>
      </c>
      <c r="AT211" s="6" t="str">
        <f>HYPERLINK("http://www.worldcat.org/oclc/11589190","WorldCat Record")</f>
        <v>WorldCat Record</v>
      </c>
    </row>
    <row r="212" spans="1:46" ht="41.25" customHeight="1" x14ac:dyDescent="0.25">
      <c r="A212" s="8" t="s">
        <v>51</v>
      </c>
      <c r="B212" s="2" t="s">
        <v>1448</v>
      </c>
      <c r="C212" s="2" t="s">
        <v>1449</v>
      </c>
      <c r="D212" s="2" t="s">
        <v>1450</v>
      </c>
      <c r="F212" s="3" t="s">
        <v>51</v>
      </c>
      <c r="G212" s="3" t="s">
        <v>50</v>
      </c>
      <c r="H212" s="3" t="s">
        <v>51</v>
      </c>
      <c r="I212" s="3" t="s">
        <v>51</v>
      </c>
      <c r="J212" s="3" t="s">
        <v>52</v>
      </c>
      <c r="K212" s="2" t="s">
        <v>1444</v>
      </c>
      <c r="L212" s="2" t="s">
        <v>1451</v>
      </c>
      <c r="M212" s="3" t="s">
        <v>94</v>
      </c>
      <c r="N212" s="2" t="s">
        <v>1452</v>
      </c>
      <c r="O212" s="3" t="s">
        <v>56</v>
      </c>
      <c r="P212" s="3" t="s">
        <v>1453</v>
      </c>
      <c r="R212" s="3" t="s">
        <v>59</v>
      </c>
      <c r="S212" s="4">
        <v>73</v>
      </c>
      <c r="T212" s="4">
        <v>73</v>
      </c>
      <c r="U212" s="5" t="s">
        <v>1454</v>
      </c>
      <c r="V212" s="5" t="s">
        <v>1454</v>
      </c>
      <c r="W212" s="5" t="s">
        <v>1455</v>
      </c>
      <c r="X212" s="5" t="s">
        <v>1455</v>
      </c>
      <c r="Y212" s="4">
        <v>226</v>
      </c>
      <c r="Z212" s="4">
        <v>206</v>
      </c>
      <c r="AA212" s="4">
        <v>1270</v>
      </c>
      <c r="AB212" s="4">
        <v>1</v>
      </c>
      <c r="AC212" s="4">
        <v>7</v>
      </c>
      <c r="AD212" s="4">
        <v>4</v>
      </c>
      <c r="AE212" s="4">
        <v>34</v>
      </c>
      <c r="AF212" s="4">
        <v>0</v>
      </c>
      <c r="AG212" s="4">
        <v>13</v>
      </c>
      <c r="AH212" s="4">
        <v>1</v>
      </c>
      <c r="AI212" s="4">
        <v>6</v>
      </c>
      <c r="AJ212" s="4">
        <v>1</v>
      </c>
      <c r="AK212" s="4">
        <v>14</v>
      </c>
      <c r="AL212" s="4">
        <v>0</v>
      </c>
      <c r="AM212" s="4">
        <v>3</v>
      </c>
      <c r="AN212" s="4">
        <v>2</v>
      </c>
      <c r="AO212" s="4">
        <v>5</v>
      </c>
      <c r="AP212" s="3" t="s">
        <v>51</v>
      </c>
      <c r="AQ212" s="3" t="s">
        <v>51</v>
      </c>
      <c r="AS212" s="6" t="str">
        <f>HYPERLINK("https://creighton-primo.hosted.exlibrisgroup.com/primo-explore/search?tab=default_tab&amp;search_scope=EVERYTHING&amp;vid=01CRU&amp;lang=en_US&amp;offset=0&amp;query=any,contains,991001754009702656","Catalog Record")</f>
        <v>Catalog Record</v>
      </c>
      <c r="AT212" s="6" t="str">
        <f>HYPERLINK("http://www.worldcat.org/oclc/22205022","WorldCat Record")</f>
        <v>WorldCat Record</v>
      </c>
    </row>
    <row r="213" spans="1:46" ht="41.25" customHeight="1" x14ac:dyDescent="0.25">
      <c r="A213" s="8" t="s">
        <v>51</v>
      </c>
      <c r="B213" s="2" t="s">
        <v>1456</v>
      </c>
      <c r="C213" s="2" t="s">
        <v>1457</v>
      </c>
      <c r="D213" s="2" t="s">
        <v>1458</v>
      </c>
      <c r="F213" s="3" t="s">
        <v>51</v>
      </c>
      <c r="G213" s="3" t="s">
        <v>50</v>
      </c>
      <c r="H213" s="3" t="s">
        <v>51</v>
      </c>
      <c r="I213" s="3" t="s">
        <v>51</v>
      </c>
      <c r="J213" s="3" t="s">
        <v>52</v>
      </c>
      <c r="K213" s="2" t="s">
        <v>1459</v>
      </c>
      <c r="L213" s="2" t="s">
        <v>1460</v>
      </c>
      <c r="M213" s="3" t="s">
        <v>313</v>
      </c>
      <c r="O213" s="3" t="s">
        <v>56</v>
      </c>
      <c r="P213" s="3" t="s">
        <v>87</v>
      </c>
      <c r="R213" s="3" t="s">
        <v>59</v>
      </c>
      <c r="S213" s="4">
        <v>28</v>
      </c>
      <c r="T213" s="4">
        <v>28</v>
      </c>
      <c r="U213" s="5" t="s">
        <v>1461</v>
      </c>
      <c r="V213" s="5" t="s">
        <v>1461</v>
      </c>
      <c r="W213" s="5" t="s">
        <v>1462</v>
      </c>
      <c r="X213" s="5" t="s">
        <v>1462</v>
      </c>
      <c r="Y213" s="4">
        <v>351</v>
      </c>
      <c r="Z213" s="4">
        <v>313</v>
      </c>
      <c r="AA213" s="4">
        <v>455</v>
      </c>
      <c r="AB213" s="4">
        <v>2</v>
      </c>
      <c r="AC213" s="4">
        <v>3</v>
      </c>
      <c r="AD213" s="4">
        <v>12</v>
      </c>
      <c r="AE213" s="4">
        <v>20</v>
      </c>
      <c r="AF213" s="4">
        <v>2</v>
      </c>
      <c r="AG213" s="4">
        <v>3</v>
      </c>
      <c r="AH213" s="4">
        <v>2</v>
      </c>
      <c r="AI213" s="4">
        <v>2</v>
      </c>
      <c r="AJ213" s="4">
        <v>5</v>
      </c>
      <c r="AK213" s="4">
        <v>7</v>
      </c>
      <c r="AL213" s="4">
        <v>1</v>
      </c>
      <c r="AM213" s="4">
        <v>2</v>
      </c>
      <c r="AN213" s="4">
        <v>4</v>
      </c>
      <c r="AO213" s="4">
        <v>9</v>
      </c>
      <c r="AP213" s="3" t="s">
        <v>51</v>
      </c>
      <c r="AQ213" s="3" t="s">
        <v>51</v>
      </c>
      <c r="AS213" s="6" t="str">
        <f>HYPERLINK("https://creighton-primo.hosted.exlibrisgroup.com/primo-explore/search?tab=default_tab&amp;search_scope=EVERYTHING&amp;vid=01CRU&amp;lang=en_US&amp;offset=0&amp;query=any,contains,991003214839702656","Catalog Record")</f>
        <v>Catalog Record</v>
      </c>
      <c r="AT213" s="6" t="str">
        <f>HYPERLINK("http://www.worldcat.org/oclc/740970","WorldCat Record")</f>
        <v>WorldCat Record</v>
      </c>
    </row>
    <row r="214" spans="1:46" ht="41.25" customHeight="1" x14ac:dyDescent="0.25">
      <c r="A214" s="8" t="s">
        <v>51</v>
      </c>
      <c r="B214" s="2" t="s">
        <v>1463</v>
      </c>
      <c r="C214" s="2" t="s">
        <v>1464</v>
      </c>
      <c r="D214" s="2" t="s">
        <v>1465</v>
      </c>
      <c r="F214" s="3" t="s">
        <v>51</v>
      </c>
      <c r="G214" s="3" t="s">
        <v>50</v>
      </c>
      <c r="H214" s="3" t="s">
        <v>51</v>
      </c>
      <c r="I214" s="3" t="s">
        <v>51</v>
      </c>
      <c r="J214" s="3" t="s">
        <v>52</v>
      </c>
      <c r="K214" s="2" t="s">
        <v>1466</v>
      </c>
      <c r="L214" s="2" t="s">
        <v>1467</v>
      </c>
      <c r="M214" s="3" t="s">
        <v>851</v>
      </c>
      <c r="O214" s="3" t="s">
        <v>56</v>
      </c>
      <c r="P214" s="3" t="s">
        <v>396</v>
      </c>
      <c r="R214" s="3" t="s">
        <v>59</v>
      </c>
      <c r="S214" s="4">
        <v>36</v>
      </c>
      <c r="T214" s="4">
        <v>36</v>
      </c>
      <c r="U214" s="5" t="s">
        <v>1468</v>
      </c>
      <c r="V214" s="5" t="s">
        <v>1468</v>
      </c>
      <c r="W214" s="5" t="s">
        <v>1469</v>
      </c>
      <c r="X214" s="5" t="s">
        <v>1469</v>
      </c>
      <c r="Y214" s="4">
        <v>475</v>
      </c>
      <c r="Z214" s="4">
        <v>445</v>
      </c>
      <c r="AA214" s="4">
        <v>456</v>
      </c>
      <c r="AB214" s="4">
        <v>3</v>
      </c>
      <c r="AC214" s="4">
        <v>3</v>
      </c>
      <c r="AD214" s="4">
        <v>10</v>
      </c>
      <c r="AE214" s="4">
        <v>10</v>
      </c>
      <c r="AF214" s="4">
        <v>5</v>
      </c>
      <c r="AG214" s="4">
        <v>5</v>
      </c>
      <c r="AH214" s="4">
        <v>2</v>
      </c>
      <c r="AI214" s="4">
        <v>2</v>
      </c>
      <c r="AJ214" s="4">
        <v>4</v>
      </c>
      <c r="AK214" s="4">
        <v>4</v>
      </c>
      <c r="AL214" s="4">
        <v>2</v>
      </c>
      <c r="AM214" s="4">
        <v>2</v>
      </c>
      <c r="AN214" s="4">
        <v>0</v>
      </c>
      <c r="AO214" s="4">
        <v>0</v>
      </c>
      <c r="AP214" s="3" t="s">
        <v>51</v>
      </c>
      <c r="AQ214" s="3" t="s">
        <v>49</v>
      </c>
      <c r="AR214" s="6" t="str">
        <f>HYPERLINK("http://catalog.hathitrust.org/Record/003032901","HathiTrust Record")</f>
        <v>HathiTrust Record</v>
      </c>
      <c r="AS214" s="6" t="str">
        <f>HYPERLINK("https://creighton-primo.hosted.exlibrisgroup.com/primo-explore/search?tab=default_tab&amp;search_scope=EVERYTHING&amp;vid=01CRU&amp;lang=en_US&amp;offset=0&amp;query=any,contains,991002511439702656","Catalog Record")</f>
        <v>Catalog Record</v>
      </c>
      <c r="AT214" s="6" t="str">
        <f>HYPERLINK("http://www.worldcat.org/oclc/32665230","WorldCat Record")</f>
        <v>WorldCat Record</v>
      </c>
    </row>
    <row r="215" spans="1:46" ht="41.25" customHeight="1" x14ac:dyDescent="0.25">
      <c r="A215" s="8" t="s">
        <v>51</v>
      </c>
      <c r="B215" s="2" t="s">
        <v>1470</v>
      </c>
      <c r="C215" s="2" t="s">
        <v>1471</v>
      </c>
      <c r="D215" s="2" t="s">
        <v>1472</v>
      </c>
      <c r="F215" s="3" t="s">
        <v>51</v>
      </c>
      <c r="G215" s="3" t="s">
        <v>50</v>
      </c>
      <c r="H215" s="3" t="s">
        <v>51</v>
      </c>
      <c r="I215" s="3" t="s">
        <v>51</v>
      </c>
      <c r="J215" s="3" t="s">
        <v>52</v>
      </c>
      <c r="K215" s="2" t="s">
        <v>1473</v>
      </c>
      <c r="L215" s="2" t="s">
        <v>1474</v>
      </c>
      <c r="M215" s="3" t="s">
        <v>313</v>
      </c>
      <c r="O215" s="3" t="s">
        <v>56</v>
      </c>
      <c r="P215" s="3" t="s">
        <v>87</v>
      </c>
      <c r="R215" s="3" t="s">
        <v>59</v>
      </c>
      <c r="S215" s="4">
        <v>18</v>
      </c>
      <c r="T215" s="4">
        <v>18</v>
      </c>
      <c r="U215" s="5" t="s">
        <v>1475</v>
      </c>
      <c r="V215" s="5" t="s">
        <v>1475</v>
      </c>
      <c r="W215" s="5" t="s">
        <v>1476</v>
      </c>
      <c r="X215" s="5" t="s">
        <v>1476</v>
      </c>
      <c r="Y215" s="4">
        <v>1017</v>
      </c>
      <c r="Z215" s="4">
        <v>959</v>
      </c>
      <c r="AA215" s="4">
        <v>1009</v>
      </c>
      <c r="AB215" s="4">
        <v>12</v>
      </c>
      <c r="AC215" s="4">
        <v>12</v>
      </c>
      <c r="AD215" s="4">
        <v>21</v>
      </c>
      <c r="AE215" s="4">
        <v>21</v>
      </c>
      <c r="AF215" s="4">
        <v>7</v>
      </c>
      <c r="AG215" s="4">
        <v>7</v>
      </c>
      <c r="AH215" s="4">
        <v>3</v>
      </c>
      <c r="AI215" s="4">
        <v>3</v>
      </c>
      <c r="AJ215" s="4">
        <v>11</v>
      </c>
      <c r="AK215" s="4">
        <v>11</v>
      </c>
      <c r="AL215" s="4">
        <v>3</v>
      </c>
      <c r="AM215" s="4">
        <v>3</v>
      </c>
      <c r="AN215" s="4">
        <v>3</v>
      </c>
      <c r="AO215" s="4">
        <v>3</v>
      </c>
      <c r="AP215" s="3" t="s">
        <v>51</v>
      </c>
      <c r="AQ215" s="3" t="s">
        <v>49</v>
      </c>
      <c r="AR215" s="6" t="str">
        <f>HYPERLINK("http://catalog.hathitrust.org/Record/001557858","HathiTrust Record")</f>
        <v>HathiTrust Record</v>
      </c>
      <c r="AS215" s="6" t="str">
        <f>HYPERLINK("https://creighton-primo.hosted.exlibrisgroup.com/primo-explore/search?tab=default_tab&amp;search_scope=EVERYTHING&amp;vid=01CRU&amp;lang=en_US&amp;offset=0&amp;query=any,contains,991003116839702656","Catalog Record")</f>
        <v>Catalog Record</v>
      </c>
      <c r="AT215" s="6" t="str">
        <f>HYPERLINK("http://www.worldcat.org/oclc/662190","WorldCat Record")</f>
        <v>WorldCat Record</v>
      </c>
    </row>
    <row r="216" spans="1:46" ht="41.25" customHeight="1" x14ac:dyDescent="0.25">
      <c r="A216" s="8" t="s">
        <v>51</v>
      </c>
      <c r="B216" s="2" t="s">
        <v>1477</v>
      </c>
      <c r="C216" s="2" t="s">
        <v>1478</v>
      </c>
      <c r="D216" s="2" t="s">
        <v>1479</v>
      </c>
      <c r="F216" s="3" t="s">
        <v>51</v>
      </c>
      <c r="G216" s="3" t="s">
        <v>50</v>
      </c>
      <c r="H216" s="3" t="s">
        <v>51</v>
      </c>
      <c r="I216" s="3" t="s">
        <v>51</v>
      </c>
      <c r="J216" s="3" t="s">
        <v>52</v>
      </c>
      <c r="L216" s="2" t="s">
        <v>1480</v>
      </c>
      <c r="M216" s="3" t="s">
        <v>851</v>
      </c>
      <c r="N216" s="2" t="s">
        <v>245</v>
      </c>
      <c r="O216" s="3" t="s">
        <v>56</v>
      </c>
      <c r="P216" s="3" t="s">
        <v>1481</v>
      </c>
      <c r="R216" s="3" t="s">
        <v>59</v>
      </c>
      <c r="S216" s="4">
        <v>23</v>
      </c>
      <c r="T216" s="4">
        <v>23</v>
      </c>
      <c r="U216" s="5" t="s">
        <v>1468</v>
      </c>
      <c r="V216" s="5" t="s">
        <v>1468</v>
      </c>
      <c r="W216" s="5" t="s">
        <v>1482</v>
      </c>
      <c r="X216" s="5" t="s">
        <v>1482</v>
      </c>
      <c r="Y216" s="4">
        <v>390</v>
      </c>
      <c r="Z216" s="4">
        <v>343</v>
      </c>
      <c r="AA216" s="4">
        <v>349</v>
      </c>
      <c r="AB216" s="4">
        <v>1</v>
      </c>
      <c r="AC216" s="4">
        <v>1</v>
      </c>
      <c r="AD216" s="4">
        <v>25</v>
      </c>
      <c r="AE216" s="4">
        <v>25</v>
      </c>
      <c r="AF216" s="4">
        <v>10</v>
      </c>
      <c r="AG216" s="4">
        <v>10</v>
      </c>
      <c r="AH216" s="4">
        <v>6</v>
      </c>
      <c r="AI216" s="4">
        <v>6</v>
      </c>
      <c r="AJ216" s="4">
        <v>15</v>
      </c>
      <c r="AK216" s="4">
        <v>15</v>
      </c>
      <c r="AL216" s="4">
        <v>0</v>
      </c>
      <c r="AM216" s="4">
        <v>0</v>
      </c>
      <c r="AN216" s="4">
        <v>2</v>
      </c>
      <c r="AO216" s="4">
        <v>2</v>
      </c>
      <c r="AP216" s="3" t="s">
        <v>51</v>
      </c>
      <c r="AQ216" s="3" t="s">
        <v>49</v>
      </c>
      <c r="AR216" s="6" t="str">
        <f>HYPERLINK("http://catalog.hathitrust.org/Record/003091626","HathiTrust Record")</f>
        <v>HathiTrust Record</v>
      </c>
      <c r="AS216" s="6" t="str">
        <f>HYPERLINK("https://creighton-primo.hosted.exlibrisgroup.com/primo-explore/search?tab=default_tab&amp;search_scope=EVERYTHING&amp;vid=01CRU&amp;lang=en_US&amp;offset=0&amp;query=any,contains,991002633539702656","Catalog Record")</f>
        <v>Catalog Record</v>
      </c>
      <c r="AT216" s="6" t="str">
        <f>HYPERLINK("http://www.worldcat.org/oclc/34515011","WorldCat Record")</f>
        <v>WorldCat Record</v>
      </c>
    </row>
    <row r="217" spans="1:46" ht="41.25" customHeight="1" x14ac:dyDescent="0.25">
      <c r="A217" s="8" t="s">
        <v>51</v>
      </c>
      <c r="B217" s="2" t="s">
        <v>1483</v>
      </c>
      <c r="C217" s="2" t="s">
        <v>1484</v>
      </c>
      <c r="D217" s="2" t="s">
        <v>1485</v>
      </c>
      <c r="F217" s="3" t="s">
        <v>51</v>
      </c>
      <c r="G217" s="3" t="s">
        <v>50</v>
      </c>
      <c r="H217" s="3" t="s">
        <v>51</v>
      </c>
      <c r="I217" s="3" t="s">
        <v>51</v>
      </c>
      <c r="J217" s="3" t="s">
        <v>52</v>
      </c>
      <c r="K217" s="2" t="s">
        <v>1486</v>
      </c>
      <c r="L217" s="2" t="s">
        <v>1487</v>
      </c>
      <c r="M217" s="3" t="s">
        <v>851</v>
      </c>
      <c r="O217" s="3" t="s">
        <v>56</v>
      </c>
      <c r="P217" s="3" t="s">
        <v>69</v>
      </c>
      <c r="R217" s="3" t="s">
        <v>59</v>
      </c>
      <c r="S217" s="4">
        <v>12</v>
      </c>
      <c r="T217" s="4">
        <v>12</v>
      </c>
      <c r="U217" s="5" t="s">
        <v>1488</v>
      </c>
      <c r="V217" s="5" t="s">
        <v>1488</v>
      </c>
      <c r="W217" s="5" t="s">
        <v>1489</v>
      </c>
      <c r="X217" s="5" t="s">
        <v>1489</v>
      </c>
      <c r="Y217" s="4">
        <v>461</v>
      </c>
      <c r="Z217" s="4">
        <v>411</v>
      </c>
      <c r="AA217" s="4">
        <v>418</v>
      </c>
      <c r="AB217" s="4">
        <v>3</v>
      </c>
      <c r="AC217" s="4">
        <v>3</v>
      </c>
      <c r="AD217" s="4">
        <v>17</v>
      </c>
      <c r="AE217" s="4">
        <v>17</v>
      </c>
      <c r="AF217" s="4">
        <v>5</v>
      </c>
      <c r="AG217" s="4">
        <v>5</v>
      </c>
      <c r="AH217" s="4">
        <v>4</v>
      </c>
      <c r="AI217" s="4">
        <v>4</v>
      </c>
      <c r="AJ217" s="4">
        <v>12</v>
      </c>
      <c r="AK217" s="4">
        <v>12</v>
      </c>
      <c r="AL217" s="4">
        <v>2</v>
      </c>
      <c r="AM217" s="4">
        <v>2</v>
      </c>
      <c r="AN217" s="4">
        <v>1</v>
      </c>
      <c r="AO217" s="4">
        <v>1</v>
      </c>
      <c r="AP217" s="3" t="s">
        <v>51</v>
      </c>
      <c r="AQ217" s="3" t="s">
        <v>49</v>
      </c>
      <c r="AR217" s="6" t="str">
        <f>HYPERLINK("http://catalog.hathitrust.org/Record/003115728","HathiTrust Record")</f>
        <v>HathiTrust Record</v>
      </c>
      <c r="AS217" s="6" t="str">
        <f>HYPERLINK("https://creighton-primo.hosted.exlibrisgroup.com/primo-explore/search?tab=default_tab&amp;search_scope=EVERYTHING&amp;vid=01CRU&amp;lang=en_US&amp;offset=0&amp;query=any,contains,991002679609702656","Catalog Record")</f>
        <v>Catalog Record</v>
      </c>
      <c r="AT217" s="6" t="str">
        <f>HYPERLINK("http://www.worldcat.org/oclc/35025786","WorldCat Record")</f>
        <v>WorldCat Record</v>
      </c>
    </row>
    <row r="218" spans="1:46" ht="41.25" customHeight="1" x14ac:dyDescent="0.25">
      <c r="A218" s="8" t="s">
        <v>51</v>
      </c>
      <c r="B218" s="2" t="s">
        <v>1490</v>
      </c>
      <c r="C218" s="2" t="s">
        <v>1491</v>
      </c>
      <c r="D218" s="2" t="s">
        <v>1492</v>
      </c>
      <c r="F218" s="3" t="s">
        <v>51</v>
      </c>
      <c r="G218" s="3" t="s">
        <v>50</v>
      </c>
      <c r="H218" s="3" t="s">
        <v>49</v>
      </c>
      <c r="I218" s="3" t="s">
        <v>51</v>
      </c>
      <c r="J218" s="3" t="s">
        <v>52</v>
      </c>
      <c r="K218" s="2" t="s">
        <v>1493</v>
      </c>
      <c r="L218" s="2" t="s">
        <v>1494</v>
      </c>
      <c r="M218" s="3" t="s">
        <v>112</v>
      </c>
      <c r="O218" s="3" t="s">
        <v>56</v>
      </c>
      <c r="P218" s="3" t="s">
        <v>113</v>
      </c>
      <c r="Q218" s="2" t="s">
        <v>1495</v>
      </c>
      <c r="R218" s="3" t="s">
        <v>59</v>
      </c>
      <c r="S218" s="4">
        <v>86</v>
      </c>
      <c r="T218" s="4">
        <v>98</v>
      </c>
      <c r="U218" s="5" t="s">
        <v>1312</v>
      </c>
      <c r="V218" s="5" t="s">
        <v>1312</v>
      </c>
      <c r="W218" s="5" t="s">
        <v>1496</v>
      </c>
      <c r="X218" s="5" t="s">
        <v>1497</v>
      </c>
      <c r="Y218" s="4">
        <v>1197</v>
      </c>
      <c r="Z218" s="4">
        <v>968</v>
      </c>
      <c r="AA218" s="4">
        <v>981</v>
      </c>
      <c r="AB218" s="4">
        <v>9</v>
      </c>
      <c r="AC218" s="4">
        <v>9</v>
      </c>
      <c r="AD218" s="4">
        <v>50</v>
      </c>
      <c r="AE218" s="4">
        <v>50</v>
      </c>
      <c r="AF218" s="4">
        <v>16</v>
      </c>
      <c r="AG218" s="4">
        <v>16</v>
      </c>
      <c r="AH218" s="4">
        <v>7</v>
      </c>
      <c r="AI218" s="4">
        <v>7</v>
      </c>
      <c r="AJ218" s="4">
        <v>18</v>
      </c>
      <c r="AK218" s="4">
        <v>18</v>
      </c>
      <c r="AL218" s="4">
        <v>5</v>
      </c>
      <c r="AM218" s="4">
        <v>5</v>
      </c>
      <c r="AN218" s="4">
        <v>13</v>
      </c>
      <c r="AO218" s="4">
        <v>13</v>
      </c>
      <c r="AP218" s="3" t="s">
        <v>51</v>
      </c>
      <c r="AQ218" s="3" t="s">
        <v>49</v>
      </c>
      <c r="AR218" s="6" t="str">
        <f>HYPERLINK("http://catalog.hathitrust.org/Record/000385566","HathiTrust Record")</f>
        <v>HathiTrust Record</v>
      </c>
      <c r="AS218" s="6" t="str">
        <f>HYPERLINK("https://creighton-primo.hosted.exlibrisgroup.com/primo-explore/search?tab=default_tab&amp;search_scope=EVERYTHING&amp;vid=01CRU&amp;lang=en_US&amp;offset=0&amp;query=any,contains,991001630819702656","Catalog Record")</f>
        <v>Catalog Record</v>
      </c>
      <c r="AT218" s="6" t="str">
        <f>HYPERLINK("http://www.worldcat.org/oclc/12285487","WorldCat Record")</f>
        <v>WorldCat Record</v>
      </c>
    </row>
    <row r="219" spans="1:46" ht="41.25" customHeight="1" x14ac:dyDescent="0.25">
      <c r="A219" s="8" t="s">
        <v>51</v>
      </c>
      <c r="B219" s="2" t="s">
        <v>1498</v>
      </c>
      <c r="C219" s="2" t="s">
        <v>1499</v>
      </c>
      <c r="D219" s="2" t="s">
        <v>1500</v>
      </c>
      <c r="F219" s="3" t="s">
        <v>51</v>
      </c>
      <c r="G219" s="3" t="s">
        <v>50</v>
      </c>
      <c r="H219" s="3" t="s">
        <v>51</v>
      </c>
      <c r="I219" s="3" t="s">
        <v>51</v>
      </c>
      <c r="J219" s="3" t="s">
        <v>52</v>
      </c>
      <c r="L219" s="2" t="s">
        <v>1501</v>
      </c>
      <c r="M219" s="3" t="s">
        <v>313</v>
      </c>
      <c r="O219" s="3" t="s">
        <v>56</v>
      </c>
      <c r="P219" s="3" t="s">
        <v>87</v>
      </c>
      <c r="R219" s="3" t="s">
        <v>59</v>
      </c>
      <c r="S219" s="4">
        <v>64</v>
      </c>
      <c r="T219" s="4">
        <v>64</v>
      </c>
      <c r="U219" s="5" t="s">
        <v>1312</v>
      </c>
      <c r="V219" s="5" t="s">
        <v>1312</v>
      </c>
      <c r="W219" s="5" t="s">
        <v>1502</v>
      </c>
      <c r="X219" s="5" t="s">
        <v>1502</v>
      </c>
      <c r="Y219" s="4">
        <v>282</v>
      </c>
      <c r="Z219" s="4">
        <v>244</v>
      </c>
      <c r="AA219" s="4">
        <v>282</v>
      </c>
      <c r="AB219" s="4">
        <v>1</v>
      </c>
      <c r="AC219" s="4">
        <v>2</v>
      </c>
      <c r="AD219" s="4">
        <v>7</v>
      </c>
      <c r="AE219" s="4">
        <v>7</v>
      </c>
      <c r="AF219" s="4">
        <v>2</v>
      </c>
      <c r="AG219" s="4">
        <v>2</v>
      </c>
      <c r="AH219" s="4">
        <v>1</v>
      </c>
      <c r="AI219" s="4">
        <v>1</v>
      </c>
      <c r="AJ219" s="4">
        <v>6</v>
      </c>
      <c r="AK219" s="4">
        <v>6</v>
      </c>
      <c r="AL219" s="4">
        <v>0</v>
      </c>
      <c r="AM219" s="4">
        <v>0</v>
      </c>
      <c r="AN219" s="4">
        <v>0</v>
      </c>
      <c r="AO219" s="4">
        <v>0</v>
      </c>
      <c r="AP219" s="3" t="s">
        <v>51</v>
      </c>
      <c r="AQ219" s="3" t="s">
        <v>49</v>
      </c>
      <c r="AR219" s="6" t="str">
        <f>HYPERLINK("http://catalog.hathitrust.org/Record/000012914","HathiTrust Record")</f>
        <v>HathiTrust Record</v>
      </c>
      <c r="AS219" s="6" t="str">
        <f>HYPERLINK("https://creighton-primo.hosted.exlibrisgroup.com/primo-explore/search?tab=default_tab&amp;search_scope=EVERYTHING&amp;vid=01CRU&amp;lang=en_US&amp;offset=0&amp;query=any,contains,991003316499702656","Catalog Record")</f>
        <v>Catalog Record</v>
      </c>
      <c r="AT219" s="6" t="str">
        <f>HYPERLINK("http://www.worldcat.org/oclc/841333","WorldCat Record")</f>
        <v>WorldCat Record</v>
      </c>
    </row>
    <row r="220" spans="1:46" ht="41.25" customHeight="1" x14ac:dyDescent="0.25">
      <c r="A220" s="8" t="s">
        <v>51</v>
      </c>
      <c r="B220" s="2" t="s">
        <v>1503</v>
      </c>
      <c r="C220" s="2" t="s">
        <v>1504</v>
      </c>
      <c r="D220" s="2" t="s">
        <v>1505</v>
      </c>
      <c r="F220" s="3" t="s">
        <v>51</v>
      </c>
      <c r="G220" s="3" t="s">
        <v>50</v>
      </c>
      <c r="H220" s="3" t="s">
        <v>51</v>
      </c>
      <c r="I220" s="3" t="s">
        <v>51</v>
      </c>
      <c r="J220" s="3" t="s">
        <v>52</v>
      </c>
      <c r="K220" s="2" t="s">
        <v>1506</v>
      </c>
      <c r="L220" s="2" t="s">
        <v>1507</v>
      </c>
      <c r="M220" s="3" t="s">
        <v>1508</v>
      </c>
      <c r="N220" s="2" t="s">
        <v>78</v>
      </c>
      <c r="O220" s="3" t="s">
        <v>56</v>
      </c>
      <c r="P220" s="3" t="s">
        <v>538</v>
      </c>
      <c r="Q220" s="2" t="s">
        <v>1509</v>
      </c>
      <c r="R220" s="3" t="s">
        <v>59</v>
      </c>
      <c r="S220" s="4">
        <v>7</v>
      </c>
      <c r="T220" s="4">
        <v>7</v>
      </c>
      <c r="U220" s="5" t="s">
        <v>1510</v>
      </c>
      <c r="V220" s="5" t="s">
        <v>1510</v>
      </c>
      <c r="W220" s="5" t="s">
        <v>1511</v>
      </c>
      <c r="X220" s="5" t="s">
        <v>1511</v>
      </c>
      <c r="Y220" s="4">
        <v>559</v>
      </c>
      <c r="Z220" s="4">
        <v>530</v>
      </c>
      <c r="AA220" s="4">
        <v>2026</v>
      </c>
      <c r="AB220" s="4">
        <v>2</v>
      </c>
      <c r="AC220" s="4">
        <v>11</v>
      </c>
      <c r="AD220" s="4">
        <v>15</v>
      </c>
      <c r="AE220" s="4">
        <v>46</v>
      </c>
      <c r="AF220" s="4">
        <v>9</v>
      </c>
      <c r="AG220" s="4">
        <v>22</v>
      </c>
      <c r="AH220" s="4">
        <v>3</v>
      </c>
      <c r="AI220" s="4">
        <v>9</v>
      </c>
      <c r="AJ220" s="4">
        <v>7</v>
      </c>
      <c r="AK220" s="4">
        <v>17</v>
      </c>
      <c r="AL220" s="4">
        <v>1</v>
      </c>
      <c r="AM220" s="4">
        <v>9</v>
      </c>
      <c r="AN220" s="4">
        <v>0</v>
      </c>
      <c r="AO220" s="4">
        <v>1</v>
      </c>
      <c r="AP220" s="3" t="s">
        <v>51</v>
      </c>
      <c r="AQ220" s="3" t="s">
        <v>51</v>
      </c>
      <c r="AS220" s="6" t="str">
        <f>HYPERLINK("https://creighton-primo.hosted.exlibrisgroup.com/primo-explore/search?tab=default_tab&amp;search_scope=EVERYTHING&amp;vid=01CRU&amp;lang=en_US&amp;offset=0&amp;query=any,contains,991005159339702656","Catalog Record")</f>
        <v>Catalog Record</v>
      </c>
      <c r="AT220" s="6" t="str">
        <f>HYPERLINK("http://www.worldcat.org/oclc/145940290","WorldCat Record")</f>
        <v>WorldCat Record</v>
      </c>
    </row>
    <row r="221" spans="1:46" ht="41.25" customHeight="1" x14ac:dyDescent="0.25">
      <c r="A221" s="8" t="s">
        <v>51</v>
      </c>
      <c r="B221" s="2" t="s">
        <v>1512</v>
      </c>
      <c r="C221" s="2" t="s">
        <v>1513</v>
      </c>
      <c r="D221" s="2" t="s">
        <v>1514</v>
      </c>
      <c r="F221" s="3" t="s">
        <v>51</v>
      </c>
      <c r="G221" s="3" t="s">
        <v>50</v>
      </c>
      <c r="H221" s="3" t="s">
        <v>51</v>
      </c>
      <c r="I221" s="3" t="s">
        <v>51</v>
      </c>
      <c r="J221" s="3" t="s">
        <v>52</v>
      </c>
      <c r="K221" s="2" t="s">
        <v>1515</v>
      </c>
      <c r="L221" s="2" t="s">
        <v>1516</v>
      </c>
      <c r="M221" s="3" t="s">
        <v>244</v>
      </c>
      <c r="O221" s="3" t="s">
        <v>56</v>
      </c>
      <c r="P221" s="3" t="s">
        <v>87</v>
      </c>
      <c r="R221" s="3" t="s">
        <v>59</v>
      </c>
      <c r="S221" s="4">
        <v>37</v>
      </c>
      <c r="T221" s="4">
        <v>37</v>
      </c>
      <c r="U221" s="5" t="s">
        <v>1418</v>
      </c>
      <c r="V221" s="5" t="s">
        <v>1418</v>
      </c>
      <c r="W221" s="5" t="s">
        <v>1517</v>
      </c>
      <c r="X221" s="5" t="s">
        <v>1517</v>
      </c>
      <c r="Y221" s="4">
        <v>925</v>
      </c>
      <c r="Z221" s="4">
        <v>840</v>
      </c>
      <c r="AA221" s="4">
        <v>968</v>
      </c>
      <c r="AB221" s="4">
        <v>7</v>
      </c>
      <c r="AC221" s="4">
        <v>7</v>
      </c>
      <c r="AD221" s="4">
        <v>24</v>
      </c>
      <c r="AE221" s="4">
        <v>25</v>
      </c>
      <c r="AF221" s="4">
        <v>5</v>
      </c>
      <c r="AG221" s="4">
        <v>5</v>
      </c>
      <c r="AH221" s="4">
        <v>5</v>
      </c>
      <c r="AI221" s="4">
        <v>5</v>
      </c>
      <c r="AJ221" s="4">
        <v>12</v>
      </c>
      <c r="AK221" s="4">
        <v>13</v>
      </c>
      <c r="AL221" s="4">
        <v>3</v>
      </c>
      <c r="AM221" s="4">
        <v>3</v>
      </c>
      <c r="AN221" s="4">
        <v>4</v>
      </c>
      <c r="AO221" s="4">
        <v>4</v>
      </c>
      <c r="AP221" s="3" t="s">
        <v>51</v>
      </c>
      <c r="AQ221" s="3" t="s">
        <v>49</v>
      </c>
      <c r="AR221" s="6" t="str">
        <f>HYPERLINK("http://catalog.hathitrust.org/Record/002979279","HathiTrust Record")</f>
        <v>HathiTrust Record</v>
      </c>
      <c r="AS221" s="6" t="str">
        <f>HYPERLINK("https://creighton-primo.hosted.exlibrisgroup.com/primo-explore/search?tab=default_tab&amp;search_scope=EVERYTHING&amp;vid=01CRU&amp;lang=en_US&amp;offset=0&amp;query=any,contains,991002465689702656","Catalog Record")</f>
        <v>Catalog Record</v>
      </c>
      <c r="AT221" s="6" t="str">
        <f>HYPERLINK("http://www.worldcat.org/oclc/32131512","WorldCat Record")</f>
        <v>WorldCat Record</v>
      </c>
    </row>
    <row r="222" spans="1:46" ht="41.25" customHeight="1" x14ac:dyDescent="0.25">
      <c r="A222" s="8" t="s">
        <v>51</v>
      </c>
      <c r="B222" s="2" t="s">
        <v>1518</v>
      </c>
      <c r="C222" s="2" t="s">
        <v>1519</v>
      </c>
      <c r="D222" s="2" t="s">
        <v>1520</v>
      </c>
      <c r="F222" s="3" t="s">
        <v>51</v>
      </c>
      <c r="G222" s="3" t="s">
        <v>50</v>
      </c>
      <c r="H222" s="3" t="s">
        <v>51</v>
      </c>
      <c r="I222" s="3" t="s">
        <v>51</v>
      </c>
      <c r="J222" s="3" t="s">
        <v>52</v>
      </c>
      <c r="K222" s="2" t="s">
        <v>1521</v>
      </c>
      <c r="L222" s="2" t="s">
        <v>1522</v>
      </c>
      <c r="M222" s="3" t="s">
        <v>263</v>
      </c>
      <c r="O222" s="3" t="s">
        <v>56</v>
      </c>
      <c r="P222" s="3" t="s">
        <v>87</v>
      </c>
      <c r="R222" s="3" t="s">
        <v>59</v>
      </c>
      <c r="S222" s="4">
        <v>34</v>
      </c>
      <c r="T222" s="4">
        <v>34</v>
      </c>
      <c r="U222" s="5" t="s">
        <v>1523</v>
      </c>
      <c r="V222" s="5" t="s">
        <v>1523</v>
      </c>
      <c r="W222" s="5" t="s">
        <v>846</v>
      </c>
      <c r="X222" s="5" t="s">
        <v>846</v>
      </c>
      <c r="Y222" s="4">
        <v>655</v>
      </c>
      <c r="Z222" s="4">
        <v>574</v>
      </c>
      <c r="AA222" s="4">
        <v>582</v>
      </c>
      <c r="AB222" s="4">
        <v>6</v>
      </c>
      <c r="AC222" s="4">
        <v>6</v>
      </c>
      <c r="AD222" s="4">
        <v>32</v>
      </c>
      <c r="AE222" s="4">
        <v>32</v>
      </c>
      <c r="AF222" s="4">
        <v>8</v>
      </c>
      <c r="AG222" s="4">
        <v>8</v>
      </c>
      <c r="AH222" s="4">
        <v>6</v>
      </c>
      <c r="AI222" s="4">
        <v>6</v>
      </c>
      <c r="AJ222" s="4">
        <v>16</v>
      </c>
      <c r="AK222" s="4">
        <v>16</v>
      </c>
      <c r="AL222" s="4">
        <v>5</v>
      </c>
      <c r="AM222" s="4">
        <v>5</v>
      </c>
      <c r="AN222" s="4">
        <v>5</v>
      </c>
      <c r="AO222" s="4">
        <v>5</v>
      </c>
      <c r="AP222" s="3" t="s">
        <v>51</v>
      </c>
      <c r="AQ222" s="3" t="s">
        <v>49</v>
      </c>
      <c r="AR222" s="6" t="str">
        <f>HYPERLINK("http://catalog.hathitrust.org/Record/000024621","HathiTrust Record")</f>
        <v>HathiTrust Record</v>
      </c>
      <c r="AS222" s="6" t="str">
        <f>HYPERLINK("https://creighton-primo.hosted.exlibrisgroup.com/primo-explore/search?tab=default_tab&amp;search_scope=EVERYTHING&amp;vid=01CRU&amp;lang=en_US&amp;offset=0&amp;query=any,contains,991003815939702656","Catalog Record")</f>
        <v>Catalog Record</v>
      </c>
      <c r="AT222" s="6" t="str">
        <f>HYPERLINK("http://www.worldcat.org/oclc/1548797","WorldCat Record")</f>
        <v>WorldCat Record</v>
      </c>
    </row>
    <row r="223" spans="1:46" ht="41.25" customHeight="1" x14ac:dyDescent="0.25">
      <c r="A223" s="8" t="s">
        <v>51</v>
      </c>
      <c r="B223" s="2" t="s">
        <v>1524</v>
      </c>
      <c r="C223" s="2" t="s">
        <v>1525</v>
      </c>
      <c r="D223" s="2" t="s">
        <v>1526</v>
      </c>
      <c r="F223" s="3" t="s">
        <v>51</v>
      </c>
      <c r="G223" s="3" t="s">
        <v>50</v>
      </c>
      <c r="H223" s="3" t="s">
        <v>51</v>
      </c>
      <c r="I223" s="3" t="s">
        <v>49</v>
      </c>
      <c r="J223" s="3" t="s">
        <v>52</v>
      </c>
      <c r="K223" s="2" t="s">
        <v>1226</v>
      </c>
      <c r="L223" s="2" t="s">
        <v>1527</v>
      </c>
      <c r="M223" s="3" t="s">
        <v>218</v>
      </c>
      <c r="O223" s="3" t="s">
        <v>56</v>
      </c>
      <c r="P223" s="3" t="s">
        <v>578</v>
      </c>
      <c r="R223" s="3" t="s">
        <v>59</v>
      </c>
      <c r="S223" s="4">
        <v>44</v>
      </c>
      <c r="T223" s="4">
        <v>44</v>
      </c>
      <c r="U223" s="5" t="s">
        <v>492</v>
      </c>
      <c r="V223" s="5" t="s">
        <v>492</v>
      </c>
      <c r="W223" s="5" t="s">
        <v>1528</v>
      </c>
      <c r="X223" s="5" t="s">
        <v>1528</v>
      </c>
      <c r="Y223" s="4">
        <v>1413</v>
      </c>
      <c r="Z223" s="4">
        <v>1242</v>
      </c>
      <c r="AA223" s="4">
        <v>1468</v>
      </c>
      <c r="AB223" s="4">
        <v>9</v>
      </c>
      <c r="AC223" s="4">
        <v>11</v>
      </c>
      <c r="AD223" s="4">
        <v>49</v>
      </c>
      <c r="AE223" s="4">
        <v>64</v>
      </c>
      <c r="AF223" s="4">
        <v>12</v>
      </c>
      <c r="AG223" s="4">
        <v>18</v>
      </c>
      <c r="AH223" s="4">
        <v>8</v>
      </c>
      <c r="AI223" s="4">
        <v>9</v>
      </c>
      <c r="AJ223" s="4">
        <v>19</v>
      </c>
      <c r="AK223" s="4">
        <v>25</v>
      </c>
      <c r="AL223" s="4">
        <v>5</v>
      </c>
      <c r="AM223" s="4">
        <v>6</v>
      </c>
      <c r="AN223" s="4">
        <v>12</v>
      </c>
      <c r="AO223" s="4">
        <v>17</v>
      </c>
      <c r="AP223" s="3" t="s">
        <v>51</v>
      </c>
      <c r="AQ223" s="3" t="s">
        <v>51</v>
      </c>
      <c r="AS223" s="6" t="str">
        <f>HYPERLINK("https://creighton-primo.hosted.exlibrisgroup.com/primo-explore/search?tab=default_tab&amp;search_scope=EVERYTHING&amp;vid=01CRU&amp;lang=en_US&amp;offset=0&amp;query=any,contains,991005314379702656","Catalog Record")</f>
        <v>Catalog Record</v>
      </c>
      <c r="AT223" s="6" t="str">
        <f>HYPERLINK("http://www.worldcat.org/oclc/2553227","WorldCat Record")</f>
        <v>WorldCat Record</v>
      </c>
    </row>
    <row r="224" spans="1:46" ht="41.25" customHeight="1" x14ac:dyDescent="0.25">
      <c r="A224" s="8" t="s">
        <v>51</v>
      </c>
      <c r="B224" s="2" t="s">
        <v>1529</v>
      </c>
      <c r="C224" s="2" t="s">
        <v>1530</v>
      </c>
      <c r="D224" s="2" t="s">
        <v>1531</v>
      </c>
      <c r="F224" s="3" t="s">
        <v>51</v>
      </c>
      <c r="G224" s="3" t="s">
        <v>50</v>
      </c>
      <c r="H224" s="3" t="s">
        <v>51</v>
      </c>
      <c r="I224" s="3" t="s">
        <v>51</v>
      </c>
      <c r="J224" s="3" t="s">
        <v>52</v>
      </c>
      <c r="K224" s="2" t="s">
        <v>1532</v>
      </c>
      <c r="L224" s="2" t="s">
        <v>1533</v>
      </c>
      <c r="M224" s="3" t="s">
        <v>171</v>
      </c>
      <c r="O224" s="3" t="s">
        <v>56</v>
      </c>
      <c r="P224" s="3" t="s">
        <v>748</v>
      </c>
      <c r="R224" s="3" t="s">
        <v>59</v>
      </c>
      <c r="S224" s="4">
        <v>49</v>
      </c>
      <c r="T224" s="4">
        <v>49</v>
      </c>
      <c r="U224" s="5" t="s">
        <v>980</v>
      </c>
      <c r="V224" s="5" t="s">
        <v>980</v>
      </c>
      <c r="W224" s="5" t="s">
        <v>1534</v>
      </c>
      <c r="X224" s="5" t="s">
        <v>1534</v>
      </c>
      <c r="Y224" s="4">
        <v>979</v>
      </c>
      <c r="Z224" s="4">
        <v>892</v>
      </c>
      <c r="AA224" s="4">
        <v>900</v>
      </c>
      <c r="AB224" s="4">
        <v>3</v>
      </c>
      <c r="AC224" s="4">
        <v>3</v>
      </c>
      <c r="AD224" s="4">
        <v>11</v>
      </c>
      <c r="AE224" s="4">
        <v>12</v>
      </c>
      <c r="AF224" s="4">
        <v>4</v>
      </c>
      <c r="AG224" s="4">
        <v>5</v>
      </c>
      <c r="AH224" s="4">
        <v>4</v>
      </c>
      <c r="AI224" s="4">
        <v>4</v>
      </c>
      <c r="AJ224" s="4">
        <v>6</v>
      </c>
      <c r="AK224" s="4">
        <v>7</v>
      </c>
      <c r="AL224" s="4">
        <v>0</v>
      </c>
      <c r="AM224" s="4">
        <v>0</v>
      </c>
      <c r="AN224" s="4">
        <v>0</v>
      </c>
      <c r="AO224" s="4">
        <v>0</v>
      </c>
      <c r="AP224" s="3" t="s">
        <v>51</v>
      </c>
      <c r="AQ224" s="3" t="s">
        <v>49</v>
      </c>
      <c r="AR224" s="6" t="str">
        <f>HYPERLINK("http://catalog.hathitrust.org/Record/000743290","HathiTrust Record")</f>
        <v>HathiTrust Record</v>
      </c>
      <c r="AS224" s="6" t="str">
        <f>HYPERLINK("https://creighton-primo.hosted.exlibrisgroup.com/primo-explore/search?tab=default_tab&amp;search_scope=EVERYTHING&amp;vid=01CRU&amp;lang=en_US&amp;offset=0&amp;query=any,contains,991004998499702656","Catalog Record")</f>
        <v>Catalog Record</v>
      </c>
      <c r="AT224" s="6" t="str">
        <f>HYPERLINK("http://www.worldcat.org/oclc/6532555","WorldCat Record")</f>
        <v>WorldCat Record</v>
      </c>
    </row>
    <row r="225" spans="1:46" ht="41.25" customHeight="1" x14ac:dyDescent="0.25">
      <c r="A225" s="8" t="s">
        <v>51</v>
      </c>
      <c r="B225" s="2" t="s">
        <v>1535</v>
      </c>
      <c r="C225" s="2" t="s">
        <v>1536</v>
      </c>
      <c r="D225" s="2" t="s">
        <v>1537</v>
      </c>
      <c r="F225" s="3" t="s">
        <v>51</v>
      </c>
      <c r="G225" s="3" t="s">
        <v>50</v>
      </c>
      <c r="H225" s="3" t="s">
        <v>51</v>
      </c>
      <c r="I225" s="3" t="s">
        <v>51</v>
      </c>
      <c r="J225" s="3" t="s">
        <v>52</v>
      </c>
      <c r="L225" s="2" t="s">
        <v>1538</v>
      </c>
      <c r="M225" s="3" t="s">
        <v>424</v>
      </c>
      <c r="O225" s="3" t="s">
        <v>56</v>
      </c>
      <c r="P225" s="3" t="s">
        <v>87</v>
      </c>
      <c r="R225" s="3" t="s">
        <v>59</v>
      </c>
      <c r="S225" s="4">
        <v>2</v>
      </c>
      <c r="T225" s="4">
        <v>2</v>
      </c>
      <c r="U225" s="5" t="s">
        <v>1539</v>
      </c>
      <c r="V225" s="5" t="s">
        <v>1539</v>
      </c>
      <c r="W225" s="5" t="s">
        <v>485</v>
      </c>
      <c r="X225" s="5" t="s">
        <v>485</v>
      </c>
      <c r="Y225" s="4">
        <v>177</v>
      </c>
      <c r="Z225" s="4">
        <v>133</v>
      </c>
      <c r="AA225" s="4">
        <v>148</v>
      </c>
      <c r="AB225" s="4">
        <v>1</v>
      </c>
      <c r="AC225" s="4">
        <v>1</v>
      </c>
      <c r="AD225" s="4">
        <v>5</v>
      </c>
      <c r="AE225" s="4">
        <v>6</v>
      </c>
      <c r="AF225" s="4">
        <v>3</v>
      </c>
      <c r="AG225" s="4">
        <v>4</v>
      </c>
      <c r="AH225" s="4">
        <v>1</v>
      </c>
      <c r="AI225" s="4">
        <v>1</v>
      </c>
      <c r="AJ225" s="4">
        <v>1</v>
      </c>
      <c r="AK225" s="4">
        <v>1</v>
      </c>
      <c r="AL225" s="4">
        <v>0</v>
      </c>
      <c r="AM225" s="4">
        <v>0</v>
      </c>
      <c r="AN225" s="4">
        <v>0</v>
      </c>
      <c r="AO225" s="4">
        <v>0</v>
      </c>
      <c r="AP225" s="3" t="s">
        <v>51</v>
      </c>
      <c r="AQ225" s="3" t="s">
        <v>49</v>
      </c>
      <c r="AR225" s="6" t="str">
        <f>HYPERLINK("http://catalog.hathitrust.org/Record/006251033","HathiTrust Record")</f>
        <v>HathiTrust Record</v>
      </c>
      <c r="AS225" s="6" t="str">
        <f>HYPERLINK("https://creighton-primo.hosted.exlibrisgroup.com/primo-explore/search?tab=default_tab&amp;search_scope=EVERYTHING&amp;vid=01CRU&amp;lang=en_US&amp;offset=0&amp;query=any,contains,991005167129702656","Catalog Record")</f>
        <v>Catalog Record</v>
      </c>
      <c r="AT225" s="6" t="str">
        <f>HYPERLINK("http://www.worldcat.org/oclc/7836314","WorldCat Record")</f>
        <v>WorldCat Record</v>
      </c>
    </row>
    <row r="226" spans="1:46" ht="41.25" customHeight="1" x14ac:dyDescent="0.25">
      <c r="A226" s="8" t="s">
        <v>51</v>
      </c>
      <c r="B226" s="2" t="s">
        <v>1540</v>
      </c>
      <c r="C226" s="2" t="s">
        <v>1541</v>
      </c>
      <c r="D226" s="2" t="s">
        <v>1542</v>
      </c>
      <c r="F226" s="3" t="s">
        <v>51</v>
      </c>
      <c r="G226" s="3" t="s">
        <v>50</v>
      </c>
      <c r="H226" s="3" t="s">
        <v>51</v>
      </c>
      <c r="I226" s="3" t="s">
        <v>51</v>
      </c>
      <c r="J226" s="3" t="s">
        <v>52</v>
      </c>
      <c r="K226" s="2" t="s">
        <v>1543</v>
      </c>
      <c r="L226" s="2" t="s">
        <v>1544</v>
      </c>
      <c r="M226" s="3" t="s">
        <v>211</v>
      </c>
      <c r="O226" s="3" t="s">
        <v>56</v>
      </c>
      <c r="P226" s="3" t="s">
        <v>87</v>
      </c>
      <c r="R226" s="3" t="s">
        <v>59</v>
      </c>
      <c r="S226" s="4">
        <v>6</v>
      </c>
      <c r="T226" s="4">
        <v>6</v>
      </c>
      <c r="U226" s="5" t="s">
        <v>1545</v>
      </c>
      <c r="V226" s="5" t="s">
        <v>1545</v>
      </c>
      <c r="W226" s="5" t="s">
        <v>485</v>
      </c>
      <c r="X226" s="5" t="s">
        <v>485</v>
      </c>
      <c r="Y226" s="4">
        <v>358</v>
      </c>
      <c r="Z226" s="4">
        <v>290</v>
      </c>
      <c r="AA226" s="4">
        <v>299</v>
      </c>
      <c r="AB226" s="4">
        <v>3</v>
      </c>
      <c r="AC226" s="4">
        <v>3</v>
      </c>
      <c r="AD226" s="4">
        <v>10</v>
      </c>
      <c r="AE226" s="4">
        <v>10</v>
      </c>
      <c r="AF226" s="4">
        <v>3</v>
      </c>
      <c r="AG226" s="4">
        <v>3</v>
      </c>
      <c r="AH226" s="4">
        <v>1</v>
      </c>
      <c r="AI226" s="4">
        <v>1</v>
      </c>
      <c r="AJ226" s="4">
        <v>7</v>
      </c>
      <c r="AK226" s="4">
        <v>7</v>
      </c>
      <c r="AL226" s="4">
        <v>2</v>
      </c>
      <c r="AM226" s="4">
        <v>2</v>
      </c>
      <c r="AN226" s="4">
        <v>0</v>
      </c>
      <c r="AO226" s="4">
        <v>0</v>
      </c>
      <c r="AP226" s="3" t="s">
        <v>51</v>
      </c>
      <c r="AQ226" s="3" t="s">
        <v>49</v>
      </c>
      <c r="AR226" s="6" t="str">
        <f>HYPERLINK("http://catalog.hathitrust.org/Record/000036617","HathiTrust Record")</f>
        <v>HathiTrust Record</v>
      </c>
      <c r="AS226" s="6" t="str">
        <f>HYPERLINK("https://creighton-primo.hosted.exlibrisgroup.com/primo-explore/search?tab=default_tab&amp;search_scope=EVERYTHING&amp;vid=01CRU&amp;lang=en_US&amp;offset=0&amp;query=any,contains,991004651309702656","Catalog Record")</f>
        <v>Catalog Record</v>
      </c>
      <c r="AT226" s="6" t="str">
        <f>HYPERLINK("http://www.worldcat.org/oclc/4494022","WorldCat Record")</f>
        <v>WorldCat Record</v>
      </c>
    </row>
    <row r="227" spans="1:46" ht="41.25" customHeight="1" x14ac:dyDescent="0.25">
      <c r="A227" s="8" t="s">
        <v>51</v>
      </c>
      <c r="B227" s="2" t="s">
        <v>1546</v>
      </c>
      <c r="C227" s="2" t="s">
        <v>1547</v>
      </c>
      <c r="D227" s="2" t="s">
        <v>1548</v>
      </c>
      <c r="F227" s="3" t="s">
        <v>51</v>
      </c>
      <c r="G227" s="3" t="s">
        <v>50</v>
      </c>
      <c r="H227" s="3" t="s">
        <v>49</v>
      </c>
      <c r="I227" s="3" t="s">
        <v>51</v>
      </c>
      <c r="J227" s="3" t="s">
        <v>52</v>
      </c>
      <c r="L227" s="2" t="s">
        <v>1549</v>
      </c>
      <c r="M227" s="3" t="s">
        <v>112</v>
      </c>
      <c r="O227" s="3" t="s">
        <v>56</v>
      </c>
      <c r="P227" s="3" t="s">
        <v>87</v>
      </c>
      <c r="R227" s="3" t="s">
        <v>59</v>
      </c>
      <c r="S227" s="4">
        <v>10</v>
      </c>
      <c r="T227" s="4">
        <v>10</v>
      </c>
      <c r="U227" s="5" t="s">
        <v>1550</v>
      </c>
      <c r="V227" s="5" t="s">
        <v>1550</v>
      </c>
      <c r="W227" s="5" t="s">
        <v>1551</v>
      </c>
      <c r="X227" s="5" t="s">
        <v>1551</v>
      </c>
      <c r="Y227" s="4">
        <v>508</v>
      </c>
      <c r="Z227" s="4">
        <v>357</v>
      </c>
      <c r="AA227" s="4">
        <v>382</v>
      </c>
      <c r="AB227" s="4">
        <v>6</v>
      </c>
      <c r="AC227" s="4">
        <v>6</v>
      </c>
      <c r="AD227" s="4">
        <v>15</v>
      </c>
      <c r="AE227" s="4">
        <v>17</v>
      </c>
      <c r="AF227" s="4">
        <v>1</v>
      </c>
      <c r="AG227" s="4">
        <v>3</v>
      </c>
      <c r="AH227" s="4">
        <v>3</v>
      </c>
      <c r="AI227" s="4">
        <v>3</v>
      </c>
      <c r="AJ227" s="4">
        <v>10</v>
      </c>
      <c r="AK227" s="4">
        <v>11</v>
      </c>
      <c r="AL227" s="4">
        <v>4</v>
      </c>
      <c r="AM227" s="4">
        <v>4</v>
      </c>
      <c r="AN227" s="4">
        <v>0</v>
      </c>
      <c r="AO227" s="4">
        <v>0</v>
      </c>
      <c r="AP227" s="3" t="s">
        <v>51</v>
      </c>
      <c r="AQ227" s="3" t="s">
        <v>49</v>
      </c>
      <c r="AR227" s="6" t="str">
        <f>HYPERLINK("http://catalog.hathitrust.org/Record/000471175","HathiTrust Record")</f>
        <v>HathiTrust Record</v>
      </c>
      <c r="AS227" s="6" t="str">
        <f>HYPERLINK("https://creighton-primo.hosted.exlibrisgroup.com/primo-explore/search?tab=default_tab&amp;search_scope=EVERYTHING&amp;vid=01CRU&amp;lang=en_US&amp;offset=0&amp;query=any,contains,991000785289702656","Catalog Record")</f>
        <v>Catalog Record</v>
      </c>
      <c r="AT227" s="6" t="str">
        <f>HYPERLINK("http://www.worldcat.org/oclc/13123795","WorldCat Record")</f>
        <v>WorldCat Record</v>
      </c>
    </row>
    <row r="228" spans="1:46" ht="41.25" customHeight="1" x14ac:dyDescent="0.25">
      <c r="A228" s="8" t="s">
        <v>51</v>
      </c>
      <c r="B228" s="2" t="s">
        <v>1552</v>
      </c>
      <c r="C228" s="2" t="s">
        <v>1553</v>
      </c>
      <c r="D228" s="2" t="s">
        <v>1554</v>
      </c>
      <c r="F228" s="3" t="s">
        <v>51</v>
      </c>
      <c r="G228" s="3" t="s">
        <v>50</v>
      </c>
      <c r="H228" s="3" t="s">
        <v>51</v>
      </c>
      <c r="I228" s="3" t="s">
        <v>51</v>
      </c>
      <c r="J228" s="3" t="s">
        <v>52</v>
      </c>
      <c r="L228" s="2" t="s">
        <v>1555</v>
      </c>
      <c r="M228" s="3" t="s">
        <v>271</v>
      </c>
      <c r="O228" s="3" t="s">
        <v>56</v>
      </c>
      <c r="P228" s="3" t="s">
        <v>79</v>
      </c>
      <c r="R228" s="3" t="s">
        <v>59</v>
      </c>
      <c r="S228" s="4">
        <v>4</v>
      </c>
      <c r="T228" s="4">
        <v>4</v>
      </c>
      <c r="U228" s="5" t="s">
        <v>1556</v>
      </c>
      <c r="V228" s="5" t="s">
        <v>1556</v>
      </c>
      <c r="W228" s="5" t="s">
        <v>1557</v>
      </c>
      <c r="X228" s="5" t="s">
        <v>1557</v>
      </c>
      <c r="Y228" s="4">
        <v>223</v>
      </c>
      <c r="Z228" s="4">
        <v>166</v>
      </c>
      <c r="AA228" s="4">
        <v>173</v>
      </c>
      <c r="AB228" s="4">
        <v>2</v>
      </c>
      <c r="AC228" s="4">
        <v>2</v>
      </c>
      <c r="AD228" s="4">
        <v>5</v>
      </c>
      <c r="AE228" s="4">
        <v>5</v>
      </c>
      <c r="AF228" s="4">
        <v>1</v>
      </c>
      <c r="AG228" s="4">
        <v>1</v>
      </c>
      <c r="AH228" s="4">
        <v>1</v>
      </c>
      <c r="AI228" s="4">
        <v>1</v>
      </c>
      <c r="AJ228" s="4">
        <v>3</v>
      </c>
      <c r="AK228" s="4">
        <v>3</v>
      </c>
      <c r="AL228" s="4">
        <v>1</v>
      </c>
      <c r="AM228" s="4">
        <v>1</v>
      </c>
      <c r="AN228" s="4">
        <v>0</v>
      </c>
      <c r="AO228" s="4">
        <v>0</v>
      </c>
      <c r="AP228" s="3" t="s">
        <v>51</v>
      </c>
      <c r="AQ228" s="3" t="s">
        <v>49</v>
      </c>
      <c r="AR228" s="6" t="str">
        <f>HYPERLINK("http://catalog.hathitrust.org/Record/000129898","HathiTrust Record")</f>
        <v>HathiTrust Record</v>
      </c>
      <c r="AS228" s="6" t="str">
        <f>HYPERLINK("https://creighton-primo.hosted.exlibrisgroup.com/primo-explore/search?tab=default_tab&amp;search_scope=EVERYTHING&amp;vid=01CRU&amp;lang=en_US&amp;offset=0&amp;query=any,contains,991004197529702656","Catalog Record")</f>
        <v>Catalog Record</v>
      </c>
      <c r="AT228" s="6" t="str">
        <f>HYPERLINK("http://www.worldcat.org/oclc/2645406","WorldCat Record")</f>
        <v>WorldCat Record</v>
      </c>
    </row>
    <row r="229" spans="1:46" ht="41.25" customHeight="1" x14ac:dyDescent="0.25">
      <c r="A229" s="8" t="s">
        <v>51</v>
      </c>
      <c r="B229" s="2" t="s">
        <v>1558</v>
      </c>
      <c r="C229" s="2" t="s">
        <v>1559</v>
      </c>
      <c r="D229" s="2" t="s">
        <v>1560</v>
      </c>
      <c r="F229" s="3" t="s">
        <v>51</v>
      </c>
      <c r="G229" s="3" t="s">
        <v>50</v>
      </c>
      <c r="H229" s="3" t="s">
        <v>51</v>
      </c>
      <c r="I229" s="3" t="s">
        <v>51</v>
      </c>
      <c r="J229" s="3" t="s">
        <v>52</v>
      </c>
      <c r="L229" s="2" t="s">
        <v>1561</v>
      </c>
      <c r="M229" s="3" t="s">
        <v>103</v>
      </c>
      <c r="O229" s="3" t="s">
        <v>56</v>
      </c>
      <c r="P229" s="3" t="s">
        <v>87</v>
      </c>
      <c r="R229" s="3" t="s">
        <v>59</v>
      </c>
      <c r="S229" s="4">
        <v>4</v>
      </c>
      <c r="T229" s="4">
        <v>4</v>
      </c>
      <c r="U229" s="5" t="s">
        <v>1562</v>
      </c>
      <c r="V229" s="5" t="s">
        <v>1562</v>
      </c>
      <c r="W229" s="5" t="s">
        <v>1563</v>
      </c>
      <c r="X229" s="5" t="s">
        <v>1563</v>
      </c>
      <c r="Y229" s="4">
        <v>508</v>
      </c>
      <c r="Z229" s="4">
        <v>412</v>
      </c>
      <c r="AA229" s="4">
        <v>419</v>
      </c>
      <c r="AB229" s="4">
        <v>5</v>
      </c>
      <c r="AC229" s="4">
        <v>5</v>
      </c>
      <c r="AD229" s="4">
        <v>20</v>
      </c>
      <c r="AE229" s="4">
        <v>20</v>
      </c>
      <c r="AF229" s="4">
        <v>6</v>
      </c>
      <c r="AG229" s="4">
        <v>6</v>
      </c>
      <c r="AH229" s="4">
        <v>6</v>
      </c>
      <c r="AI229" s="4">
        <v>6</v>
      </c>
      <c r="AJ229" s="4">
        <v>11</v>
      </c>
      <c r="AK229" s="4">
        <v>11</v>
      </c>
      <c r="AL229" s="4">
        <v>3</v>
      </c>
      <c r="AM229" s="4">
        <v>3</v>
      </c>
      <c r="AN229" s="4">
        <v>0</v>
      </c>
      <c r="AO229" s="4">
        <v>0</v>
      </c>
      <c r="AP229" s="3" t="s">
        <v>51</v>
      </c>
      <c r="AQ229" s="3" t="s">
        <v>49</v>
      </c>
      <c r="AR229" s="6" t="str">
        <f>HYPERLINK("http://catalog.hathitrust.org/Record/000450338","HathiTrust Record")</f>
        <v>HathiTrust Record</v>
      </c>
      <c r="AS229" s="6" t="str">
        <f>HYPERLINK("https://creighton-primo.hosted.exlibrisgroup.com/primo-explore/search?tab=default_tab&amp;search_scope=EVERYTHING&amp;vid=01CRU&amp;lang=en_US&amp;offset=0&amp;query=any,contains,991000441709702656","Catalog Record")</f>
        <v>Catalog Record</v>
      </c>
      <c r="AT229" s="6" t="str">
        <f>HYPERLINK("http://www.worldcat.org/oclc/10825137","WorldCat Record")</f>
        <v>WorldCat Record</v>
      </c>
    </row>
    <row r="230" spans="1:46" ht="41.25" customHeight="1" x14ac:dyDescent="0.25">
      <c r="A230" s="8" t="s">
        <v>51</v>
      </c>
      <c r="B230" s="2" t="s">
        <v>1564</v>
      </c>
      <c r="C230" s="2" t="s">
        <v>1565</v>
      </c>
      <c r="D230" s="2" t="s">
        <v>1566</v>
      </c>
      <c r="F230" s="3" t="s">
        <v>51</v>
      </c>
      <c r="G230" s="3" t="s">
        <v>50</v>
      </c>
      <c r="H230" s="3" t="s">
        <v>51</v>
      </c>
      <c r="I230" s="3" t="s">
        <v>51</v>
      </c>
      <c r="J230" s="3" t="s">
        <v>52</v>
      </c>
      <c r="K230" s="2" t="s">
        <v>1567</v>
      </c>
      <c r="L230" s="2" t="s">
        <v>1568</v>
      </c>
      <c r="M230" s="3" t="s">
        <v>186</v>
      </c>
      <c r="O230" s="3" t="s">
        <v>56</v>
      </c>
      <c r="P230" s="3" t="s">
        <v>476</v>
      </c>
      <c r="Q230" s="2" t="s">
        <v>1569</v>
      </c>
      <c r="R230" s="3" t="s">
        <v>59</v>
      </c>
      <c r="S230" s="4">
        <v>4</v>
      </c>
      <c r="T230" s="4">
        <v>4</v>
      </c>
      <c r="U230" s="5" t="s">
        <v>1570</v>
      </c>
      <c r="V230" s="5" t="s">
        <v>1570</v>
      </c>
      <c r="W230" s="5" t="s">
        <v>485</v>
      </c>
      <c r="X230" s="5" t="s">
        <v>485</v>
      </c>
      <c r="Y230" s="4">
        <v>204</v>
      </c>
      <c r="Z230" s="4">
        <v>161</v>
      </c>
      <c r="AA230" s="4">
        <v>188</v>
      </c>
      <c r="AB230" s="4">
        <v>2</v>
      </c>
      <c r="AC230" s="4">
        <v>2</v>
      </c>
      <c r="AD230" s="4">
        <v>3</v>
      </c>
      <c r="AE230" s="4">
        <v>3</v>
      </c>
      <c r="AF230" s="4">
        <v>1</v>
      </c>
      <c r="AG230" s="4">
        <v>1</v>
      </c>
      <c r="AH230" s="4">
        <v>0</v>
      </c>
      <c r="AI230" s="4">
        <v>0</v>
      </c>
      <c r="AJ230" s="4">
        <v>2</v>
      </c>
      <c r="AK230" s="4">
        <v>2</v>
      </c>
      <c r="AL230" s="4">
        <v>1</v>
      </c>
      <c r="AM230" s="4">
        <v>1</v>
      </c>
      <c r="AN230" s="4">
        <v>0</v>
      </c>
      <c r="AO230" s="4">
        <v>0</v>
      </c>
      <c r="AP230" s="3" t="s">
        <v>51</v>
      </c>
      <c r="AQ230" s="3" t="s">
        <v>49</v>
      </c>
      <c r="AR230" s="6" t="str">
        <f>HYPERLINK("http://catalog.hathitrust.org/Record/000269030","HathiTrust Record")</f>
        <v>HathiTrust Record</v>
      </c>
      <c r="AS230" s="6" t="str">
        <f>HYPERLINK("https://creighton-primo.hosted.exlibrisgroup.com/primo-explore/search?tab=default_tab&amp;search_scope=EVERYTHING&amp;vid=01CRU&amp;lang=en_US&amp;offset=0&amp;query=any,contains,991000035819702656","Catalog Record")</f>
        <v>Catalog Record</v>
      </c>
      <c r="AT230" s="6" t="str">
        <f>HYPERLINK("http://www.worldcat.org/oclc/8627550","WorldCat Record")</f>
        <v>WorldCat Record</v>
      </c>
    </row>
    <row r="231" spans="1:46" ht="41.25" customHeight="1" x14ac:dyDescent="0.25">
      <c r="A231" s="8" t="s">
        <v>51</v>
      </c>
      <c r="B231" s="2" t="s">
        <v>1571</v>
      </c>
      <c r="C231" s="2" t="s">
        <v>1572</v>
      </c>
      <c r="D231" s="2" t="s">
        <v>1573</v>
      </c>
      <c r="F231" s="3" t="s">
        <v>51</v>
      </c>
      <c r="G231" s="3" t="s">
        <v>50</v>
      </c>
      <c r="H231" s="3" t="s">
        <v>51</v>
      </c>
      <c r="I231" s="3" t="s">
        <v>51</v>
      </c>
      <c r="J231" s="3" t="s">
        <v>52</v>
      </c>
      <c r="K231" s="2" t="s">
        <v>1574</v>
      </c>
      <c r="L231" s="2" t="s">
        <v>1575</v>
      </c>
      <c r="M231" s="3" t="s">
        <v>389</v>
      </c>
      <c r="N231" s="2" t="s">
        <v>245</v>
      </c>
      <c r="O231" s="3" t="s">
        <v>56</v>
      </c>
      <c r="P231" s="3" t="s">
        <v>87</v>
      </c>
      <c r="R231" s="3" t="s">
        <v>59</v>
      </c>
      <c r="S231" s="4">
        <v>5</v>
      </c>
      <c r="T231" s="4">
        <v>5</v>
      </c>
      <c r="U231" s="5" t="s">
        <v>1576</v>
      </c>
      <c r="V231" s="5" t="s">
        <v>1576</v>
      </c>
      <c r="W231" s="5" t="s">
        <v>1577</v>
      </c>
      <c r="X231" s="5" t="s">
        <v>1577</v>
      </c>
      <c r="Y231" s="4">
        <v>241</v>
      </c>
      <c r="Z231" s="4">
        <v>198</v>
      </c>
      <c r="AA231" s="4">
        <v>199</v>
      </c>
      <c r="AB231" s="4">
        <v>1</v>
      </c>
      <c r="AC231" s="4">
        <v>1</v>
      </c>
      <c r="AD231" s="4">
        <v>9</v>
      </c>
      <c r="AE231" s="4">
        <v>9</v>
      </c>
      <c r="AF231" s="4">
        <v>4</v>
      </c>
      <c r="AG231" s="4">
        <v>4</v>
      </c>
      <c r="AH231" s="4">
        <v>4</v>
      </c>
      <c r="AI231" s="4">
        <v>4</v>
      </c>
      <c r="AJ231" s="4">
        <v>5</v>
      </c>
      <c r="AK231" s="4">
        <v>5</v>
      </c>
      <c r="AL231" s="4">
        <v>0</v>
      </c>
      <c r="AM231" s="4">
        <v>0</v>
      </c>
      <c r="AN231" s="4">
        <v>0</v>
      </c>
      <c r="AO231" s="4">
        <v>0</v>
      </c>
      <c r="AP231" s="3" t="s">
        <v>51</v>
      </c>
      <c r="AQ231" s="3" t="s">
        <v>51</v>
      </c>
      <c r="AS231" s="6" t="str">
        <f>HYPERLINK("https://creighton-primo.hosted.exlibrisgroup.com/primo-explore/search?tab=default_tab&amp;search_scope=EVERYTHING&amp;vid=01CRU&amp;lang=en_US&amp;offset=0&amp;query=any,contains,991002272369702656","Catalog Record")</f>
        <v>Catalog Record</v>
      </c>
      <c r="AT231" s="6" t="str">
        <f>HYPERLINK("http://www.worldcat.org/oclc/29479185","WorldCat Record")</f>
        <v>WorldCat Record</v>
      </c>
    </row>
    <row r="232" spans="1:46" ht="41.25" customHeight="1" x14ac:dyDescent="0.25">
      <c r="A232" s="8" t="s">
        <v>51</v>
      </c>
      <c r="B232" s="2" t="s">
        <v>1578</v>
      </c>
      <c r="C232" s="2" t="s">
        <v>1579</v>
      </c>
      <c r="D232" s="2" t="s">
        <v>1580</v>
      </c>
      <c r="F232" s="3" t="s">
        <v>51</v>
      </c>
      <c r="G232" s="3" t="s">
        <v>50</v>
      </c>
      <c r="H232" s="3" t="s">
        <v>49</v>
      </c>
      <c r="I232" s="3" t="s">
        <v>51</v>
      </c>
      <c r="J232" s="3" t="s">
        <v>52</v>
      </c>
      <c r="L232" s="2" t="s">
        <v>1581</v>
      </c>
      <c r="M232" s="3" t="s">
        <v>211</v>
      </c>
      <c r="O232" s="3" t="s">
        <v>56</v>
      </c>
      <c r="P232" s="3" t="s">
        <v>69</v>
      </c>
      <c r="R232" s="3" t="s">
        <v>59</v>
      </c>
      <c r="S232" s="4">
        <v>7</v>
      </c>
      <c r="T232" s="4">
        <v>37</v>
      </c>
      <c r="U232" s="5" t="s">
        <v>1582</v>
      </c>
      <c r="V232" s="5" t="s">
        <v>1583</v>
      </c>
      <c r="W232" s="5" t="s">
        <v>1584</v>
      </c>
      <c r="X232" s="5" t="s">
        <v>1584</v>
      </c>
      <c r="Y232" s="4">
        <v>357</v>
      </c>
      <c r="Z232" s="4">
        <v>270</v>
      </c>
      <c r="AA232" s="4">
        <v>280</v>
      </c>
      <c r="AB232" s="4">
        <v>2</v>
      </c>
      <c r="AC232" s="4">
        <v>2</v>
      </c>
      <c r="AD232" s="4">
        <v>11</v>
      </c>
      <c r="AE232" s="4">
        <v>11</v>
      </c>
      <c r="AF232" s="4">
        <v>3</v>
      </c>
      <c r="AG232" s="4">
        <v>3</v>
      </c>
      <c r="AH232" s="4">
        <v>4</v>
      </c>
      <c r="AI232" s="4">
        <v>4</v>
      </c>
      <c r="AJ232" s="4">
        <v>7</v>
      </c>
      <c r="AK232" s="4">
        <v>7</v>
      </c>
      <c r="AL232" s="4">
        <v>0</v>
      </c>
      <c r="AM232" s="4">
        <v>0</v>
      </c>
      <c r="AN232" s="4">
        <v>0</v>
      </c>
      <c r="AO232" s="4">
        <v>0</v>
      </c>
      <c r="AP232" s="3" t="s">
        <v>51</v>
      </c>
      <c r="AQ232" s="3" t="s">
        <v>49</v>
      </c>
      <c r="AR232" s="6" t="str">
        <f>HYPERLINK("http://catalog.hathitrust.org/Record/000309917","HathiTrust Record")</f>
        <v>HathiTrust Record</v>
      </c>
      <c r="AS232" s="6" t="str">
        <f>HYPERLINK("https://creighton-primo.hosted.exlibrisgroup.com/primo-explore/search?tab=default_tab&amp;search_scope=EVERYTHING&amp;vid=01CRU&amp;lang=en_US&amp;offset=0&amp;query=any,contains,991001753429702656","Catalog Record")</f>
        <v>Catalog Record</v>
      </c>
      <c r="AT232" s="6" t="str">
        <f>HYPERLINK("http://www.worldcat.org/oclc/4493661","WorldCat Record")</f>
        <v>WorldCat Record</v>
      </c>
    </row>
    <row r="233" spans="1:46" ht="41.25" customHeight="1" x14ac:dyDescent="0.25">
      <c r="A233" s="8" t="s">
        <v>51</v>
      </c>
      <c r="B233" s="2" t="s">
        <v>1585</v>
      </c>
      <c r="C233" s="2" t="s">
        <v>1586</v>
      </c>
      <c r="D233" s="2" t="s">
        <v>1587</v>
      </c>
      <c r="E233" s="3" t="s">
        <v>144</v>
      </c>
      <c r="F233" s="3" t="s">
        <v>49</v>
      </c>
      <c r="G233" s="3" t="s">
        <v>50</v>
      </c>
      <c r="H233" s="3" t="s">
        <v>51</v>
      </c>
      <c r="I233" s="3" t="s">
        <v>51</v>
      </c>
      <c r="J233" s="3" t="s">
        <v>52</v>
      </c>
      <c r="L233" s="2" t="s">
        <v>1588</v>
      </c>
      <c r="M233" s="3" t="s">
        <v>271</v>
      </c>
      <c r="O233" s="3" t="s">
        <v>56</v>
      </c>
      <c r="P233" s="3" t="s">
        <v>87</v>
      </c>
      <c r="Q233" s="2" t="s">
        <v>1589</v>
      </c>
      <c r="R233" s="3" t="s">
        <v>59</v>
      </c>
      <c r="S233" s="4">
        <v>9</v>
      </c>
      <c r="T233" s="4">
        <v>9</v>
      </c>
      <c r="U233" s="5" t="s">
        <v>1590</v>
      </c>
      <c r="V233" s="5" t="s">
        <v>1590</v>
      </c>
      <c r="W233" s="5" t="s">
        <v>1591</v>
      </c>
      <c r="X233" s="5" t="s">
        <v>1591</v>
      </c>
      <c r="Y233" s="4">
        <v>483</v>
      </c>
      <c r="Z233" s="4">
        <v>421</v>
      </c>
      <c r="AA233" s="4">
        <v>424</v>
      </c>
      <c r="AB233" s="4">
        <v>3</v>
      </c>
      <c r="AC233" s="4">
        <v>3</v>
      </c>
      <c r="AD233" s="4">
        <v>18</v>
      </c>
      <c r="AE233" s="4">
        <v>18</v>
      </c>
      <c r="AF233" s="4">
        <v>4</v>
      </c>
      <c r="AG233" s="4">
        <v>4</v>
      </c>
      <c r="AH233" s="4">
        <v>3</v>
      </c>
      <c r="AI233" s="4">
        <v>3</v>
      </c>
      <c r="AJ233" s="4">
        <v>14</v>
      </c>
      <c r="AK233" s="4">
        <v>14</v>
      </c>
      <c r="AL233" s="4">
        <v>2</v>
      </c>
      <c r="AM233" s="4">
        <v>2</v>
      </c>
      <c r="AN233" s="4">
        <v>0</v>
      </c>
      <c r="AO233" s="4">
        <v>0</v>
      </c>
      <c r="AP233" s="3" t="s">
        <v>51</v>
      </c>
      <c r="AQ233" s="3" t="s">
        <v>49</v>
      </c>
      <c r="AR233" s="6" t="str">
        <f>HYPERLINK("http://catalog.hathitrust.org/Record/000826604","HathiTrust Record")</f>
        <v>HathiTrust Record</v>
      </c>
      <c r="AS233" s="6" t="str">
        <f>HYPERLINK("https://creighton-primo.hosted.exlibrisgroup.com/primo-explore/search?tab=default_tab&amp;search_scope=EVERYTHING&amp;vid=01CRU&amp;lang=en_US&amp;offset=0&amp;query=any,contains,991004103019702656","Catalog Record")</f>
        <v>Catalog Record</v>
      </c>
      <c r="AT233" s="6" t="str">
        <f>HYPERLINK("http://www.worldcat.org/oclc/2373258","WorldCat Record")</f>
        <v>WorldCat Record</v>
      </c>
    </row>
    <row r="234" spans="1:46" ht="41.25" customHeight="1" x14ac:dyDescent="0.25">
      <c r="A234" s="8" t="s">
        <v>51</v>
      </c>
      <c r="B234" s="2" t="s">
        <v>1585</v>
      </c>
      <c r="C234" s="2" t="s">
        <v>1586</v>
      </c>
      <c r="D234" s="2" t="s">
        <v>1587</v>
      </c>
      <c r="E234" s="3" t="s">
        <v>148</v>
      </c>
      <c r="F234" s="3" t="s">
        <v>49</v>
      </c>
      <c r="G234" s="3" t="s">
        <v>50</v>
      </c>
      <c r="H234" s="3" t="s">
        <v>51</v>
      </c>
      <c r="I234" s="3" t="s">
        <v>51</v>
      </c>
      <c r="J234" s="3" t="s">
        <v>52</v>
      </c>
      <c r="L234" s="2" t="s">
        <v>1588</v>
      </c>
      <c r="M234" s="3" t="s">
        <v>271</v>
      </c>
      <c r="O234" s="3" t="s">
        <v>56</v>
      </c>
      <c r="P234" s="3" t="s">
        <v>87</v>
      </c>
      <c r="Q234" s="2" t="s">
        <v>1589</v>
      </c>
      <c r="R234" s="3" t="s">
        <v>59</v>
      </c>
      <c r="S234" s="4">
        <v>0</v>
      </c>
      <c r="T234" s="4">
        <v>9</v>
      </c>
      <c r="V234" s="5" t="s">
        <v>1590</v>
      </c>
      <c r="W234" s="5" t="s">
        <v>1591</v>
      </c>
      <c r="X234" s="5" t="s">
        <v>1591</v>
      </c>
      <c r="Y234" s="4">
        <v>483</v>
      </c>
      <c r="Z234" s="4">
        <v>421</v>
      </c>
      <c r="AA234" s="4">
        <v>424</v>
      </c>
      <c r="AB234" s="4">
        <v>3</v>
      </c>
      <c r="AC234" s="4">
        <v>3</v>
      </c>
      <c r="AD234" s="4">
        <v>18</v>
      </c>
      <c r="AE234" s="4">
        <v>18</v>
      </c>
      <c r="AF234" s="4">
        <v>4</v>
      </c>
      <c r="AG234" s="4">
        <v>4</v>
      </c>
      <c r="AH234" s="4">
        <v>3</v>
      </c>
      <c r="AI234" s="4">
        <v>3</v>
      </c>
      <c r="AJ234" s="4">
        <v>14</v>
      </c>
      <c r="AK234" s="4">
        <v>14</v>
      </c>
      <c r="AL234" s="4">
        <v>2</v>
      </c>
      <c r="AM234" s="4">
        <v>2</v>
      </c>
      <c r="AN234" s="4">
        <v>0</v>
      </c>
      <c r="AO234" s="4">
        <v>0</v>
      </c>
      <c r="AP234" s="3" t="s">
        <v>51</v>
      </c>
      <c r="AQ234" s="3" t="s">
        <v>49</v>
      </c>
      <c r="AR234" s="6" t="str">
        <f>HYPERLINK("http://catalog.hathitrust.org/Record/000826604","HathiTrust Record")</f>
        <v>HathiTrust Record</v>
      </c>
      <c r="AS234" s="6" t="str">
        <f>HYPERLINK("https://creighton-primo.hosted.exlibrisgroup.com/primo-explore/search?tab=default_tab&amp;search_scope=EVERYTHING&amp;vid=01CRU&amp;lang=en_US&amp;offset=0&amp;query=any,contains,991004103019702656","Catalog Record")</f>
        <v>Catalog Record</v>
      </c>
      <c r="AT234" s="6" t="str">
        <f>HYPERLINK("http://www.worldcat.org/oclc/2373258","WorldCat Record")</f>
        <v>WorldCat Record</v>
      </c>
    </row>
    <row r="235" spans="1:46" ht="41.25" customHeight="1" x14ac:dyDescent="0.25">
      <c r="A235" s="8" t="s">
        <v>51</v>
      </c>
      <c r="B235" s="2" t="s">
        <v>1592</v>
      </c>
      <c r="C235" s="2" t="s">
        <v>1593</v>
      </c>
      <c r="D235" s="2" t="s">
        <v>1594</v>
      </c>
      <c r="F235" s="3" t="s">
        <v>51</v>
      </c>
      <c r="G235" s="3" t="s">
        <v>50</v>
      </c>
      <c r="H235" s="3" t="s">
        <v>51</v>
      </c>
      <c r="I235" s="3" t="s">
        <v>51</v>
      </c>
      <c r="J235" s="3" t="s">
        <v>52</v>
      </c>
      <c r="K235" s="2" t="s">
        <v>1595</v>
      </c>
      <c r="L235" s="2" t="s">
        <v>1596</v>
      </c>
      <c r="M235" s="3" t="s">
        <v>424</v>
      </c>
      <c r="O235" s="3" t="s">
        <v>56</v>
      </c>
      <c r="P235" s="3" t="s">
        <v>476</v>
      </c>
      <c r="Q235" s="2" t="s">
        <v>1569</v>
      </c>
      <c r="R235" s="3" t="s">
        <v>59</v>
      </c>
      <c r="S235" s="4">
        <v>3</v>
      </c>
      <c r="T235" s="4">
        <v>3</v>
      </c>
      <c r="U235" s="5" t="s">
        <v>1597</v>
      </c>
      <c r="V235" s="5" t="s">
        <v>1597</v>
      </c>
      <c r="W235" s="5" t="s">
        <v>485</v>
      </c>
      <c r="X235" s="5" t="s">
        <v>485</v>
      </c>
      <c r="Y235" s="4">
        <v>171</v>
      </c>
      <c r="Z235" s="4">
        <v>131</v>
      </c>
      <c r="AA235" s="4">
        <v>143</v>
      </c>
      <c r="AB235" s="4">
        <v>1</v>
      </c>
      <c r="AC235" s="4">
        <v>1</v>
      </c>
      <c r="AD235" s="4">
        <v>4</v>
      </c>
      <c r="AE235" s="4">
        <v>4</v>
      </c>
      <c r="AF235" s="4">
        <v>0</v>
      </c>
      <c r="AG235" s="4">
        <v>0</v>
      </c>
      <c r="AH235" s="4">
        <v>3</v>
      </c>
      <c r="AI235" s="4">
        <v>3</v>
      </c>
      <c r="AJ235" s="4">
        <v>2</v>
      </c>
      <c r="AK235" s="4">
        <v>2</v>
      </c>
      <c r="AL235" s="4">
        <v>0</v>
      </c>
      <c r="AM235" s="4">
        <v>0</v>
      </c>
      <c r="AN235" s="4">
        <v>0</v>
      </c>
      <c r="AO235" s="4">
        <v>0</v>
      </c>
      <c r="AP235" s="3" t="s">
        <v>51</v>
      </c>
      <c r="AQ235" s="3" t="s">
        <v>51</v>
      </c>
      <c r="AS235" s="6" t="str">
        <f>HYPERLINK("https://creighton-primo.hosted.exlibrisgroup.com/primo-explore/search?tab=default_tab&amp;search_scope=EVERYTHING&amp;vid=01CRU&amp;lang=en_US&amp;offset=0&amp;query=any,contains,991005102719702656","Catalog Record")</f>
        <v>Catalog Record</v>
      </c>
      <c r="AT235" s="6" t="str">
        <f>HYPERLINK("http://www.worldcat.org/oclc/7306721","WorldCat Record")</f>
        <v>WorldCat Record</v>
      </c>
    </row>
    <row r="236" spans="1:46" ht="41.25" customHeight="1" x14ac:dyDescent="0.25">
      <c r="A236" s="8" t="s">
        <v>51</v>
      </c>
      <c r="B236" s="2" t="s">
        <v>1598</v>
      </c>
      <c r="C236" s="2" t="s">
        <v>1599</v>
      </c>
      <c r="D236" s="2" t="s">
        <v>1600</v>
      </c>
      <c r="F236" s="3" t="s">
        <v>51</v>
      </c>
      <c r="G236" s="3" t="s">
        <v>50</v>
      </c>
      <c r="H236" s="3" t="s">
        <v>51</v>
      </c>
      <c r="I236" s="3" t="s">
        <v>51</v>
      </c>
      <c r="J236" s="3" t="s">
        <v>52</v>
      </c>
      <c r="K236" s="2" t="s">
        <v>1601</v>
      </c>
      <c r="L236" s="2" t="s">
        <v>1602</v>
      </c>
      <c r="M236" s="3" t="s">
        <v>154</v>
      </c>
      <c r="O236" s="3" t="s">
        <v>56</v>
      </c>
      <c r="P236" s="3" t="s">
        <v>87</v>
      </c>
      <c r="Q236" s="2" t="s">
        <v>1603</v>
      </c>
      <c r="R236" s="3" t="s">
        <v>59</v>
      </c>
      <c r="S236" s="4">
        <v>13</v>
      </c>
      <c r="T236" s="4">
        <v>13</v>
      </c>
      <c r="U236" s="5" t="s">
        <v>1604</v>
      </c>
      <c r="V236" s="5" t="s">
        <v>1604</v>
      </c>
      <c r="W236" s="5" t="s">
        <v>1584</v>
      </c>
      <c r="X236" s="5" t="s">
        <v>1584</v>
      </c>
      <c r="Y236" s="4">
        <v>304</v>
      </c>
      <c r="Z236" s="4">
        <v>223</v>
      </c>
      <c r="AA236" s="4">
        <v>230</v>
      </c>
      <c r="AB236" s="4">
        <v>2</v>
      </c>
      <c r="AC236" s="4">
        <v>2</v>
      </c>
      <c r="AD236" s="4">
        <v>12</v>
      </c>
      <c r="AE236" s="4">
        <v>12</v>
      </c>
      <c r="AF236" s="4">
        <v>3</v>
      </c>
      <c r="AG236" s="4">
        <v>3</v>
      </c>
      <c r="AH236" s="4">
        <v>4</v>
      </c>
      <c r="AI236" s="4">
        <v>4</v>
      </c>
      <c r="AJ236" s="4">
        <v>8</v>
      </c>
      <c r="AK236" s="4">
        <v>8</v>
      </c>
      <c r="AL236" s="4">
        <v>0</v>
      </c>
      <c r="AM236" s="4">
        <v>0</v>
      </c>
      <c r="AN236" s="4">
        <v>0</v>
      </c>
      <c r="AO236" s="4">
        <v>0</v>
      </c>
      <c r="AP236" s="3" t="s">
        <v>51</v>
      </c>
      <c r="AQ236" s="3" t="s">
        <v>49</v>
      </c>
      <c r="AR236" s="6" t="str">
        <f>HYPERLINK("http://catalog.hathitrust.org/Record/000108612","HathiTrust Record")</f>
        <v>HathiTrust Record</v>
      </c>
      <c r="AS236" s="6" t="str">
        <f>HYPERLINK("https://creighton-primo.hosted.exlibrisgroup.com/primo-explore/search?tab=default_tab&amp;search_scope=EVERYTHING&amp;vid=01CRU&amp;lang=en_US&amp;offset=0&amp;query=any,contains,991005348619702656","Catalog Record")</f>
        <v>Catalog Record</v>
      </c>
      <c r="AT236" s="6" t="str">
        <f>HYPERLINK("http://www.worldcat.org/oclc/8220664","WorldCat Record")</f>
        <v>WorldCat Record</v>
      </c>
    </row>
    <row r="237" spans="1:46" ht="41.25" customHeight="1" x14ac:dyDescent="0.25">
      <c r="A237" s="8" t="s">
        <v>51</v>
      </c>
      <c r="B237" s="2" t="s">
        <v>1605</v>
      </c>
      <c r="C237" s="2" t="s">
        <v>1606</v>
      </c>
      <c r="D237" s="2" t="s">
        <v>1607</v>
      </c>
      <c r="F237" s="3" t="s">
        <v>51</v>
      </c>
      <c r="G237" s="3" t="s">
        <v>50</v>
      </c>
      <c r="H237" s="3" t="s">
        <v>51</v>
      </c>
      <c r="I237" s="3" t="s">
        <v>51</v>
      </c>
      <c r="J237" s="3" t="s">
        <v>52</v>
      </c>
      <c r="L237" s="2" t="s">
        <v>1608</v>
      </c>
      <c r="M237" s="3" t="s">
        <v>920</v>
      </c>
      <c r="O237" s="3" t="s">
        <v>56</v>
      </c>
      <c r="P237" s="3" t="s">
        <v>113</v>
      </c>
      <c r="R237" s="3" t="s">
        <v>59</v>
      </c>
      <c r="S237" s="4">
        <v>3</v>
      </c>
      <c r="T237" s="4">
        <v>3</v>
      </c>
      <c r="U237" s="5" t="s">
        <v>1609</v>
      </c>
      <c r="V237" s="5" t="s">
        <v>1609</v>
      </c>
      <c r="W237" s="5" t="s">
        <v>1610</v>
      </c>
      <c r="X237" s="5" t="s">
        <v>1610</v>
      </c>
      <c r="Y237" s="4">
        <v>225</v>
      </c>
      <c r="Z237" s="4">
        <v>95</v>
      </c>
      <c r="AA237" s="4">
        <v>226</v>
      </c>
      <c r="AB237" s="4">
        <v>2</v>
      </c>
      <c r="AC237" s="4">
        <v>3</v>
      </c>
      <c r="AD237" s="4">
        <v>4</v>
      </c>
      <c r="AE237" s="4">
        <v>10</v>
      </c>
      <c r="AF237" s="4">
        <v>0</v>
      </c>
      <c r="AG237" s="4">
        <v>3</v>
      </c>
      <c r="AH237" s="4">
        <v>2</v>
      </c>
      <c r="AI237" s="4">
        <v>2</v>
      </c>
      <c r="AJ237" s="4">
        <v>2</v>
      </c>
      <c r="AK237" s="4">
        <v>5</v>
      </c>
      <c r="AL237" s="4">
        <v>1</v>
      </c>
      <c r="AM237" s="4">
        <v>2</v>
      </c>
      <c r="AN237" s="4">
        <v>0</v>
      </c>
      <c r="AO237" s="4">
        <v>0</v>
      </c>
      <c r="AP237" s="3" t="s">
        <v>51</v>
      </c>
      <c r="AQ237" s="3" t="s">
        <v>51</v>
      </c>
      <c r="AS237" s="6" t="str">
        <f>HYPERLINK("https://creighton-primo.hosted.exlibrisgroup.com/primo-explore/search?tab=default_tab&amp;search_scope=EVERYTHING&amp;vid=01CRU&amp;lang=en_US&amp;offset=0&amp;query=any,contains,991003044289702656","Catalog Record")</f>
        <v>Catalog Record</v>
      </c>
      <c r="AT237" s="6" t="str">
        <f>HYPERLINK("http://www.worldcat.org/oclc/42406243","WorldCat Record")</f>
        <v>WorldCat Record</v>
      </c>
    </row>
    <row r="238" spans="1:46" ht="41.25" customHeight="1" x14ac:dyDescent="0.25">
      <c r="A238" s="8" t="s">
        <v>51</v>
      </c>
      <c r="B238" s="2" t="s">
        <v>1611</v>
      </c>
      <c r="C238" s="2" t="s">
        <v>1612</v>
      </c>
      <c r="D238" s="2" t="s">
        <v>1613</v>
      </c>
      <c r="F238" s="3" t="s">
        <v>51</v>
      </c>
      <c r="G238" s="3" t="s">
        <v>50</v>
      </c>
      <c r="H238" s="3" t="s">
        <v>49</v>
      </c>
      <c r="I238" s="3" t="s">
        <v>51</v>
      </c>
      <c r="J238" s="3" t="s">
        <v>52</v>
      </c>
      <c r="L238" s="2" t="s">
        <v>1614</v>
      </c>
      <c r="M238" s="3" t="s">
        <v>313</v>
      </c>
      <c r="O238" s="3" t="s">
        <v>56</v>
      </c>
      <c r="P238" s="3" t="s">
        <v>538</v>
      </c>
      <c r="Q238" s="2" t="s">
        <v>1615</v>
      </c>
      <c r="R238" s="3" t="s">
        <v>59</v>
      </c>
      <c r="S238" s="4">
        <v>22</v>
      </c>
      <c r="T238" s="4">
        <v>63</v>
      </c>
      <c r="U238" s="5" t="s">
        <v>1616</v>
      </c>
      <c r="V238" s="5" t="s">
        <v>1617</v>
      </c>
      <c r="W238" s="5" t="s">
        <v>1584</v>
      </c>
      <c r="X238" s="5" t="s">
        <v>1584</v>
      </c>
      <c r="Y238" s="4">
        <v>42</v>
      </c>
      <c r="Z238" s="4">
        <v>34</v>
      </c>
      <c r="AA238" s="4">
        <v>168</v>
      </c>
      <c r="AB238" s="4">
        <v>2</v>
      </c>
      <c r="AC238" s="4">
        <v>3</v>
      </c>
      <c r="AD238" s="4">
        <v>1</v>
      </c>
      <c r="AE238" s="4">
        <v>10</v>
      </c>
      <c r="AF238" s="4">
        <v>0</v>
      </c>
      <c r="AG238" s="4">
        <v>3</v>
      </c>
      <c r="AH238" s="4">
        <v>0</v>
      </c>
      <c r="AI238" s="4">
        <v>2</v>
      </c>
      <c r="AJ238" s="4">
        <v>1</v>
      </c>
      <c r="AK238" s="4">
        <v>6</v>
      </c>
      <c r="AL238" s="4">
        <v>0</v>
      </c>
      <c r="AM238" s="4">
        <v>1</v>
      </c>
      <c r="AN238" s="4">
        <v>0</v>
      </c>
      <c r="AO238" s="4">
        <v>0</v>
      </c>
      <c r="AP238" s="3" t="s">
        <v>51</v>
      </c>
      <c r="AQ238" s="3" t="s">
        <v>51</v>
      </c>
      <c r="AS238" s="6" t="str">
        <f>HYPERLINK("https://creighton-primo.hosted.exlibrisgroup.com/primo-explore/search?tab=default_tab&amp;search_scope=EVERYTHING&amp;vid=01CRU&amp;lang=en_US&amp;offset=0&amp;query=any,contains,991001760489702656","Catalog Record")</f>
        <v>Catalog Record</v>
      </c>
      <c r="AT238" s="6" t="str">
        <f>HYPERLINK("http://www.worldcat.org/oclc/1365644","WorldCat Record")</f>
        <v>WorldCat Record</v>
      </c>
    </row>
    <row r="239" spans="1:46" ht="41.25" customHeight="1" x14ac:dyDescent="0.25">
      <c r="A239" s="8" t="s">
        <v>51</v>
      </c>
      <c r="B239" s="2" t="s">
        <v>1618</v>
      </c>
      <c r="C239" s="2" t="s">
        <v>1619</v>
      </c>
      <c r="D239" s="2" t="s">
        <v>1620</v>
      </c>
      <c r="F239" s="3" t="s">
        <v>51</v>
      </c>
      <c r="G239" s="3" t="s">
        <v>50</v>
      </c>
      <c r="H239" s="3" t="s">
        <v>49</v>
      </c>
      <c r="I239" s="3" t="s">
        <v>51</v>
      </c>
      <c r="J239" s="3" t="s">
        <v>52</v>
      </c>
      <c r="L239" s="2" t="s">
        <v>1621</v>
      </c>
      <c r="M239" s="3" t="s">
        <v>129</v>
      </c>
      <c r="O239" s="3" t="s">
        <v>56</v>
      </c>
      <c r="P239" s="3" t="s">
        <v>87</v>
      </c>
      <c r="Q239" s="2" t="s">
        <v>1622</v>
      </c>
      <c r="R239" s="3" t="s">
        <v>59</v>
      </c>
      <c r="S239" s="4">
        <v>11</v>
      </c>
      <c r="T239" s="4">
        <v>11</v>
      </c>
      <c r="U239" s="5" t="s">
        <v>1623</v>
      </c>
      <c r="V239" s="5" t="s">
        <v>1623</v>
      </c>
      <c r="W239" s="5" t="s">
        <v>1624</v>
      </c>
      <c r="X239" s="5" t="s">
        <v>1624</v>
      </c>
      <c r="Y239" s="4">
        <v>472</v>
      </c>
      <c r="Z239" s="4">
        <v>372</v>
      </c>
      <c r="AA239" s="4">
        <v>379</v>
      </c>
      <c r="AB239" s="4">
        <v>4</v>
      </c>
      <c r="AC239" s="4">
        <v>4</v>
      </c>
      <c r="AD239" s="4">
        <v>18</v>
      </c>
      <c r="AE239" s="4">
        <v>18</v>
      </c>
      <c r="AF239" s="4">
        <v>7</v>
      </c>
      <c r="AG239" s="4">
        <v>7</v>
      </c>
      <c r="AH239" s="4">
        <v>6</v>
      </c>
      <c r="AI239" s="4">
        <v>6</v>
      </c>
      <c r="AJ239" s="4">
        <v>9</v>
      </c>
      <c r="AK239" s="4">
        <v>9</v>
      </c>
      <c r="AL239" s="4">
        <v>2</v>
      </c>
      <c r="AM239" s="4">
        <v>2</v>
      </c>
      <c r="AN239" s="4">
        <v>0</v>
      </c>
      <c r="AO239" s="4">
        <v>0</v>
      </c>
      <c r="AP239" s="3" t="s">
        <v>51</v>
      </c>
      <c r="AQ239" s="3" t="s">
        <v>49</v>
      </c>
      <c r="AR239" s="6" t="str">
        <f>HYPERLINK("http://catalog.hathitrust.org/Record/000569755","HathiTrust Record")</f>
        <v>HathiTrust Record</v>
      </c>
      <c r="AS239" s="6" t="str">
        <f>HYPERLINK("https://creighton-primo.hosted.exlibrisgroup.com/primo-explore/search?tab=default_tab&amp;search_scope=EVERYTHING&amp;vid=01CRU&amp;lang=en_US&amp;offset=0&amp;query=any,contains,991000530969702656","Catalog Record")</f>
        <v>Catalog Record</v>
      </c>
      <c r="AT239" s="6" t="str">
        <f>HYPERLINK("http://www.worldcat.org/oclc/11398870","WorldCat Record")</f>
        <v>WorldCat Record</v>
      </c>
    </row>
    <row r="240" spans="1:46" ht="41.25" customHeight="1" x14ac:dyDescent="0.25">
      <c r="A240" s="8" t="s">
        <v>51</v>
      </c>
      <c r="B240" s="2" t="s">
        <v>1625</v>
      </c>
      <c r="C240" s="2" t="s">
        <v>1626</v>
      </c>
      <c r="D240" s="2" t="s">
        <v>1627</v>
      </c>
      <c r="F240" s="3" t="s">
        <v>51</v>
      </c>
      <c r="G240" s="3" t="s">
        <v>50</v>
      </c>
      <c r="H240" s="3" t="s">
        <v>51</v>
      </c>
      <c r="I240" s="3" t="s">
        <v>51</v>
      </c>
      <c r="J240" s="3" t="s">
        <v>52</v>
      </c>
      <c r="L240" s="2" t="s">
        <v>1628</v>
      </c>
      <c r="M240" s="3" t="s">
        <v>103</v>
      </c>
      <c r="N240" s="2" t="s">
        <v>245</v>
      </c>
      <c r="O240" s="3" t="s">
        <v>56</v>
      </c>
      <c r="P240" s="3" t="s">
        <v>538</v>
      </c>
      <c r="Q240" s="2" t="s">
        <v>1629</v>
      </c>
      <c r="R240" s="3" t="s">
        <v>59</v>
      </c>
      <c r="S240" s="4">
        <v>5</v>
      </c>
      <c r="T240" s="4">
        <v>5</v>
      </c>
      <c r="U240" s="5" t="s">
        <v>1630</v>
      </c>
      <c r="V240" s="5" t="s">
        <v>1630</v>
      </c>
      <c r="W240" s="5" t="s">
        <v>1447</v>
      </c>
      <c r="X240" s="5" t="s">
        <v>1447</v>
      </c>
      <c r="Y240" s="4">
        <v>343</v>
      </c>
      <c r="Z240" s="4">
        <v>280</v>
      </c>
      <c r="AA240" s="4">
        <v>284</v>
      </c>
      <c r="AB240" s="4">
        <v>2</v>
      </c>
      <c r="AC240" s="4">
        <v>2</v>
      </c>
      <c r="AD240" s="4">
        <v>8</v>
      </c>
      <c r="AE240" s="4">
        <v>8</v>
      </c>
      <c r="AF240" s="4">
        <v>3</v>
      </c>
      <c r="AG240" s="4">
        <v>3</v>
      </c>
      <c r="AH240" s="4">
        <v>2</v>
      </c>
      <c r="AI240" s="4">
        <v>2</v>
      </c>
      <c r="AJ240" s="4">
        <v>5</v>
      </c>
      <c r="AK240" s="4">
        <v>5</v>
      </c>
      <c r="AL240" s="4">
        <v>0</v>
      </c>
      <c r="AM240" s="4">
        <v>0</v>
      </c>
      <c r="AN240" s="4">
        <v>0</v>
      </c>
      <c r="AO240" s="4">
        <v>0</v>
      </c>
      <c r="AP240" s="3" t="s">
        <v>51</v>
      </c>
      <c r="AQ240" s="3" t="s">
        <v>49</v>
      </c>
      <c r="AR240" s="6" t="str">
        <f>HYPERLINK("http://catalog.hathitrust.org/Record/000783107","HathiTrust Record")</f>
        <v>HathiTrust Record</v>
      </c>
      <c r="AS240" s="6" t="str">
        <f>HYPERLINK("https://creighton-primo.hosted.exlibrisgroup.com/primo-explore/search?tab=default_tab&amp;search_scope=EVERYTHING&amp;vid=01CRU&amp;lang=en_US&amp;offset=0&amp;query=any,contains,991000342559702656","Catalog Record")</f>
        <v>Catalog Record</v>
      </c>
      <c r="AT240" s="6" t="str">
        <f>HYPERLINK("http://www.worldcat.org/oclc/10274927","WorldCat Record")</f>
        <v>WorldCat Record</v>
      </c>
    </row>
    <row r="241" spans="1:46" ht="41.25" customHeight="1" x14ac:dyDescent="0.25">
      <c r="A241" s="8" t="s">
        <v>51</v>
      </c>
      <c r="B241" s="2" t="s">
        <v>1631</v>
      </c>
      <c r="C241" s="2" t="s">
        <v>1632</v>
      </c>
      <c r="D241" s="2" t="s">
        <v>1633</v>
      </c>
      <c r="E241" s="3" t="s">
        <v>148</v>
      </c>
      <c r="F241" s="3" t="s">
        <v>49</v>
      </c>
      <c r="G241" s="3" t="s">
        <v>50</v>
      </c>
      <c r="H241" s="3" t="s">
        <v>51</v>
      </c>
      <c r="I241" s="3" t="s">
        <v>51</v>
      </c>
      <c r="J241" s="3" t="s">
        <v>52</v>
      </c>
      <c r="K241" s="2" t="s">
        <v>1634</v>
      </c>
      <c r="L241" s="2" t="s">
        <v>1635</v>
      </c>
      <c r="M241" s="3" t="s">
        <v>211</v>
      </c>
      <c r="O241" s="3" t="s">
        <v>56</v>
      </c>
      <c r="P241" s="3" t="s">
        <v>113</v>
      </c>
      <c r="R241" s="3" t="s">
        <v>59</v>
      </c>
      <c r="S241" s="4">
        <v>2</v>
      </c>
      <c r="T241" s="4">
        <v>2</v>
      </c>
      <c r="U241" s="5" t="s">
        <v>1545</v>
      </c>
      <c r="V241" s="5" t="s">
        <v>1545</v>
      </c>
      <c r="W241" s="5" t="s">
        <v>1636</v>
      </c>
      <c r="X241" s="5" t="s">
        <v>485</v>
      </c>
      <c r="Y241" s="4">
        <v>240</v>
      </c>
      <c r="Z241" s="4">
        <v>158</v>
      </c>
      <c r="AA241" s="4">
        <v>158</v>
      </c>
      <c r="AB241" s="4">
        <v>2</v>
      </c>
      <c r="AC241" s="4">
        <v>2</v>
      </c>
      <c r="AD241" s="4">
        <v>2</v>
      </c>
      <c r="AE241" s="4">
        <v>2</v>
      </c>
      <c r="AF241" s="4">
        <v>0</v>
      </c>
      <c r="AG241" s="4">
        <v>0</v>
      </c>
      <c r="AH241" s="4">
        <v>0</v>
      </c>
      <c r="AI241" s="4">
        <v>0</v>
      </c>
      <c r="AJ241" s="4">
        <v>1</v>
      </c>
      <c r="AK241" s="4">
        <v>1</v>
      </c>
      <c r="AL241" s="4">
        <v>1</v>
      </c>
      <c r="AM241" s="4">
        <v>1</v>
      </c>
      <c r="AN241" s="4">
        <v>0</v>
      </c>
      <c r="AO241" s="4">
        <v>0</v>
      </c>
      <c r="AP241" s="3" t="s">
        <v>51</v>
      </c>
      <c r="AQ241" s="3" t="s">
        <v>51</v>
      </c>
      <c r="AS241" s="6" t="str">
        <f>HYPERLINK("https://creighton-primo.hosted.exlibrisgroup.com/primo-explore/search?tab=default_tab&amp;search_scope=EVERYTHING&amp;vid=01CRU&amp;lang=en_US&amp;offset=0&amp;query=any,contains,991004878459702656","Catalog Record")</f>
        <v>Catalog Record</v>
      </c>
      <c r="AT241" s="6" t="str">
        <f>HYPERLINK("http://www.worldcat.org/oclc/5800187","WorldCat Record")</f>
        <v>WorldCat Record</v>
      </c>
    </row>
    <row r="242" spans="1:46" ht="41.25" customHeight="1" x14ac:dyDescent="0.25">
      <c r="A242" s="8" t="s">
        <v>51</v>
      </c>
      <c r="B242" s="2" t="s">
        <v>1631</v>
      </c>
      <c r="C242" s="2" t="s">
        <v>1632</v>
      </c>
      <c r="D242" s="2" t="s">
        <v>1633</v>
      </c>
      <c r="E242" s="3" t="s">
        <v>144</v>
      </c>
      <c r="F242" s="3" t="s">
        <v>49</v>
      </c>
      <c r="G242" s="3" t="s">
        <v>50</v>
      </c>
      <c r="H242" s="3" t="s">
        <v>51</v>
      </c>
      <c r="I242" s="3" t="s">
        <v>51</v>
      </c>
      <c r="J242" s="3" t="s">
        <v>52</v>
      </c>
      <c r="K242" s="2" t="s">
        <v>1634</v>
      </c>
      <c r="L242" s="2" t="s">
        <v>1635</v>
      </c>
      <c r="M242" s="3" t="s">
        <v>211</v>
      </c>
      <c r="O242" s="3" t="s">
        <v>56</v>
      </c>
      <c r="P242" s="3" t="s">
        <v>113</v>
      </c>
      <c r="R242" s="3" t="s">
        <v>59</v>
      </c>
      <c r="S242" s="4">
        <v>0</v>
      </c>
      <c r="T242" s="4">
        <v>2</v>
      </c>
      <c r="V242" s="5" t="s">
        <v>1545</v>
      </c>
      <c r="W242" s="5" t="s">
        <v>485</v>
      </c>
      <c r="X242" s="5" t="s">
        <v>485</v>
      </c>
      <c r="Y242" s="4">
        <v>240</v>
      </c>
      <c r="Z242" s="4">
        <v>158</v>
      </c>
      <c r="AA242" s="4">
        <v>158</v>
      </c>
      <c r="AB242" s="4">
        <v>2</v>
      </c>
      <c r="AC242" s="4">
        <v>2</v>
      </c>
      <c r="AD242" s="4">
        <v>2</v>
      </c>
      <c r="AE242" s="4">
        <v>2</v>
      </c>
      <c r="AF242" s="4">
        <v>0</v>
      </c>
      <c r="AG242" s="4">
        <v>0</v>
      </c>
      <c r="AH242" s="4">
        <v>0</v>
      </c>
      <c r="AI242" s="4">
        <v>0</v>
      </c>
      <c r="AJ242" s="4">
        <v>1</v>
      </c>
      <c r="AK242" s="4">
        <v>1</v>
      </c>
      <c r="AL242" s="4">
        <v>1</v>
      </c>
      <c r="AM242" s="4">
        <v>1</v>
      </c>
      <c r="AN242" s="4">
        <v>0</v>
      </c>
      <c r="AO242" s="4">
        <v>0</v>
      </c>
      <c r="AP242" s="3" t="s">
        <v>51</v>
      </c>
      <c r="AQ242" s="3" t="s">
        <v>51</v>
      </c>
      <c r="AS242" s="6" t="str">
        <f>HYPERLINK("https://creighton-primo.hosted.exlibrisgroup.com/primo-explore/search?tab=default_tab&amp;search_scope=EVERYTHING&amp;vid=01CRU&amp;lang=en_US&amp;offset=0&amp;query=any,contains,991004878459702656","Catalog Record")</f>
        <v>Catalog Record</v>
      </c>
      <c r="AT242" s="6" t="str">
        <f>HYPERLINK("http://www.worldcat.org/oclc/5800187","WorldCat Record")</f>
        <v>WorldCat Record</v>
      </c>
    </row>
    <row r="243" spans="1:46" ht="41.25" customHeight="1" x14ac:dyDescent="0.25">
      <c r="A243" s="8" t="s">
        <v>51</v>
      </c>
      <c r="B243" s="2" t="s">
        <v>1637</v>
      </c>
      <c r="C243" s="2" t="s">
        <v>1638</v>
      </c>
      <c r="D243" s="2" t="s">
        <v>1639</v>
      </c>
      <c r="F243" s="3" t="s">
        <v>51</v>
      </c>
      <c r="G243" s="3" t="s">
        <v>50</v>
      </c>
      <c r="H243" s="3" t="s">
        <v>51</v>
      </c>
      <c r="I243" s="3" t="s">
        <v>51</v>
      </c>
      <c r="J243" s="3" t="s">
        <v>52</v>
      </c>
      <c r="L243" s="2" t="s">
        <v>1640</v>
      </c>
      <c r="M243" s="3" t="s">
        <v>154</v>
      </c>
      <c r="O243" s="3" t="s">
        <v>56</v>
      </c>
      <c r="P243" s="3" t="s">
        <v>87</v>
      </c>
      <c r="R243" s="3" t="s">
        <v>59</v>
      </c>
      <c r="S243" s="4">
        <v>10</v>
      </c>
      <c r="T243" s="4">
        <v>10</v>
      </c>
      <c r="U243" s="5" t="s">
        <v>1597</v>
      </c>
      <c r="V243" s="5" t="s">
        <v>1597</v>
      </c>
      <c r="W243" s="5" t="s">
        <v>1641</v>
      </c>
      <c r="X243" s="5" t="s">
        <v>1641</v>
      </c>
      <c r="Y243" s="4">
        <v>268</v>
      </c>
      <c r="Z243" s="4">
        <v>188</v>
      </c>
      <c r="AA243" s="4">
        <v>190</v>
      </c>
      <c r="AB243" s="4">
        <v>1</v>
      </c>
      <c r="AC243" s="4">
        <v>1</v>
      </c>
      <c r="AD243" s="4">
        <v>7</v>
      </c>
      <c r="AE243" s="4">
        <v>7</v>
      </c>
      <c r="AF243" s="4">
        <v>3</v>
      </c>
      <c r="AG243" s="4">
        <v>3</v>
      </c>
      <c r="AH243" s="4">
        <v>2</v>
      </c>
      <c r="AI243" s="4">
        <v>2</v>
      </c>
      <c r="AJ243" s="4">
        <v>5</v>
      </c>
      <c r="AK243" s="4">
        <v>5</v>
      </c>
      <c r="AL243" s="4">
        <v>0</v>
      </c>
      <c r="AM243" s="4">
        <v>0</v>
      </c>
      <c r="AN243" s="4">
        <v>0</v>
      </c>
      <c r="AO243" s="4">
        <v>0</v>
      </c>
      <c r="AP243" s="3" t="s">
        <v>51</v>
      </c>
      <c r="AQ243" s="3" t="s">
        <v>49</v>
      </c>
      <c r="AR243" s="6" t="str">
        <f>HYPERLINK("http://catalog.hathitrust.org/Record/000192685","HathiTrust Record")</f>
        <v>HathiTrust Record</v>
      </c>
      <c r="AS243" s="6" t="str">
        <f>HYPERLINK("https://creighton-primo.hosted.exlibrisgroup.com/primo-explore/search?tab=default_tab&amp;search_scope=EVERYTHING&amp;vid=01CRU&amp;lang=en_US&amp;offset=0&amp;query=any,contains,991005241819702656","Catalog Record")</f>
        <v>Catalog Record</v>
      </c>
      <c r="AT243" s="6" t="str">
        <f>HYPERLINK("http://www.worldcat.org/oclc/8430047","WorldCat Record")</f>
        <v>WorldCat Record</v>
      </c>
    </row>
    <row r="244" spans="1:46" ht="41.25" customHeight="1" x14ac:dyDescent="0.25">
      <c r="A244" s="8" t="s">
        <v>51</v>
      </c>
      <c r="B244" s="2" t="s">
        <v>1642</v>
      </c>
      <c r="C244" s="2" t="s">
        <v>1643</v>
      </c>
      <c r="D244" s="2" t="s">
        <v>1644</v>
      </c>
      <c r="F244" s="3" t="s">
        <v>51</v>
      </c>
      <c r="G244" s="3" t="s">
        <v>50</v>
      </c>
      <c r="H244" s="3" t="s">
        <v>49</v>
      </c>
      <c r="I244" s="3" t="s">
        <v>51</v>
      </c>
      <c r="J244" s="3" t="s">
        <v>52</v>
      </c>
      <c r="K244" s="2" t="s">
        <v>1645</v>
      </c>
      <c r="L244" s="2" t="s">
        <v>1646</v>
      </c>
      <c r="M244" s="3" t="s">
        <v>186</v>
      </c>
      <c r="O244" s="3" t="s">
        <v>56</v>
      </c>
      <c r="P244" s="3" t="s">
        <v>113</v>
      </c>
      <c r="R244" s="3" t="s">
        <v>59</v>
      </c>
      <c r="S244" s="4">
        <v>1</v>
      </c>
      <c r="T244" s="4">
        <v>1</v>
      </c>
      <c r="U244" s="5" t="s">
        <v>1647</v>
      </c>
      <c r="V244" s="5" t="s">
        <v>1647</v>
      </c>
      <c r="W244" s="5" t="s">
        <v>1557</v>
      </c>
      <c r="X244" s="5" t="s">
        <v>1557</v>
      </c>
      <c r="Y244" s="4">
        <v>100</v>
      </c>
      <c r="Z244" s="4">
        <v>55</v>
      </c>
      <c r="AA244" s="4">
        <v>113</v>
      </c>
      <c r="AB244" s="4">
        <v>2</v>
      </c>
      <c r="AC244" s="4">
        <v>2</v>
      </c>
      <c r="AD244" s="4">
        <v>0</v>
      </c>
      <c r="AE244" s="4">
        <v>1</v>
      </c>
      <c r="AF244" s="4">
        <v>0</v>
      </c>
      <c r="AG244" s="4">
        <v>0</v>
      </c>
      <c r="AH244" s="4">
        <v>0</v>
      </c>
      <c r="AI244" s="4">
        <v>0</v>
      </c>
      <c r="AJ244" s="4">
        <v>0</v>
      </c>
      <c r="AK244" s="4">
        <v>1</v>
      </c>
      <c r="AL244" s="4">
        <v>0</v>
      </c>
      <c r="AM244" s="4">
        <v>0</v>
      </c>
      <c r="AN244" s="4">
        <v>0</v>
      </c>
      <c r="AO244" s="4">
        <v>0</v>
      </c>
      <c r="AP244" s="3" t="s">
        <v>51</v>
      </c>
      <c r="AQ244" s="3" t="s">
        <v>51</v>
      </c>
      <c r="AS244" s="6" t="str">
        <f>HYPERLINK("https://creighton-primo.hosted.exlibrisgroup.com/primo-explore/search?tab=default_tab&amp;search_scope=EVERYTHING&amp;vid=01CRU&amp;lang=en_US&amp;offset=0&amp;query=any,contains,991005240059702656","Catalog Record")</f>
        <v>Catalog Record</v>
      </c>
      <c r="AT244" s="6" t="str">
        <f>HYPERLINK("http://www.worldcat.org/oclc/8410246","WorldCat Record")</f>
        <v>WorldCat Record</v>
      </c>
    </row>
    <row r="245" spans="1:46" ht="41.25" customHeight="1" x14ac:dyDescent="0.25">
      <c r="A245" s="8" t="s">
        <v>51</v>
      </c>
      <c r="B245" s="2" t="s">
        <v>1648</v>
      </c>
      <c r="C245" s="2" t="s">
        <v>1649</v>
      </c>
      <c r="D245" s="2" t="s">
        <v>1650</v>
      </c>
      <c r="F245" s="3" t="s">
        <v>51</v>
      </c>
      <c r="G245" s="3" t="s">
        <v>50</v>
      </c>
      <c r="H245" s="3" t="s">
        <v>51</v>
      </c>
      <c r="I245" s="3" t="s">
        <v>51</v>
      </c>
      <c r="J245" s="3" t="s">
        <v>52</v>
      </c>
      <c r="L245" s="2" t="s">
        <v>1651</v>
      </c>
      <c r="M245" s="3" t="s">
        <v>553</v>
      </c>
      <c r="O245" s="3" t="s">
        <v>56</v>
      </c>
      <c r="P245" s="3" t="s">
        <v>87</v>
      </c>
      <c r="R245" s="3" t="s">
        <v>59</v>
      </c>
      <c r="S245" s="4">
        <v>10</v>
      </c>
      <c r="T245" s="4">
        <v>10</v>
      </c>
      <c r="U245" s="5" t="s">
        <v>1652</v>
      </c>
      <c r="V245" s="5" t="s">
        <v>1652</v>
      </c>
      <c r="W245" s="5" t="s">
        <v>1653</v>
      </c>
      <c r="X245" s="5" t="s">
        <v>1653</v>
      </c>
      <c r="Y245" s="4">
        <v>176</v>
      </c>
      <c r="Z245" s="4">
        <v>133</v>
      </c>
      <c r="AA245" s="4">
        <v>155</v>
      </c>
      <c r="AB245" s="4">
        <v>2</v>
      </c>
      <c r="AC245" s="4">
        <v>2</v>
      </c>
      <c r="AD245" s="4">
        <v>7</v>
      </c>
      <c r="AE245" s="4">
        <v>9</v>
      </c>
      <c r="AF245" s="4">
        <v>1</v>
      </c>
      <c r="AG245" s="4">
        <v>3</v>
      </c>
      <c r="AH245" s="4">
        <v>2</v>
      </c>
      <c r="AI245" s="4">
        <v>2</v>
      </c>
      <c r="AJ245" s="4">
        <v>5</v>
      </c>
      <c r="AK245" s="4">
        <v>6</v>
      </c>
      <c r="AL245" s="4">
        <v>1</v>
      </c>
      <c r="AM245" s="4">
        <v>1</v>
      </c>
      <c r="AN245" s="4">
        <v>0</v>
      </c>
      <c r="AO245" s="4">
        <v>0</v>
      </c>
      <c r="AP245" s="3" t="s">
        <v>51</v>
      </c>
      <c r="AQ245" s="3" t="s">
        <v>51</v>
      </c>
      <c r="AS245" s="6" t="str">
        <f>HYPERLINK("https://creighton-primo.hosted.exlibrisgroup.com/primo-explore/search?tab=default_tab&amp;search_scope=EVERYTHING&amp;vid=01CRU&amp;lang=en_US&amp;offset=0&amp;query=any,contains,991001422419702656","Catalog Record")</f>
        <v>Catalog Record</v>
      </c>
      <c r="AT245" s="6" t="str">
        <f>HYPERLINK("http://www.worldcat.org/oclc/18983585","WorldCat Record")</f>
        <v>WorldCat Record</v>
      </c>
    </row>
    <row r="246" spans="1:46" ht="41.25" customHeight="1" x14ac:dyDescent="0.25">
      <c r="A246" s="8" t="s">
        <v>51</v>
      </c>
      <c r="B246" s="2" t="s">
        <v>1654</v>
      </c>
      <c r="C246" s="2" t="s">
        <v>1655</v>
      </c>
      <c r="D246" s="2" t="s">
        <v>1656</v>
      </c>
      <c r="F246" s="3" t="s">
        <v>51</v>
      </c>
      <c r="G246" s="3" t="s">
        <v>50</v>
      </c>
      <c r="H246" s="3" t="s">
        <v>51</v>
      </c>
      <c r="I246" s="3" t="s">
        <v>49</v>
      </c>
      <c r="J246" s="3" t="s">
        <v>52</v>
      </c>
      <c r="K246" s="2" t="s">
        <v>1657</v>
      </c>
      <c r="L246" s="2" t="s">
        <v>1658</v>
      </c>
      <c r="M246" s="3" t="s">
        <v>1659</v>
      </c>
      <c r="O246" s="3" t="s">
        <v>56</v>
      </c>
      <c r="P246" s="3" t="s">
        <v>113</v>
      </c>
      <c r="R246" s="3" t="s">
        <v>59</v>
      </c>
      <c r="S246" s="4">
        <v>2</v>
      </c>
      <c r="T246" s="4">
        <v>2</v>
      </c>
      <c r="U246" s="5" t="s">
        <v>1660</v>
      </c>
      <c r="V246" s="5" t="s">
        <v>1660</v>
      </c>
      <c r="W246" s="5" t="s">
        <v>239</v>
      </c>
      <c r="X246" s="5" t="s">
        <v>239</v>
      </c>
      <c r="Y246" s="4">
        <v>118</v>
      </c>
      <c r="Z246" s="4">
        <v>76</v>
      </c>
      <c r="AA246" s="4">
        <v>100</v>
      </c>
      <c r="AB246" s="4">
        <v>3</v>
      </c>
      <c r="AC246" s="4">
        <v>3</v>
      </c>
      <c r="AD246" s="4">
        <v>3</v>
      </c>
      <c r="AE246" s="4">
        <v>5</v>
      </c>
      <c r="AF246" s="4">
        <v>0</v>
      </c>
      <c r="AG246" s="4">
        <v>0</v>
      </c>
      <c r="AH246" s="4">
        <v>0</v>
      </c>
      <c r="AI246" s="4">
        <v>0</v>
      </c>
      <c r="AJ246" s="4">
        <v>2</v>
      </c>
      <c r="AK246" s="4">
        <v>4</v>
      </c>
      <c r="AL246" s="4">
        <v>1</v>
      </c>
      <c r="AM246" s="4">
        <v>1</v>
      </c>
      <c r="AN246" s="4">
        <v>0</v>
      </c>
      <c r="AO246" s="4">
        <v>0</v>
      </c>
      <c r="AP246" s="3" t="s">
        <v>51</v>
      </c>
      <c r="AQ246" s="3" t="s">
        <v>51</v>
      </c>
      <c r="AS246" s="6" t="str">
        <f>HYPERLINK("https://creighton-primo.hosted.exlibrisgroup.com/primo-explore/search?tab=default_tab&amp;search_scope=EVERYTHING&amp;vid=01CRU&amp;lang=en_US&amp;offset=0&amp;query=any,contains,991005266229702656","Catalog Record")</f>
        <v>Catalog Record</v>
      </c>
      <c r="AT246" s="6" t="str">
        <f>HYPERLINK("http://www.worldcat.org/oclc/39699791","WorldCat Record")</f>
        <v>WorldCat Record</v>
      </c>
    </row>
    <row r="247" spans="1:46" ht="41.25" customHeight="1" x14ac:dyDescent="0.25">
      <c r="A247" s="8" t="s">
        <v>51</v>
      </c>
      <c r="B247" s="2" t="s">
        <v>1661</v>
      </c>
      <c r="C247" s="2" t="s">
        <v>1662</v>
      </c>
      <c r="D247" s="2" t="s">
        <v>1663</v>
      </c>
      <c r="F247" s="3" t="s">
        <v>51</v>
      </c>
      <c r="G247" s="3" t="s">
        <v>50</v>
      </c>
      <c r="H247" s="3" t="s">
        <v>49</v>
      </c>
      <c r="I247" s="3" t="s">
        <v>51</v>
      </c>
      <c r="J247" s="3" t="s">
        <v>52</v>
      </c>
      <c r="K247" s="2" t="s">
        <v>1664</v>
      </c>
      <c r="L247" s="2" t="s">
        <v>1665</v>
      </c>
      <c r="M247" s="3" t="s">
        <v>146</v>
      </c>
      <c r="O247" s="3" t="s">
        <v>56</v>
      </c>
      <c r="P247" s="3" t="s">
        <v>87</v>
      </c>
      <c r="R247" s="3" t="s">
        <v>59</v>
      </c>
      <c r="S247" s="4">
        <v>12</v>
      </c>
      <c r="T247" s="4">
        <v>12</v>
      </c>
      <c r="U247" s="5" t="s">
        <v>1666</v>
      </c>
      <c r="V247" s="5" t="s">
        <v>1666</v>
      </c>
      <c r="W247" s="5" t="s">
        <v>1667</v>
      </c>
      <c r="X247" s="5" t="s">
        <v>1667</v>
      </c>
      <c r="Y247" s="4">
        <v>370</v>
      </c>
      <c r="Z247" s="4">
        <v>285</v>
      </c>
      <c r="AA247" s="4">
        <v>290</v>
      </c>
      <c r="AB247" s="4">
        <v>3</v>
      </c>
      <c r="AC247" s="4">
        <v>3</v>
      </c>
      <c r="AD247" s="4">
        <v>15</v>
      </c>
      <c r="AE247" s="4">
        <v>15</v>
      </c>
      <c r="AF247" s="4">
        <v>4</v>
      </c>
      <c r="AG247" s="4">
        <v>4</v>
      </c>
      <c r="AH247" s="4">
        <v>4</v>
      </c>
      <c r="AI247" s="4">
        <v>4</v>
      </c>
      <c r="AJ247" s="4">
        <v>11</v>
      </c>
      <c r="AK247" s="4">
        <v>11</v>
      </c>
      <c r="AL247" s="4">
        <v>1</v>
      </c>
      <c r="AM247" s="4">
        <v>1</v>
      </c>
      <c r="AN247" s="4">
        <v>0</v>
      </c>
      <c r="AO247" s="4">
        <v>0</v>
      </c>
      <c r="AP247" s="3" t="s">
        <v>51</v>
      </c>
      <c r="AQ247" s="3" t="s">
        <v>49</v>
      </c>
      <c r="AR247" s="6" t="str">
        <f>HYPERLINK("http://catalog.hathitrust.org/Record/000853311","HathiTrust Record")</f>
        <v>HathiTrust Record</v>
      </c>
      <c r="AS247" s="6" t="str">
        <f>HYPERLINK("https://creighton-primo.hosted.exlibrisgroup.com/primo-explore/search?tab=default_tab&amp;search_scope=EVERYTHING&amp;vid=01CRU&amp;lang=en_US&amp;offset=0&amp;query=any,contains,991001083429702656","Catalog Record")</f>
        <v>Catalog Record</v>
      </c>
      <c r="AT247" s="6" t="str">
        <f>HYPERLINK("http://www.worldcat.org/oclc/16091704","WorldCat Record")</f>
        <v>WorldCat Record</v>
      </c>
    </row>
    <row r="248" spans="1:46" ht="41.25" customHeight="1" x14ac:dyDescent="0.25">
      <c r="A248" s="8" t="s">
        <v>51</v>
      </c>
      <c r="B248" s="2" t="s">
        <v>1668</v>
      </c>
      <c r="C248" s="2" t="s">
        <v>1669</v>
      </c>
      <c r="D248" s="2" t="s">
        <v>1670</v>
      </c>
      <c r="F248" s="3" t="s">
        <v>51</v>
      </c>
      <c r="G248" s="3" t="s">
        <v>50</v>
      </c>
      <c r="H248" s="3" t="s">
        <v>49</v>
      </c>
      <c r="I248" s="3" t="s">
        <v>51</v>
      </c>
      <c r="J248" s="3" t="s">
        <v>52</v>
      </c>
      <c r="K248" s="2" t="s">
        <v>1671</v>
      </c>
      <c r="L248" s="2" t="s">
        <v>1672</v>
      </c>
      <c r="M248" s="3" t="s">
        <v>586</v>
      </c>
      <c r="N248" s="2" t="s">
        <v>245</v>
      </c>
      <c r="O248" s="3" t="s">
        <v>56</v>
      </c>
      <c r="P248" s="3" t="s">
        <v>87</v>
      </c>
      <c r="R248" s="3" t="s">
        <v>59</v>
      </c>
      <c r="S248" s="4">
        <v>35</v>
      </c>
      <c r="T248" s="4">
        <v>68</v>
      </c>
      <c r="U248" s="5" t="s">
        <v>1673</v>
      </c>
      <c r="V248" s="5" t="s">
        <v>1673</v>
      </c>
      <c r="W248" s="5" t="s">
        <v>1674</v>
      </c>
      <c r="X248" s="5" t="s">
        <v>1674</v>
      </c>
      <c r="Y248" s="4">
        <v>2699</v>
      </c>
      <c r="Z248" s="4">
        <v>2550</v>
      </c>
      <c r="AA248" s="4">
        <v>2702</v>
      </c>
      <c r="AB248" s="4">
        <v>28</v>
      </c>
      <c r="AC248" s="4">
        <v>28</v>
      </c>
      <c r="AD248" s="4">
        <v>36</v>
      </c>
      <c r="AE248" s="4">
        <v>38</v>
      </c>
      <c r="AF248" s="4">
        <v>17</v>
      </c>
      <c r="AG248" s="4">
        <v>18</v>
      </c>
      <c r="AH248" s="4">
        <v>5</v>
      </c>
      <c r="AI248" s="4">
        <v>5</v>
      </c>
      <c r="AJ248" s="4">
        <v>16</v>
      </c>
      <c r="AK248" s="4">
        <v>17</v>
      </c>
      <c r="AL248" s="4">
        <v>5</v>
      </c>
      <c r="AM248" s="4">
        <v>5</v>
      </c>
      <c r="AN248" s="4">
        <v>0</v>
      </c>
      <c r="AO248" s="4">
        <v>0</v>
      </c>
      <c r="AP248" s="3" t="s">
        <v>51</v>
      </c>
      <c r="AQ248" s="3" t="s">
        <v>49</v>
      </c>
      <c r="AR248" s="6" t="str">
        <f>HYPERLINK("http://catalog.hathitrust.org/Record/002640652","HathiTrust Record")</f>
        <v>HathiTrust Record</v>
      </c>
      <c r="AS248" s="6" t="str">
        <f>HYPERLINK("https://creighton-primo.hosted.exlibrisgroup.com/primo-explore/search?tab=default_tab&amp;search_scope=EVERYTHING&amp;vid=01CRU&amp;lang=en_US&amp;offset=0&amp;query=any,contains,991001799729702656","Catalog Record")</f>
        <v>Catalog Record</v>
      </c>
      <c r="AT248" s="6" t="str">
        <f>HYPERLINK("http://www.worldcat.org/oclc/26590817","WorldCat Record")</f>
        <v>WorldCat Record</v>
      </c>
    </row>
    <row r="249" spans="1:46" ht="41.25" customHeight="1" x14ac:dyDescent="0.25">
      <c r="A249" s="8" t="s">
        <v>51</v>
      </c>
      <c r="B249" s="2" t="s">
        <v>1675</v>
      </c>
      <c r="C249" s="2" t="s">
        <v>1676</v>
      </c>
      <c r="D249" s="2" t="s">
        <v>1677</v>
      </c>
      <c r="F249" s="3" t="s">
        <v>51</v>
      </c>
      <c r="G249" s="3" t="s">
        <v>50</v>
      </c>
      <c r="H249" s="3" t="s">
        <v>51</v>
      </c>
      <c r="I249" s="3" t="s">
        <v>51</v>
      </c>
      <c r="J249" s="3" t="s">
        <v>52</v>
      </c>
      <c r="K249" s="2" t="s">
        <v>1678</v>
      </c>
      <c r="L249" s="2" t="s">
        <v>1679</v>
      </c>
      <c r="M249" s="3" t="s">
        <v>86</v>
      </c>
      <c r="O249" s="3" t="s">
        <v>56</v>
      </c>
      <c r="P249" s="3" t="s">
        <v>1680</v>
      </c>
      <c r="R249" s="3" t="s">
        <v>59</v>
      </c>
      <c r="S249" s="4">
        <v>10</v>
      </c>
      <c r="T249" s="4">
        <v>10</v>
      </c>
      <c r="U249" s="5" t="s">
        <v>1597</v>
      </c>
      <c r="V249" s="5" t="s">
        <v>1597</v>
      </c>
      <c r="W249" s="5" t="s">
        <v>1681</v>
      </c>
      <c r="X249" s="5" t="s">
        <v>1681</v>
      </c>
      <c r="Y249" s="4">
        <v>134</v>
      </c>
      <c r="Z249" s="4">
        <v>83</v>
      </c>
      <c r="AA249" s="4">
        <v>84</v>
      </c>
      <c r="AB249" s="4">
        <v>2</v>
      </c>
      <c r="AC249" s="4">
        <v>2</v>
      </c>
      <c r="AD249" s="4">
        <v>6</v>
      </c>
      <c r="AE249" s="4">
        <v>6</v>
      </c>
      <c r="AF249" s="4">
        <v>1</v>
      </c>
      <c r="AG249" s="4">
        <v>1</v>
      </c>
      <c r="AH249" s="4">
        <v>1</v>
      </c>
      <c r="AI249" s="4">
        <v>1</v>
      </c>
      <c r="AJ249" s="4">
        <v>5</v>
      </c>
      <c r="AK249" s="4">
        <v>5</v>
      </c>
      <c r="AL249" s="4">
        <v>1</v>
      </c>
      <c r="AM249" s="4">
        <v>1</v>
      </c>
      <c r="AN249" s="4">
        <v>0</v>
      </c>
      <c r="AO249" s="4">
        <v>0</v>
      </c>
      <c r="AP249" s="3" t="s">
        <v>51</v>
      </c>
      <c r="AQ249" s="3" t="s">
        <v>51</v>
      </c>
      <c r="AS249" s="6" t="str">
        <f>HYPERLINK("https://creighton-primo.hosted.exlibrisgroup.com/primo-explore/search?tab=default_tab&amp;search_scope=EVERYTHING&amp;vid=01CRU&amp;lang=en_US&amp;offset=0&amp;query=any,contains,991001312889702656","Catalog Record")</f>
        <v>Catalog Record</v>
      </c>
      <c r="AT249" s="6" t="str">
        <f>HYPERLINK("http://www.worldcat.org/oclc/18163625","WorldCat Record")</f>
        <v>WorldCat Record</v>
      </c>
    </row>
    <row r="250" spans="1:46" ht="41.25" customHeight="1" x14ac:dyDescent="0.25">
      <c r="A250" s="8" t="s">
        <v>51</v>
      </c>
      <c r="B250" s="2" t="s">
        <v>1682</v>
      </c>
      <c r="C250" s="2" t="s">
        <v>1683</v>
      </c>
      <c r="D250" s="2" t="s">
        <v>1684</v>
      </c>
      <c r="F250" s="3" t="s">
        <v>51</v>
      </c>
      <c r="G250" s="3" t="s">
        <v>50</v>
      </c>
      <c r="H250" s="3" t="s">
        <v>51</v>
      </c>
      <c r="I250" s="3" t="s">
        <v>51</v>
      </c>
      <c r="J250" s="3" t="s">
        <v>52</v>
      </c>
      <c r="L250" s="2" t="s">
        <v>1685</v>
      </c>
      <c r="M250" s="3" t="s">
        <v>94</v>
      </c>
      <c r="N250" s="2" t="s">
        <v>245</v>
      </c>
      <c r="O250" s="3" t="s">
        <v>56</v>
      </c>
      <c r="P250" s="3" t="s">
        <v>202</v>
      </c>
      <c r="Q250" s="2" t="s">
        <v>1686</v>
      </c>
      <c r="R250" s="3" t="s">
        <v>59</v>
      </c>
      <c r="S250" s="4">
        <v>20</v>
      </c>
      <c r="T250" s="4">
        <v>20</v>
      </c>
      <c r="U250" s="5" t="s">
        <v>371</v>
      </c>
      <c r="V250" s="5" t="s">
        <v>371</v>
      </c>
      <c r="W250" s="5" t="s">
        <v>1687</v>
      </c>
      <c r="X250" s="5" t="s">
        <v>1687</v>
      </c>
      <c r="Y250" s="4">
        <v>384</v>
      </c>
      <c r="Z250" s="4">
        <v>300</v>
      </c>
      <c r="AA250" s="4">
        <v>375</v>
      </c>
      <c r="AB250" s="4">
        <v>2</v>
      </c>
      <c r="AC250" s="4">
        <v>3</v>
      </c>
      <c r="AD250" s="4">
        <v>14</v>
      </c>
      <c r="AE250" s="4">
        <v>19</v>
      </c>
      <c r="AF250" s="4">
        <v>5</v>
      </c>
      <c r="AG250" s="4">
        <v>7</v>
      </c>
      <c r="AH250" s="4">
        <v>4</v>
      </c>
      <c r="AI250" s="4">
        <v>4</v>
      </c>
      <c r="AJ250" s="4">
        <v>8</v>
      </c>
      <c r="AK250" s="4">
        <v>10</v>
      </c>
      <c r="AL250" s="4">
        <v>1</v>
      </c>
      <c r="AM250" s="4">
        <v>2</v>
      </c>
      <c r="AN250" s="4">
        <v>0</v>
      </c>
      <c r="AO250" s="4">
        <v>0</v>
      </c>
      <c r="AP250" s="3" t="s">
        <v>51</v>
      </c>
      <c r="AQ250" s="3" t="s">
        <v>51</v>
      </c>
      <c r="AS250" s="6" t="str">
        <f>HYPERLINK("https://creighton-primo.hosted.exlibrisgroup.com/primo-explore/search?tab=default_tab&amp;search_scope=EVERYTHING&amp;vid=01CRU&amp;lang=en_US&amp;offset=0&amp;query=any,contains,991001803949702656","Catalog Record")</f>
        <v>Catalog Record</v>
      </c>
      <c r="AT250" s="6" t="str">
        <f>HYPERLINK("http://www.worldcat.org/oclc/22665347","WorldCat Record")</f>
        <v>WorldCat Record</v>
      </c>
    </row>
    <row r="251" spans="1:46" ht="41.25" customHeight="1" x14ac:dyDescent="0.25">
      <c r="A251" s="8" t="s">
        <v>51</v>
      </c>
      <c r="B251" s="2" t="s">
        <v>1688</v>
      </c>
      <c r="C251" s="2" t="s">
        <v>1689</v>
      </c>
      <c r="D251" s="2" t="s">
        <v>1690</v>
      </c>
      <c r="F251" s="3" t="s">
        <v>51</v>
      </c>
      <c r="G251" s="3" t="s">
        <v>50</v>
      </c>
      <c r="H251" s="3" t="s">
        <v>51</v>
      </c>
      <c r="I251" s="3" t="s">
        <v>51</v>
      </c>
      <c r="J251" s="3" t="s">
        <v>52</v>
      </c>
      <c r="K251" s="2" t="s">
        <v>1691</v>
      </c>
      <c r="L251" s="2" t="s">
        <v>1692</v>
      </c>
      <c r="M251" s="3" t="s">
        <v>112</v>
      </c>
      <c r="N251" s="2" t="s">
        <v>245</v>
      </c>
      <c r="O251" s="3" t="s">
        <v>56</v>
      </c>
      <c r="P251" s="3" t="s">
        <v>87</v>
      </c>
      <c r="R251" s="3" t="s">
        <v>59</v>
      </c>
      <c r="S251" s="4">
        <v>14</v>
      </c>
      <c r="T251" s="4">
        <v>14</v>
      </c>
      <c r="U251" s="5" t="s">
        <v>1693</v>
      </c>
      <c r="V251" s="5" t="s">
        <v>1693</v>
      </c>
      <c r="W251" s="5" t="s">
        <v>1132</v>
      </c>
      <c r="X251" s="5" t="s">
        <v>1132</v>
      </c>
      <c r="Y251" s="4">
        <v>1963</v>
      </c>
      <c r="Z251" s="4">
        <v>1899</v>
      </c>
      <c r="AA251" s="4">
        <v>2641</v>
      </c>
      <c r="AB251" s="4">
        <v>19</v>
      </c>
      <c r="AC251" s="4">
        <v>25</v>
      </c>
      <c r="AD251" s="4">
        <v>25</v>
      </c>
      <c r="AE251" s="4">
        <v>44</v>
      </c>
      <c r="AF251" s="4">
        <v>9</v>
      </c>
      <c r="AG251" s="4">
        <v>18</v>
      </c>
      <c r="AH251" s="4">
        <v>3</v>
      </c>
      <c r="AI251" s="4">
        <v>5</v>
      </c>
      <c r="AJ251" s="4">
        <v>9</v>
      </c>
      <c r="AK251" s="4">
        <v>19</v>
      </c>
      <c r="AL251" s="4">
        <v>6</v>
      </c>
      <c r="AM251" s="4">
        <v>9</v>
      </c>
      <c r="AN251" s="4">
        <v>1</v>
      </c>
      <c r="AO251" s="4">
        <v>1</v>
      </c>
      <c r="AP251" s="3" t="s">
        <v>51</v>
      </c>
      <c r="AQ251" s="3" t="s">
        <v>51</v>
      </c>
      <c r="AS251" s="6" t="str">
        <f>HYPERLINK("https://creighton-primo.hosted.exlibrisgroup.com/primo-explore/search?tab=default_tab&amp;search_scope=EVERYTHING&amp;vid=01CRU&amp;lang=en_US&amp;offset=0&amp;query=any,contains,991005264559702656","Catalog Record")</f>
        <v>Catalog Record</v>
      </c>
      <c r="AT251" s="6" t="str">
        <f>HYPERLINK("http://www.worldcat.org/oclc/12724795","WorldCat Record")</f>
        <v>WorldCat Record</v>
      </c>
    </row>
    <row r="252" spans="1:46" ht="41.25" customHeight="1" x14ac:dyDescent="0.25">
      <c r="A252" s="8" t="s">
        <v>51</v>
      </c>
      <c r="B252" s="2" t="s">
        <v>1694</v>
      </c>
      <c r="C252" s="2" t="s">
        <v>1695</v>
      </c>
      <c r="D252" s="2" t="s">
        <v>1696</v>
      </c>
      <c r="F252" s="3" t="s">
        <v>51</v>
      </c>
      <c r="G252" s="3" t="s">
        <v>50</v>
      </c>
      <c r="H252" s="3" t="s">
        <v>49</v>
      </c>
      <c r="I252" s="3" t="s">
        <v>51</v>
      </c>
      <c r="J252" s="3" t="s">
        <v>52</v>
      </c>
      <c r="K252" s="2" t="s">
        <v>1697</v>
      </c>
      <c r="L252" s="2" t="s">
        <v>1698</v>
      </c>
      <c r="M252" s="3" t="s">
        <v>211</v>
      </c>
      <c r="N252" s="2" t="s">
        <v>245</v>
      </c>
      <c r="O252" s="3" t="s">
        <v>56</v>
      </c>
      <c r="P252" s="3" t="s">
        <v>538</v>
      </c>
      <c r="Q252" s="2" t="s">
        <v>1629</v>
      </c>
      <c r="R252" s="3" t="s">
        <v>59</v>
      </c>
      <c r="S252" s="4">
        <v>3</v>
      </c>
      <c r="T252" s="4">
        <v>3</v>
      </c>
      <c r="U252" s="5" t="s">
        <v>1699</v>
      </c>
      <c r="V252" s="5" t="s">
        <v>1699</v>
      </c>
      <c r="W252" s="5" t="s">
        <v>1700</v>
      </c>
      <c r="X252" s="5" t="s">
        <v>1700</v>
      </c>
      <c r="Y252" s="4">
        <v>545</v>
      </c>
      <c r="Z252" s="4">
        <v>431</v>
      </c>
      <c r="AA252" s="4">
        <v>440</v>
      </c>
      <c r="AB252" s="4">
        <v>2</v>
      </c>
      <c r="AC252" s="4">
        <v>2</v>
      </c>
      <c r="AD252" s="4">
        <v>22</v>
      </c>
      <c r="AE252" s="4">
        <v>22</v>
      </c>
      <c r="AF252" s="4">
        <v>7</v>
      </c>
      <c r="AG252" s="4">
        <v>7</v>
      </c>
      <c r="AH252" s="4">
        <v>7</v>
      </c>
      <c r="AI252" s="4">
        <v>7</v>
      </c>
      <c r="AJ252" s="4">
        <v>15</v>
      </c>
      <c r="AK252" s="4">
        <v>15</v>
      </c>
      <c r="AL252" s="4">
        <v>1</v>
      </c>
      <c r="AM252" s="4">
        <v>1</v>
      </c>
      <c r="AN252" s="4">
        <v>0</v>
      </c>
      <c r="AO252" s="4">
        <v>0</v>
      </c>
      <c r="AP252" s="3" t="s">
        <v>51</v>
      </c>
      <c r="AQ252" s="3" t="s">
        <v>49</v>
      </c>
      <c r="AR252" s="6" t="str">
        <f>HYPERLINK("http://catalog.hathitrust.org/Record/000706262","HathiTrust Record")</f>
        <v>HathiTrust Record</v>
      </c>
      <c r="AS252" s="6" t="str">
        <f>HYPERLINK("https://creighton-primo.hosted.exlibrisgroup.com/primo-explore/search?tab=default_tab&amp;search_scope=EVERYTHING&amp;vid=01CRU&amp;lang=en_US&amp;offset=0&amp;query=any,contains,991004785659702656","Catalog Record")</f>
        <v>Catalog Record</v>
      </c>
      <c r="AT252" s="6" t="str">
        <f>HYPERLINK("http://www.worldcat.org/oclc/5273235","WorldCat Record")</f>
        <v>WorldCat Record</v>
      </c>
    </row>
    <row r="253" spans="1:46" ht="41.25" customHeight="1" x14ac:dyDescent="0.25">
      <c r="A253" s="8" t="s">
        <v>51</v>
      </c>
      <c r="B253" s="2" t="s">
        <v>1701</v>
      </c>
      <c r="C253" s="2" t="s">
        <v>1702</v>
      </c>
      <c r="D253" s="2" t="s">
        <v>1703</v>
      </c>
      <c r="F253" s="3" t="s">
        <v>51</v>
      </c>
      <c r="G253" s="3" t="s">
        <v>50</v>
      </c>
      <c r="H253" s="3" t="s">
        <v>51</v>
      </c>
      <c r="I253" s="3" t="s">
        <v>51</v>
      </c>
      <c r="J253" s="3" t="s">
        <v>52</v>
      </c>
      <c r="K253" s="2" t="s">
        <v>1704</v>
      </c>
      <c r="L253" s="2" t="s">
        <v>1167</v>
      </c>
      <c r="M253" s="3" t="s">
        <v>171</v>
      </c>
      <c r="O253" s="3" t="s">
        <v>56</v>
      </c>
      <c r="P253" s="3" t="s">
        <v>113</v>
      </c>
      <c r="Q253" s="2" t="s">
        <v>1705</v>
      </c>
      <c r="R253" s="3" t="s">
        <v>59</v>
      </c>
      <c r="S253" s="4">
        <v>12</v>
      </c>
      <c r="T253" s="4">
        <v>12</v>
      </c>
      <c r="U253" s="5" t="s">
        <v>1706</v>
      </c>
      <c r="V253" s="5" t="s">
        <v>1706</v>
      </c>
      <c r="W253" s="5" t="s">
        <v>1707</v>
      </c>
      <c r="X253" s="5" t="s">
        <v>1707</v>
      </c>
      <c r="Y253" s="4">
        <v>176</v>
      </c>
      <c r="Z253" s="4">
        <v>121</v>
      </c>
      <c r="AA253" s="4">
        <v>123</v>
      </c>
      <c r="AB253" s="4">
        <v>1</v>
      </c>
      <c r="AC253" s="4">
        <v>1</v>
      </c>
      <c r="AD253" s="4">
        <v>1</v>
      </c>
      <c r="AE253" s="4">
        <v>1</v>
      </c>
      <c r="AF253" s="4">
        <v>0</v>
      </c>
      <c r="AG253" s="4">
        <v>0</v>
      </c>
      <c r="AH253" s="4">
        <v>0</v>
      </c>
      <c r="AI253" s="4">
        <v>0</v>
      </c>
      <c r="AJ253" s="4">
        <v>1</v>
      </c>
      <c r="AK253" s="4">
        <v>1</v>
      </c>
      <c r="AL253" s="4">
        <v>0</v>
      </c>
      <c r="AM253" s="4">
        <v>0</v>
      </c>
      <c r="AN253" s="4">
        <v>0</v>
      </c>
      <c r="AO253" s="4">
        <v>0</v>
      </c>
      <c r="AP253" s="3" t="s">
        <v>51</v>
      </c>
      <c r="AQ253" s="3" t="s">
        <v>49</v>
      </c>
      <c r="AR253" s="6" t="str">
        <f>HYPERLINK("http://catalog.hathitrust.org/Record/010089537","HathiTrust Record")</f>
        <v>HathiTrust Record</v>
      </c>
      <c r="AS253" s="6" t="str">
        <f>HYPERLINK("https://creighton-primo.hosted.exlibrisgroup.com/primo-explore/search?tab=default_tab&amp;search_scope=EVERYTHING&amp;vid=01CRU&amp;lang=en_US&amp;offset=0&amp;query=any,contains,991005040999702656","Catalog Record")</f>
        <v>Catalog Record</v>
      </c>
      <c r="AT253" s="6" t="str">
        <f>HYPERLINK("http://www.worldcat.org/oclc/6790531","WorldCat Record")</f>
        <v>WorldCat Record</v>
      </c>
    </row>
    <row r="254" spans="1:46" ht="41.25" customHeight="1" x14ac:dyDescent="0.25">
      <c r="A254" s="8" t="s">
        <v>51</v>
      </c>
      <c r="B254" s="2" t="s">
        <v>1708</v>
      </c>
      <c r="C254" s="2" t="s">
        <v>1709</v>
      </c>
      <c r="D254" s="2" t="s">
        <v>1710</v>
      </c>
      <c r="F254" s="3" t="s">
        <v>51</v>
      </c>
      <c r="G254" s="3" t="s">
        <v>50</v>
      </c>
      <c r="H254" s="3" t="s">
        <v>51</v>
      </c>
      <c r="I254" s="3" t="s">
        <v>51</v>
      </c>
      <c r="J254" s="3" t="s">
        <v>52</v>
      </c>
      <c r="K254" s="2" t="s">
        <v>1711</v>
      </c>
      <c r="L254" s="2" t="s">
        <v>1712</v>
      </c>
      <c r="M254" s="3" t="s">
        <v>171</v>
      </c>
      <c r="O254" s="3" t="s">
        <v>56</v>
      </c>
      <c r="P254" s="3" t="s">
        <v>69</v>
      </c>
      <c r="R254" s="3" t="s">
        <v>59</v>
      </c>
      <c r="S254" s="4">
        <v>2</v>
      </c>
      <c r="T254" s="4">
        <v>2</v>
      </c>
      <c r="U254" s="5" t="s">
        <v>1713</v>
      </c>
      <c r="V254" s="5" t="s">
        <v>1713</v>
      </c>
      <c r="W254" s="5" t="s">
        <v>1707</v>
      </c>
      <c r="X254" s="5" t="s">
        <v>1707</v>
      </c>
      <c r="Y254" s="4">
        <v>114</v>
      </c>
      <c r="Z254" s="4">
        <v>95</v>
      </c>
      <c r="AA254" s="4">
        <v>109</v>
      </c>
      <c r="AB254" s="4">
        <v>1</v>
      </c>
      <c r="AC254" s="4">
        <v>1</v>
      </c>
      <c r="AD254" s="4">
        <v>5</v>
      </c>
      <c r="AE254" s="4">
        <v>5</v>
      </c>
      <c r="AF254" s="4">
        <v>2</v>
      </c>
      <c r="AG254" s="4">
        <v>2</v>
      </c>
      <c r="AH254" s="4">
        <v>0</v>
      </c>
      <c r="AI254" s="4">
        <v>0</v>
      </c>
      <c r="AJ254" s="4">
        <v>5</v>
      </c>
      <c r="AK254" s="4">
        <v>5</v>
      </c>
      <c r="AL254" s="4">
        <v>0</v>
      </c>
      <c r="AM254" s="4">
        <v>0</v>
      </c>
      <c r="AN254" s="4">
        <v>0</v>
      </c>
      <c r="AO254" s="4">
        <v>0</v>
      </c>
      <c r="AP254" s="3" t="s">
        <v>51</v>
      </c>
      <c r="AQ254" s="3" t="s">
        <v>51</v>
      </c>
      <c r="AS254" s="6" t="str">
        <f>HYPERLINK("https://creighton-primo.hosted.exlibrisgroup.com/primo-explore/search?tab=default_tab&amp;search_scope=EVERYTHING&amp;vid=01CRU&amp;lang=en_US&amp;offset=0&amp;query=any,contains,991004878749702656","Catalog Record")</f>
        <v>Catalog Record</v>
      </c>
      <c r="AT254" s="6" t="str">
        <f>HYPERLINK("http://www.worldcat.org/oclc/12836540","WorldCat Record")</f>
        <v>WorldCat Record</v>
      </c>
    </row>
    <row r="255" spans="1:46" ht="41.25" customHeight="1" x14ac:dyDescent="0.25">
      <c r="A255" s="8" t="s">
        <v>51</v>
      </c>
      <c r="B255" s="2" t="s">
        <v>1714</v>
      </c>
      <c r="C255" s="2" t="s">
        <v>1715</v>
      </c>
      <c r="D255" s="2" t="s">
        <v>1716</v>
      </c>
      <c r="F255" s="3" t="s">
        <v>51</v>
      </c>
      <c r="G255" s="3" t="s">
        <v>50</v>
      </c>
      <c r="H255" s="3" t="s">
        <v>51</v>
      </c>
      <c r="I255" s="3" t="s">
        <v>51</v>
      </c>
      <c r="J255" s="3" t="s">
        <v>52</v>
      </c>
      <c r="K255" s="2" t="s">
        <v>1717</v>
      </c>
      <c r="L255" s="2" t="s">
        <v>1718</v>
      </c>
      <c r="M255" s="3" t="s">
        <v>389</v>
      </c>
      <c r="O255" s="3" t="s">
        <v>56</v>
      </c>
      <c r="P255" s="3" t="s">
        <v>79</v>
      </c>
      <c r="R255" s="3" t="s">
        <v>59</v>
      </c>
      <c r="S255" s="4">
        <v>16</v>
      </c>
      <c r="T255" s="4">
        <v>16</v>
      </c>
      <c r="U255" s="5" t="s">
        <v>1609</v>
      </c>
      <c r="V255" s="5" t="s">
        <v>1609</v>
      </c>
      <c r="W255" s="5" t="s">
        <v>1719</v>
      </c>
      <c r="X255" s="5" t="s">
        <v>1719</v>
      </c>
      <c r="Y255" s="4">
        <v>153</v>
      </c>
      <c r="Z255" s="4">
        <v>62</v>
      </c>
      <c r="AA255" s="4">
        <v>68</v>
      </c>
      <c r="AB255" s="4">
        <v>2</v>
      </c>
      <c r="AC255" s="4">
        <v>2</v>
      </c>
      <c r="AD255" s="4">
        <v>4</v>
      </c>
      <c r="AE255" s="4">
        <v>4</v>
      </c>
      <c r="AF255" s="4">
        <v>2</v>
      </c>
      <c r="AG255" s="4">
        <v>2</v>
      </c>
      <c r="AH255" s="4">
        <v>0</v>
      </c>
      <c r="AI255" s="4">
        <v>0</v>
      </c>
      <c r="AJ255" s="4">
        <v>2</v>
      </c>
      <c r="AK255" s="4">
        <v>2</v>
      </c>
      <c r="AL255" s="4">
        <v>1</v>
      </c>
      <c r="AM255" s="4">
        <v>1</v>
      </c>
      <c r="AN255" s="4">
        <v>0</v>
      </c>
      <c r="AO255" s="4">
        <v>0</v>
      </c>
      <c r="AP255" s="3" t="s">
        <v>51</v>
      </c>
      <c r="AQ255" s="3" t="s">
        <v>49</v>
      </c>
      <c r="AR255" s="6" t="str">
        <f>HYPERLINK("http://catalog.hathitrust.org/Record/003000514","HathiTrust Record")</f>
        <v>HathiTrust Record</v>
      </c>
      <c r="AS255" s="6" t="str">
        <f>HYPERLINK("https://creighton-primo.hosted.exlibrisgroup.com/primo-explore/search?tab=default_tab&amp;search_scope=EVERYTHING&amp;vid=01CRU&amp;lang=en_US&amp;offset=0&amp;query=any,contains,991002170539702656","Catalog Record")</f>
        <v>Catalog Record</v>
      </c>
      <c r="AT255" s="6" t="str">
        <f>HYPERLINK("http://www.worldcat.org/oclc/27935885","WorldCat Record")</f>
        <v>WorldCat Record</v>
      </c>
    </row>
    <row r="256" spans="1:46" ht="41.25" customHeight="1" x14ac:dyDescent="0.25">
      <c r="A256" s="8" t="s">
        <v>51</v>
      </c>
      <c r="B256" s="2" t="s">
        <v>1720</v>
      </c>
      <c r="C256" s="2" t="s">
        <v>1721</v>
      </c>
      <c r="D256" s="2" t="s">
        <v>1722</v>
      </c>
      <c r="F256" s="3" t="s">
        <v>51</v>
      </c>
      <c r="G256" s="3" t="s">
        <v>50</v>
      </c>
      <c r="H256" s="3" t="s">
        <v>51</v>
      </c>
      <c r="I256" s="3" t="s">
        <v>51</v>
      </c>
      <c r="J256" s="3" t="s">
        <v>52</v>
      </c>
      <c r="K256" s="2" t="s">
        <v>1723</v>
      </c>
      <c r="L256" s="2" t="s">
        <v>1724</v>
      </c>
      <c r="M256" s="3" t="s">
        <v>644</v>
      </c>
      <c r="O256" s="3" t="s">
        <v>56</v>
      </c>
      <c r="P256" s="3" t="s">
        <v>578</v>
      </c>
      <c r="R256" s="3" t="s">
        <v>59</v>
      </c>
      <c r="S256" s="4">
        <v>1</v>
      </c>
      <c r="T256" s="4">
        <v>1</v>
      </c>
      <c r="U256" s="5" t="s">
        <v>1725</v>
      </c>
      <c r="V256" s="5" t="s">
        <v>1725</v>
      </c>
      <c r="W256" s="5" t="s">
        <v>1725</v>
      </c>
      <c r="X256" s="5" t="s">
        <v>1725</v>
      </c>
      <c r="Y256" s="4">
        <v>115</v>
      </c>
      <c r="Z256" s="4">
        <v>97</v>
      </c>
      <c r="AA256" s="4">
        <v>99</v>
      </c>
      <c r="AB256" s="4">
        <v>1</v>
      </c>
      <c r="AC256" s="4">
        <v>1</v>
      </c>
      <c r="AD256" s="4">
        <v>4</v>
      </c>
      <c r="AE256" s="4">
        <v>4</v>
      </c>
      <c r="AF256" s="4">
        <v>0</v>
      </c>
      <c r="AG256" s="4">
        <v>0</v>
      </c>
      <c r="AH256" s="4">
        <v>1</v>
      </c>
      <c r="AI256" s="4">
        <v>1</v>
      </c>
      <c r="AJ256" s="4">
        <v>4</v>
      </c>
      <c r="AK256" s="4">
        <v>4</v>
      </c>
      <c r="AL256" s="4">
        <v>0</v>
      </c>
      <c r="AM256" s="4">
        <v>0</v>
      </c>
      <c r="AN256" s="4">
        <v>0</v>
      </c>
      <c r="AO256" s="4">
        <v>0</v>
      </c>
      <c r="AP256" s="3" t="s">
        <v>51</v>
      </c>
      <c r="AQ256" s="3" t="s">
        <v>49</v>
      </c>
      <c r="AR256" s="6" t="str">
        <f>HYPERLINK("http://catalog.hathitrust.org/Record/004076668","HathiTrust Record")</f>
        <v>HathiTrust Record</v>
      </c>
      <c r="AS256" s="6" t="str">
        <f>HYPERLINK("https://creighton-primo.hosted.exlibrisgroup.com/primo-explore/search?tab=default_tab&amp;search_scope=EVERYTHING&amp;vid=01CRU&amp;lang=en_US&amp;offset=0&amp;query=any,contains,991003244959702656","Catalog Record")</f>
        <v>Catalog Record</v>
      </c>
      <c r="AT256" s="6" t="str">
        <f>HYPERLINK("http://www.worldcat.org/oclc/39269601","WorldCat Record")</f>
        <v>WorldCat Record</v>
      </c>
    </row>
    <row r="257" spans="1:46" ht="41.25" customHeight="1" x14ac:dyDescent="0.25">
      <c r="A257" s="8" t="s">
        <v>51</v>
      </c>
      <c r="B257" s="2" t="s">
        <v>1726</v>
      </c>
      <c r="C257" s="2" t="s">
        <v>1727</v>
      </c>
      <c r="D257" s="2" t="s">
        <v>1728</v>
      </c>
      <c r="F257" s="3" t="s">
        <v>51</v>
      </c>
      <c r="G257" s="3" t="s">
        <v>50</v>
      </c>
      <c r="H257" s="3" t="s">
        <v>51</v>
      </c>
      <c r="I257" s="3" t="s">
        <v>51</v>
      </c>
      <c r="J257" s="3" t="s">
        <v>52</v>
      </c>
      <c r="K257" s="2" t="s">
        <v>1729</v>
      </c>
      <c r="L257" s="2" t="s">
        <v>1730</v>
      </c>
      <c r="M257" s="3" t="s">
        <v>77</v>
      </c>
      <c r="N257" s="2" t="s">
        <v>245</v>
      </c>
      <c r="O257" s="3" t="s">
        <v>56</v>
      </c>
      <c r="P257" s="3" t="s">
        <v>87</v>
      </c>
      <c r="R257" s="3" t="s">
        <v>59</v>
      </c>
      <c r="S257" s="4">
        <v>13</v>
      </c>
      <c r="T257" s="4">
        <v>13</v>
      </c>
      <c r="U257" s="5" t="s">
        <v>1731</v>
      </c>
      <c r="V257" s="5" t="s">
        <v>1731</v>
      </c>
      <c r="W257" s="5" t="s">
        <v>140</v>
      </c>
      <c r="X257" s="5" t="s">
        <v>140</v>
      </c>
      <c r="Y257" s="4">
        <v>275</v>
      </c>
      <c r="Z257" s="4">
        <v>248</v>
      </c>
      <c r="AA257" s="4">
        <v>290</v>
      </c>
      <c r="AB257" s="4">
        <v>1</v>
      </c>
      <c r="AC257" s="4">
        <v>1</v>
      </c>
      <c r="AD257" s="4">
        <v>7</v>
      </c>
      <c r="AE257" s="4">
        <v>7</v>
      </c>
      <c r="AF257" s="4">
        <v>2</v>
      </c>
      <c r="AG257" s="4">
        <v>2</v>
      </c>
      <c r="AH257" s="4">
        <v>1</v>
      </c>
      <c r="AI257" s="4">
        <v>1</v>
      </c>
      <c r="AJ257" s="4">
        <v>5</v>
      </c>
      <c r="AK257" s="4">
        <v>5</v>
      </c>
      <c r="AL257" s="4">
        <v>0</v>
      </c>
      <c r="AM257" s="4">
        <v>0</v>
      </c>
      <c r="AN257" s="4">
        <v>0</v>
      </c>
      <c r="AO257" s="4">
        <v>0</v>
      </c>
      <c r="AP257" s="3" t="s">
        <v>51</v>
      </c>
      <c r="AQ257" s="3" t="s">
        <v>51</v>
      </c>
      <c r="AS257" s="6" t="str">
        <f>HYPERLINK("https://creighton-primo.hosted.exlibrisgroup.com/primo-explore/search?tab=default_tab&amp;search_scope=EVERYTHING&amp;vid=01CRU&amp;lang=en_US&amp;offset=0&amp;query=any,contains,991001715699702656","Catalog Record")</f>
        <v>Catalog Record</v>
      </c>
      <c r="AT257" s="6" t="str">
        <f>HYPERLINK("http://www.worldcat.org/oclc/21676395","WorldCat Record")</f>
        <v>WorldCat Record</v>
      </c>
    </row>
    <row r="258" spans="1:46" ht="41.25" customHeight="1" x14ac:dyDescent="0.25">
      <c r="A258" s="8" t="s">
        <v>51</v>
      </c>
      <c r="B258" s="2" t="s">
        <v>1732</v>
      </c>
      <c r="C258" s="2" t="s">
        <v>1733</v>
      </c>
      <c r="D258" s="2" t="s">
        <v>1734</v>
      </c>
      <c r="F258" s="3" t="s">
        <v>51</v>
      </c>
      <c r="G258" s="3" t="s">
        <v>50</v>
      </c>
      <c r="H258" s="3" t="s">
        <v>51</v>
      </c>
      <c r="I258" s="3" t="s">
        <v>51</v>
      </c>
      <c r="J258" s="3" t="s">
        <v>52</v>
      </c>
      <c r="K258" s="2" t="s">
        <v>1735</v>
      </c>
      <c r="L258" s="2" t="s">
        <v>1736</v>
      </c>
      <c r="M258" s="3" t="s">
        <v>1271</v>
      </c>
      <c r="N258" s="2" t="s">
        <v>245</v>
      </c>
      <c r="O258" s="3" t="s">
        <v>56</v>
      </c>
      <c r="P258" s="3" t="s">
        <v>202</v>
      </c>
      <c r="R258" s="3" t="s">
        <v>59</v>
      </c>
      <c r="S258" s="4">
        <v>3</v>
      </c>
      <c r="T258" s="4">
        <v>3</v>
      </c>
      <c r="U258" s="5" t="s">
        <v>1737</v>
      </c>
      <c r="V258" s="5" t="s">
        <v>1737</v>
      </c>
      <c r="W258" s="5" t="s">
        <v>1738</v>
      </c>
      <c r="X258" s="5" t="s">
        <v>1738</v>
      </c>
      <c r="Y258" s="4">
        <v>288</v>
      </c>
      <c r="Z258" s="4">
        <v>214</v>
      </c>
      <c r="AA258" s="4">
        <v>301</v>
      </c>
      <c r="AB258" s="4">
        <v>1</v>
      </c>
      <c r="AC258" s="4">
        <v>2</v>
      </c>
      <c r="AD258" s="4">
        <v>6</v>
      </c>
      <c r="AE258" s="4">
        <v>13</v>
      </c>
      <c r="AF258" s="4">
        <v>2</v>
      </c>
      <c r="AG258" s="4">
        <v>4</v>
      </c>
      <c r="AH258" s="4">
        <v>3</v>
      </c>
      <c r="AI258" s="4">
        <v>3</v>
      </c>
      <c r="AJ258" s="4">
        <v>6</v>
      </c>
      <c r="AK258" s="4">
        <v>10</v>
      </c>
      <c r="AL258" s="4">
        <v>0</v>
      </c>
      <c r="AM258" s="4">
        <v>1</v>
      </c>
      <c r="AN258" s="4">
        <v>0</v>
      </c>
      <c r="AO258" s="4">
        <v>0</v>
      </c>
      <c r="AP258" s="3" t="s">
        <v>51</v>
      </c>
      <c r="AQ258" s="3" t="s">
        <v>51</v>
      </c>
      <c r="AS258" s="6" t="str">
        <f>HYPERLINK("https://creighton-primo.hosted.exlibrisgroup.com/primo-explore/search?tab=default_tab&amp;search_scope=EVERYTHING&amp;vid=01CRU&amp;lang=en_US&amp;offset=0&amp;query=any,contains,991003988719702656","Catalog Record")</f>
        <v>Catalog Record</v>
      </c>
      <c r="AT258" s="6" t="str">
        <f>HYPERLINK("http://www.worldcat.org/oclc/51216223","WorldCat Record")</f>
        <v>WorldCat Record</v>
      </c>
    </row>
    <row r="259" spans="1:46" ht="41.25" customHeight="1" x14ac:dyDescent="0.25">
      <c r="A259" s="8" t="s">
        <v>51</v>
      </c>
      <c r="B259" s="2" t="s">
        <v>1739</v>
      </c>
      <c r="C259" s="2" t="s">
        <v>1740</v>
      </c>
      <c r="D259" s="2" t="s">
        <v>1741</v>
      </c>
      <c r="E259" s="3" t="s">
        <v>48</v>
      </c>
      <c r="F259" s="3" t="s">
        <v>51</v>
      </c>
      <c r="G259" s="3" t="s">
        <v>50</v>
      </c>
      <c r="H259" s="3" t="s">
        <v>51</v>
      </c>
      <c r="I259" s="3" t="s">
        <v>51</v>
      </c>
      <c r="J259" s="3" t="s">
        <v>52</v>
      </c>
      <c r="L259" s="2" t="s">
        <v>1742</v>
      </c>
      <c r="M259" s="3" t="s">
        <v>660</v>
      </c>
      <c r="N259" s="2" t="s">
        <v>245</v>
      </c>
      <c r="O259" s="3" t="s">
        <v>56</v>
      </c>
      <c r="P259" s="3" t="s">
        <v>202</v>
      </c>
      <c r="R259" s="3" t="s">
        <v>59</v>
      </c>
      <c r="S259" s="4">
        <v>1</v>
      </c>
      <c r="T259" s="4">
        <v>1</v>
      </c>
      <c r="U259" s="5" t="s">
        <v>1743</v>
      </c>
      <c r="V259" s="5" t="s">
        <v>1743</v>
      </c>
      <c r="W259" s="5" t="s">
        <v>1744</v>
      </c>
      <c r="X259" s="5" t="s">
        <v>1744</v>
      </c>
      <c r="Y259" s="4">
        <v>509</v>
      </c>
      <c r="Z259" s="4">
        <v>424</v>
      </c>
      <c r="AA259" s="4">
        <v>450</v>
      </c>
      <c r="AB259" s="4">
        <v>2</v>
      </c>
      <c r="AC259" s="4">
        <v>2</v>
      </c>
      <c r="AD259" s="4">
        <v>19</v>
      </c>
      <c r="AE259" s="4">
        <v>19</v>
      </c>
      <c r="AF259" s="4">
        <v>10</v>
      </c>
      <c r="AG259" s="4">
        <v>10</v>
      </c>
      <c r="AH259" s="4">
        <v>3</v>
      </c>
      <c r="AI259" s="4">
        <v>3</v>
      </c>
      <c r="AJ259" s="4">
        <v>10</v>
      </c>
      <c r="AK259" s="4">
        <v>10</v>
      </c>
      <c r="AL259" s="4">
        <v>1</v>
      </c>
      <c r="AM259" s="4">
        <v>1</v>
      </c>
      <c r="AN259" s="4">
        <v>0</v>
      </c>
      <c r="AO259" s="4">
        <v>0</v>
      </c>
      <c r="AP259" s="3" t="s">
        <v>51</v>
      </c>
      <c r="AQ259" s="3" t="s">
        <v>51</v>
      </c>
      <c r="AS259" s="6" t="str">
        <f>HYPERLINK("https://creighton-primo.hosted.exlibrisgroup.com/primo-explore/search?tab=default_tab&amp;search_scope=EVERYTHING&amp;vid=01CRU&amp;lang=en_US&amp;offset=0&amp;query=any,contains,991003773879702656","Catalog Record")</f>
        <v>Catalog Record</v>
      </c>
      <c r="AT259" s="6" t="str">
        <f>HYPERLINK("http://www.worldcat.org/oclc/48892210","WorldCat Record")</f>
        <v>WorldCat Record</v>
      </c>
    </row>
    <row r="260" spans="1:46" ht="41.25" customHeight="1" x14ac:dyDescent="0.25">
      <c r="A260" s="8" t="s">
        <v>51</v>
      </c>
      <c r="B260" s="2" t="s">
        <v>1745</v>
      </c>
      <c r="C260" s="2" t="s">
        <v>1746</v>
      </c>
      <c r="D260" s="2" t="s">
        <v>1747</v>
      </c>
      <c r="F260" s="3" t="s">
        <v>51</v>
      </c>
      <c r="G260" s="3" t="s">
        <v>50</v>
      </c>
      <c r="H260" s="3" t="s">
        <v>51</v>
      </c>
      <c r="I260" s="3" t="s">
        <v>51</v>
      </c>
      <c r="J260" s="3" t="s">
        <v>52</v>
      </c>
      <c r="L260" s="2" t="s">
        <v>1748</v>
      </c>
      <c r="M260" s="3" t="s">
        <v>253</v>
      </c>
      <c r="O260" s="3" t="s">
        <v>56</v>
      </c>
      <c r="P260" s="3" t="s">
        <v>748</v>
      </c>
      <c r="R260" s="3" t="s">
        <v>59</v>
      </c>
      <c r="S260" s="4">
        <v>2</v>
      </c>
      <c r="T260" s="4">
        <v>2</v>
      </c>
      <c r="U260" s="5" t="s">
        <v>1749</v>
      </c>
      <c r="V260" s="5" t="s">
        <v>1749</v>
      </c>
      <c r="W260" s="5" t="s">
        <v>1750</v>
      </c>
      <c r="X260" s="5" t="s">
        <v>1750</v>
      </c>
      <c r="Y260" s="4">
        <v>492</v>
      </c>
      <c r="Z260" s="4">
        <v>385</v>
      </c>
      <c r="AA260" s="4">
        <v>1063</v>
      </c>
      <c r="AB260" s="4">
        <v>2</v>
      </c>
      <c r="AC260" s="4">
        <v>4</v>
      </c>
      <c r="AD260" s="4">
        <v>18</v>
      </c>
      <c r="AE260" s="4">
        <v>30</v>
      </c>
      <c r="AF260" s="4">
        <v>9</v>
      </c>
      <c r="AG260" s="4">
        <v>13</v>
      </c>
      <c r="AH260" s="4">
        <v>2</v>
      </c>
      <c r="AI260" s="4">
        <v>6</v>
      </c>
      <c r="AJ260" s="4">
        <v>12</v>
      </c>
      <c r="AK260" s="4">
        <v>18</v>
      </c>
      <c r="AL260" s="4">
        <v>1</v>
      </c>
      <c r="AM260" s="4">
        <v>3</v>
      </c>
      <c r="AN260" s="4">
        <v>0</v>
      </c>
      <c r="AO260" s="4">
        <v>0</v>
      </c>
      <c r="AP260" s="3" t="s">
        <v>51</v>
      </c>
      <c r="AQ260" s="3" t="s">
        <v>51</v>
      </c>
      <c r="AS260" s="6" t="str">
        <f>HYPERLINK("https://creighton-primo.hosted.exlibrisgroup.com/primo-explore/search?tab=default_tab&amp;search_scope=EVERYTHING&amp;vid=01CRU&amp;lang=en_US&amp;offset=0&amp;query=any,contains,991003582969702656","Catalog Record")</f>
        <v>Catalog Record</v>
      </c>
      <c r="AT260" s="6" t="str">
        <f>HYPERLINK("http://www.worldcat.org/oclc/44812281","WorldCat Record")</f>
        <v>WorldCat Record</v>
      </c>
    </row>
    <row r="261" spans="1:46" ht="41.25" customHeight="1" x14ac:dyDescent="0.25">
      <c r="A261" s="8" t="s">
        <v>51</v>
      </c>
      <c r="B261" s="2" t="s">
        <v>1751</v>
      </c>
      <c r="C261" s="2" t="s">
        <v>1752</v>
      </c>
      <c r="D261" s="2" t="s">
        <v>1753</v>
      </c>
      <c r="F261" s="3" t="s">
        <v>51</v>
      </c>
      <c r="G261" s="3" t="s">
        <v>50</v>
      </c>
      <c r="H261" s="3" t="s">
        <v>51</v>
      </c>
      <c r="I261" s="3" t="s">
        <v>51</v>
      </c>
      <c r="J261" s="3" t="s">
        <v>52</v>
      </c>
      <c r="L261" s="2" t="s">
        <v>1754</v>
      </c>
      <c r="M261" s="3" t="s">
        <v>1755</v>
      </c>
      <c r="O261" s="3" t="s">
        <v>56</v>
      </c>
      <c r="P261" s="3" t="s">
        <v>87</v>
      </c>
      <c r="R261" s="3" t="s">
        <v>59</v>
      </c>
      <c r="S261" s="4">
        <v>4</v>
      </c>
      <c r="T261" s="4">
        <v>4</v>
      </c>
      <c r="U261" s="5" t="s">
        <v>1756</v>
      </c>
      <c r="V261" s="5" t="s">
        <v>1756</v>
      </c>
      <c r="W261" s="5" t="s">
        <v>1756</v>
      </c>
      <c r="X261" s="5" t="s">
        <v>1756</v>
      </c>
      <c r="Y261" s="4">
        <v>201</v>
      </c>
      <c r="Z261" s="4">
        <v>120</v>
      </c>
      <c r="AA261" s="4">
        <v>178</v>
      </c>
      <c r="AB261" s="4">
        <v>1</v>
      </c>
      <c r="AC261" s="4">
        <v>1</v>
      </c>
      <c r="AD261" s="4">
        <v>4</v>
      </c>
      <c r="AE261" s="4">
        <v>6</v>
      </c>
      <c r="AF261" s="4">
        <v>3</v>
      </c>
      <c r="AG261" s="4">
        <v>3</v>
      </c>
      <c r="AH261" s="4">
        <v>0</v>
      </c>
      <c r="AI261" s="4">
        <v>1</v>
      </c>
      <c r="AJ261" s="4">
        <v>1</v>
      </c>
      <c r="AK261" s="4">
        <v>1</v>
      </c>
      <c r="AL261" s="4">
        <v>0</v>
      </c>
      <c r="AM261" s="4">
        <v>0</v>
      </c>
      <c r="AN261" s="4">
        <v>0</v>
      </c>
      <c r="AO261" s="4">
        <v>1</v>
      </c>
      <c r="AP261" s="3" t="s">
        <v>51</v>
      </c>
      <c r="AQ261" s="3" t="s">
        <v>51</v>
      </c>
      <c r="AS261" s="6" t="str">
        <f>HYPERLINK("https://creighton-primo.hosted.exlibrisgroup.com/primo-explore/search?tab=default_tab&amp;search_scope=EVERYTHING&amp;vid=01CRU&amp;lang=en_US&amp;offset=0&amp;query=any,contains,991000156979702656","Catalog Record")</f>
        <v>Catalog Record</v>
      </c>
      <c r="AT261" s="6" t="str">
        <f>HYPERLINK("http://www.worldcat.org/oclc/551342344","WorldCat Record")</f>
        <v>WorldCat Record</v>
      </c>
    </row>
    <row r="262" spans="1:46" ht="41.25" customHeight="1" x14ac:dyDescent="0.25">
      <c r="A262" s="8" t="s">
        <v>51</v>
      </c>
      <c r="B262" s="2" t="s">
        <v>1757</v>
      </c>
      <c r="C262" s="2" t="s">
        <v>1758</v>
      </c>
      <c r="D262" s="2" t="s">
        <v>1759</v>
      </c>
      <c r="F262" s="3" t="s">
        <v>51</v>
      </c>
      <c r="G262" s="3" t="s">
        <v>50</v>
      </c>
      <c r="H262" s="3" t="s">
        <v>51</v>
      </c>
      <c r="I262" s="3" t="s">
        <v>51</v>
      </c>
      <c r="J262" s="3" t="s">
        <v>52</v>
      </c>
      <c r="L262" s="2" t="s">
        <v>1760</v>
      </c>
      <c r="M262" s="3" t="s">
        <v>146</v>
      </c>
      <c r="O262" s="3" t="s">
        <v>56</v>
      </c>
      <c r="P262" s="3" t="s">
        <v>359</v>
      </c>
      <c r="R262" s="3" t="s">
        <v>59</v>
      </c>
      <c r="S262" s="4">
        <v>6</v>
      </c>
      <c r="T262" s="4">
        <v>6</v>
      </c>
      <c r="U262" s="5" t="s">
        <v>1761</v>
      </c>
      <c r="V262" s="5" t="s">
        <v>1761</v>
      </c>
      <c r="W262" s="5" t="s">
        <v>1762</v>
      </c>
      <c r="X262" s="5" t="s">
        <v>1762</v>
      </c>
      <c r="Y262" s="4">
        <v>260</v>
      </c>
      <c r="Z262" s="4">
        <v>203</v>
      </c>
      <c r="AA262" s="4">
        <v>203</v>
      </c>
      <c r="AB262" s="4">
        <v>2</v>
      </c>
      <c r="AC262" s="4">
        <v>2</v>
      </c>
      <c r="AD262" s="4">
        <v>9</v>
      </c>
      <c r="AE262" s="4">
        <v>9</v>
      </c>
      <c r="AF262" s="4">
        <v>2</v>
      </c>
      <c r="AG262" s="4">
        <v>2</v>
      </c>
      <c r="AH262" s="4">
        <v>2</v>
      </c>
      <c r="AI262" s="4">
        <v>2</v>
      </c>
      <c r="AJ262" s="4">
        <v>7</v>
      </c>
      <c r="AK262" s="4">
        <v>7</v>
      </c>
      <c r="AL262" s="4">
        <v>1</v>
      </c>
      <c r="AM262" s="4">
        <v>1</v>
      </c>
      <c r="AN262" s="4">
        <v>0</v>
      </c>
      <c r="AO262" s="4">
        <v>0</v>
      </c>
      <c r="AP262" s="3" t="s">
        <v>51</v>
      </c>
      <c r="AQ262" s="3" t="s">
        <v>51</v>
      </c>
      <c r="AS262" s="6" t="str">
        <f>HYPERLINK("https://creighton-primo.hosted.exlibrisgroup.com/primo-explore/search?tab=default_tab&amp;search_scope=EVERYTHING&amp;vid=01CRU&amp;lang=en_US&amp;offset=0&amp;query=any,contains,991000961769702656","Catalog Record")</f>
        <v>Catalog Record</v>
      </c>
      <c r="AT262" s="6" t="str">
        <f>HYPERLINK("http://www.worldcat.org/oclc/14819127","WorldCat Record")</f>
        <v>WorldCat Record</v>
      </c>
    </row>
    <row r="263" spans="1:46" ht="41.25" customHeight="1" x14ac:dyDescent="0.25">
      <c r="A263" s="8" t="s">
        <v>51</v>
      </c>
      <c r="B263" s="2" t="s">
        <v>1763</v>
      </c>
      <c r="C263" s="2" t="s">
        <v>1764</v>
      </c>
      <c r="D263" s="2" t="s">
        <v>1765</v>
      </c>
      <c r="F263" s="3" t="s">
        <v>51</v>
      </c>
      <c r="G263" s="3" t="s">
        <v>50</v>
      </c>
      <c r="H263" s="3" t="s">
        <v>49</v>
      </c>
      <c r="I263" s="3" t="s">
        <v>51</v>
      </c>
      <c r="J263" s="3" t="s">
        <v>52</v>
      </c>
      <c r="L263" s="2" t="s">
        <v>1766</v>
      </c>
      <c r="M263" s="3" t="s">
        <v>851</v>
      </c>
      <c r="N263" s="2" t="s">
        <v>245</v>
      </c>
      <c r="O263" s="3" t="s">
        <v>56</v>
      </c>
      <c r="P263" s="3" t="s">
        <v>202</v>
      </c>
      <c r="R263" s="3" t="s">
        <v>59</v>
      </c>
      <c r="S263" s="4">
        <v>3</v>
      </c>
      <c r="T263" s="4">
        <v>3</v>
      </c>
      <c r="U263" s="5" t="s">
        <v>1767</v>
      </c>
      <c r="V263" s="5" t="s">
        <v>1767</v>
      </c>
      <c r="W263" s="5" t="s">
        <v>1699</v>
      </c>
      <c r="X263" s="5" t="s">
        <v>1768</v>
      </c>
      <c r="Y263" s="4">
        <v>481</v>
      </c>
      <c r="Z263" s="4">
        <v>387</v>
      </c>
      <c r="AA263" s="4">
        <v>461</v>
      </c>
      <c r="AB263" s="4">
        <v>2</v>
      </c>
      <c r="AC263" s="4">
        <v>3</v>
      </c>
      <c r="AD263" s="4">
        <v>20</v>
      </c>
      <c r="AE263" s="4">
        <v>23</v>
      </c>
      <c r="AF263" s="4">
        <v>7</v>
      </c>
      <c r="AG263" s="4">
        <v>8</v>
      </c>
      <c r="AH263" s="4">
        <v>5</v>
      </c>
      <c r="AI263" s="4">
        <v>5</v>
      </c>
      <c r="AJ263" s="4">
        <v>13</v>
      </c>
      <c r="AK263" s="4">
        <v>14</v>
      </c>
      <c r="AL263" s="4">
        <v>1</v>
      </c>
      <c r="AM263" s="4">
        <v>2</v>
      </c>
      <c r="AN263" s="4">
        <v>0</v>
      </c>
      <c r="AO263" s="4">
        <v>0</v>
      </c>
      <c r="AP263" s="3" t="s">
        <v>51</v>
      </c>
      <c r="AQ263" s="3" t="s">
        <v>51</v>
      </c>
      <c r="AS263" s="6" t="str">
        <f>HYPERLINK("https://creighton-primo.hosted.exlibrisgroup.com/primo-explore/search?tab=default_tab&amp;search_scope=EVERYTHING&amp;vid=01CRU&amp;lang=en_US&amp;offset=0&amp;query=any,contains,991001812889702656","Catalog Record")</f>
        <v>Catalog Record</v>
      </c>
      <c r="AT263" s="6" t="str">
        <f>HYPERLINK("http://www.worldcat.org/oclc/35325353","WorldCat Record")</f>
        <v>WorldCat Record</v>
      </c>
    </row>
    <row r="264" spans="1:46" ht="41.25" customHeight="1" x14ac:dyDescent="0.25">
      <c r="A264" s="8" t="s">
        <v>51</v>
      </c>
      <c r="B264" s="2" t="s">
        <v>1769</v>
      </c>
      <c r="C264" s="2" t="s">
        <v>1770</v>
      </c>
      <c r="D264" s="2" t="s">
        <v>1771</v>
      </c>
      <c r="F264" s="3" t="s">
        <v>51</v>
      </c>
      <c r="G264" s="3" t="s">
        <v>50</v>
      </c>
      <c r="H264" s="3" t="s">
        <v>51</v>
      </c>
      <c r="I264" s="3" t="s">
        <v>51</v>
      </c>
      <c r="J264" s="3" t="s">
        <v>52</v>
      </c>
      <c r="K264" s="2" t="s">
        <v>1772</v>
      </c>
      <c r="L264" s="2" t="s">
        <v>1773</v>
      </c>
      <c r="M264" s="3" t="s">
        <v>553</v>
      </c>
      <c r="O264" s="3" t="s">
        <v>56</v>
      </c>
      <c r="P264" s="3" t="s">
        <v>87</v>
      </c>
      <c r="R264" s="3" t="s">
        <v>59</v>
      </c>
      <c r="S264" s="4">
        <v>12</v>
      </c>
      <c r="T264" s="4">
        <v>12</v>
      </c>
      <c r="U264" s="5" t="s">
        <v>1774</v>
      </c>
      <c r="V264" s="5" t="s">
        <v>1774</v>
      </c>
      <c r="W264" s="5" t="s">
        <v>1687</v>
      </c>
      <c r="X264" s="5" t="s">
        <v>1687</v>
      </c>
      <c r="Y264" s="4">
        <v>127</v>
      </c>
      <c r="Z264" s="4">
        <v>93</v>
      </c>
      <c r="AA264" s="4">
        <v>93</v>
      </c>
      <c r="AB264" s="4">
        <v>1</v>
      </c>
      <c r="AC264" s="4">
        <v>1</v>
      </c>
      <c r="AD264" s="4">
        <v>5</v>
      </c>
      <c r="AE264" s="4">
        <v>5</v>
      </c>
      <c r="AF264" s="4">
        <v>1</v>
      </c>
      <c r="AG264" s="4">
        <v>1</v>
      </c>
      <c r="AH264" s="4">
        <v>1</v>
      </c>
      <c r="AI264" s="4">
        <v>1</v>
      </c>
      <c r="AJ264" s="4">
        <v>3</v>
      </c>
      <c r="AK264" s="4">
        <v>3</v>
      </c>
      <c r="AL264" s="4">
        <v>0</v>
      </c>
      <c r="AM264" s="4">
        <v>0</v>
      </c>
      <c r="AN264" s="4">
        <v>0</v>
      </c>
      <c r="AO264" s="4">
        <v>0</v>
      </c>
      <c r="AP264" s="3" t="s">
        <v>51</v>
      </c>
      <c r="AQ264" s="3" t="s">
        <v>51</v>
      </c>
      <c r="AS264" s="6" t="str">
        <f>HYPERLINK("https://creighton-primo.hosted.exlibrisgroup.com/primo-explore/search?tab=default_tab&amp;search_scope=EVERYTHING&amp;vid=01CRU&amp;lang=en_US&amp;offset=0&amp;query=any,contains,991001400479702656","Catalog Record")</f>
        <v>Catalog Record</v>
      </c>
      <c r="AT264" s="6" t="str">
        <f>HYPERLINK("http://www.worldcat.org/oclc/18816893","WorldCat Record")</f>
        <v>WorldCat Record</v>
      </c>
    </row>
    <row r="265" spans="1:46" ht="41.25" customHeight="1" x14ac:dyDescent="0.25">
      <c r="A265" s="8" t="s">
        <v>51</v>
      </c>
      <c r="B265" s="2" t="s">
        <v>1775</v>
      </c>
      <c r="C265" s="2" t="s">
        <v>1776</v>
      </c>
      <c r="D265" s="2" t="s">
        <v>1777</v>
      </c>
      <c r="F265" s="3" t="s">
        <v>51</v>
      </c>
      <c r="G265" s="3" t="s">
        <v>50</v>
      </c>
      <c r="H265" s="3" t="s">
        <v>51</v>
      </c>
      <c r="I265" s="3" t="s">
        <v>51</v>
      </c>
      <c r="J265" s="3" t="s">
        <v>52</v>
      </c>
      <c r="L265" s="2" t="s">
        <v>1778</v>
      </c>
      <c r="M265" s="3" t="s">
        <v>313</v>
      </c>
      <c r="O265" s="3" t="s">
        <v>56</v>
      </c>
      <c r="P265" s="3" t="s">
        <v>87</v>
      </c>
      <c r="R265" s="3" t="s">
        <v>59</v>
      </c>
      <c r="S265" s="4">
        <v>3</v>
      </c>
      <c r="T265" s="4">
        <v>3</v>
      </c>
      <c r="U265" s="5" t="s">
        <v>1779</v>
      </c>
      <c r="V265" s="5" t="s">
        <v>1779</v>
      </c>
      <c r="W265" s="5" t="s">
        <v>563</v>
      </c>
      <c r="X265" s="5" t="s">
        <v>563</v>
      </c>
      <c r="Y265" s="4">
        <v>836</v>
      </c>
      <c r="Z265" s="4">
        <v>732</v>
      </c>
      <c r="AA265" s="4">
        <v>733</v>
      </c>
      <c r="AB265" s="4">
        <v>9</v>
      </c>
      <c r="AC265" s="4">
        <v>9</v>
      </c>
      <c r="AD265" s="4">
        <v>31</v>
      </c>
      <c r="AE265" s="4">
        <v>31</v>
      </c>
      <c r="AF265" s="4">
        <v>11</v>
      </c>
      <c r="AG265" s="4">
        <v>11</v>
      </c>
      <c r="AH265" s="4">
        <v>5</v>
      </c>
      <c r="AI265" s="4">
        <v>5</v>
      </c>
      <c r="AJ265" s="4">
        <v>15</v>
      </c>
      <c r="AK265" s="4">
        <v>15</v>
      </c>
      <c r="AL265" s="4">
        <v>7</v>
      </c>
      <c r="AM265" s="4">
        <v>7</v>
      </c>
      <c r="AN265" s="4">
        <v>0</v>
      </c>
      <c r="AO265" s="4">
        <v>0</v>
      </c>
      <c r="AP265" s="3" t="s">
        <v>51</v>
      </c>
      <c r="AQ265" s="3" t="s">
        <v>51</v>
      </c>
      <c r="AS265" s="6" t="str">
        <f>HYPERLINK("https://creighton-primo.hosted.exlibrisgroup.com/primo-explore/search?tab=default_tab&amp;search_scope=EVERYTHING&amp;vid=01CRU&amp;lang=en_US&amp;offset=0&amp;query=any,contains,991003289389702656","Catalog Record")</f>
        <v>Catalog Record</v>
      </c>
      <c r="AT265" s="6" t="str">
        <f>HYPERLINK("http://www.worldcat.org/oclc/811015","WorldCat Record")</f>
        <v>WorldCat Record</v>
      </c>
    </row>
    <row r="266" spans="1:46" ht="41.25" customHeight="1" x14ac:dyDescent="0.25">
      <c r="A266" s="8" t="s">
        <v>51</v>
      </c>
      <c r="B266" s="2" t="s">
        <v>1780</v>
      </c>
      <c r="C266" s="2" t="s">
        <v>1781</v>
      </c>
      <c r="D266" s="2" t="s">
        <v>1782</v>
      </c>
      <c r="F266" s="3" t="s">
        <v>51</v>
      </c>
      <c r="G266" s="3" t="s">
        <v>50</v>
      </c>
      <c r="H266" s="3" t="s">
        <v>49</v>
      </c>
      <c r="I266" s="3" t="s">
        <v>51</v>
      </c>
      <c r="J266" s="3" t="s">
        <v>52</v>
      </c>
      <c r="K266" s="2" t="s">
        <v>1783</v>
      </c>
      <c r="L266" s="2" t="s">
        <v>1784</v>
      </c>
      <c r="M266" s="3" t="s">
        <v>586</v>
      </c>
      <c r="O266" s="3" t="s">
        <v>56</v>
      </c>
      <c r="P266" s="3" t="s">
        <v>87</v>
      </c>
      <c r="R266" s="3" t="s">
        <v>59</v>
      </c>
      <c r="S266" s="4">
        <v>31</v>
      </c>
      <c r="T266" s="4">
        <v>40</v>
      </c>
      <c r="U266" s="5" t="s">
        <v>1785</v>
      </c>
      <c r="V266" s="5" t="s">
        <v>1785</v>
      </c>
      <c r="W266" s="5" t="s">
        <v>1786</v>
      </c>
      <c r="X266" s="5" t="s">
        <v>1786</v>
      </c>
      <c r="Y266" s="4">
        <v>877</v>
      </c>
      <c r="Z266" s="4">
        <v>796</v>
      </c>
      <c r="AA266" s="4">
        <v>798</v>
      </c>
      <c r="AB266" s="4">
        <v>7</v>
      </c>
      <c r="AC266" s="4">
        <v>7</v>
      </c>
      <c r="AD266" s="4">
        <v>32</v>
      </c>
      <c r="AE266" s="4">
        <v>32</v>
      </c>
      <c r="AF266" s="4">
        <v>8</v>
      </c>
      <c r="AG266" s="4">
        <v>8</v>
      </c>
      <c r="AH266" s="4">
        <v>6</v>
      </c>
      <c r="AI266" s="4">
        <v>6</v>
      </c>
      <c r="AJ266" s="4">
        <v>10</v>
      </c>
      <c r="AK266" s="4">
        <v>10</v>
      </c>
      <c r="AL266" s="4">
        <v>4</v>
      </c>
      <c r="AM266" s="4">
        <v>4</v>
      </c>
      <c r="AN266" s="4">
        <v>8</v>
      </c>
      <c r="AO266" s="4">
        <v>8</v>
      </c>
      <c r="AP266" s="3" t="s">
        <v>51</v>
      </c>
      <c r="AQ266" s="3" t="s">
        <v>49</v>
      </c>
      <c r="AR266" s="6" t="str">
        <f>HYPERLINK("http://catalog.hathitrust.org/Record/004532342","HathiTrust Record")</f>
        <v>HathiTrust Record</v>
      </c>
      <c r="AS266" s="6" t="str">
        <f>HYPERLINK("https://creighton-primo.hosted.exlibrisgroup.com/primo-explore/search?tab=default_tab&amp;search_scope=EVERYTHING&amp;vid=01CRU&amp;lang=en_US&amp;offset=0&amp;query=any,contains,991001656419702656","Catalog Record")</f>
        <v>Catalog Record</v>
      </c>
      <c r="AT266" s="6" t="str">
        <f>HYPERLINK("http://www.worldcat.org/oclc/27151300","WorldCat Record")</f>
        <v>WorldCat Record</v>
      </c>
    </row>
    <row r="267" spans="1:46" ht="41.25" customHeight="1" x14ac:dyDescent="0.25">
      <c r="A267" s="8" t="s">
        <v>51</v>
      </c>
      <c r="B267" s="2" t="s">
        <v>1787</v>
      </c>
      <c r="C267" s="2" t="s">
        <v>1788</v>
      </c>
      <c r="D267" s="2" t="s">
        <v>1789</v>
      </c>
      <c r="F267" s="3" t="s">
        <v>51</v>
      </c>
      <c r="G267" s="3" t="s">
        <v>50</v>
      </c>
      <c r="H267" s="3" t="s">
        <v>51</v>
      </c>
      <c r="I267" s="3" t="s">
        <v>51</v>
      </c>
      <c r="J267" s="3" t="s">
        <v>52</v>
      </c>
      <c r="L267" s="2" t="s">
        <v>1790</v>
      </c>
      <c r="M267" s="3" t="s">
        <v>1271</v>
      </c>
      <c r="O267" s="3" t="s">
        <v>56</v>
      </c>
      <c r="P267" s="3" t="s">
        <v>87</v>
      </c>
      <c r="Q267" s="2" t="s">
        <v>1791</v>
      </c>
      <c r="R267" s="3" t="s">
        <v>59</v>
      </c>
      <c r="S267" s="4">
        <v>4</v>
      </c>
      <c r="T267" s="4">
        <v>4</v>
      </c>
      <c r="U267" s="5" t="s">
        <v>1792</v>
      </c>
      <c r="V267" s="5" t="s">
        <v>1792</v>
      </c>
      <c r="W267" s="5" t="s">
        <v>1793</v>
      </c>
      <c r="X267" s="5" t="s">
        <v>1793</v>
      </c>
      <c r="Y267" s="4">
        <v>835</v>
      </c>
      <c r="Z267" s="4">
        <v>758</v>
      </c>
      <c r="AA267" s="4">
        <v>768</v>
      </c>
      <c r="AB267" s="4">
        <v>4</v>
      </c>
      <c r="AC267" s="4">
        <v>5</v>
      </c>
      <c r="AD267" s="4">
        <v>31</v>
      </c>
      <c r="AE267" s="4">
        <v>31</v>
      </c>
      <c r="AF267" s="4">
        <v>15</v>
      </c>
      <c r="AG267" s="4">
        <v>15</v>
      </c>
      <c r="AH267" s="4">
        <v>6</v>
      </c>
      <c r="AI267" s="4">
        <v>6</v>
      </c>
      <c r="AJ267" s="4">
        <v>14</v>
      </c>
      <c r="AK267" s="4">
        <v>14</v>
      </c>
      <c r="AL267" s="4">
        <v>2</v>
      </c>
      <c r="AM267" s="4">
        <v>2</v>
      </c>
      <c r="AN267" s="4">
        <v>0</v>
      </c>
      <c r="AO267" s="4">
        <v>0</v>
      </c>
      <c r="AP267" s="3" t="s">
        <v>51</v>
      </c>
      <c r="AQ267" s="3" t="s">
        <v>49</v>
      </c>
      <c r="AR267" s="6" t="str">
        <f>HYPERLINK("http://catalog.hathitrust.org/Record/004311427","HathiTrust Record")</f>
        <v>HathiTrust Record</v>
      </c>
      <c r="AS267" s="6" t="str">
        <f>HYPERLINK("https://creighton-primo.hosted.exlibrisgroup.com/primo-explore/search?tab=default_tab&amp;search_scope=EVERYTHING&amp;vid=01CRU&amp;lang=en_US&amp;offset=0&amp;query=any,contains,991004540879702656","Catalog Record")</f>
        <v>Catalog Record</v>
      </c>
      <c r="AT267" s="6" t="str">
        <f>HYPERLINK("http://www.worldcat.org/oclc/50022975","WorldCat Record")</f>
        <v>WorldCat Record</v>
      </c>
    </row>
    <row r="268" spans="1:46" ht="41.25" customHeight="1" x14ac:dyDescent="0.25">
      <c r="A268" s="8" t="s">
        <v>51</v>
      </c>
      <c r="B268" s="2" t="s">
        <v>1794</v>
      </c>
      <c r="C268" s="2" t="s">
        <v>1795</v>
      </c>
      <c r="D268" s="2" t="s">
        <v>1796</v>
      </c>
      <c r="F268" s="3" t="s">
        <v>51</v>
      </c>
      <c r="G268" s="3" t="s">
        <v>50</v>
      </c>
      <c r="H268" s="3" t="s">
        <v>51</v>
      </c>
      <c r="I268" s="3" t="s">
        <v>51</v>
      </c>
      <c r="J268" s="3" t="s">
        <v>52</v>
      </c>
      <c r="K268" s="2" t="s">
        <v>1797</v>
      </c>
      <c r="L268" s="2" t="s">
        <v>1798</v>
      </c>
      <c r="M268" s="3" t="s">
        <v>112</v>
      </c>
      <c r="O268" s="3" t="s">
        <v>56</v>
      </c>
      <c r="P268" s="3" t="s">
        <v>1799</v>
      </c>
      <c r="R268" s="3" t="s">
        <v>59</v>
      </c>
      <c r="S268" s="4">
        <v>11</v>
      </c>
      <c r="T268" s="4">
        <v>11</v>
      </c>
      <c r="U268" s="5" t="s">
        <v>1800</v>
      </c>
      <c r="V268" s="5" t="s">
        <v>1800</v>
      </c>
      <c r="W268" s="5" t="s">
        <v>360</v>
      </c>
      <c r="X268" s="5" t="s">
        <v>360</v>
      </c>
      <c r="Y268" s="4">
        <v>213</v>
      </c>
      <c r="Z268" s="4">
        <v>198</v>
      </c>
      <c r="AA268" s="4">
        <v>204</v>
      </c>
      <c r="AB268" s="4">
        <v>3</v>
      </c>
      <c r="AC268" s="4">
        <v>3</v>
      </c>
      <c r="AD268" s="4">
        <v>3</v>
      </c>
      <c r="AE268" s="4">
        <v>3</v>
      </c>
      <c r="AF268" s="4">
        <v>1</v>
      </c>
      <c r="AG268" s="4">
        <v>1</v>
      </c>
      <c r="AH268" s="4">
        <v>0</v>
      </c>
      <c r="AI268" s="4">
        <v>0</v>
      </c>
      <c r="AJ268" s="4">
        <v>2</v>
      </c>
      <c r="AK268" s="4">
        <v>2</v>
      </c>
      <c r="AL268" s="4">
        <v>1</v>
      </c>
      <c r="AM268" s="4">
        <v>1</v>
      </c>
      <c r="AN268" s="4">
        <v>0</v>
      </c>
      <c r="AO268" s="4">
        <v>0</v>
      </c>
      <c r="AP268" s="3" t="s">
        <v>51</v>
      </c>
      <c r="AQ268" s="3" t="s">
        <v>49</v>
      </c>
      <c r="AR268" s="6" t="str">
        <f>HYPERLINK("http://catalog.hathitrust.org/Record/009142733","HathiTrust Record")</f>
        <v>HathiTrust Record</v>
      </c>
      <c r="AS268" s="6" t="str">
        <f>HYPERLINK("https://creighton-primo.hosted.exlibrisgroup.com/primo-explore/search?tab=default_tab&amp;search_scope=EVERYTHING&amp;vid=01CRU&amp;lang=en_US&amp;offset=0&amp;query=any,contains,991000685859702656","Catalog Record")</f>
        <v>Catalog Record</v>
      </c>
      <c r="AT268" s="6" t="str">
        <f>HYPERLINK("http://www.worldcat.org/oclc/12420773","WorldCat Record")</f>
        <v>WorldCat Record</v>
      </c>
    </row>
    <row r="269" spans="1:46" ht="41.25" customHeight="1" x14ac:dyDescent="0.25">
      <c r="A269" s="8" t="s">
        <v>51</v>
      </c>
      <c r="B269" s="2" t="s">
        <v>1801</v>
      </c>
      <c r="C269" s="2" t="s">
        <v>1802</v>
      </c>
      <c r="D269" s="2" t="s">
        <v>1803</v>
      </c>
      <c r="F269" s="3" t="s">
        <v>51</v>
      </c>
      <c r="G269" s="3" t="s">
        <v>50</v>
      </c>
      <c r="H269" s="3" t="s">
        <v>49</v>
      </c>
      <c r="I269" s="3" t="s">
        <v>51</v>
      </c>
      <c r="J269" s="3" t="s">
        <v>52</v>
      </c>
      <c r="K269" s="2" t="s">
        <v>1804</v>
      </c>
      <c r="L269" s="2" t="s">
        <v>1805</v>
      </c>
      <c r="M269" s="3" t="s">
        <v>211</v>
      </c>
      <c r="O269" s="3" t="s">
        <v>56</v>
      </c>
      <c r="P269" s="3" t="s">
        <v>69</v>
      </c>
      <c r="R269" s="3" t="s">
        <v>59</v>
      </c>
      <c r="S269" s="4">
        <v>8</v>
      </c>
      <c r="T269" s="4">
        <v>8</v>
      </c>
      <c r="U269" s="5" t="s">
        <v>1800</v>
      </c>
      <c r="V269" s="5" t="s">
        <v>1800</v>
      </c>
      <c r="W269" s="5" t="s">
        <v>1419</v>
      </c>
      <c r="X269" s="5" t="s">
        <v>1419</v>
      </c>
      <c r="Y269" s="4">
        <v>758</v>
      </c>
      <c r="Z269" s="4">
        <v>684</v>
      </c>
      <c r="AA269" s="4">
        <v>701</v>
      </c>
      <c r="AB269" s="4">
        <v>5</v>
      </c>
      <c r="AC269" s="4">
        <v>5</v>
      </c>
      <c r="AD269" s="4">
        <v>26</v>
      </c>
      <c r="AE269" s="4">
        <v>28</v>
      </c>
      <c r="AF269" s="4">
        <v>9</v>
      </c>
      <c r="AG269" s="4">
        <v>10</v>
      </c>
      <c r="AH269" s="4">
        <v>5</v>
      </c>
      <c r="AI269" s="4">
        <v>6</v>
      </c>
      <c r="AJ269" s="4">
        <v>15</v>
      </c>
      <c r="AK269" s="4">
        <v>15</v>
      </c>
      <c r="AL269" s="4">
        <v>3</v>
      </c>
      <c r="AM269" s="4">
        <v>3</v>
      </c>
      <c r="AN269" s="4">
        <v>1</v>
      </c>
      <c r="AO269" s="4">
        <v>1</v>
      </c>
      <c r="AP269" s="3" t="s">
        <v>51</v>
      </c>
      <c r="AQ269" s="3" t="s">
        <v>49</v>
      </c>
      <c r="AR269" s="6" t="str">
        <f>HYPERLINK("http://catalog.hathitrust.org/Record/000301215","HathiTrust Record")</f>
        <v>HathiTrust Record</v>
      </c>
      <c r="AS269" s="6" t="str">
        <f>HYPERLINK("https://creighton-primo.hosted.exlibrisgroup.com/primo-explore/search?tab=default_tab&amp;search_scope=EVERYTHING&amp;vid=01CRU&amp;lang=en_US&amp;offset=0&amp;query=any,contains,991004754329702656","Catalog Record")</f>
        <v>Catalog Record</v>
      </c>
      <c r="AT269" s="6" t="str">
        <f>HYPERLINK("http://www.worldcat.org/oclc/4956878","WorldCat Record")</f>
        <v>WorldCat Record</v>
      </c>
    </row>
    <row r="270" spans="1:46" ht="41.25" customHeight="1" x14ac:dyDescent="0.25">
      <c r="A270" s="8" t="s">
        <v>51</v>
      </c>
      <c r="B270" s="2" t="s">
        <v>1806</v>
      </c>
      <c r="C270" s="2" t="s">
        <v>1807</v>
      </c>
      <c r="D270" s="2" t="s">
        <v>1808</v>
      </c>
      <c r="F270" s="3" t="s">
        <v>51</v>
      </c>
      <c r="G270" s="3" t="s">
        <v>50</v>
      </c>
      <c r="H270" s="3" t="s">
        <v>49</v>
      </c>
      <c r="I270" s="3" t="s">
        <v>51</v>
      </c>
      <c r="J270" s="3" t="s">
        <v>52</v>
      </c>
      <c r="L270" s="2" t="s">
        <v>1809</v>
      </c>
      <c r="M270" s="3" t="s">
        <v>154</v>
      </c>
      <c r="O270" s="3" t="s">
        <v>56</v>
      </c>
      <c r="P270" s="3" t="s">
        <v>202</v>
      </c>
      <c r="Q270" s="2" t="s">
        <v>1810</v>
      </c>
      <c r="R270" s="3" t="s">
        <v>59</v>
      </c>
      <c r="S270" s="4">
        <v>7</v>
      </c>
      <c r="T270" s="4">
        <v>16</v>
      </c>
      <c r="U270" s="5" t="s">
        <v>1811</v>
      </c>
      <c r="V270" s="5" t="s">
        <v>1812</v>
      </c>
      <c r="W270" s="5" t="s">
        <v>1813</v>
      </c>
      <c r="X270" s="5" t="s">
        <v>1813</v>
      </c>
      <c r="Y270" s="4">
        <v>260</v>
      </c>
      <c r="Z270" s="4">
        <v>211</v>
      </c>
      <c r="AA270" s="4">
        <v>217</v>
      </c>
      <c r="AB270" s="4">
        <v>4</v>
      </c>
      <c r="AC270" s="4">
        <v>4</v>
      </c>
      <c r="AD270" s="4">
        <v>7</v>
      </c>
      <c r="AE270" s="4">
        <v>7</v>
      </c>
      <c r="AF270" s="4">
        <v>2</v>
      </c>
      <c r="AG270" s="4">
        <v>2</v>
      </c>
      <c r="AH270" s="4">
        <v>1</v>
      </c>
      <c r="AI270" s="4">
        <v>1</v>
      </c>
      <c r="AJ270" s="4">
        <v>2</v>
      </c>
      <c r="AK270" s="4">
        <v>2</v>
      </c>
      <c r="AL270" s="4">
        <v>2</v>
      </c>
      <c r="AM270" s="4">
        <v>2</v>
      </c>
      <c r="AN270" s="4">
        <v>0</v>
      </c>
      <c r="AO270" s="4">
        <v>0</v>
      </c>
      <c r="AP270" s="3" t="s">
        <v>51</v>
      </c>
      <c r="AQ270" s="3" t="s">
        <v>51</v>
      </c>
      <c r="AS270" s="6" t="str">
        <f>HYPERLINK("https://creighton-primo.hosted.exlibrisgroup.com/primo-explore/search?tab=default_tab&amp;search_scope=EVERYTHING&amp;vid=01CRU&amp;lang=en_US&amp;offset=0&amp;query=any,contains,991001778409702656","Catalog Record")</f>
        <v>Catalog Record</v>
      </c>
      <c r="AT270" s="6" t="str">
        <f>HYPERLINK("http://www.worldcat.org/oclc/8033277","WorldCat Record")</f>
        <v>WorldCat Record</v>
      </c>
    </row>
    <row r="271" spans="1:46" ht="41.25" customHeight="1" x14ac:dyDescent="0.25">
      <c r="A271" s="8" t="s">
        <v>51</v>
      </c>
      <c r="B271" s="2" t="s">
        <v>1814</v>
      </c>
      <c r="C271" s="2" t="s">
        <v>1815</v>
      </c>
      <c r="D271" s="2" t="s">
        <v>1816</v>
      </c>
      <c r="F271" s="3" t="s">
        <v>51</v>
      </c>
      <c r="G271" s="3" t="s">
        <v>50</v>
      </c>
      <c r="H271" s="3" t="s">
        <v>51</v>
      </c>
      <c r="I271" s="3" t="s">
        <v>51</v>
      </c>
      <c r="J271" s="3" t="s">
        <v>52</v>
      </c>
      <c r="L271" s="2" t="s">
        <v>1817</v>
      </c>
      <c r="M271" s="3" t="s">
        <v>263</v>
      </c>
      <c r="N271" s="2" t="s">
        <v>245</v>
      </c>
      <c r="O271" s="3" t="s">
        <v>56</v>
      </c>
      <c r="P271" s="3" t="s">
        <v>87</v>
      </c>
      <c r="R271" s="3" t="s">
        <v>59</v>
      </c>
      <c r="S271" s="4">
        <v>3</v>
      </c>
      <c r="T271" s="4">
        <v>3</v>
      </c>
      <c r="U271" s="5" t="s">
        <v>1818</v>
      </c>
      <c r="V271" s="5" t="s">
        <v>1818</v>
      </c>
      <c r="W271" s="5" t="s">
        <v>1063</v>
      </c>
      <c r="X271" s="5" t="s">
        <v>1063</v>
      </c>
      <c r="Y271" s="4">
        <v>766</v>
      </c>
      <c r="Z271" s="4">
        <v>695</v>
      </c>
      <c r="AA271" s="4">
        <v>697</v>
      </c>
      <c r="AB271" s="4">
        <v>4</v>
      </c>
      <c r="AC271" s="4">
        <v>4</v>
      </c>
      <c r="AD271" s="4">
        <v>30</v>
      </c>
      <c r="AE271" s="4">
        <v>30</v>
      </c>
      <c r="AF271" s="4">
        <v>8</v>
      </c>
      <c r="AG271" s="4">
        <v>8</v>
      </c>
      <c r="AH271" s="4">
        <v>9</v>
      </c>
      <c r="AI271" s="4">
        <v>9</v>
      </c>
      <c r="AJ271" s="4">
        <v>18</v>
      </c>
      <c r="AK271" s="4">
        <v>18</v>
      </c>
      <c r="AL271" s="4">
        <v>3</v>
      </c>
      <c r="AM271" s="4">
        <v>3</v>
      </c>
      <c r="AN271" s="4">
        <v>0</v>
      </c>
      <c r="AO271" s="4">
        <v>0</v>
      </c>
      <c r="AP271" s="3" t="s">
        <v>51</v>
      </c>
      <c r="AQ271" s="3" t="s">
        <v>49</v>
      </c>
      <c r="AR271" s="6" t="str">
        <f>HYPERLINK("http://catalog.hathitrust.org/Record/000040239","HathiTrust Record")</f>
        <v>HathiTrust Record</v>
      </c>
      <c r="AS271" s="6" t="str">
        <f>HYPERLINK("https://creighton-primo.hosted.exlibrisgroup.com/primo-explore/search?tab=default_tab&amp;search_scope=EVERYTHING&amp;vid=01CRU&amp;lang=en_US&amp;offset=0&amp;query=any,contains,991003858019702656","Catalog Record")</f>
        <v>Catalog Record</v>
      </c>
      <c r="AT271" s="6" t="str">
        <f>HYPERLINK("http://www.worldcat.org/oclc/1659370","WorldCat Record")</f>
        <v>WorldCat Record</v>
      </c>
    </row>
    <row r="272" spans="1:46" ht="41.25" customHeight="1" x14ac:dyDescent="0.25">
      <c r="A272" s="8" t="s">
        <v>51</v>
      </c>
      <c r="B272" s="2" t="s">
        <v>1819</v>
      </c>
      <c r="C272" s="2" t="s">
        <v>1820</v>
      </c>
      <c r="D272" s="2" t="s">
        <v>1821</v>
      </c>
      <c r="F272" s="3" t="s">
        <v>51</v>
      </c>
      <c r="G272" s="3" t="s">
        <v>50</v>
      </c>
      <c r="H272" s="3" t="s">
        <v>49</v>
      </c>
      <c r="I272" s="3" t="s">
        <v>51</v>
      </c>
      <c r="J272" s="3" t="s">
        <v>52</v>
      </c>
      <c r="K272" s="2" t="s">
        <v>1822</v>
      </c>
      <c r="L272" s="2" t="s">
        <v>1823</v>
      </c>
      <c r="M272" s="3" t="s">
        <v>171</v>
      </c>
      <c r="O272" s="3" t="s">
        <v>56</v>
      </c>
      <c r="P272" s="3" t="s">
        <v>87</v>
      </c>
      <c r="R272" s="3" t="s">
        <v>59</v>
      </c>
      <c r="S272" s="4">
        <v>6</v>
      </c>
      <c r="T272" s="4">
        <v>11</v>
      </c>
      <c r="U272" s="5" t="s">
        <v>1800</v>
      </c>
      <c r="V272" s="5" t="s">
        <v>1800</v>
      </c>
      <c r="W272" s="5" t="s">
        <v>1824</v>
      </c>
      <c r="X272" s="5" t="s">
        <v>1824</v>
      </c>
      <c r="Y272" s="4">
        <v>947</v>
      </c>
      <c r="Z272" s="4">
        <v>870</v>
      </c>
      <c r="AA272" s="4">
        <v>887</v>
      </c>
      <c r="AB272" s="4">
        <v>7</v>
      </c>
      <c r="AC272" s="4">
        <v>7</v>
      </c>
      <c r="AD272" s="4">
        <v>25</v>
      </c>
      <c r="AE272" s="4">
        <v>25</v>
      </c>
      <c r="AF272" s="4">
        <v>11</v>
      </c>
      <c r="AG272" s="4">
        <v>11</v>
      </c>
      <c r="AH272" s="4">
        <v>5</v>
      </c>
      <c r="AI272" s="4">
        <v>5</v>
      </c>
      <c r="AJ272" s="4">
        <v>12</v>
      </c>
      <c r="AK272" s="4">
        <v>12</v>
      </c>
      <c r="AL272" s="4">
        <v>4</v>
      </c>
      <c r="AM272" s="4">
        <v>4</v>
      </c>
      <c r="AN272" s="4">
        <v>0</v>
      </c>
      <c r="AO272" s="4">
        <v>0</v>
      </c>
      <c r="AP272" s="3" t="s">
        <v>51</v>
      </c>
      <c r="AQ272" s="3" t="s">
        <v>49</v>
      </c>
      <c r="AR272" s="6" t="str">
        <f>HYPERLINK("http://catalog.hathitrust.org/Record/000037902","HathiTrust Record")</f>
        <v>HathiTrust Record</v>
      </c>
      <c r="AS272" s="6" t="str">
        <f>HYPERLINK("https://creighton-primo.hosted.exlibrisgroup.com/primo-explore/search?tab=default_tab&amp;search_scope=EVERYTHING&amp;vid=01CRU&amp;lang=en_US&amp;offset=0&amp;query=any,contains,991001777049702656","Catalog Record")</f>
        <v>Catalog Record</v>
      </c>
      <c r="AT272" s="6" t="str">
        <f>HYPERLINK("http://www.worldcat.org/oclc/4857949","WorldCat Record")</f>
        <v>WorldCat Record</v>
      </c>
    </row>
    <row r="273" spans="1:46" ht="41.25" customHeight="1" x14ac:dyDescent="0.25">
      <c r="A273" s="8" t="s">
        <v>51</v>
      </c>
      <c r="B273" s="2" t="s">
        <v>1825</v>
      </c>
      <c r="C273" s="2" t="s">
        <v>1826</v>
      </c>
      <c r="D273" s="2" t="s">
        <v>1827</v>
      </c>
      <c r="F273" s="3" t="s">
        <v>51</v>
      </c>
      <c r="G273" s="3" t="s">
        <v>50</v>
      </c>
      <c r="H273" s="3" t="s">
        <v>51</v>
      </c>
      <c r="I273" s="3" t="s">
        <v>51</v>
      </c>
      <c r="J273" s="3" t="s">
        <v>52</v>
      </c>
      <c r="L273" s="2" t="s">
        <v>1828</v>
      </c>
      <c r="M273" s="3" t="s">
        <v>271</v>
      </c>
      <c r="O273" s="3" t="s">
        <v>56</v>
      </c>
      <c r="P273" s="3" t="s">
        <v>69</v>
      </c>
      <c r="R273" s="3" t="s">
        <v>59</v>
      </c>
      <c r="S273" s="4">
        <v>23</v>
      </c>
      <c r="T273" s="4">
        <v>23</v>
      </c>
      <c r="U273" s="5" t="s">
        <v>1590</v>
      </c>
      <c r="V273" s="5" t="s">
        <v>1590</v>
      </c>
      <c r="W273" s="5" t="s">
        <v>485</v>
      </c>
      <c r="X273" s="5" t="s">
        <v>485</v>
      </c>
      <c r="Y273" s="4">
        <v>329</v>
      </c>
      <c r="Z273" s="4">
        <v>259</v>
      </c>
      <c r="AA273" s="4">
        <v>261</v>
      </c>
      <c r="AB273" s="4">
        <v>2</v>
      </c>
      <c r="AC273" s="4">
        <v>2</v>
      </c>
      <c r="AD273" s="4">
        <v>7</v>
      </c>
      <c r="AE273" s="4">
        <v>7</v>
      </c>
      <c r="AF273" s="4">
        <v>1</v>
      </c>
      <c r="AG273" s="4">
        <v>1</v>
      </c>
      <c r="AH273" s="4">
        <v>3</v>
      </c>
      <c r="AI273" s="4">
        <v>3</v>
      </c>
      <c r="AJ273" s="4">
        <v>5</v>
      </c>
      <c r="AK273" s="4">
        <v>5</v>
      </c>
      <c r="AL273" s="4">
        <v>1</v>
      </c>
      <c r="AM273" s="4">
        <v>1</v>
      </c>
      <c r="AN273" s="4">
        <v>0</v>
      </c>
      <c r="AO273" s="4">
        <v>0</v>
      </c>
      <c r="AP273" s="3" t="s">
        <v>51</v>
      </c>
      <c r="AQ273" s="3" t="s">
        <v>49</v>
      </c>
      <c r="AR273" s="6" t="str">
        <f>HYPERLINK("http://catalog.hathitrust.org/Record/004416037","HathiTrust Record")</f>
        <v>HathiTrust Record</v>
      </c>
      <c r="AS273" s="6" t="str">
        <f>HYPERLINK("https://creighton-primo.hosted.exlibrisgroup.com/primo-explore/search?tab=default_tab&amp;search_scope=EVERYTHING&amp;vid=01CRU&amp;lang=en_US&amp;offset=0&amp;query=any,contains,991004244639702656","Catalog Record")</f>
        <v>Catalog Record</v>
      </c>
      <c r="AT273" s="6" t="str">
        <f>HYPERLINK("http://www.worldcat.org/oclc/2797956","WorldCat Record")</f>
        <v>WorldCat Record</v>
      </c>
    </row>
    <row r="274" spans="1:46" ht="41.25" customHeight="1" x14ac:dyDescent="0.25">
      <c r="A274" s="8" t="s">
        <v>51</v>
      </c>
      <c r="B274" s="2" t="s">
        <v>1829</v>
      </c>
      <c r="C274" s="2" t="s">
        <v>1830</v>
      </c>
      <c r="D274" s="2" t="s">
        <v>1831</v>
      </c>
      <c r="F274" s="3" t="s">
        <v>51</v>
      </c>
      <c r="G274" s="3" t="s">
        <v>50</v>
      </c>
      <c r="H274" s="3" t="s">
        <v>51</v>
      </c>
      <c r="I274" s="3" t="s">
        <v>51</v>
      </c>
      <c r="J274" s="3" t="s">
        <v>52</v>
      </c>
      <c r="L274" s="2" t="s">
        <v>1832</v>
      </c>
      <c r="M274" s="3" t="s">
        <v>271</v>
      </c>
      <c r="O274" s="3" t="s">
        <v>56</v>
      </c>
      <c r="P274" s="3" t="s">
        <v>87</v>
      </c>
      <c r="R274" s="3" t="s">
        <v>59</v>
      </c>
      <c r="S274" s="4">
        <v>6</v>
      </c>
      <c r="T274" s="4">
        <v>6</v>
      </c>
      <c r="U274" s="5" t="s">
        <v>1833</v>
      </c>
      <c r="V274" s="5" t="s">
        <v>1833</v>
      </c>
      <c r="W274" s="5" t="s">
        <v>563</v>
      </c>
      <c r="X274" s="5" t="s">
        <v>563</v>
      </c>
      <c r="Y274" s="4">
        <v>1109</v>
      </c>
      <c r="Z274" s="4">
        <v>954</v>
      </c>
      <c r="AA274" s="4">
        <v>962</v>
      </c>
      <c r="AB274" s="4">
        <v>8</v>
      </c>
      <c r="AC274" s="4">
        <v>8</v>
      </c>
      <c r="AD274" s="4">
        <v>33</v>
      </c>
      <c r="AE274" s="4">
        <v>33</v>
      </c>
      <c r="AF274" s="4">
        <v>12</v>
      </c>
      <c r="AG274" s="4">
        <v>12</v>
      </c>
      <c r="AH274" s="4">
        <v>8</v>
      </c>
      <c r="AI274" s="4">
        <v>8</v>
      </c>
      <c r="AJ274" s="4">
        <v>13</v>
      </c>
      <c r="AK274" s="4">
        <v>13</v>
      </c>
      <c r="AL274" s="4">
        <v>7</v>
      </c>
      <c r="AM274" s="4">
        <v>7</v>
      </c>
      <c r="AN274" s="4">
        <v>3</v>
      </c>
      <c r="AO274" s="4">
        <v>3</v>
      </c>
      <c r="AP274" s="3" t="s">
        <v>51</v>
      </c>
      <c r="AQ274" s="3" t="s">
        <v>49</v>
      </c>
      <c r="AR274" s="6" t="str">
        <f>HYPERLINK("http://catalog.hathitrust.org/Record/000173445","HathiTrust Record")</f>
        <v>HathiTrust Record</v>
      </c>
      <c r="AS274" s="6" t="str">
        <f>HYPERLINK("https://creighton-primo.hosted.exlibrisgroup.com/primo-explore/search?tab=default_tab&amp;search_scope=EVERYTHING&amp;vid=01CRU&amp;lang=en_US&amp;offset=0&amp;query=any,contains,991004246569702656","Catalog Record")</f>
        <v>Catalog Record</v>
      </c>
      <c r="AT274" s="6" t="str">
        <f>HYPERLINK("http://www.worldcat.org/oclc/2798615","WorldCat Record")</f>
        <v>WorldCat Record</v>
      </c>
    </row>
    <row r="275" spans="1:46" ht="41.25" customHeight="1" x14ac:dyDescent="0.25">
      <c r="A275" s="8" t="s">
        <v>51</v>
      </c>
      <c r="B275" s="2" t="s">
        <v>1834</v>
      </c>
      <c r="C275" s="2" t="s">
        <v>1835</v>
      </c>
      <c r="D275" s="2" t="s">
        <v>1836</v>
      </c>
      <c r="F275" s="3" t="s">
        <v>51</v>
      </c>
      <c r="G275" s="3" t="s">
        <v>50</v>
      </c>
      <c r="H275" s="3" t="s">
        <v>51</v>
      </c>
      <c r="I275" s="3" t="s">
        <v>51</v>
      </c>
      <c r="J275" s="3" t="s">
        <v>52</v>
      </c>
      <c r="K275" s="2" t="s">
        <v>1837</v>
      </c>
      <c r="L275" s="2" t="s">
        <v>1838</v>
      </c>
      <c r="M275" s="3" t="s">
        <v>298</v>
      </c>
      <c r="O275" s="3" t="s">
        <v>56</v>
      </c>
      <c r="P275" s="3" t="s">
        <v>538</v>
      </c>
      <c r="Q275" s="2" t="s">
        <v>1839</v>
      </c>
      <c r="R275" s="3" t="s">
        <v>59</v>
      </c>
      <c r="S275" s="4">
        <v>10</v>
      </c>
      <c r="T275" s="4">
        <v>10</v>
      </c>
      <c r="U275" s="5" t="s">
        <v>1800</v>
      </c>
      <c r="V275" s="5" t="s">
        <v>1800</v>
      </c>
      <c r="W275" s="5" t="s">
        <v>1840</v>
      </c>
      <c r="X275" s="5" t="s">
        <v>1840</v>
      </c>
      <c r="Y275" s="4">
        <v>256</v>
      </c>
      <c r="Z275" s="4">
        <v>191</v>
      </c>
      <c r="AA275" s="4">
        <v>193</v>
      </c>
      <c r="AB275" s="4">
        <v>4</v>
      </c>
      <c r="AC275" s="4">
        <v>4</v>
      </c>
      <c r="AD275" s="4">
        <v>10</v>
      </c>
      <c r="AE275" s="4">
        <v>10</v>
      </c>
      <c r="AF275" s="4">
        <v>3</v>
      </c>
      <c r="AG275" s="4">
        <v>3</v>
      </c>
      <c r="AH275" s="4">
        <v>1</v>
      </c>
      <c r="AI275" s="4">
        <v>1</v>
      </c>
      <c r="AJ275" s="4">
        <v>4</v>
      </c>
      <c r="AK275" s="4">
        <v>4</v>
      </c>
      <c r="AL275" s="4">
        <v>3</v>
      </c>
      <c r="AM275" s="4">
        <v>3</v>
      </c>
      <c r="AN275" s="4">
        <v>0</v>
      </c>
      <c r="AO275" s="4">
        <v>0</v>
      </c>
      <c r="AP275" s="3" t="s">
        <v>51</v>
      </c>
      <c r="AQ275" s="3" t="s">
        <v>49</v>
      </c>
      <c r="AR275" s="6" t="str">
        <f>HYPERLINK("http://catalog.hathitrust.org/Record/002590038","HathiTrust Record")</f>
        <v>HathiTrust Record</v>
      </c>
      <c r="AS275" s="6" t="str">
        <f>HYPERLINK("https://creighton-primo.hosted.exlibrisgroup.com/primo-explore/search?tab=default_tab&amp;search_scope=EVERYTHING&amp;vid=01CRU&amp;lang=en_US&amp;offset=0&amp;query=any,contains,991002031429702656","Catalog Record")</f>
        <v>Catalog Record</v>
      </c>
      <c r="AT275" s="6" t="str">
        <f>HYPERLINK("http://www.worldcat.org/oclc/25870904","WorldCat Record")</f>
        <v>WorldCat Record</v>
      </c>
    </row>
    <row r="276" spans="1:46" ht="41.25" customHeight="1" x14ac:dyDescent="0.25">
      <c r="A276" s="8" t="s">
        <v>51</v>
      </c>
      <c r="B276" s="2" t="s">
        <v>1841</v>
      </c>
      <c r="C276" s="2" t="s">
        <v>1842</v>
      </c>
      <c r="D276" s="2" t="s">
        <v>1843</v>
      </c>
      <c r="F276" s="3" t="s">
        <v>51</v>
      </c>
      <c r="G276" s="3" t="s">
        <v>50</v>
      </c>
      <c r="H276" s="3" t="s">
        <v>49</v>
      </c>
      <c r="I276" s="3" t="s">
        <v>51</v>
      </c>
      <c r="J276" s="3" t="s">
        <v>52</v>
      </c>
      <c r="L276" s="2" t="s">
        <v>1844</v>
      </c>
      <c r="M276" s="3" t="s">
        <v>211</v>
      </c>
      <c r="O276" s="3" t="s">
        <v>56</v>
      </c>
      <c r="P276" s="3" t="s">
        <v>1017</v>
      </c>
      <c r="R276" s="3" t="s">
        <v>59</v>
      </c>
      <c r="S276" s="4">
        <v>6</v>
      </c>
      <c r="T276" s="4">
        <v>8</v>
      </c>
      <c r="U276" s="5" t="s">
        <v>1800</v>
      </c>
      <c r="V276" s="5" t="s">
        <v>1800</v>
      </c>
      <c r="W276" s="5" t="s">
        <v>1824</v>
      </c>
      <c r="X276" s="5" t="s">
        <v>1824</v>
      </c>
      <c r="Y276" s="4">
        <v>888</v>
      </c>
      <c r="Z276" s="4">
        <v>817</v>
      </c>
      <c r="AA276" s="4">
        <v>832</v>
      </c>
      <c r="AB276" s="4">
        <v>8</v>
      </c>
      <c r="AC276" s="4">
        <v>8</v>
      </c>
      <c r="AD276" s="4">
        <v>28</v>
      </c>
      <c r="AE276" s="4">
        <v>28</v>
      </c>
      <c r="AF276" s="4">
        <v>13</v>
      </c>
      <c r="AG276" s="4">
        <v>13</v>
      </c>
      <c r="AH276" s="4">
        <v>3</v>
      </c>
      <c r="AI276" s="4">
        <v>3</v>
      </c>
      <c r="AJ276" s="4">
        <v>14</v>
      </c>
      <c r="AK276" s="4">
        <v>14</v>
      </c>
      <c r="AL276" s="4">
        <v>5</v>
      </c>
      <c r="AM276" s="4">
        <v>5</v>
      </c>
      <c r="AN276" s="4">
        <v>0</v>
      </c>
      <c r="AO276" s="4">
        <v>0</v>
      </c>
      <c r="AP276" s="3" t="s">
        <v>51</v>
      </c>
      <c r="AQ276" s="3" t="s">
        <v>49</v>
      </c>
      <c r="AR276" s="6" t="str">
        <f>HYPERLINK("http://catalog.hathitrust.org/Record/000018748","HathiTrust Record")</f>
        <v>HathiTrust Record</v>
      </c>
      <c r="AS276" s="6" t="str">
        <f>HYPERLINK("https://creighton-primo.hosted.exlibrisgroup.com/primo-explore/search?tab=default_tab&amp;search_scope=EVERYTHING&amp;vid=01CRU&amp;lang=en_US&amp;offset=0&amp;query=any,contains,991001777019702656","Catalog Record")</f>
        <v>Catalog Record</v>
      </c>
      <c r="AT276" s="6" t="str">
        <f>HYPERLINK("http://www.worldcat.org/oclc/5333869","WorldCat Record")</f>
        <v>WorldCat Record</v>
      </c>
    </row>
    <row r="277" spans="1:46" ht="41.25" customHeight="1" x14ac:dyDescent="0.25">
      <c r="A277" s="8" t="s">
        <v>51</v>
      </c>
      <c r="B277" s="2" t="s">
        <v>1845</v>
      </c>
      <c r="C277" s="2" t="s">
        <v>1846</v>
      </c>
      <c r="D277" s="2" t="s">
        <v>1847</v>
      </c>
      <c r="F277" s="3" t="s">
        <v>51</v>
      </c>
      <c r="G277" s="3" t="s">
        <v>50</v>
      </c>
      <c r="H277" s="3" t="s">
        <v>49</v>
      </c>
      <c r="I277" s="3" t="s">
        <v>51</v>
      </c>
      <c r="J277" s="3" t="s">
        <v>52</v>
      </c>
      <c r="L277" s="2" t="s">
        <v>1848</v>
      </c>
      <c r="M277" s="3" t="s">
        <v>154</v>
      </c>
      <c r="O277" s="3" t="s">
        <v>56</v>
      </c>
      <c r="P277" s="3" t="s">
        <v>1849</v>
      </c>
      <c r="R277" s="3" t="s">
        <v>59</v>
      </c>
      <c r="S277" s="4">
        <v>9</v>
      </c>
      <c r="T277" s="4">
        <v>16</v>
      </c>
      <c r="U277" s="5" t="s">
        <v>1800</v>
      </c>
      <c r="V277" s="5" t="s">
        <v>1800</v>
      </c>
      <c r="W277" s="5" t="s">
        <v>1419</v>
      </c>
      <c r="X277" s="5" t="s">
        <v>1419</v>
      </c>
      <c r="Y277" s="4">
        <v>101</v>
      </c>
      <c r="Z277" s="4">
        <v>101</v>
      </c>
      <c r="AA277" s="4">
        <v>106</v>
      </c>
      <c r="AB277" s="4">
        <v>2</v>
      </c>
      <c r="AC277" s="4">
        <v>2</v>
      </c>
      <c r="AD277" s="4">
        <v>2</v>
      </c>
      <c r="AE277" s="4">
        <v>2</v>
      </c>
      <c r="AF277" s="4">
        <v>0</v>
      </c>
      <c r="AG277" s="4">
        <v>0</v>
      </c>
      <c r="AH277" s="4">
        <v>1</v>
      </c>
      <c r="AI277" s="4">
        <v>1</v>
      </c>
      <c r="AJ277" s="4">
        <v>1</v>
      </c>
      <c r="AK277" s="4">
        <v>1</v>
      </c>
      <c r="AL277" s="4">
        <v>0</v>
      </c>
      <c r="AM277" s="4">
        <v>0</v>
      </c>
      <c r="AN277" s="4">
        <v>0</v>
      </c>
      <c r="AO277" s="4">
        <v>0</v>
      </c>
      <c r="AP277" s="3" t="s">
        <v>51</v>
      </c>
      <c r="AQ277" s="3" t="s">
        <v>51</v>
      </c>
      <c r="AS277" s="6" t="str">
        <f>HYPERLINK("https://creighton-primo.hosted.exlibrisgroup.com/primo-explore/search?tab=default_tab&amp;search_scope=EVERYTHING&amp;vid=01CRU&amp;lang=en_US&amp;offset=0&amp;query=any,contains,991001776949702656","Catalog Record")</f>
        <v>Catalog Record</v>
      </c>
      <c r="AT277" s="6" t="str">
        <f>HYPERLINK("http://www.worldcat.org/oclc/9664332","WorldCat Record")</f>
        <v>WorldCat Record</v>
      </c>
    </row>
    <row r="278" spans="1:46" ht="41.25" customHeight="1" x14ac:dyDescent="0.25">
      <c r="A278" s="8" t="s">
        <v>51</v>
      </c>
      <c r="B278" s="2" t="s">
        <v>1850</v>
      </c>
      <c r="C278" s="2" t="s">
        <v>1851</v>
      </c>
      <c r="D278" s="2" t="s">
        <v>1852</v>
      </c>
      <c r="F278" s="3" t="s">
        <v>51</v>
      </c>
      <c r="G278" s="3" t="s">
        <v>50</v>
      </c>
      <c r="H278" s="3" t="s">
        <v>51</v>
      </c>
      <c r="I278" s="3" t="s">
        <v>51</v>
      </c>
      <c r="J278" s="3" t="s">
        <v>52</v>
      </c>
      <c r="K278" s="2" t="s">
        <v>1853</v>
      </c>
      <c r="L278" s="2" t="s">
        <v>1854</v>
      </c>
      <c r="M278" s="3" t="s">
        <v>577</v>
      </c>
      <c r="N278" s="2" t="s">
        <v>245</v>
      </c>
      <c r="O278" s="3" t="s">
        <v>56</v>
      </c>
      <c r="P278" s="3" t="s">
        <v>87</v>
      </c>
      <c r="R278" s="3" t="s">
        <v>59</v>
      </c>
      <c r="S278" s="4">
        <v>2</v>
      </c>
      <c r="T278" s="4">
        <v>2</v>
      </c>
      <c r="U278" s="5" t="s">
        <v>1792</v>
      </c>
      <c r="V278" s="5" t="s">
        <v>1792</v>
      </c>
      <c r="W278" s="5" t="s">
        <v>1855</v>
      </c>
      <c r="X278" s="5" t="s">
        <v>1855</v>
      </c>
      <c r="Y278" s="4">
        <v>1101</v>
      </c>
      <c r="Z278" s="4">
        <v>1062</v>
      </c>
      <c r="AA278" s="4">
        <v>1191</v>
      </c>
      <c r="AB278" s="4">
        <v>7</v>
      </c>
      <c r="AC278" s="4">
        <v>9</v>
      </c>
      <c r="AD278" s="4">
        <v>15</v>
      </c>
      <c r="AE278" s="4">
        <v>18</v>
      </c>
      <c r="AF278" s="4">
        <v>3</v>
      </c>
      <c r="AG278" s="4">
        <v>3</v>
      </c>
      <c r="AH278" s="4">
        <v>4</v>
      </c>
      <c r="AI278" s="4">
        <v>5</v>
      </c>
      <c r="AJ278" s="4">
        <v>6</v>
      </c>
      <c r="AK278" s="4">
        <v>7</v>
      </c>
      <c r="AL278" s="4">
        <v>4</v>
      </c>
      <c r="AM278" s="4">
        <v>5</v>
      </c>
      <c r="AN278" s="4">
        <v>0</v>
      </c>
      <c r="AO278" s="4">
        <v>0</v>
      </c>
      <c r="AP278" s="3" t="s">
        <v>51</v>
      </c>
      <c r="AQ278" s="3" t="s">
        <v>51</v>
      </c>
      <c r="AS278" s="6" t="str">
        <f>HYPERLINK("https://creighton-primo.hosted.exlibrisgroup.com/primo-explore/search?tab=default_tab&amp;search_scope=EVERYTHING&amp;vid=01CRU&amp;lang=en_US&amp;offset=0&amp;query=any,contains,991004982579702656","Catalog Record")</f>
        <v>Catalog Record</v>
      </c>
      <c r="AT278" s="6" t="str">
        <f>HYPERLINK("http://www.worldcat.org/oclc/70063095","WorldCat Record")</f>
        <v>WorldCat Record</v>
      </c>
    </row>
    <row r="279" spans="1:46" ht="41.25" customHeight="1" x14ac:dyDescent="0.25">
      <c r="A279" s="8" t="s">
        <v>51</v>
      </c>
      <c r="B279" s="2" t="s">
        <v>1856</v>
      </c>
      <c r="C279" s="2" t="s">
        <v>1857</v>
      </c>
      <c r="D279" s="2" t="s">
        <v>1858</v>
      </c>
      <c r="F279" s="3" t="s">
        <v>51</v>
      </c>
      <c r="G279" s="3" t="s">
        <v>50</v>
      </c>
      <c r="H279" s="3" t="s">
        <v>51</v>
      </c>
      <c r="I279" s="3" t="s">
        <v>51</v>
      </c>
      <c r="J279" s="3" t="s">
        <v>52</v>
      </c>
      <c r="K279" s="2" t="s">
        <v>1859</v>
      </c>
      <c r="L279" s="2" t="s">
        <v>1860</v>
      </c>
      <c r="M279" s="3" t="s">
        <v>103</v>
      </c>
      <c r="O279" s="3" t="s">
        <v>56</v>
      </c>
      <c r="P279" s="3" t="s">
        <v>87</v>
      </c>
      <c r="R279" s="3" t="s">
        <v>59</v>
      </c>
      <c r="S279" s="4">
        <v>12</v>
      </c>
      <c r="T279" s="4">
        <v>12</v>
      </c>
      <c r="U279" s="5" t="s">
        <v>1861</v>
      </c>
      <c r="V279" s="5" t="s">
        <v>1861</v>
      </c>
      <c r="W279" s="5" t="s">
        <v>1862</v>
      </c>
      <c r="X279" s="5" t="s">
        <v>1862</v>
      </c>
      <c r="Y279" s="4">
        <v>422</v>
      </c>
      <c r="Z279" s="4">
        <v>382</v>
      </c>
      <c r="AA279" s="4">
        <v>470</v>
      </c>
      <c r="AB279" s="4">
        <v>3</v>
      </c>
      <c r="AC279" s="4">
        <v>3</v>
      </c>
      <c r="AD279" s="4">
        <v>10</v>
      </c>
      <c r="AE279" s="4">
        <v>13</v>
      </c>
      <c r="AF279" s="4">
        <v>3</v>
      </c>
      <c r="AG279" s="4">
        <v>5</v>
      </c>
      <c r="AH279" s="4">
        <v>2</v>
      </c>
      <c r="AI279" s="4">
        <v>3</v>
      </c>
      <c r="AJ279" s="4">
        <v>5</v>
      </c>
      <c r="AK279" s="4">
        <v>6</v>
      </c>
      <c r="AL279" s="4">
        <v>2</v>
      </c>
      <c r="AM279" s="4">
        <v>2</v>
      </c>
      <c r="AN279" s="4">
        <v>0</v>
      </c>
      <c r="AO279" s="4">
        <v>0</v>
      </c>
      <c r="AP279" s="3" t="s">
        <v>51</v>
      </c>
      <c r="AQ279" s="3" t="s">
        <v>49</v>
      </c>
      <c r="AR279" s="6" t="str">
        <f>HYPERLINK("http://catalog.hathitrust.org/Record/000329743","HathiTrust Record")</f>
        <v>HathiTrust Record</v>
      </c>
      <c r="AS279" s="6" t="str">
        <f>HYPERLINK("https://creighton-primo.hosted.exlibrisgroup.com/primo-explore/search?tab=default_tab&amp;search_scope=EVERYTHING&amp;vid=01CRU&amp;lang=en_US&amp;offset=0&amp;query=any,contains,991000239029702656","Catalog Record")</f>
        <v>Catalog Record</v>
      </c>
      <c r="AT279" s="6" t="str">
        <f>HYPERLINK("http://www.worldcat.org/oclc/9682639","WorldCat Record")</f>
        <v>WorldCat Record</v>
      </c>
    </row>
    <row r="280" spans="1:46" ht="41.25" customHeight="1" x14ac:dyDescent="0.25">
      <c r="A280" s="8" t="s">
        <v>51</v>
      </c>
      <c r="B280" s="2" t="s">
        <v>1863</v>
      </c>
      <c r="C280" s="2" t="s">
        <v>1864</v>
      </c>
      <c r="D280" s="2" t="s">
        <v>1865</v>
      </c>
      <c r="F280" s="3" t="s">
        <v>51</v>
      </c>
      <c r="G280" s="3" t="s">
        <v>50</v>
      </c>
      <c r="H280" s="3" t="s">
        <v>51</v>
      </c>
      <c r="I280" s="3" t="s">
        <v>51</v>
      </c>
      <c r="J280" s="3" t="s">
        <v>52</v>
      </c>
      <c r="L280" s="2" t="s">
        <v>1866</v>
      </c>
      <c r="M280" s="3" t="s">
        <v>171</v>
      </c>
      <c r="O280" s="3" t="s">
        <v>56</v>
      </c>
      <c r="P280" s="3" t="s">
        <v>359</v>
      </c>
      <c r="R280" s="3" t="s">
        <v>59</v>
      </c>
      <c r="S280" s="4">
        <v>29</v>
      </c>
      <c r="T280" s="4">
        <v>29</v>
      </c>
      <c r="U280" s="5" t="s">
        <v>1867</v>
      </c>
      <c r="V280" s="5" t="s">
        <v>1867</v>
      </c>
      <c r="W280" s="5" t="s">
        <v>360</v>
      </c>
      <c r="X280" s="5" t="s">
        <v>360</v>
      </c>
      <c r="Y280" s="4">
        <v>145</v>
      </c>
      <c r="Z280" s="4">
        <v>125</v>
      </c>
      <c r="AA280" s="4">
        <v>127</v>
      </c>
      <c r="AB280" s="4">
        <v>2</v>
      </c>
      <c r="AC280" s="4">
        <v>2</v>
      </c>
      <c r="AD280" s="4">
        <v>4</v>
      </c>
      <c r="AE280" s="4">
        <v>4</v>
      </c>
      <c r="AF280" s="4">
        <v>0</v>
      </c>
      <c r="AG280" s="4">
        <v>0</v>
      </c>
      <c r="AH280" s="4">
        <v>1</v>
      </c>
      <c r="AI280" s="4">
        <v>1</v>
      </c>
      <c r="AJ280" s="4">
        <v>2</v>
      </c>
      <c r="AK280" s="4">
        <v>2</v>
      </c>
      <c r="AL280" s="4">
        <v>1</v>
      </c>
      <c r="AM280" s="4">
        <v>1</v>
      </c>
      <c r="AN280" s="4">
        <v>1</v>
      </c>
      <c r="AO280" s="4">
        <v>1</v>
      </c>
      <c r="AP280" s="3" t="s">
        <v>51</v>
      </c>
      <c r="AQ280" s="3" t="s">
        <v>49</v>
      </c>
      <c r="AR280" s="6" t="str">
        <f>HYPERLINK("http://catalog.hathitrust.org/Record/000316595","HathiTrust Record")</f>
        <v>HathiTrust Record</v>
      </c>
      <c r="AS280" s="6" t="str">
        <f>HYPERLINK("https://creighton-primo.hosted.exlibrisgroup.com/primo-explore/search?tab=default_tab&amp;search_scope=EVERYTHING&amp;vid=01CRU&amp;lang=en_US&amp;offset=0&amp;query=any,contains,991004790769702656","Catalog Record")</f>
        <v>Catalog Record</v>
      </c>
      <c r="AT280" s="6" t="str">
        <f>HYPERLINK("http://www.worldcat.org/oclc/5171076","WorldCat Record")</f>
        <v>WorldCat Record</v>
      </c>
    </row>
    <row r="281" spans="1:46" ht="41.25" customHeight="1" x14ac:dyDescent="0.25">
      <c r="A281" s="8" t="s">
        <v>51</v>
      </c>
      <c r="B281" s="2" t="s">
        <v>1868</v>
      </c>
      <c r="C281" s="2" t="s">
        <v>1869</v>
      </c>
      <c r="D281" s="2" t="s">
        <v>1870</v>
      </c>
      <c r="F281" s="3" t="s">
        <v>51</v>
      </c>
      <c r="G281" s="3" t="s">
        <v>50</v>
      </c>
      <c r="H281" s="3" t="s">
        <v>51</v>
      </c>
      <c r="I281" s="3" t="s">
        <v>51</v>
      </c>
      <c r="J281" s="3" t="s">
        <v>52</v>
      </c>
      <c r="K281" s="2" t="s">
        <v>1871</v>
      </c>
      <c r="L281" s="2" t="s">
        <v>1872</v>
      </c>
      <c r="M281" s="3" t="s">
        <v>186</v>
      </c>
      <c r="O281" s="3" t="s">
        <v>56</v>
      </c>
      <c r="P281" s="3" t="s">
        <v>87</v>
      </c>
      <c r="R281" s="3" t="s">
        <v>59</v>
      </c>
      <c r="S281" s="4">
        <v>5</v>
      </c>
      <c r="T281" s="4">
        <v>5</v>
      </c>
      <c r="U281" s="5" t="s">
        <v>1873</v>
      </c>
      <c r="V281" s="5" t="s">
        <v>1873</v>
      </c>
      <c r="W281" s="5" t="s">
        <v>1874</v>
      </c>
      <c r="X281" s="5" t="s">
        <v>1874</v>
      </c>
      <c r="Y281" s="4">
        <v>1174</v>
      </c>
      <c r="Z281" s="4">
        <v>1084</v>
      </c>
      <c r="AA281" s="4">
        <v>1091</v>
      </c>
      <c r="AB281" s="4">
        <v>8</v>
      </c>
      <c r="AC281" s="4">
        <v>8</v>
      </c>
      <c r="AD281" s="4">
        <v>28</v>
      </c>
      <c r="AE281" s="4">
        <v>28</v>
      </c>
      <c r="AF281" s="4">
        <v>10</v>
      </c>
      <c r="AG281" s="4">
        <v>10</v>
      </c>
      <c r="AH281" s="4">
        <v>6</v>
      </c>
      <c r="AI281" s="4">
        <v>6</v>
      </c>
      <c r="AJ281" s="4">
        <v>17</v>
      </c>
      <c r="AK281" s="4">
        <v>17</v>
      </c>
      <c r="AL281" s="4">
        <v>3</v>
      </c>
      <c r="AM281" s="4">
        <v>3</v>
      </c>
      <c r="AN281" s="4">
        <v>1</v>
      </c>
      <c r="AO281" s="4">
        <v>1</v>
      </c>
      <c r="AP281" s="3" t="s">
        <v>51</v>
      </c>
      <c r="AQ281" s="3" t="s">
        <v>49</v>
      </c>
      <c r="AR281" s="6" t="str">
        <f>HYPERLINK("http://catalog.hathitrust.org/Record/000160353","HathiTrust Record")</f>
        <v>HathiTrust Record</v>
      </c>
      <c r="AS281" s="6" t="str">
        <f>HYPERLINK("https://creighton-primo.hosted.exlibrisgroup.com/primo-explore/search?tab=default_tab&amp;search_scope=EVERYTHING&amp;vid=01CRU&amp;lang=en_US&amp;offset=0&amp;query=any,contains,991000185179702656","Catalog Record")</f>
        <v>Catalog Record</v>
      </c>
      <c r="AT281" s="6" t="str">
        <f>HYPERLINK("http://www.worldcat.org/oclc/9393350","WorldCat Record")</f>
        <v>WorldCat Record</v>
      </c>
    </row>
    <row r="282" spans="1:46" ht="41.25" customHeight="1" x14ac:dyDescent="0.25">
      <c r="A282" s="8" t="s">
        <v>51</v>
      </c>
      <c r="B282" s="2" t="s">
        <v>1875</v>
      </c>
      <c r="C282" s="2" t="s">
        <v>1876</v>
      </c>
      <c r="D282" s="2" t="s">
        <v>1877</v>
      </c>
      <c r="F282" s="3" t="s">
        <v>51</v>
      </c>
      <c r="G282" s="3" t="s">
        <v>50</v>
      </c>
      <c r="H282" s="3" t="s">
        <v>49</v>
      </c>
      <c r="I282" s="3" t="s">
        <v>51</v>
      </c>
      <c r="J282" s="3" t="s">
        <v>52</v>
      </c>
      <c r="K282" s="2" t="s">
        <v>1878</v>
      </c>
      <c r="L282" s="2" t="s">
        <v>1879</v>
      </c>
      <c r="M282" s="3" t="s">
        <v>271</v>
      </c>
      <c r="O282" s="3" t="s">
        <v>56</v>
      </c>
      <c r="P282" s="3" t="s">
        <v>748</v>
      </c>
      <c r="Q282" s="2" t="s">
        <v>1880</v>
      </c>
      <c r="R282" s="3" t="s">
        <v>59</v>
      </c>
      <c r="S282" s="4">
        <v>6</v>
      </c>
      <c r="T282" s="4">
        <v>13</v>
      </c>
      <c r="U282" s="5" t="s">
        <v>1881</v>
      </c>
      <c r="V282" s="5" t="s">
        <v>1882</v>
      </c>
      <c r="W282" s="5" t="s">
        <v>1528</v>
      </c>
      <c r="X282" s="5" t="s">
        <v>1528</v>
      </c>
      <c r="Y282" s="4">
        <v>954</v>
      </c>
      <c r="Z282" s="4">
        <v>820</v>
      </c>
      <c r="AA282" s="4">
        <v>835</v>
      </c>
      <c r="AB282" s="4">
        <v>9</v>
      </c>
      <c r="AC282" s="4">
        <v>9</v>
      </c>
      <c r="AD282" s="4">
        <v>31</v>
      </c>
      <c r="AE282" s="4">
        <v>33</v>
      </c>
      <c r="AF282" s="4">
        <v>11</v>
      </c>
      <c r="AG282" s="4">
        <v>12</v>
      </c>
      <c r="AH282" s="4">
        <v>5</v>
      </c>
      <c r="AI282" s="4">
        <v>6</v>
      </c>
      <c r="AJ282" s="4">
        <v>15</v>
      </c>
      <c r="AK282" s="4">
        <v>15</v>
      </c>
      <c r="AL282" s="4">
        <v>7</v>
      </c>
      <c r="AM282" s="4">
        <v>7</v>
      </c>
      <c r="AN282" s="4">
        <v>0</v>
      </c>
      <c r="AO282" s="4">
        <v>0</v>
      </c>
      <c r="AP282" s="3" t="s">
        <v>51</v>
      </c>
      <c r="AQ282" s="3" t="s">
        <v>49</v>
      </c>
      <c r="AR282" s="6" t="str">
        <f>HYPERLINK("http://catalog.hathitrust.org/Record/000735322","HathiTrust Record")</f>
        <v>HathiTrust Record</v>
      </c>
      <c r="AS282" s="6" t="str">
        <f>HYPERLINK("https://creighton-primo.hosted.exlibrisgroup.com/primo-explore/search?tab=default_tab&amp;search_scope=EVERYTHING&amp;vid=01CRU&amp;lang=en_US&amp;offset=0&amp;query=any,contains,991001799499702656","Catalog Record")</f>
        <v>Catalog Record</v>
      </c>
      <c r="AT282" s="6" t="str">
        <f>HYPERLINK("http://www.worldcat.org/oclc/2493509","WorldCat Record")</f>
        <v>WorldCat Record</v>
      </c>
    </row>
    <row r="283" spans="1:46" ht="41.25" customHeight="1" x14ac:dyDescent="0.25">
      <c r="A283" s="8" t="s">
        <v>51</v>
      </c>
      <c r="B283" s="2" t="s">
        <v>1883</v>
      </c>
      <c r="C283" s="2" t="s">
        <v>1884</v>
      </c>
      <c r="D283" s="2" t="s">
        <v>1885</v>
      </c>
      <c r="F283" s="3" t="s">
        <v>51</v>
      </c>
      <c r="G283" s="3" t="s">
        <v>50</v>
      </c>
      <c r="H283" s="3" t="s">
        <v>51</v>
      </c>
      <c r="I283" s="3" t="s">
        <v>51</v>
      </c>
      <c r="J283" s="3" t="s">
        <v>52</v>
      </c>
      <c r="L283" s="2" t="s">
        <v>1886</v>
      </c>
      <c r="M283" s="3" t="s">
        <v>389</v>
      </c>
      <c r="O283" s="3" t="s">
        <v>56</v>
      </c>
      <c r="P283" s="3" t="s">
        <v>1887</v>
      </c>
      <c r="R283" s="3" t="s">
        <v>59</v>
      </c>
      <c r="S283" s="4">
        <v>7</v>
      </c>
      <c r="T283" s="4">
        <v>7</v>
      </c>
      <c r="U283" s="5" t="s">
        <v>1785</v>
      </c>
      <c r="V283" s="5" t="s">
        <v>1785</v>
      </c>
      <c r="W283" s="5" t="s">
        <v>1888</v>
      </c>
      <c r="X283" s="5" t="s">
        <v>1888</v>
      </c>
      <c r="Y283" s="4">
        <v>23</v>
      </c>
      <c r="Z283" s="4">
        <v>23</v>
      </c>
      <c r="AA283" s="4">
        <v>24</v>
      </c>
      <c r="AB283" s="4">
        <v>1</v>
      </c>
      <c r="AC283" s="4">
        <v>1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v>0</v>
      </c>
      <c r="AL283" s="4">
        <v>0</v>
      </c>
      <c r="AM283" s="4">
        <v>0</v>
      </c>
      <c r="AN283" s="4">
        <v>0</v>
      </c>
      <c r="AO283" s="4">
        <v>0</v>
      </c>
      <c r="AP283" s="3" t="s">
        <v>51</v>
      </c>
      <c r="AQ283" s="3" t="s">
        <v>51</v>
      </c>
      <c r="AS283" s="6" t="str">
        <f>HYPERLINK("https://creighton-primo.hosted.exlibrisgroup.com/primo-explore/search?tab=default_tab&amp;search_scope=EVERYTHING&amp;vid=01CRU&amp;lang=en_US&amp;offset=0&amp;query=any,contains,991002421549702656","Catalog Record")</f>
        <v>Catalog Record</v>
      </c>
      <c r="AT283" s="6" t="str">
        <f>HYPERLINK("http://www.worldcat.org/oclc/31532125","WorldCat Record")</f>
        <v>WorldCat Record</v>
      </c>
    </row>
    <row r="284" spans="1:46" ht="41.25" customHeight="1" x14ac:dyDescent="0.25">
      <c r="A284" s="8" t="s">
        <v>51</v>
      </c>
      <c r="B284" s="2" t="s">
        <v>1889</v>
      </c>
      <c r="C284" s="2" t="s">
        <v>1890</v>
      </c>
      <c r="D284" s="2" t="s">
        <v>1891</v>
      </c>
      <c r="F284" s="3" t="s">
        <v>51</v>
      </c>
      <c r="G284" s="3" t="s">
        <v>50</v>
      </c>
      <c r="H284" s="3" t="s">
        <v>49</v>
      </c>
      <c r="I284" s="3" t="s">
        <v>51</v>
      </c>
      <c r="J284" s="3" t="s">
        <v>52</v>
      </c>
      <c r="K284" s="2" t="s">
        <v>1892</v>
      </c>
      <c r="L284" s="2" t="s">
        <v>1893</v>
      </c>
      <c r="M284" s="3" t="s">
        <v>553</v>
      </c>
      <c r="N284" s="2" t="s">
        <v>78</v>
      </c>
      <c r="O284" s="3" t="s">
        <v>56</v>
      </c>
      <c r="P284" s="3" t="s">
        <v>113</v>
      </c>
      <c r="Q284" s="2" t="s">
        <v>1705</v>
      </c>
      <c r="R284" s="3" t="s">
        <v>59</v>
      </c>
      <c r="S284" s="4">
        <v>13</v>
      </c>
      <c r="T284" s="4">
        <v>13</v>
      </c>
      <c r="U284" s="5" t="s">
        <v>1523</v>
      </c>
      <c r="V284" s="5" t="s">
        <v>1523</v>
      </c>
      <c r="W284" s="5" t="s">
        <v>1894</v>
      </c>
      <c r="X284" s="5" t="s">
        <v>1894</v>
      </c>
      <c r="Y284" s="4">
        <v>260</v>
      </c>
      <c r="Z284" s="4">
        <v>169</v>
      </c>
      <c r="AA284" s="4">
        <v>399</v>
      </c>
      <c r="AB284" s="4">
        <v>3</v>
      </c>
      <c r="AC284" s="4">
        <v>4</v>
      </c>
      <c r="AD284" s="4">
        <v>5</v>
      </c>
      <c r="AE284" s="4">
        <v>19</v>
      </c>
      <c r="AF284" s="4">
        <v>1</v>
      </c>
      <c r="AG284" s="4">
        <v>7</v>
      </c>
      <c r="AH284" s="4">
        <v>2</v>
      </c>
      <c r="AI284" s="4">
        <v>3</v>
      </c>
      <c r="AJ284" s="4">
        <v>3</v>
      </c>
      <c r="AK284" s="4">
        <v>13</v>
      </c>
      <c r="AL284" s="4">
        <v>1</v>
      </c>
      <c r="AM284" s="4">
        <v>2</v>
      </c>
      <c r="AN284" s="4">
        <v>0</v>
      </c>
      <c r="AO284" s="4">
        <v>0</v>
      </c>
      <c r="AP284" s="3" t="s">
        <v>51</v>
      </c>
      <c r="AQ284" s="3" t="s">
        <v>49</v>
      </c>
      <c r="AR284" s="6" t="str">
        <f>HYPERLINK("http://catalog.hathitrust.org/Record/001538720","HathiTrust Record")</f>
        <v>HathiTrust Record</v>
      </c>
      <c r="AS284" s="6" t="str">
        <f>HYPERLINK("https://creighton-primo.hosted.exlibrisgroup.com/primo-explore/search?tab=default_tab&amp;search_scope=EVERYTHING&amp;vid=01CRU&amp;lang=en_US&amp;offset=0&amp;query=any,contains,991001381579702656","Catalog Record")</f>
        <v>Catalog Record</v>
      </c>
      <c r="AT284" s="6" t="str">
        <f>HYPERLINK("http://www.worldcat.org/oclc/18683828","WorldCat Record")</f>
        <v>WorldCat Record</v>
      </c>
    </row>
    <row r="285" spans="1:46" ht="41.25" customHeight="1" x14ac:dyDescent="0.25">
      <c r="A285" s="8" t="s">
        <v>51</v>
      </c>
      <c r="B285" s="2" t="s">
        <v>1895</v>
      </c>
      <c r="C285" s="2" t="s">
        <v>1896</v>
      </c>
      <c r="D285" s="2" t="s">
        <v>1897</v>
      </c>
      <c r="F285" s="3" t="s">
        <v>51</v>
      </c>
      <c r="G285" s="3" t="s">
        <v>50</v>
      </c>
      <c r="H285" s="3" t="s">
        <v>51</v>
      </c>
      <c r="I285" s="3" t="s">
        <v>51</v>
      </c>
      <c r="J285" s="3" t="s">
        <v>52</v>
      </c>
      <c r="L285" s="2" t="s">
        <v>1898</v>
      </c>
      <c r="M285" s="3" t="s">
        <v>112</v>
      </c>
      <c r="O285" s="3" t="s">
        <v>56</v>
      </c>
      <c r="P285" s="3" t="s">
        <v>202</v>
      </c>
      <c r="Q285" s="2" t="s">
        <v>784</v>
      </c>
      <c r="R285" s="3" t="s">
        <v>59</v>
      </c>
      <c r="S285" s="4">
        <v>2</v>
      </c>
      <c r="T285" s="4">
        <v>2</v>
      </c>
      <c r="U285" s="5" t="s">
        <v>1590</v>
      </c>
      <c r="V285" s="5" t="s">
        <v>1590</v>
      </c>
      <c r="W285" s="5" t="s">
        <v>1899</v>
      </c>
      <c r="X285" s="5" t="s">
        <v>1899</v>
      </c>
      <c r="Y285" s="4">
        <v>173</v>
      </c>
      <c r="Z285" s="4">
        <v>145</v>
      </c>
      <c r="AA285" s="4">
        <v>147</v>
      </c>
      <c r="AB285" s="4">
        <v>2</v>
      </c>
      <c r="AC285" s="4">
        <v>2</v>
      </c>
      <c r="AD285" s="4">
        <v>3</v>
      </c>
      <c r="AE285" s="4">
        <v>3</v>
      </c>
      <c r="AF285" s="4">
        <v>0</v>
      </c>
      <c r="AG285" s="4">
        <v>0</v>
      </c>
      <c r="AH285" s="4">
        <v>1</v>
      </c>
      <c r="AI285" s="4">
        <v>1</v>
      </c>
      <c r="AJ285" s="4">
        <v>2</v>
      </c>
      <c r="AK285" s="4">
        <v>2</v>
      </c>
      <c r="AL285" s="4">
        <v>1</v>
      </c>
      <c r="AM285" s="4">
        <v>1</v>
      </c>
      <c r="AN285" s="4">
        <v>0</v>
      </c>
      <c r="AO285" s="4">
        <v>0</v>
      </c>
      <c r="AP285" s="3" t="s">
        <v>51</v>
      </c>
      <c r="AQ285" s="3" t="s">
        <v>49</v>
      </c>
      <c r="AR285" s="6" t="str">
        <f>HYPERLINK("http://catalog.hathitrust.org/Record/000153464","HathiTrust Record")</f>
        <v>HathiTrust Record</v>
      </c>
      <c r="AS285" s="6" t="str">
        <f>HYPERLINK("https://creighton-primo.hosted.exlibrisgroup.com/primo-explore/search?tab=default_tab&amp;search_scope=EVERYTHING&amp;vid=01CRU&amp;lang=en_US&amp;offset=0&amp;query=any,contains,991000383059702656","Catalog Record")</f>
        <v>Catalog Record</v>
      </c>
      <c r="AT285" s="6" t="str">
        <f>HYPERLINK("http://www.worldcat.org/oclc/10506130","WorldCat Record")</f>
        <v>WorldCat Record</v>
      </c>
    </row>
    <row r="286" spans="1:46" ht="41.25" customHeight="1" x14ac:dyDescent="0.25">
      <c r="A286" s="8" t="s">
        <v>51</v>
      </c>
      <c r="B286" s="2" t="s">
        <v>1900</v>
      </c>
      <c r="C286" s="2" t="s">
        <v>1901</v>
      </c>
      <c r="D286" s="2" t="s">
        <v>1902</v>
      </c>
      <c r="F286" s="3" t="s">
        <v>51</v>
      </c>
      <c r="G286" s="3" t="s">
        <v>50</v>
      </c>
      <c r="H286" s="3" t="s">
        <v>51</v>
      </c>
      <c r="I286" s="3" t="s">
        <v>51</v>
      </c>
      <c r="J286" s="3" t="s">
        <v>52</v>
      </c>
      <c r="K286" s="2" t="s">
        <v>1903</v>
      </c>
      <c r="L286" s="2" t="s">
        <v>783</v>
      </c>
      <c r="M286" s="3" t="s">
        <v>146</v>
      </c>
      <c r="O286" s="3" t="s">
        <v>56</v>
      </c>
      <c r="P286" s="3" t="s">
        <v>202</v>
      </c>
      <c r="Q286" s="2" t="s">
        <v>1810</v>
      </c>
      <c r="R286" s="3" t="s">
        <v>59</v>
      </c>
      <c r="S286" s="4">
        <v>6</v>
      </c>
      <c r="T286" s="4">
        <v>6</v>
      </c>
      <c r="U286" s="5" t="s">
        <v>1904</v>
      </c>
      <c r="V286" s="5" t="s">
        <v>1904</v>
      </c>
      <c r="W286" s="5" t="s">
        <v>1905</v>
      </c>
      <c r="X286" s="5" t="s">
        <v>1905</v>
      </c>
      <c r="Y286" s="4">
        <v>364</v>
      </c>
      <c r="Z286" s="4">
        <v>286</v>
      </c>
      <c r="AA286" s="4">
        <v>293</v>
      </c>
      <c r="AB286" s="4">
        <v>2</v>
      </c>
      <c r="AC286" s="4">
        <v>2</v>
      </c>
      <c r="AD286" s="4">
        <v>13</v>
      </c>
      <c r="AE286" s="4">
        <v>13</v>
      </c>
      <c r="AF286" s="4">
        <v>6</v>
      </c>
      <c r="AG286" s="4">
        <v>6</v>
      </c>
      <c r="AH286" s="4">
        <v>2</v>
      </c>
      <c r="AI286" s="4">
        <v>2</v>
      </c>
      <c r="AJ286" s="4">
        <v>8</v>
      </c>
      <c r="AK286" s="4">
        <v>8</v>
      </c>
      <c r="AL286" s="4">
        <v>1</v>
      </c>
      <c r="AM286" s="4">
        <v>1</v>
      </c>
      <c r="AN286" s="4">
        <v>0</v>
      </c>
      <c r="AO286" s="4">
        <v>0</v>
      </c>
      <c r="AP286" s="3" t="s">
        <v>51</v>
      </c>
      <c r="AQ286" s="3" t="s">
        <v>49</v>
      </c>
      <c r="AR286" s="6" t="str">
        <f>HYPERLINK("http://catalog.hathitrust.org/Record/000821763","HathiTrust Record")</f>
        <v>HathiTrust Record</v>
      </c>
      <c r="AS286" s="6" t="str">
        <f>HYPERLINK("https://creighton-primo.hosted.exlibrisgroup.com/primo-explore/search?tab=default_tab&amp;search_scope=EVERYTHING&amp;vid=01CRU&amp;lang=en_US&amp;offset=0&amp;query=any,contains,991000649679702656","Catalog Record")</f>
        <v>Catalog Record</v>
      </c>
      <c r="AT286" s="6" t="str">
        <f>HYPERLINK("http://www.worldcat.org/oclc/12161945","WorldCat Record")</f>
        <v>WorldCat Record</v>
      </c>
    </row>
    <row r="287" spans="1:46" ht="41.25" customHeight="1" x14ac:dyDescent="0.25">
      <c r="A287" s="8" t="s">
        <v>51</v>
      </c>
      <c r="B287" s="2" t="s">
        <v>1906</v>
      </c>
      <c r="C287" s="2" t="s">
        <v>1907</v>
      </c>
      <c r="D287" s="2" t="s">
        <v>1908</v>
      </c>
      <c r="F287" s="3" t="s">
        <v>51</v>
      </c>
      <c r="G287" s="3" t="s">
        <v>50</v>
      </c>
      <c r="H287" s="3" t="s">
        <v>51</v>
      </c>
      <c r="I287" s="3" t="s">
        <v>51</v>
      </c>
      <c r="J287" s="3" t="s">
        <v>52</v>
      </c>
      <c r="K287" s="2" t="s">
        <v>1909</v>
      </c>
      <c r="L287" s="2" t="s">
        <v>1910</v>
      </c>
      <c r="M287" s="3" t="s">
        <v>171</v>
      </c>
      <c r="O287" s="3" t="s">
        <v>56</v>
      </c>
      <c r="P287" s="3" t="s">
        <v>79</v>
      </c>
      <c r="R287" s="3" t="s">
        <v>59</v>
      </c>
      <c r="S287" s="4">
        <v>1</v>
      </c>
      <c r="T287" s="4">
        <v>1</v>
      </c>
      <c r="U287" s="5" t="s">
        <v>348</v>
      </c>
      <c r="V287" s="5" t="s">
        <v>348</v>
      </c>
      <c r="W287" s="5" t="s">
        <v>1911</v>
      </c>
      <c r="X287" s="5" t="s">
        <v>1911</v>
      </c>
      <c r="Y287" s="4">
        <v>402</v>
      </c>
      <c r="Z287" s="4">
        <v>389</v>
      </c>
      <c r="AA287" s="4">
        <v>395</v>
      </c>
      <c r="AB287" s="4">
        <v>3</v>
      </c>
      <c r="AC287" s="4">
        <v>3</v>
      </c>
      <c r="AD287" s="4">
        <v>10</v>
      </c>
      <c r="AE287" s="4">
        <v>10</v>
      </c>
      <c r="AF287" s="4">
        <v>4</v>
      </c>
      <c r="AG287" s="4">
        <v>4</v>
      </c>
      <c r="AH287" s="4">
        <v>1</v>
      </c>
      <c r="AI287" s="4">
        <v>1</v>
      </c>
      <c r="AJ287" s="4">
        <v>6</v>
      </c>
      <c r="AK287" s="4">
        <v>6</v>
      </c>
      <c r="AL287" s="4">
        <v>1</v>
      </c>
      <c r="AM287" s="4">
        <v>1</v>
      </c>
      <c r="AN287" s="4">
        <v>0</v>
      </c>
      <c r="AO287" s="4">
        <v>0</v>
      </c>
      <c r="AP287" s="3" t="s">
        <v>51</v>
      </c>
      <c r="AQ287" s="3" t="s">
        <v>49</v>
      </c>
      <c r="AR287" s="6" t="str">
        <f>HYPERLINK("http://catalog.hathitrust.org/Record/009915299","HathiTrust Record")</f>
        <v>HathiTrust Record</v>
      </c>
      <c r="AS287" s="6" t="str">
        <f>HYPERLINK("https://creighton-primo.hosted.exlibrisgroup.com/primo-explore/search?tab=default_tab&amp;search_scope=EVERYTHING&amp;vid=01CRU&amp;lang=en_US&amp;offset=0&amp;query=any,contains,991005028009702656","Catalog Record")</f>
        <v>Catalog Record</v>
      </c>
      <c r="AT287" s="6" t="str">
        <f>HYPERLINK("http://www.worldcat.org/oclc/6707933","WorldCat Record")</f>
        <v>WorldCat Record</v>
      </c>
    </row>
    <row r="288" spans="1:46" ht="41.25" customHeight="1" x14ac:dyDescent="0.25">
      <c r="A288" s="8" t="s">
        <v>51</v>
      </c>
      <c r="B288" s="2" t="s">
        <v>1912</v>
      </c>
      <c r="C288" s="2" t="s">
        <v>1913</v>
      </c>
      <c r="D288" s="2" t="s">
        <v>1914</v>
      </c>
      <c r="F288" s="3" t="s">
        <v>51</v>
      </c>
      <c r="G288" s="3" t="s">
        <v>50</v>
      </c>
      <c r="H288" s="3" t="s">
        <v>49</v>
      </c>
      <c r="I288" s="3" t="s">
        <v>51</v>
      </c>
      <c r="J288" s="3" t="s">
        <v>52</v>
      </c>
      <c r="K288" s="2" t="s">
        <v>1915</v>
      </c>
      <c r="L288" s="2" t="s">
        <v>1916</v>
      </c>
      <c r="M288" s="3" t="s">
        <v>1917</v>
      </c>
      <c r="N288" s="2" t="s">
        <v>1918</v>
      </c>
      <c r="O288" s="3" t="s">
        <v>56</v>
      </c>
      <c r="P288" s="3" t="s">
        <v>69</v>
      </c>
      <c r="R288" s="3" t="s">
        <v>59</v>
      </c>
      <c r="S288" s="4">
        <v>3</v>
      </c>
      <c r="T288" s="4">
        <v>5</v>
      </c>
      <c r="U288" s="5" t="s">
        <v>1919</v>
      </c>
      <c r="V288" s="5" t="s">
        <v>1919</v>
      </c>
      <c r="W288" s="5" t="s">
        <v>1920</v>
      </c>
      <c r="X288" s="5" t="s">
        <v>1920</v>
      </c>
      <c r="Y288" s="4">
        <v>14</v>
      </c>
      <c r="Z288" s="4">
        <v>12</v>
      </c>
      <c r="AA288" s="4">
        <v>65</v>
      </c>
      <c r="AB288" s="4">
        <v>2</v>
      </c>
      <c r="AC288" s="4">
        <v>3</v>
      </c>
      <c r="AD288" s="4">
        <v>3</v>
      </c>
      <c r="AE288" s="4">
        <v>11</v>
      </c>
      <c r="AF288" s="4">
        <v>0</v>
      </c>
      <c r="AG288" s="4">
        <v>1</v>
      </c>
      <c r="AH288" s="4">
        <v>1</v>
      </c>
      <c r="AI288" s="4">
        <v>3</v>
      </c>
      <c r="AJ288" s="4">
        <v>2</v>
      </c>
      <c r="AK288" s="4">
        <v>7</v>
      </c>
      <c r="AL288" s="4">
        <v>0</v>
      </c>
      <c r="AM288" s="4">
        <v>0</v>
      </c>
      <c r="AN288" s="4">
        <v>0</v>
      </c>
      <c r="AO288" s="4">
        <v>1</v>
      </c>
      <c r="AP288" s="3" t="s">
        <v>51</v>
      </c>
      <c r="AQ288" s="3" t="s">
        <v>51</v>
      </c>
      <c r="AS288" s="6" t="str">
        <f>HYPERLINK("https://creighton-primo.hosted.exlibrisgroup.com/primo-explore/search?tab=default_tab&amp;search_scope=EVERYTHING&amp;vid=01CRU&amp;lang=en_US&amp;offset=0&amp;query=any,contains,991001792239702656","Catalog Record")</f>
        <v>Catalog Record</v>
      </c>
      <c r="AT288" s="6" t="str">
        <f>HYPERLINK("http://www.worldcat.org/oclc/4355579","WorldCat Record")</f>
        <v>WorldCat Record</v>
      </c>
    </row>
    <row r="289" spans="1:46" ht="41.25" customHeight="1" x14ac:dyDescent="0.25">
      <c r="A289" s="8" t="s">
        <v>51</v>
      </c>
      <c r="B289" s="2" t="s">
        <v>1921</v>
      </c>
      <c r="C289" s="2" t="s">
        <v>1922</v>
      </c>
      <c r="D289" s="2" t="s">
        <v>1923</v>
      </c>
      <c r="F289" s="3" t="s">
        <v>51</v>
      </c>
      <c r="G289" s="3" t="s">
        <v>50</v>
      </c>
      <c r="H289" s="3" t="s">
        <v>51</v>
      </c>
      <c r="I289" s="3" t="s">
        <v>51</v>
      </c>
      <c r="J289" s="3" t="s">
        <v>52</v>
      </c>
      <c r="K289" s="2" t="s">
        <v>1924</v>
      </c>
      <c r="L289" s="2" t="s">
        <v>1925</v>
      </c>
      <c r="M289" s="3" t="s">
        <v>194</v>
      </c>
      <c r="O289" s="3" t="s">
        <v>56</v>
      </c>
      <c r="P289" s="3" t="s">
        <v>87</v>
      </c>
      <c r="R289" s="3" t="s">
        <v>59</v>
      </c>
      <c r="S289" s="4">
        <v>4</v>
      </c>
      <c r="T289" s="4">
        <v>4</v>
      </c>
      <c r="U289" s="5" t="s">
        <v>1926</v>
      </c>
      <c r="V289" s="5" t="s">
        <v>1926</v>
      </c>
      <c r="W289" s="5" t="s">
        <v>485</v>
      </c>
      <c r="X289" s="5" t="s">
        <v>485</v>
      </c>
      <c r="Y289" s="4">
        <v>168</v>
      </c>
      <c r="Z289" s="4">
        <v>132</v>
      </c>
      <c r="AA289" s="4">
        <v>145</v>
      </c>
      <c r="AB289" s="4">
        <v>2</v>
      </c>
      <c r="AC289" s="4">
        <v>2</v>
      </c>
      <c r="AD289" s="4">
        <v>3</v>
      </c>
      <c r="AE289" s="4">
        <v>4</v>
      </c>
      <c r="AF289" s="4">
        <v>0</v>
      </c>
      <c r="AG289" s="4">
        <v>1</v>
      </c>
      <c r="AH289" s="4">
        <v>2</v>
      </c>
      <c r="AI289" s="4">
        <v>2</v>
      </c>
      <c r="AJ289" s="4">
        <v>2</v>
      </c>
      <c r="AK289" s="4">
        <v>3</v>
      </c>
      <c r="AL289" s="4">
        <v>1</v>
      </c>
      <c r="AM289" s="4">
        <v>1</v>
      </c>
      <c r="AN289" s="4">
        <v>0</v>
      </c>
      <c r="AO289" s="4">
        <v>0</v>
      </c>
      <c r="AP289" s="3" t="s">
        <v>51</v>
      </c>
      <c r="AQ289" s="3" t="s">
        <v>51</v>
      </c>
      <c r="AS289" s="6" t="str">
        <f>HYPERLINK("https://creighton-primo.hosted.exlibrisgroup.com/primo-explore/search?tab=default_tab&amp;search_scope=EVERYTHING&amp;vid=01CRU&amp;lang=en_US&amp;offset=0&amp;query=any,contains,991004487909702656","Catalog Record")</f>
        <v>Catalog Record</v>
      </c>
      <c r="AT289" s="6" t="str">
        <f>HYPERLINK("http://www.worldcat.org/oclc/3649971","WorldCat Record")</f>
        <v>WorldCat Record</v>
      </c>
    </row>
    <row r="290" spans="1:46" ht="41.25" customHeight="1" x14ac:dyDescent="0.25">
      <c r="A290" s="8" t="s">
        <v>51</v>
      </c>
      <c r="B290" s="2" t="s">
        <v>1927</v>
      </c>
      <c r="C290" s="2" t="s">
        <v>1928</v>
      </c>
      <c r="D290" s="2" t="s">
        <v>1929</v>
      </c>
      <c r="F290" s="3" t="s">
        <v>51</v>
      </c>
      <c r="G290" s="3" t="s">
        <v>50</v>
      </c>
      <c r="H290" s="3" t="s">
        <v>49</v>
      </c>
      <c r="I290" s="3" t="s">
        <v>51</v>
      </c>
      <c r="J290" s="3" t="s">
        <v>52</v>
      </c>
      <c r="K290" s="2" t="s">
        <v>1930</v>
      </c>
      <c r="L290" s="2" t="s">
        <v>1931</v>
      </c>
      <c r="M290" s="3" t="s">
        <v>171</v>
      </c>
      <c r="O290" s="3" t="s">
        <v>56</v>
      </c>
      <c r="P290" s="3" t="s">
        <v>748</v>
      </c>
      <c r="R290" s="3" t="s">
        <v>59</v>
      </c>
      <c r="S290" s="4">
        <v>9</v>
      </c>
      <c r="T290" s="4">
        <v>9</v>
      </c>
      <c r="U290" s="5" t="s">
        <v>1932</v>
      </c>
      <c r="V290" s="5" t="s">
        <v>1932</v>
      </c>
      <c r="W290" s="5" t="s">
        <v>485</v>
      </c>
      <c r="X290" s="5" t="s">
        <v>485</v>
      </c>
      <c r="Y290" s="4">
        <v>451</v>
      </c>
      <c r="Z290" s="4">
        <v>384</v>
      </c>
      <c r="AA290" s="4">
        <v>388</v>
      </c>
      <c r="AB290" s="4">
        <v>5</v>
      </c>
      <c r="AC290" s="4">
        <v>5</v>
      </c>
      <c r="AD290" s="4">
        <v>20</v>
      </c>
      <c r="AE290" s="4">
        <v>20</v>
      </c>
      <c r="AF290" s="4">
        <v>2</v>
      </c>
      <c r="AG290" s="4">
        <v>2</v>
      </c>
      <c r="AH290" s="4">
        <v>2</v>
      </c>
      <c r="AI290" s="4">
        <v>2</v>
      </c>
      <c r="AJ290" s="4">
        <v>5</v>
      </c>
      <c r="AK290" s="4">
        <v>5</v>
      </c>
      <c r="AL290" s="4">
        <v>2</v>
      </c>
      <c r="AM290" s="4">
        <v>2</v>
      </c>
      <c r="AN290" s="4">
        <v>11</v>
      </c>
      <c r="AO290" s="4">
        <v>11</v>
      </c>
      <c r="AP290" s="3" t="s">
        <v>51</v>
      </c>
      <c r="AQ290" s="3" t="s">
        <v>49</v>
      </c>
      <c r="AR290" s="6" t="str">
        <f>HYPERLINK("http://catalog.hathitrust.org/Record/000029533","HathiTrust Record")</f>
        <v>HathiTrust Record</v>
      </c>
      <c r="AS290" s="6" t="str">
        <f>HYPERLINK("https://creighton-primo.hosted.exlibrisgroup.com/primo-explore/search?tab=default_tab&amp;search_scope=EVERYTHING&amp;vid=01CRU&amp;lang=en_US&amp;offset=0&amp;query=any,contains,991004825049702656","Catalog Record")</f>
        <v>Catalog Record</v>
      </c>
      <c r="AT290" s="6" t="str">
        <f>HYPERLINK("http://www.worldcat.org/oclc/5353160","WorldCat Record")</f>
        <v>WorldCat Record</v>
      </c>
    </row>
    <row r="291" spans="1:46" ht="41.25" customHeight="1" x14ac:dyDescent="0.25">
      <c r="A291" s="8" t="s">
        <v>51</v>
      </c>
      <c r="B291" s="2" t="s">
        <v>1933</v>
      </c>
      <c r="C291" s="2" t="s">
        <v>1934</v>
      </c>
      <c r="D291" s="2" t="s">
        <v>1935</v>
      </c>
      <c r="F291" s="3" t="s">
        <v>51</v>
      </c>
      <c r="G291" s="3" t="s">
        <v>50</v>
      </c>
      <c r="H291" s="3" t="s">
        <v>51</v>
      </c>
      <c r="I291" s="3" t="s">
        <v>51</v>
      </c>
      <c r="J291" s="3" t="s">
        <v>52</v>
      </c>
      <c r="K291" s="2" t="s">
        <v>1936</v>
      </c>
      <c r="L291" s="2" t="s">
        <v>1937</v>
      </c>
      <c r="M291" s="3" t="s">
        <v>186</v>
      </c>
      <c r="O291" s="3" t="s">
        <v>56</v>
      </c>
      <c r="P291" s="3" t="s">
        <v>359</v>
      </c>
      <c r="R291" s="3" t="s">
        <v>59</v>
      </c>
      <c r="S291" s="4">
        <v>9</v>
      </c>
      <c r="T291" s="4">
        <v>9</v>
      </c>
      <c r="U291" s="5" t="s">
        <v>1137</v>
      </c>
      <c r="V291" s="5" t="s">
        <v>1137</v>
      </c>
      <c r="W291" s="5" t="s">
        <v>1911</v>
      </c>
      <c r="X291" s="5" t="s">
        <v>1911</v>
      </c>
      <c r="Y291" s="4">
        <v>91</v>
      </c>
      <c r="Z291" s="4">
        <v>70</v>
      </c>
      <c r="AA291" s="4">
        <v>72</v>
      </c>
      <c r="AB291" s="4">
        <v>1</v>
      </c>
      <c r="AC291" s="4">
        <v>1</v>
      </c>
      <c r="AD291" s="4">
        <v>0</v>
      </c>
      <c r="AE291" s="4">
        <v>0</v>
      </c>
      <c r="AF291" s="4">
        <v>0</v>
      </c>
      <c r="AG291" s="4">
        <v>0</v>
      </c>
      <c r="AH291" s="4">
        <v>0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3" t="s">
        <v>51</v>
      </c>
      <c r="AQ291" s="3" t="s">
        <v>49</v>
      </c>
      <c r="AR291" s="6" t="str">
        <f>HYPERLINK("http://catalog.hathitrust.org/Record/000200612","HathiTrust Record")</f>
        <v>HathiTrust Record</v>
      </c>
      <c r="AS291" s="6" t="str">
        <f>HYPERLINK("https://creighton-primo.hosted.exlibrisgroup.com/primo-explore/search?tab=default_tab&amp;search_scope=EVERYTHING&amp;vid=01CRU&amp;lang=en_US&amp;offset=0&amp;query=any,contains,991000201969702656","Catalog Record")</f>
        <v>Catalog Record</v>
      </c>
      <c r="AT291" s="6" t="str">
        <f>HYPERLINK("http://www.worldcat.org/oclc/9465476","WorldCat Record")</f>
        <v>WorldCat Record</v>
      </c>
    </row>
    <row r="292" spans="1:46" ht="41.25" customHeight="1" x14ac:dyDescent="0.25">
      <c r="A292" s="8" t="s">
        <v>51</v>
      </c>
      <c r="B292" s="2" t="s">
        <v>1938</v>
      </c>
      <c r="C292" s="2" t="s">
        <v>1939</v>
      </c>
      <c r="D292" s="2" t="s">
        <v>1940</v>
      </c>
      <c r="F292" s="3" t="s">
        <v>51</v>
      </c>
      <c r="G292" s="3" t="s">
        <v>50</v>
      </c>
      <c r="H292" s="3" t="s">
        <v>49</v>
      </c>
      <c r="I292" s="3" t="s">
        <v>51</v>
      </c>
      <c r="J292" s="3" t="s">
        <v>52</v>
      </c>
      <c r="L292" s="2" t="s">
        <v>1941</v>
      </c>
      <c r="M292" s="3" t="s">
        <v>186</v>
      </c>
      <c r="O292" s="3" t="s">
        <v>56</v>
      </c>
      <c r="P292" s="3" t="s">
        <v>57</v>
      </c>
      <c r="Q292" s="2" t="s">
        <v>1942</v>
      </c>
      <c r="R292" s="3" t="s">
        <v>59</v>
      </c>
      <c r="S292" s="4">
        <v>6</v>
      </c>
      <c r="T292" s="4">
        <v>9</v>
      </c>
      <c r="U292" s="5" t="s">
        <v>1155</v>
      </c>
      <c r="V292" s="5" t="s">
        <v>1943</v>
      </c>
      <c r="W292" s="5" t="s">
        <v>1624</v>
      </c>
      <c r="X292" s="5" t="s">
        <v>1624</v>
      </c>
      <c r="Y292" s="4">
        <v>292</v>
      </c>
      <c r="Z292" s="4">
        <v>229</v>
      </c>
      <c r="AA292" s="4">
        <v>239</v>
      </c>
      <c r="AB292" s="4">
        <v>2</v>
      </c>
      <c r="AC292" s="4">
        <v>2</v>
      </c>
      <c r="AD292" s="4">
        <v>17</v>
      </c>
      <c r="AE292" s="4">
        <v>18</v>
      </c>
      <c r="AF292" s="4">
        <v>5</v>
      </c>
      <c r="AG292" s="4">
        <v>6</v>
      </c>
      <c r="AH292" s="4">
        <v>5</v>
      </c>
      <c r="AI292" s="4">
        <v>5</v>
      </c>
      <c r="AJ292" s="4">
        <v>12</v>
      </c>
      <c r="AK292" s="4">
        <v>13</v>
      </c>
      <c r="AL292" s="4">
        <v>0</v>
      </c>
      <c r="AM292" s="4">
        <v>0</v>
      </c>
      <c r="AN292" s="4">
        <v>1</v>
      </c>
      <c r="AO292" s="4">
        <v>1</v>
      </c>
      <c r="AP292" s="3" t="s">
        <v>51</v>
      </c>
      <c r="AQ292" s="3" t="s">
        <v>51</v>
      </c>
      <c r="AS292" s="6" t="str">
        <f>HYPERLINK("https://creighton-primo.hosted.exlibrisgroup.com/primo-explore/search?tab=default_tab&amp;search_scope=EVERYTHING&amp;vid=01CRU&amp;lang=en_US&amp;offset=0&amp;query=any,contains,991001806029702656","Catalog Record")</f>
        <v>Catalog Record</v>
      </c>
      <c r="AT292" s="6" t="str">
        <f>HYPERLINK("http://www.worldcat.org/oclc/9896299","WorldCat Record")</f>
        <v>WorldCat Record</v>
      </c>
    </row>
    <row r="293" spans="1:46" ht="41.25" customHeight="1" x14ac:dyDescent="0.25">
      <c r="A293" s="8" t="s">
        <v>51</v>
      </c>
      <c r="B293" s="2" t="s">
        <v>1944</v>
      </c>
      <c r="C293" s="2" t="s">
        <v>1945</v>
      </c>
      <c r="D293" s="2" t="s">
        <v>1946</v>
      </c>
      <c r="F293" s="3" t="s">
        <v>51</v>
      </c>
      <c r="G293" s="3" t="s">
        <v>50</v>
      </c>
      <c r="H293" s="3" t="s">
        <v>51</v>
      </c>
      <c r="I293" s="3" t="s">
        <v>51</v>
      </c>
      <c r="J293" s="3" t="s">
        <v>52</v>
      </c>
      <c r="L293" s="2" t="s">
        <v>1947</v>
      </c>
      <c r="M293" s="3" t="s">
        <v>186</v>
      </c>
      <c r="O293" s="3" t="s">
        <v>56</v>
      </c>
      <c r="P293" s="3" t="s">
        <v>113</v>
      </c>
      <c r="R293" s="3" t="s">
        <v>59</v>
      </c>
      <c r="S293" s="4">
        <v>15</v>
      </c>
      <c r="T293" s="4">
        <v>15</v>
      </c>
      <c r="U293" s="5" t="s">
        <v>1948</v>
      </c>
      <c r="V293" s="5" t="s">
        <v>1948</v>
      </c>
      <c r="W293" s="5" t="s">
        <v>1584</v>
      </c>
      <c r="X293" s="5" t="s">
        <v>1584</v>
      </c>
      <c r="Y293" s="4">
        <v>289</v>
      </c>
      <c r="Z293" s="4">
        <v>176</v>
      </c>
      <c r="AA293" s="4">
        <v>179</v>
      </c>
      <c r="AB293" s="4">
        <v>2</v>
      </c>
      <c r="AC293" s="4">
        <v>2</v>
      </c>
      <c r="AD293" s="4">
        <v>7</v>
      </c>
      <c r="AE293" s="4">
        <v>7</v>
      </c>
      <c r="AF293" s="4">
        <v>0</v>
      </c>
      <c r="AG293" s="4">
        <v>0</v>
      </c>
      <c r="AH293" s="4">
        <v>1</v>
      </c>
      <c r="AI293" s="4">
        <v>1</v>
      </c>
      <c r="AJ293" s="4">
        <v>6</v>
      </c>
      <c r="AK293" s="4">
        <v>6</v>
      </c>
      <c r="AL293" s="4">
        <v>1</v>
      </c>
      <c r="AM293" s="4">
        <v>1</v>
      </c>
      <c r="AN293" s="4">
        <v>0</v>
      </c>
      <c r="AO293" s="4">
        <v>0</v>
      </c>
      <c r="AP293" s="3" t="s">
        <v>51</v>
      </c>
      <c r="AQ293" s="3" t="s">
        <v>49</v>
      </c>
      <c r="AR293" s="6" t="str">
        <f>HYPERLINK("http://catalog.hathitrust.org/Record/000196939","HathiTrust Record")</f>
        <v>HathiTrust Record</v>
      </c>
      <c r="AS293" s="6" t="str">
        <f>HYPERLINK("https://creighton-primo.hosted.exlibrisgroup.com/primo-explore/search?tab=default_tab&amp;search_scope=EVERYTHING&amp;vid=01CRU&amp;lang=en_US&amp;offset=0&amp;query=any,contains,991000210409702656","Catalog Record")</f>
        <v>Catalog Record</v>
      </c>
      <c r="AT293" s="6" t="str">
        <f>HYPERLINK("http://www.worldcat.org/oclc/9534669","WorldCat Record")</f>
        <v>WorldCat Record</v>
      </c>
    </row>
    <row r="294" spans="1:46" ht="41.25" customHeight="1" x14ac:dyDescent="0.25">
      <c r="A294" s="8" t="s">
        <v>51</v>
      </c>
      <c r="B294" s="2" t="s">
        <v>1949</v>
      </c>
      <c r="C294" s="2" t="s">
        <v>1950</v>
      </c>
      <c r="D294" s="2" t="s">
        <v>1951</v>
      </c>
      <c r="F294" s="3" t="s">
        <v>51</v>
      </c>
      <c r="G294" s="3" t="s">
        <v>50</v>
      </c>
      <c r="H294" s="3" t="s">
        <v>51</v>
      </c>
      <c r="I294" s="3" t="s">
        <v>51</v>
      </c>
      <c r="J294" s="3" t="s">
        <v>52</v>
      </c>
      <c r="K294" s="2" t="s">
        <v>1952</v>
      </c>
      <c r="L294" s="2" t="s">
        <v>1953</v>
      </c>
      <c r="M294" s="3" t="s">
        <v>313</v>
      </c>
      <c r="O294" s="3" t="s">
        <v>56</v>
      </c>
      <c r="P294" s="3" t="s">
        <v>359</v>
      </c>
      <c r="R294" s="3" t="s">
        <v>59</v>
      </c>
      <c r="S294" s="4">
        <v>5</v>
      </c>
      <c r="T294" s="4">
        <v>5</v>
      </c>
      <c r="U294" s="5" t="s">
        <v>1948</v>
      </c>
      <c r="V294" s="5" t="s">
        <v>1948</v>
      </c>
      <c r="W294" s="5" t="s">
        <v>1954</v>
      </c>
      <c r="X294" s="5" t="s">
        <v>1954</v>
      </c>
      <c r="Y294" s="4">
        <v>201</v>
      </c>
      <c r="Z294" s="4">
        <v>167</v>
      </c>
      <c r="AA294" s="4">
        <v>169</v>
      </c>
      <c r="AB294" s="4">
        <v>2</v>
      </c>
      <c r="AC294" s="4">
        <v>2</v>
      </c>
      <c r="AD294" s="4">
        <v>5</v>
      </c>
      <c r="AE294" s="4">
        <v>5</v>
      </c>
      <c r="AF294" s="4">
        <v>2</v>
      </c>
      <c r="AG294" s="4">
        <v>2</v>
      </c>
      <c r="AH294" s="4">
        <v>1</v>
      </c>
      <c r="AI294" s="4">
        <v>1</v>
      </c>
      <c r="AJ294" s="4">
        <v>3</v>
      </c>
      <c r="AK294" s="4">
        <v>3</v>
      </c>
      <c r="AL294" s="4">
        <v>1</v>
      </c>
      <c r="AM294" s="4">
        <v>1</v>
      </c>
      <c r="AN294" s="4">
        <v>0</v>
      </c>
      <c r="AO294" s="4">
        <v>0</v>
      </c>
      <c r="AP294" s="3" t="s">
        <v>51</v>
      </c>
      <c r="AQ294" s="3" t="s">
        <v>49</v>
      </c>
      <c r="AR294" s="6" t="str">
        <f>HYPERLINK("http://catalog.hathitrust.org/Record/001588216","HathiTrust Record")</f>
        <v>HathiTrust Record</v>
      </c>
      <c r="AS294" s="6" t="str">
        <f>HYPERLINK("https://creighton-primo.hosted.exlibrisgroup.com/primo-explore/search?tab=default_tab&amp;search_scope=EVERYTHING&amp;vid=01CRU&amp;lang=en_US&amp;offset=0&amp;query=any,contains,991003165359702656","Catalog Record")</f>
        <v>Catalog Record</v>
      </c>
      <c r="AT294" s="6" t="str">
        <f>HYPERLINK("http://www.worldcat.org/oclc/703096","WorldCat Record")</f>
        <v>WorldCat Record</v>
      </c>
    </row>
    <row r="295" spans="1:46" ht="41.25" customHeight="1" x14ac:dyDescent="0.25">
      <c r="A295" s="8" t="s">
        <v>51</v>
      </c>
      <c r="B295" s="2" t="s">
        <v>1955</v>
      </c>
      <c r="C295" s="2" t="s">
        <v>1956</v>
      </c>
      <c r="D295" s="2" t="s">
        <v>1957</v>
      </c>
      <c r="F295" s="3" t="s">
        <v>51</v>
      </c>
      <c r="G295" s="3" t="s">
        <v>50</v>
      </c>
      <c r="H295" s="3" t="s">
        <v>49</v>
      </c>
      <c r="I295" s="3" t="s">
        <v>51</v>
      </c>
      <c r="J295" s="3" t="s">
        <v>52</v>
      </c>
      <c r="L295" s="2" t="s">
        <v>1958</v>
      </c>
      <c r="M295" s="3" t="s">
        <v>146</v>
      </c>
      <c r="O295" s="3" t="s">
        <v>56</v>
      </c>
      <c r="P295" s="3" t="s">
        <v>79</v>
      </c>
      <c r="Q295" s="2" t="s">
        <v>1959</v>
      </c>
      <c r="R295" s="3" t="s">
        <v>59</v>
      </c>
      <c r="S295" s="4">
        <v>13</v>
      </c>
      <c r="T295" s="4">
        <v>13</v>
      </c>
      <c r="U295" s="5" t="s">
        <v>1737</v>
      </c>
      <c r="V295" s="5" t="s">
        <v>1737</v>
      </c>
      <c r="W295" s="5" t="s">
        <v>1584</v>
      </c>
      <c r="X295" s="5" t="s">
        <v>1584</v>
      </c>
      <c r="Y295" s="4">
        <v>271</v>
      </c>
      <c r="Z295" s="4">
        <v>214</v>
      </c>
      <c r="AA295" s="4">
        <v>221</v>
      </c>
      <c r="AB295" s="4">
        <v>2</v>
      </c>
      <c r="AC295" s="4">
        <v>2</v>
      </c>
      <c r="AD295" s="4">
        <v>10</v>
      </c>
      <c r="AE295" s="4">
        <v>10</v>
      </c>
      <c r="AF295" s="4">
        <v>3</v>
      </c>
      <c r="AG295" s="4">
        <v>3</v>
      </c>
      <c r="AH295" s="4">
        <v>5</v>
      </c>
      <c r="AI295" s="4">
        <v>5</v>
      </c>
      <c r="AJ295" s="4">
        <v>8</v>
      </c>
      <c r="AK295" s="4">
        <v>8</v>
      </c>
      <c r="AL295" s="4">
        <v>0</v>
      </c>
      <c r="AM295" s="4">
        <v>0</v>
      </c>
      <c r="AN295" s="4">
        <v>0</v>
      </c>
      <c r="AO295" s="4">
        <v>0</v>
      </c>
      <c r="AP295" s="3" t="s">
        <v>51</v>
      </c>
      <c r="AQ295" s="3" t="s">
        <v>49</v>
      </c>
      <c r="AR295" s="6" t="str">
        <f>HYPERLINK("http://catalog.hathitrust.org/Record/000811226","HathiTrust Record")</f>
        <v>HathiTrust Record</v>
      </c>
      <c r="AS295" s="6" t="str">
        <f>HYPERLINK("https://creighton-primo.hosted.exlibrisgroup.com/primo-explore/search?tab=default_tab&amp;search_scope=EVERYTHING&amp;vid=01CRU&amp;lang=en_US&amp;offset=0&amp;query=any,contains,991000871489702656","Catalog Record")</f>
        <v>Catalog Record</v>
      </c>
      <c r="AT295" s="6" t="str">
        <f>HYPERLINK("http://www.worldcat.org/oclc/13793062","WorldCat Record")</f>
        <v>WorldCat Record</v>
      </c>
    </row>
    <row r="296" spans="1:46" ht="41.25" customHeight="1" x14ac:dyDescent="0.25">
      <c r="A296" s="8" t="s">
        <v>51</v>
      </c>
      <c r="B296" s="2" t="s">
        <v>1960</v>
      </c>
      <c r="C296" s="2" t="s">
        <v>1961</v>
      </c>
      <c r="D296" s="2" t="s">
        <v>1962</v>
      </c>
      <c r="F296" s="3" t="s">
        <v>51</v>
      </c>
      <c r="G296" s="3" t="s">
        <v>50</v>
      </c>
      <c r="H296" s="3" t="s">
        <v>51</v>
      </c>
      <c r="I296" s="3" t="s">
        <v>51</v>
      </c>
      <c r="J296" s="3" t="s">
        <v>52</v>
      </c>
      <c r="K296" s="2" t="s">
        <v>1963</v>
      </c>
      <c r="L296" s="2" t="s">
        <v>1964</v>
      </c>
      <c r="M296" s="3" t="s">
        <v>171</v>
      </c>
      <c r="N296" s="2" t="s">
        <v>245</v>
      </c>
      <c r="O296" s="3" t="s">
        <v>56</v>
      </c>
      <c r="P296" s="3" t="s">
        <v>87</v>
      </c>
      <c r="R296" s="3" t="s">
        <v>59</v>
      </c>
      <c r="S296" s="4">
        <v>6</v>
      </c>
      <c r="T296" s="4">
        <v>6</v>
      </c>
      <c r="U296" s="5" t="s">
        <v>1137</v>
      </c>
      <c r="V296" s="5" t="s">
        <v>1137</v>
      </c>
      <c r="W296" s="5" t="s">
        <v>806</v>
      </c>
      <c r="X296" s="5" t="s">
        <v>806</v>
      </c>
      <c r="Y296" s="4">
        <v>292</v>
      </c>
      <c r="Z296" s="4">
        <v>278</v>
      </c>
      <c r="AA296" s="4">
        <v>286</v>
      </c>
      <c r="AB296" s="4">
        <v>5</v>
      </c>
      <c r="AC296" s="4">
        <v>5</v>
      </c>
      <c r="AD296" s="4">
        <v>11</v>
      </c>
      <c r="AE296" s="4">
        <v>11</v>
      </c>
      <c r="AF296" s="4">
        <v>3</v>
      </c>
      <c r="AG296" s="4">
        <v>3</v>
      </c>
      <c r="AH296" s="4">
        <v>0</v>
      </c>
      <c r="AI296" s="4">
        <v>0</v>
      </c>
      <c r="AJ296" s="4">
        <v>8</v>
      </c>
      <c r="AK296" s="4">
        <v>8</v>
      </c>
      <c r="AL296" s="4">
        <v>3</v>
      </c>
      <c r="AM296" s="4">
        <v>3</v>
      </c>
      <c r="AN296" s="4">
        <v>0</v>
      </c>
      <c r="AO296" s="4">
        <v>0</v>
      </c>
      <c r="AP296" s="3" t="s">
        <v>51</v>
      </c>
      <c r="AQ296" s="3" t="s">
        <v>49</v>
      </c>
      <c r="AR296" s="6" t="str">
        <f>HYPERLINK("http://catalog.hathitrust.org/Record/000181991","HathiTrust Record")</f>
        <v>HathiTrust Record</v>
      </c>
      <c r="AS296" s="6" t="str">
        <f>HYPERLINK("https://creighton-primo.hosted.exlibrisgroup.com/primo-explore/search?tab=default_tab&amp;search_scope=EVERYTHING&amp;vid=01CRU&amp;lang=en_US&amp;offset=0&amp;query=any,contains,991004986009702656","Catalog Record")</f>
        <v>Catalog Record</v>
      </c>
      <c r="AT296" s="6" t="str">
        <f>HYPERLINK("http://www.worldcat.org/oclc/6448318","WorldCat Record")</f>
        <v>WorldCat Record</v>
      </c>
    </row>
    <row r="297" spans="1:46" ht="41.25" customHeight="1" x14ac:dyDescent="0.25">
      <c r="A297" s="8" t="s">
        <v>51</v>
      </c>
      <c r="B297" s="2" t="s">
        <v>1965</v>
      </c>
      <c r="C297" s="2" t="s">
        <v>1966</v>
      </c>
      <c r="D297" s="2" t="s">
        <v>1967</v>
      </c>
      <c r="F297" s="3" t="s">
        <v>51</v>
      </c>
      <c r="G297" s="3" t="s">
        <v>50</v>
      </c>
      <c r="H297" s="3" t="s">
        <v>51</v>
      </c>
      <c r="I297" s="3" t="s">
        <v>51</v>
      </c>
      <c r="J297" s="3" t="s">
        <v>52</v>
      </c>
      <c r="K297" s="2" t="s">
        <v>1968</v>
      </c>
      <c r="L297" s="2" t="s">
        <v>1969</v>
      </c>
      <c r="M297" s="3" t="s">
        <v>858</v>
      </c>
      <c r="O297" s="3" t="s">
        <v>56</v>
      </c>
      <c r="P297" s="3" t="s">
        <v>1970</v>
      </c>
      <c r="R297" s="3" t="s">
        <v>59</v>
      </c>
      <c r="S297" s="4">
        <v>7</v>
      </c>
      <c r="T297" s="4">
        <v>7</v>
      </c>
      <c r="U297" s="5" t="s">
        <v>1251</v>
      </c>
      <c r="V297" s="5" t="s">
        <v>1251</v>
      </c>
      <c r="W297" s="5" t="s">
        <v>1971</v>
      </c>
      <c r="X297" s="5" t="s">
        <v>1971</v>
      </c>
      <c r="Y297" s="4">
        <v>40</v>
      </c>
      <c r="Z297" s="4">
        <v>34</v>
      </c>
      <c r="AA297" s="4">
        <v>36</v>
      </c>
      <c r="AB297" s="4">
        <v>1</v>
      </c>
      <c r="AC297" s="4">
        <v>1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4">
        <v>0</v>
      </c>
      <c r="AJ297" s="4">
        <v>0</v>
      </c>
      <c r="AK297" s="4">
        <v>0</v>
      </c>
      <c r="AL297" s="4">
        <v>0</v>
      </c>
      <c r="AM297" s="4">
        <v>0</v>
      </c>
      <c r="AN297" s="4">
        <v>0</v>
      </c>
      <c r="AO297" s="4">
        <v>0</v>
      </c>
      <c r="AP297" s="3" t="s">
        <v>51</v>
      </c>
      <c r="AQ297" s="3" t="s">
        <v>49</v>
      </c>
      <c r="AR297" s="6" t="str">
        <f>HYPERLINK("http://catalog.hathitrust.org/Record/004029698","HathiTrust Record")</f>
        <v>HathiTrust Record</v>
      </c>
      <c r="AS297" s="6" t="str">
        <f>HYPERLINK("https://creighton-primo.hosted.exlibrisgroup.com/primo-explore/search?tab=default_tab&amp;search_scope=EVERYTHING&amp;vid=01CRU&amp;lang=en_US&amp;offset=0&amp;query=any,contains,991003727669702656","Catalog Record")</f>
        <v>Catalog Record</v>
      </c>
      <c r="AT297" s="6" t="str">
        <f>HYPERLINK("http://www.worldcat.org/oclc/40019175","WorldCat Record")</f>
        <v>WorldCat Record</v>
      </c>
    </row>
    <row r="298" spans="1:46" ht="41.25" customHeight="1" x14ac:dyDescent="0.25">
      <c r="A298" s="8" t="s">
        <v>51</v>
      </c>
      <c r="B298" s="2" t="s">
        <v>1972</v>
      </c>
      <c r="C298" s="2" t="s">
        <v>1973</v>
      </c>
      <c r="D298" s="2" t="s">
        <v>1974</v>
      </c>
      <c r="F298" s="3" t="s">
        <v>51</v>
      </c>
      <c r="G298" s="3" t="s">
        <v>50</v>
      </c>
      <c r="H298" s="3" t="s">
        <v>51</v>
      </c>
      <c r="I298" s="3" t="s">
        <v>51</v>
      </c>
      <c r="J298" s="3" t="s">
        <v>52</v>
      </c>
      <c r="K298" s="2" t="s">
        <v>1975</v>
      </c>
      <c r="L298" s="2" t="s">
        <v>1976</v>
      </c>
      <c r="M298" s="3" t="s">
        <v>644</v>
      </c>
      <c r="O298" s="3" t="s">
        <v>56</v>
      </c>
      <c r="P298" s="3" t="s">
        <v>1977</v>
      </c>
      <c r="Q298" s="2" t="s">
        <v>1978</v>
      </c>
      <c r="R298" s="3" t="s">
        <v>59</v>
      </c>
      <c r="S298" s="4">
        <v>4</v>
      </c>
      <c r="T298" s="4">
        <v>4</v>
      </c>
      <c r="U298" s="5" t="s">
        <v>1979</v>
      </c>
      <c r="V298" s="5" t="s">
        <v>1979</v>
      </c>
      <c r="W298" s="5" t="s">
        <v>1980</v>
      </c>
      <c r="X298" s="5" t="s">
        <v>1980</v>
      </c>
      <c r="Y298" s="4">
        <v>134</v>
      </c>
      <c r="Z298" s="4">
        <v>113</v>
      </c>
      <c r="AA298" s="4">
        <v>115</v>
      </c>
      <c r="AB298" s="4">
        <v>1</v>
      </c>
      <c r="AC298" s="4">
        <v>1</v>
      </c>
      <c r="AD298" s="4">
        <v>9</v>
      </c>
      <c r="AE298" s="4">
        <v>9</v>
      </c>
      <c r="AF298" s="4">
        <v>2</v>
      </c>
      <c r="AG298" s="4">
        <v>2</v>
      </c>
      <c r="AH298" s="4">
        <v>4</v>
      </c>
      <c r="AI298" s="4">
        <v>4</v>
      </c>
      <c r="AJ298" s="4">
        <v>6</v>
      </c>
      <c r="AK298" s="4">
        <v>6</v>
      </c>
      <c r="AL298" s="4">
        <v>0</v>
      </c>
      <c r="AM298" s="4">
        <v>0</v>
      </c>
      <c r="AN298" s="4">
        <v>0</v>
      </c>
      <c r="AO298" s="4">
        <v>0</v>
      </c>
      <c r="AP298" s="3" t="s">
        <v>51</v>
      </c>
      <c r="AQ298" s="3" t="s">
        <v>49</v>
      </c>
      <c r="AR298" s="6" t="str">
        <f>HYPERLINK("http://catalog.hathitrust.org/Record/102011820","HathiTrust Record")</f>
        <v>HathiTrust Record</v>
      </c>
      <c r="AS298" s="6" t="str">
        <f>HYPERLINK("https://creighton-primo.hosted.exlibrisgroup.com/primo-explore/search?tab=default_tab&amp;search_scope=EVERYTHING&amp;vid=01CRU&amp;lang=en_US&amp;offset=0&amp;query=any,contains,991003472419702656","Catalog Record")</f>
        <v>Catalog Record</v>
      </c>
      <c r="AT298" s="6" t="str">
        <f>HYPERLINK("http://www.worldcat.org/oclc/42761859","WorldCat Record")</f>
        <v>WorldCat Record</v>
      </c>
    </row>
    <row r="299" spans="1:46" ht="41.25" customHeight="1" x14ac:dyDescent="0.25">
      <c r="A299" s="8" t="s">
        <v>51</v>
      </c>
      <c r="B299" s="2" t="s">
        <v>1981</v>
      </c>
      <c r="C299" s="2" t="s">
        <v>1982</v>
      </c>
      <c r="D299" s="2" t="s">
        <v>1983</v>
      </c>
      <c r="F299" s="3" t="s">
        <v>51</v>
      </c>
      <c r="G299" s="3" t="s">
        <v>50</v>
      </c>
      <c r="H299" s="3" t="s">
        <v>51</v>
      </c>
      <c r="I299" s="3" t="s">
        <v>51</v>
      </c>
      <c r="J299" s="3" t="s">
        <v>52</v>
      </c>
      <c r="K299" s="2" t="s">
        <v>1984</v>
      </c>
      <c r="L299" s="2" t="s">
        <v>1985</v>
      </c>
      <c r="M299" s="3" t="s">
        <v>218</v>
      </c>
      <c r="N299" s="2" t="s">
        <v>245</v>
      </c>
      <c r="O299" s="3" t="s">
        <v>56</v>
      </c>
      <c r="P299" s="3" t="s">
        <v>359</v>
      </c>
      <c r="Q299" s="2" t="s">
        <v>1986</v>
      </c>
      <c r="R299" s="3" t="s">
        <v>59</v>
      </c>
      <c r="S299" s="4">
        <v>1</v>
      </c>
      <c r="T299" s="4">
        <v>1</v>
      </c>
      <c r="U299" s="5" t="s">
        <v>1987</v>
      </c>
      <c r="V299" s="5" t="s">
        <v>1987</v>
      </c>
      <c r="W299" s="5" t="s">
        <v>485</v>
      </c>
      <c r="X299" s="5" t="s">
        <v>485</v>
      </c>
      <c r="Y299" s="4">
        <v>20</v>
      </c>
      <c r="Z299" s="4">
        <v>19</v>
      </c>
      <c r="AA299" s="4">
        <v>34</v>
      </c>
      <c r="AB299" s="4">
        <v>1</v>
      </c>
      <c r="AC299" s="4">
        <v>2</v>
      </c>
      <c r="AD299" s="4">
        <v>0</v>
      </c>
      <c r="AE299" s="4">
        <v>2</v>
      </c>
      <c r="AF299" s="4">
        <v>0</v>
      </c>
      <c r="AG299" s="4">
        <v>0</v>
      </c>
      <c r="AH299" s="4">
        <v>0</v>
      </c>
      <c r="AI299" s="4">
        <v>0</v>
      </c>
      <c r="AJ299" s="4">
        <v>0</v>
      </c>
      <c r="AK299" s="4">
        <v>1</v>
      </c>
      <c r="AL299" s="4">
        <v>0</v>
      </c>
      <c r="AM299" s="4">
        <v>1</v>
      </c>
      <c r="AN299" s="4">
        <v>0</v>
      </c>
      <c r="AO299" s="4">
        <v>0</v>
      </c>
      <c r="AP299" s="3" t="s">
        <v>51</v>
      </c>
      <c r="AQ299" s="3" t="s">
        <v>51</v>
      </c>
      <c r="AS299" s="6" t="str">
        <f>HYPERLINK("https://creighton-primo.hosted.exlibrisgroup.com/primo-explore/search?tab=default_tab&amp;search_scope=EVERYTHING&amp;vid=01CRU&amp;lang=en_US&amp;offset=0&amp;query=any,contains,991004315089702656","Catalog Record")</f>
        <v>Catalog Record</v>
      </c>
      <c r="AT299" s="6" t="str">
        <f>HYPERLINK("http://www.worldcat.org/oclc/3003482","WorldCat Record")</f>
        <v>WorldCat Record</v>
      </c>
    </row>
    <row r="300" spans="1:46" ht="41.25" customHeight="1" x14ac:dyDescent="0.25">
      <c r="A300" s="8" t="s">
        <v>51</v>
      </c>
      <c r="B300" s="2" t="s">
        <v>1988</v>
      </c>
      <c r="C300" s="2" t="s">
        <v>1989</v>
      </c>
      <c r="D300" s="2" t="s">
        <v>1990</v>
      </c>
      <c r="F300" s="3" t="s">
        <v>51</v>
      </c>
      <c r="G300" s="3" t="s">
        <v>50</v>
      </c>
      <c r="H300" s="3" t="s">
        <v>49</v>
      </c>
      <c r="I300" s="3" t="s">
        <v>51</v>
      </c>
      <c r="J300" s="3" t="s">
        <v>52</v>
      </c>
      <c r="L300" s="2" t="s">
        <v>1991</v>
      </c>
      <c r="M300" s="3" t="s">
        <v>424</v>
      </c>
      <c r="O300" s="3" t="s">
        <v>56</v>
      </c>
      <c r="P300" s="3" t="s">
        <v>359</v>
      </c>
      <c r="R300" s="3" t="s">
        <v>59</v>
      </c>
      <c r="S300" s="4">
        <v>12</v>
      </c>
      <c r="T300" s="4">
        <v>12</v>
      </c>
      <c r="U300" s="5" t="s">
        <v>1737</v>
      </c>
      <c r="V300" s="5" t="s">
        <v>1737</v>
      </c>
      <c r="W300" s="5" t="s">
        <v>1584</v>
      </c>
      <c r="X300" s="5" t="s">
        <v>1584</v>
      </c>
      <c r="Y300" s="4">
        <v>195</v>
      </c>
      <c r="Z300" s="4">
        <v>175</v>
      </c>
      <c r="AA300" s="4">
        <v>177</v>
      </c>
      <c r="AB300" s="4">
        <v>3</v>
      </c>
      <c r="AC300" s="4">
        <v>3</v>
      </c>
      <c r="AD300" s="4">
        <v>3</v>
      </c>
      <c r="AE300" s="4">
        <v>3</v>
      </c>
      <c r="AF300" s="4">
        <v>0</v>
      </c>
      <c r="AG300" s="4">
        <v>0</v>
      </c>
      <c r="AH300" s="4">
        <v>1</v>
      </c>
      <c r="AI300" s="4">
        <v>1</v>
      </c>
      <c r="AJ300" s="4">
        <v>1</v>
      </c>
      <c r="AK300" s="4">
        <v>1</v>
      </c>
      <c r="AL300" s="4">
        <v>1</v>
      </c>
      <c r="AM300" s="4">
        <v>1</v>
      </c>
      <c r="AN300" s="4">
        <v>0</v>
      </c>
      <c r="AO300" s="4">
        <v>0</v>
      </c>
      <c r="AP300" s="3" t="s">
        <v>51</v>
      </c>
      <c r="AQ300" s="3" t="s">
        <v>49</v>
      </c>
      <c r="AR300" s="6" t="str">
        <f>HYPERLINK("http://catalog.hathitrust.org/Record/004416345","HathiTrust Record")</f>
        <v>HathiTrust Record</v>
      </c>
      <c r="AS300" s="6" t="str">
        <f>HYPERLINK("https://creighton-primo.hosted.exlibrisgroup.com/primo-explore/search?tab=default_tab&amp;search_scope=EVERYTHING&amp;vid=01CRU&amp;lang=en_US&amp;offset=0&amp;query=any,contains,991005070179702656","Catalog Record")</f>
        <v>Catalog Record</v>
      </c>
      <c r="AT300" s="6" t="str">
        <f>HYPERLINK("http://www.worldcat.org/oclc/7007053","WorldCat Record")</f>
        <v>WorldCat Record</v>
      </c>
    </row>
    <row r="301" spans="1:46" ht="41.25" customHeight="1" x14ac:dyDescent="0.25">
      <c r="A301" s="8" t="s">
        <v>51</v>
      </c>
      <c r="B301" s="2" t="s">
        <v>1992</v>
      </c>
      <c r="C301" s="2" t="s">
        <v>1993</v>
      </c>
      <c r="D301" s="2" t="s">
        <v>1994</v>
      </c>
      <c r="F301" s="3" t="s">
        <v>51</v>
      </c>
      <c r="G301" s="3" t="s">
        <v>50</v>
      </c>
      <c r="H301" s="3" t="s">
        <v>51</v>
      </c>
      <c r="I301" s="3" t="s">
        <v>51</v>
      </c>
      <c r="J301" s="3" t="s">
        <v>52</v>
      </c>
      <c r="K301" s="2" t="s">
        <v>1995</v>
      </c>
      <c r="L301" s="2" t="s">
        <v>1996</v>
      </c>
      <c r="M301" s="3" t="s">
        <v>424</v>
      </c>
      <c r="O301" s="3" t="s">
        <v>56</v>
      </c>
      <c r="P301" s="3" t="s">
        <v>1997</v>
      </c>
      <c r="R301" s="3" t="s">
        <v>59</v>
      </c>
      <c r="S301" s="4">
        <v>6</v>
      </c>
      <c r="T301" s="4">
        <v>6</v>
      </c>
      <c r="U301" s="5" t="s">
        <v>1998</v>
      </c>
      <c r="V301" s="5" t="s">
        <v>1998</v>
      </c>
      <c r="W301" s="5" t="s">
        <v>485</v>
      </c>
      <c r="X301" s="5" t="s">
        <v>485</v>
      </c>
      <c r="Y301" s="4">
        <v>347</v>
      </c>
      <c r="Z301" s="4">
        <v>321</v>
      </c>
      <c r="AA301" s="4">
        <v>401</v>
      </c>
      <c r="AB301" s="4">
        <v>2</v>
      </c>
      <c r="AC301" s="4">
        <v>2</v>
      </c>
      <c r="AD301" s="4">
        <v>8</v>
      </c>
      <c r="AE301" s="4">
        <v>12</v>
      </c>
      <c r="AF301" s="4">
        <v>3</v>
      </c>
      <c r="AG301" s="4">
        <v>5</v>
      </c>
      <c r="AH301" s="4">
        <v>3</v>
      </c>
      <c r="AI301" s="4">
        <v>4</v>
      </c>
      <c r="AJ301" s="4">
        <v>4</v>
      </c>
      <c r="AK301" s="4">
        <v>7</v>
      </c>
      <c r="AL301" s="4">
        <v>1</v>
      </c>
      <c r="AM301" s="4">
        <v>1</v>
      </c>
      <c r="AN301" s="4">
        <v>0</v>
      </c>
      <c r="AO301" s="4">
        <v>0</v>
      </c>
      <c r="AP301" s="3" t="s">
        <v>51</v>
      </c>
      <c r="AQ301" s="3" t="s">
        <v>49</v>
      </c>
      <c r="AR301" s="6" t="str">
        <f>HYPERLINK("http://catalog.hathitrust.org/Record/000261534","HathiTrust Record")</f>
        <v>HathiTrust Record</v>
      </c>
      <c r="AS301" s="6" t="str">
        <f>HYPERLINK("https://creighton-primo.hosted.exlibrisgroup.com/primo-explore/search?tab=default_tab&amp;search_scope=EVERYTHING&amp;vid=01CRU&amp;lang=en_US&amp;offset=0&amp;query=any,contains,991005138889702656","Catalog Record")</f>
        <v>Catalog Record</v>
      </c>
      <c r="AT301" s="6" t="str">
        <f>HYPERLINK("http://www.worldcat.org/oclc/7596632","WorldCat Record")</f>
        <v>WorldCat Record</v>
      </c>
    </row>
    <row r="302" spans="1:46" ht="41.25" customHeight="1" x14ac:dyDescent="0.25">
      <c r="A302" s="8" t="s">
        <v>51</v>
      </c>
      <c r="B302" s="2" t="s">
        <v>1999</v>
      </c>
      <c r="C302" s="2" t="s">
        <v>2000</v>
      </c>
      <c r="D302" s="2" t="s">
        <v>2001</v>
      </c>
      <c r="F302" s="3" t="s">
        <v>51</v>
      </c>
      <c r="G302" s="3" t="s">
        <v>50</v>
      </c>
      <c r="H302" s="3" t="s">
        <v>51</v>
      </c>
      <c r="I302" s="3" t="s">
        <v>51</v>
      </c>
      <c r="J302" s="3" t="s">
        <v>52</v>
      </c>
      <c r="K302" s="2" t="s">
        <v>2002</v>
      </c>
      <c r="L302" s="2" t="s">
        <v>2003</v>
      </c>
      <c r="M302" s="3" t="s">
        <v>146</v>
      </c>
      <c r="O302" s="3" t="s">
        <v>56</v>
      </c>
      <c r="P302" s="3" t="s">
        <v>113</v>
      </c>
      <c r="R302" s="3" t="s">
        <v>59</v>
      </c>
      <c r="S302" s="4">
        <v>4</v>
      </c>
      <c r="T302" s="4">
        <v>4</v>
      </c>
      <c r="U302" s="5" t="s">
        <v>1948</v>
      </c>
      <c r="V302" s="5" t="s">
        <v>1948</v>
      </c>
      <c r="W302" s="5" t="s">
        <v>806</v>
      </c>
      <c r="X302" s="5" t="s">
        <v>806</v>
      </c>
      <c r="Y302" s="4">
        <v>274</v>
      </c>
      <c r="Z302" s="4">
        <v>153</v>
      </c>
      <c r="AA302" s="4">
        <v>160</v>
      </c>
      <c r="AB302" s="4">
        <v>1</v>
      </c>
      <c r="AC302" s="4">
        <v>1</v>
      </c>
      <c r="AD302" s="4">
        <v>11</v>
      </c>
      <c r="AE302" s="4">
        <v>11</v>
      </c>
      <c r="AF302" s="4">
        <v>4</v>
      </c>
      <c r="AG302" s="4">
        <v>4</v>
      </c>
      <c r="AH302" s="4">
        <v>3</v>
      </c>
      <c r="AI302" s="4">
        <v>3</v>
      </c>
      <c r="AJ302" s="4">
        <v>6</v>
      </c>
      <c r="AK302" s="4">
        <v>6</v>
      </c>
      <c r="AL302" s="4">
        <v>0</v>
      </c>
      <c r="AM302" s="4">
        <v>0</v>
      </c>
      <c r="AN302" s="4">
        <v>0</v>
      </c>
      <c r="AO302" s="4">
        <v>0</v>
      </c>
      <c r="AP302" s="3" t="s">
        <v>51</v>
      </c>
      <c r="AQ302" s="3" t="s">
        <v>49</v>
      </c>
      <c r="AR302" s="6" t="str">
        <f>HYPERLINK("http://catalog.hathitrust.org/Record/000950051","HathiTrust Record")</f>
        <v>HathiTrust Record</v>
      </c>
      <c r="AS302" s="6" t="str">
        <f>HYPERLINK("https://creighton-primo.hosted.exlibrisgroup.com/primo-explore/search?tab=default_tab&amp;search_scope=EVERYTHING&amp;vid=01CRU&amp;lang=en_US&amp;offset=0&amp;query=any,contains,991001143739702656","Catalog Record")</f>
        <v>Catalog Record</v>
      </c>
      <c r="AT302" s="6" t="str">
        <f>HYPERLINK("http://www.worldcat.org/oclc/21040432","WorldCat Record")</f>
        <v>WorldCat Record</v>
      </c>
    </row>
    <row r="303" spans="1:46" ht="41.25" customHeight="1" x14ac:dyDescent="0.25">
      <c r="A303" s="8" t="s">
        <v>51</v>
      </c>
      <c r="B303" s="2" t="s">
        <v>2004</v>
      </c>
      <c r="C303" s="2" t="s">
        <v>2005</v>
      </c>
      <c r="D303" s="2" t="s">
        <v>2006</v>
      </c>
      <c r="F303" s="3" t="s">
        <v>51</v>
      </c>
      <c r="G303" s="3" t="s">
        <v>50</v>
      </c>
      <c r="H303" s="3" t="s">
        <v>51</v>
      </c>
      <c r="I303" s="3" t="s">
        <v>51</v>
      </c>
      <c r="J303" s="3" t="s">
        <v>52</v>
      </c>
      <c r="L303" s="2" t="s">
        <v>2007</v>
      </c>
      <c r="M303" s="3" t="s">
        <v>186</v>
      </c>
      <c r="O303" s="3" t="s">
        <v>56</v>
      </c>
      <c r="P303" s="3" t="s">
        <v>202</v>
      </c>
      <c r="R303" s="3" t="s">
        <v>59</v>
      </c>
      <c r="S303" s="4">
        <v>6</v>
      </c>
      <c r="T303" s="4">
        <v>6</v>
      </c>
      <c r="U303" s="5" t="s">
        <v>2008</v>
      </c>
      <c r="V303" s="5" t="s">
        <v>2008</v>
      </c>
      <c r="W303" s="5" t="s">
        <v>2009</v>
      </c>
      <c r="X303" s="5" t="s">
        <v>2009</v>
      </c>
      <c r="Y303" s="4">
        <v>179</v>
      </c>
      <c r="Z303" s="4">
        <v>137</v>
      </c>
      <c r="AA303" s="4">
        <v>204</v>
      </c>
      <c r="AB303" s="4">
        <v>1</v>
      </c>
      <c r="AC303" s="4">
        <v>1</v>
      </c>
      <c r="AD303" s="4">
        <v>9</v>
      </c>
      <c r="AE303" s="4">
        <v>10</v>
      </c>
      <c r="AF303" s="4">
        <v>2</v>
      </c>
      <c r="AG303" s="4">
        <v>2</v>
      </c>
      <c r="AH303" s="4">
        <v>5</v>
      </c>
      <c r="AI303" s="4">
        <v>5</v>
      </c>
      <c r="AJ303" s="4">
        <v>5</v>
      </c>
      <c r="AK303" s="4">
        <v>6</v>
      </c>
      <c r="AL303" s="4">
        <v>0</v>
      </c>
      <c r="AM303" s="4">
        <v>0</v>
      </c>
      <c r="AN303" s="4">
        <v>1</v>
      </c>
      <c r="AO303" s="4">
        <v>1</v>
      </c>
      <c r="AP303" s="3" t="s">
        <v>51</v>
      </c>
      <c r="AQ303" s="3" t="s">
        <v>51</v>
      </c>
      <c r="AS303" s="6" t="str">
        <f>HYPERLINK("https://creighton-primo.hosted.exlibrisgroup.com/primo-explore/search?tab=default_tab&amp;search_scope=EVERYTHING&amp;vid=01CRU&amp;lang=en_US&amp;offset=0&amp;query=any,contains,991000170199702656","Catalog Record")</f>
        <v>Catalog Record</v>
      </c>
      <c r="AT303" s="6" t="str">
        <f>HYPERLINK("http://www.worldcat.org/oclc/9323433","WorldCat Record")</f>
        <v>WorldCat Record</v>
      </c>
    </row>
    <row r="304" spans="1:46" ht="41.25" customHeight="1" x14ac:dyDescent="0.25">
      <c r="A304" s="8" t="s">
        <v>51</v>
      </c>
      <c r="B304" s="2" t="s">
        <v>2010</v>
      </c>
      <c r="C304" s="2" t="s">
        <v>2011</v>
      </c>
      <c r="D304" s="2" t="s">
        <v>2012</v>
      </c>
      <c r="F304" s="3" t="s">
        <v>51</v>
      </c>
      <c r="G304" s="3" t="s">
        <v>50</v>
      </c>
      <c r="H304" s="3" t="s">
        <v>51</v>
      </c>
      <c r="I304" s="3" t="s">
        <v>51</v>
      </c>
      <c r="J304" s="3" t="s">
        <v>52</v>
      </c>
      <c r="K304" s="2" t="s">
        <v>2013</v>
      </c>
      <c r="L304" s="2" t="s">
        <v>2014</v>
      </c>
      <c r="M304" s="3" t="s">
        <v>586</v>
      </c>
      <c r="O304" s="3" t="s">
        <v>56</v>
      </c>
      <c r="P304" s="3" t="s">
        <v>538</v>
      </c>
      <c r="R304" s="3" t="s">
        <v>59</v>
      </c>
      <c r="S304" s="4">
        <v>10</v>
      </c>
      <c r="T304" s="4">
        <v>10</v>
      </c>
      <c r="U304" s="5" t="s">
        <v>2015</v>
      </c>
      <c r="V304" s="5" t="s">
        <v>2015</v>
      </c>
      <c r="W304" s="5" t="s">
        <v>2016</v>
      </c>
      <c r="X304" s="5" t="s">
        <v>2016</v>
      </c>
      <c r="Y304" s="4">
        <v>169</v>
      </c>
      <c r="Z304" s="4">
        <v>120</v>
      </c>
      <c r="AA304" s="4">
        <v>125</v>
      </c>
      <c r="AB304" s="4">
        <v>1</v>
      </c>
      <c r="AC304" s="4">
        <v>1</v>
      </c>
      <c r="AD304" s="4">
        <v>2</v>
      </c>
      <c r="AE304" s="4">
        <v>2</v>
      </c>
      <c r="AF304" s="4">
        <v>0</v>
      </c>
      <c r="AG304" s="4">
        <v>0</v>
      </c>
      <c r="AH304" s="4">
        <v>0</v>
      </c>
      <c r="AI304" s="4">
        <v>0</v>
      </c>
      <c r="AJ304" s="4">
        <v>2</v>
      </c>
      <c r="AK304" s="4">
        <v>2</v>
      </c>
      <c r="AL304" s="4">
        <v>0</v>
      </c>
      <c r="AM304" s="4">
        <v>0</v>
      </c>
      <c r="AN304" s="4">
        <v>0</v>
      </c>
      <c r="AO304" s="4">
        <v>0</v>
      </c>
      <c r="AP304" s="3" t="s">
        <v>51</v>
      </c>
      <c r="AQ304" s="3" t="s">
        <v>51</v>
      </c>
      <c r="AS304" s="6" t="str">
        <f>HYPERLINK("https://creighton-primo.hosted.exlibrisgroup.com/primo-explore/search?tab=default_tab&amp;search_scope=EVERYTHING&amp;vid=01CRU&amp;lang=en_US&amp;offset=0&amp;query=any,contains,991002094739702656","Catalog Record")</f>
        <v>Catalog Record</v>
      </c>
      <c r="AT304" s="6" t="str">
        <f>HYPERLINK("http://www.worldcat.org/oclc/26856247","WorldCat Record")</f>
        <v>WorldCat Record</v>
      </c>
    </row>
    <row r="305" spans="1:46" ht="41.25" customHeight="1" x14ac:dyDescent="0.25">
      <c r="A305" s="8" t="s">
        <v>51</v>
      </c>
      <c r="B305" s="2" t="s">
        <v>2017</v>
      </c>
      <c r="C305" s="2" t="s">
        <v>2018</v>
      </c>
      <c r="D305" s="2" t="s">
        <v>2019</v>
      </c>
      <c r="F305" s="3" t="s">
        <v>51</v>
      </c>
      <c r="G305" s="3" t="s">
        <v>50</v>
      </c>
      <c r="H305" s="3" t="s">
        <v>51</v>
      </c>
      <c r="I305" s="3" t="s">
        <v>51</v>
      </c>
      <c r="J305" s="3" t="s">
        <v>52</v>
      </c>
      <c r="K305" s="2" t="s">
        <v>2020</v>
      </c>
      <c r="M305" s="3" t="s">
        <v>424</v>
      </c>
      <c r="O305" s="3" t="s">
        <v>56</v>
      </c>
      <c r="P305" s="3" t="s">
        <v>2021</v>
      </c>
      <c r="R305" s="3" t="s">
        <v>59</v>
      </c>
      <c r="S305" s="4">
        <v>3</v>
      </c>
      <c r="T305" s="4">
        <v>3</v>
      </c>
      <c r="U305" s="5" t="s">
        <v>2022</v>
      </c>
      <c r="V305" s="5" t="s">
        <v>2022</v>
      </c>
      <c r="W305" s="5" t="s">
        <v>1813</v>
      </c>
      <c r="X305" s="5" t="s">
        <v>1813</v>
      </c>
      <c r="Y305" s="4">
        <v>2</v>
      </c>
      <c r="Z305" s="4">
        <v>2</v>
      </c>
      <c r="AA305" s="4">
        <v>2</v>
      </c>
      <c r="AB305" s="4">
        <v>1</v>
      </c>
      <c r="AC305" s="4">
        <v>1</v>
      </c>
      <c r="AD305" s="4">
        <v>0</v>
      </c>
      <c r="AE305" s="4">
        <v>0</v>
      </c>
      <c r="AF305" s="4">
        <v>0</v>
      </c>
      <c r="AG305" s="4">
        <v>0</v>
      </c>
      <c r="AH305" s="4">
        <v>0</v>
      </c>
      <c r="AI305" s="4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0</v>
      </c>
      <c r="AO305" s="4">
        <v>0</v>
      </c>
      <c r="AP305" s="3" t="s">
        <v>51</v>
      </c>
      <c r="AQ305" s="3" t="s">
        <v>51</v>
      </c>
      <c r="AS305" s="6" t="str">
        <f>HYPERLINK("https://creighton-primo.hosted.exlibrisgroup.com/primo-explore/search?tab=default_tab&amp;search_scope=EVERYTHING&amp;vid=01CRU&amp;lang=en_US&amp;offset=0&amp;query=any,contains,991005231149702656","Catalog Record")</f>
        <v>Catalog Record</v>
      </c>
      <c r="AT305" s="6" t="str">
        <f>HYPERLINK("http://www.worldcat.org/oclc/8329694","WorldCat Record")</f>
        <v>WorldCat Record</v>
      </c>
    </row>
    <row r="306" spans="1:46" ht="41.25" customHeight="1" x14ac:dyDescent="0.25">
      <c r="A306" s="8" t="s">
        <v>51</v>
      </c>
      <c r="B306" s="2" t="s">
        <v>2023</v>
      </c>
      <c r="C306" s="2" t="s">
        <v>2024</v>
      </c>
      <c r="D306" s="2" t="s">
        <v>2025</v>
      </c>
      <c r="F306" s="3" t="s">
        <v>51</v>
      </c>
      <c r="G306" s="3" t="s">
        <v>50</v>
      </c>
      <c r="H306" s="3" t="s">
        <v>51</v>
      </c>
      <c r="I306" s="3" t="s">
        <v>51</v>
      </c>
      <c r="J306" s="3" t="s">
        <v>52</v>
      </c>
      <c r="L306" s="2" t="s">
        <v>2026</v>
      </c>
      <c r="M306" s="3" t="s">
        <v>979</v>
      </c>
      <c r="O306" s="3" t="s">
        <v>56</v>
      </c>
      <c r="P306" s="3" t="s">
        <v>113</v>
      </c>
      <c r="R306" s="3" t="s">
        <v>59</v>
      </c>
      <c r="S306" s="4">
        <v>1</v>
      </c>
      <c r="T306" s="4">
        <v>1</v>
      </c>
      <c r="U306" s="5" t="s">
        <v>2027</v>
      </c>
      <c r="V306" s="5" t="s">
        <v>2027</v>
      </c>
      <c r="W306" s="5" t="s">
        <v>2027</v>
      </c>
      <c r="X306" s="5" t="s">
        <v>2027</v>
      </c>
      <c r="Y306" s="4">
        <v>383</v>
      </c>
      <c r="Z306" s="4">
        <v>284</v>
      </c>
      <c r="AA306" s="4">
        <v>626</v>
      </c>
      <c r="AB306" s="4">
        <v>5</v>
      </c>
      <c r="AC306" s="4">
        <v>8</v>
      </c>
      <c r="AD306" s="4">
        <v>17</v>
      </c>
      <c r="AE306" s="4">
        <v>31</v>
      </c>
      <c r="AF306" s="4">
        <v>4</v>
      </c>
      <c r="AG306" s="4">
        <v>9</v>
      </c>
      <c r="AH306" s="4">
        <v>2</v>
      </c>
      <c r="AI306" s="4">
        <v>6</v>
      </c>
      <c r="AJ306" s="4">
        <v>8</v>
      </c>
      <c r="AK306" s="4">
        <v>11</v>
      </c>
      <c r="AL306" s="4">
        <v>4</v>
      </c>
      <c r="AM306" s="4">
        <v>7</v>
      </c>
      <c r="AN306" s="4">
        <v>0</v>
      </c>
      <c r="AO306" s="4">
        <v>1</v>
      </c>
      <c r="AP306" s="3" t="s">
        <v>51</v>
      </c>
      <c r="AQ306" s="3" t="s">
        <v>49</v>
      </c>
      <c r="AR306" s="6" t="str">
        <f>HYPERLINK("http://catalog.hathitrust.org/Record/004360276","HathiTrust Record")</f>
        <v>HathiTrust Record</v>
      </c>
      <c r="AS306" s="6" t="str">
        <f>HYPERLINK("https://creighton-primo.hosted.exlibrisgroup.com/primo-explore/search?tab=default_tab&amp;search_scope=EVERYTHING&amp;vid=01CRU&amp;lang=en_US&amp;offset=0&amp;query=any,contains,991005363369702656","Catalog Record")</f>
        <v>Catalog Record</v>
      </c>
      <c r="AT306" s="6" t="str">
        <f>HYPERLINK("http://www.worldcat.org/oclc/53289697","WorldCat Record")</f>
        <v>WorldCat Record</v>
      </c>
    </row>
    <row r="307" spans="1:46" ht="41.25" customHeight="1" x14ac:dyDescent="0.25">
      <c r="A307" s="8" t="s">
        <v>51</v>
      </c>
      <c r="B307" s="2" t="s">
        <v>2028</v>
      </c>
      <c r="C307" s="2" t="s">
        <v>2029</v>
      </c>
      <c r="D307" s="2" t="s">
        <v>2030</v>
      </c>
      <c r="F307" s="3" t="s">
        <v>51</v>
      </c>
      <c r="G307" s="3" t="s">
        <v>50</v>
      </c>
      <c r="H307" s="3" t="s">
        <v>51</v>
      </c>
      <c r="I307" s="3" t="s">
        <v>51</v>
      </c>
      <c r="J307" s="3" t="s">
        <v>52</v>
      </c>
      <c r="K307" s="2" t="s">
        <v>2031</v>
      </c>
      <c r="L307" s="2" t="s">
        <v>1555</v>
      </c>
      <c r="M307" s="3" t="s">
        <v>271</v>
      </c>
      <c r="O307" s="3" t="s">
        <v>56</v>
      </c>
      <c r="P307" s="3" t="s">
        <v>79</v>
      </c>
      <c r="R307" s="3" t="s">
        <v>59</v>
      </c>
      <c r="S307" s="4">
        <v>6</v>
      </c>
      <c r="T307" s="4">
        <v>6</v>
      </c>
      <c r="U307" s="5" t="s">
        <v>2032</v>
      </c>
      <c r="V307" s="5" t="s">
        <v>2032</v>
      </c>
      <c r="W307" s="5" t="s">
        <v>239</v>
      </c>
      <c r="X307" s="5" t="s">
        <v>239</v>
      </c>
      <c r="Y307" s="4">
        <v>254</v>
      </c>
      <c r="Z307" s="4">
        <v>220</v>
      </c>
      <c r="AA307" s="4">
        <v>222</v>
      </c>
      <c r="AB307" s="4">
        <v>3</v>
      </c>
      <c r="AC307" s="4">
        <v>3</v>
      </c>
      <c r="AD307" s="4">
        <v>6</v>
      </c>
      <c r="AE307" s="4">
        <v>6</v>
      </c>
      <c r="AF307" s="4">
        <v>1</v>
      </c>
      <c r="AG307" s="4">
        <v>1</v>
      </c>
      <c r="AH307" s="4">
        <v>1</v>
      </c>
      <c r="AI307" s="4">
        <v>1</v>
      </c>
      <c r="AJ307" s="4">
        <v>3</v>
      </c>
      <c r="AK307" s="4">
        <v>3</v>
      </c>
      <c r="AL307" s="4">
        <v>2</v>
      </c>
      <c r="AM307" s="4">
        <v>2</v>
      </c>
      <c r="AN307" s="4">
        <v>0</v>
      </c>
      <c r="AO307" s="4">
        <v>0</v>
      </c>
      <c r="AP307" s="3" t="s">
        <v>51</v>
      </c>
      <c r="AQ307" s="3" t="s">
        <v>49</v>
      </c>
      <c r="AR307" s="6" t="str">
        <f>HYPERLINK("http://catalog.hathitrust.org/Record/000210684","HathiTrust Record")</f>
        <v>HathiTrust Record</v>
      </c>
      <c r="AS307" s="6" t="str">
        <f>HYPERLINK("https://creighton-primo.hosted.exlibrisgroup.com/primo-explore/search?tab=default_tab&amp;search_scope=EVERYTHING&amp;vid=01CRU&amp;lang=en_US&amp;offset=0&amp;query=any,contains,991004254719702656","Catalog Record")</f>
        <v>Catalog Record</v>
      </c>
      <c r="AT307" s="6" t="str">
        <f>HYPERLINK("http://www.worldcat.org/oclc/2818915","WorldCat Record")</f>
        <v>WorldCat Record</v>
      </c>
    </row>
    <row r="308" spans="1:46" ht="41.25" customHeight="1" x14ac:dyDescent="0.25">
      <c r="A308" s="8" t="s">
        <v>51</v>
      </c>
      <c r="B308" s="2" t="s">
        <v>2033</v>
      </c>
      <c r="C308" s="2" t="s">
        <v>2034</v>
      </c>
      <c r="D308" s="2" t="s">
        <v>2035</v>
      </c>
      <c r="F308" s="3" t="s">
        <v>51</v>
      </c>
      <c r="G308" s="3" t="s">
        <v>50</v>
      </c>
      <c r="H308" s="3" t="s">
        <v>51</v>
      </c>
      <c r="I308" s="3" t="s">
        <v>51</v>
      </c>
      <c r="J308" s="3" t="s">
        <v>52</v>
      </c>
      <c r="K308" s="2" t="s">
        <v>2036</v>
      </c>
      <c r="L308" s="2" t="s">
        <v>2037</v>
      </c>
      <c r="M308" s="3" t="s">
        <v>644</v>
      </c>
      <c r="N308" s="2" t="s">
        <v>245</v>
      </c>
      <c r="O308" s="3" t="s">
        <v>56</v>
      </c>
      <c r="P308" s="3" t="s">
        <v>538</v>
      </c>
      <c r="R308" s="3" t="s">
        <v>59</v>
      </c>
      <c r="S308" s="4">
        <v>2</v>
      </c>
      <c r="T308" s="4">
        <v>2</v>
      </c>
      <c r="U308" s="5" t="s">
        <v>2038</v>
      </c>
      <c r="V308" s="5" t="s">
        <v>2038</v>
      </c>
      <c r="W308" s="5" t="s">
        <v>1186</v>
      </c>
      <c r="X308" s="5" t="s">
        <v>1186</v>
      </c>
      <c r="Y308" s="4">
        <v>78</v>
      </c>
      <c r="Z308" s="4">
        <v>73</v>
      </c>
      <c r="AA308" s="4">
        <v>74</v>
      </c>
      <c r="AB308" s="4">
        <v>1</v>
      </c>
      <c r="AC308" s="4">
        <v>1</v>
      </c>
      <c r="AD308" s="4">
        <v>1</v>
      </c>
      <c r="AE308" s="4">
        <v>1</v>
      </c>
      <c r="AF308" s="4">
        <v>0</v>
      </c>
      <c r="AG308" s="4">
        <v>0</v>
      </c>
      <c r="AH308" s="4">
        <v>1</v>
      </c>
      <c r="AI308" s="4">
        <v>1</v>
      </c>
      <c r="AJ308" s="4">
        <v>1</v>
      </c>
      <c r="AK308" s="4">
        <v>1</v>
      </c>
      <c r="AL308" s="4">
        <v>0</v>
      </c>
      <c r="AM308" s="4">
        <v>0</v>
      </c>
      <c r="AN308" s="4">
        <v>0</v>
      </c>
      <c r="AO308" s="4">
        <v>0</v>
      </c>
      <c r="AP308" s="3" t="s">
        <v>51</v>
      </c>
      <c r="AQ308" s="3" t="s">
        <v>49</v>
      </c>
      <c r="AR308" s="6" t="str">
        <f>HYPERLINK("http://catalog.hathitrust.org/Record/007991601","HathiTrust Record")</f>
        <v>HathiTrust Record</v>
      </c>
      <c r="AS308" s="6" t="str">
        <f>HYPERLINK("https://creighton-primo.hosted.exlibrisgroup.com/primo-explore/search?tab=default_tab&amp;search_scope=EVERYTHING&amp;vid=01CRU&amp;lang=en_US&amp;offset=0&amp;query=any,contains,991003726189702656","Catalog Record")</f>
        <v>Catalog Record</v>
      </c>
      <c r="AT308" s="6" t="str">
        <f>HYPERLINK("http://www.worldcat.org/oclc/40943471","WorldCat Record")</f>
        <v>WorldCat Record</v>
      </c>
    </row>
    <row r="309" spans="1:46" ht="41.25" customHeight="1" x14ac:dyDescent="0.25">
      <c r="A309" s="8" t="s">
        <v>51</v>
      </c>
      <c r="B309" s="2" t="s">
        <v>2039</v>
      </c>
      <c r="C309" s="2" t="s">
        <v>2040</v>
      </c>
      <c r="D309" s="2" t="s">
        <v>2041</v>
      </c>
      <c r="F309" s="3" t="s">
        <v>51</v>
      </c>
      <c r="G309" s="3" t="s">
        <v>50</v>
      </c>
      <c r="H309" s="3" t="s">
        <v>51</v>
      </c>
      <c r="I309" s="3" t="s">
        <v>51</v>
      </c>
      <c r="J309" s="3" t="s">
        <v>52</v>
      </c>
      <c r="K309" s="2" t="s">
        <v>2042</v>
      </c>
      <c r="L309" s="2" t="s">
        <v>2043</v>
      </c>
      <c r="M309" s="3" t="s">
        <v>1508</v>
      </c>
      <c r="N309" s="2" t="s">
        <v>2044</v>
      </c>
      <c r="O309" s="3" t="s">
        <v>56</v>
      </c>
      <c r="P309" s="3" t="s">
        <v>538</v>
      </c>
      <c r="R309" s="3" t="s">
        <v>59</v>
      </c>
      <c r="S309" s="4">
        <v>1</v>
      </c>
      <c r="T309" s="4">
        <v>1</v>
      </c>
      <c r="U309" s="5" t="s">
        <v>2045</v>
      </c>
      <c r="V309" s="5" t="s">
        <v>2045</v>
      </c>
      <c r="W309" s="5" t="s">
        <v>2045</v>
      </c>
      <c r="X309" s="5" t="s">
        <v>2045</v>
      </c>
      <c r="Y309" s="4">
        <v>44</v>
      </c>
      <c r="Z309" s="4">
        <v>44</v>
      </c>
      <c r="AA309" s="4">
        <v>44</v>
      </c>
      <c r="AB309" s="4">
        <v>2</v>
      </c>
      <c r="AC309" s="4">
        <v>2</v>
      </c>
      <c r="AD309" s="4">
        <v>2</v>
      </c>
      <c r="AE309" s="4">
        <v>2</v>
      </c>
      <c r="AF309" s="4">
        <v>0</v>
      </c>
      <c r="AG309" s="4">
        <v>0</v>
      </c>
      <c r="AH309" s="4">
        <v>0</v>
      </c>
      <c r="AI309" s="4">
        <v>0</v>
      </c>
      <c r="AJ309" s="4">
        <v>1</v>
      </c>
      <c r="AK309" s="4">
        <v>1</v>
      </c>
      <c r="AL309" s="4">
        <v>1</v>
      </c>
      <c r="AM309" s="4">
        <v>1</v>
      </c>
      <c r="AN309" s="4">
        <v>0</v>
      </c>
      <c r="AO309" s="4">
        <v>0</v>
      </c>
      <c r="AP309" s="3" t="s">
        <v>51</v>
      </c>
      <c r="AQ309" s="3" t="s">
        <v>51</v>
      </c>
      <c r="AS309" s="6" t="str">
        <f>HYPERLINK("https://creighton-primo.hosted.exlibrisgroup.com/primo-explore/search?tab=default_tab&amp;search_scope=EVERYTHING&amp;vid=01CRU&amp;lang=en_US&amp;offset=0&amp;query=any,contains,991005341889702656","Catalog Record")</f>
        <v>Catalog Record</v>
      </c>
      <c r="AT309" s="6" t="str">
        <f>HYPERLINK("http://www.worldcat.org/oclc/423388708","WorldCat Record")</f>
        <v>WorldCat Record</v>
      </c>
    </row>
    <row r="310" spans="1:46" ht="41.25" customHeight="1" x14ac:dyDescent="0.25">
      <c r="A310" s="8" t="s">
        <v>51</v>
      </c>
      <c r="B310" s="2" t="s">
        <v>2046</v>
      </c>
      <c r="C310" s="2" t="s">
        <v>2047</v>
      </c>
      <c r="D310" s="2" t="s">
        <v>2048</v>
      </c>
      <c r="F310" s="3" t="s">
        <v>51</v>
      </c>
      <c r="G310" s="3" t="s">
        <v>50</v>
      </c>
      <c r="H310" s="3" t="s">
        <v>51</v>
      </c>
      <c r="I310" s="3" t="s">
        <v>51</v>
      </c>
      <c r="J310" s="3" t="s">
        <v>52</v>
      </c>
      <c r="K310" s="2" t="s">
        <v>2049</v>
      </c>
      <c r="L310" s="2" t="s">
        <v>2050</v>
      </c>
      <c r="M310" s="3" t="s">
        <v>129</v>
      </c>
      <c r="O310" s="3" t="s">
        <v>56</v>
      </c>
      <c r="P310" s="3" t="s">
        <v>1017</v>
      </c>
      <c r="R310" s="3" t="s">
        <v>59</v>
      </c>
      <c r="S310" s="4">
        <v>3</v>
      </c>
      <c r="T310" s="4">
        <v>3</v>
      </c>
      <c r="U310" s="5" t="s">
        <v>2051</v>
      </c>
      <c r="V310" s="5" t="s">
        <v>2051</v>
      </c>
      <c r="W310" s="5" t="s">
        <v>1911</v>
      </c>
      <c r="X310" s="5" t="s">
        <v>1911</v>
      </c>
      <c r="Y310" s="4">
        <v>197</v>
      </c>
      <c r="Z310" s="4">
        <v>185</v>
      </c>
      <c r="AA310" s="4">
        <v>190</v>
      </c>
      <c r="AB310" s="4">
        <v>2</v>
      </c>
      <c r="AC310" s="4">
        <v>2</v>
      </c>
      <c r="AD310" s="4">
        <v>11</v>
      </c>
      <c r="AE310" s="4">
        <v>11</v>
      </c>
      <c r="AF310" s="4">
        <v>3</v>
      </c>
      <c r="AG310" s="4">
        <v>3</v>
      </c>
      <c r="AH310" s="4">
        <v>2</v>
      </c>
      <c r="AI310" s="4">
        <v>2</v>
      </c>
      <c r="AJ310" s="4">
        <v>6</v>
      </c>
      <c r="AK310" s="4">
        <v>6</v>
      </c>
      <c r="AL310" s="4">
        <v>0</v>
      </c>
      <c r="AM310" s="4">
        <v>0</v>
      </c>
      <c r="AN310" s="4">
        <v>3</v>
      </c>
      <c r="AO310" s="4">
        <v>3</v>
      </c>
      <c r="AP310" s="3" t="s">
        <v>51</v>
      </c>
      <c r="AQ310" s="3" t="s">
        <v>51</v>
      </c>
      <c r="AS310" s="6" t="str">
        <f>HYPERLINK("https://creighton-primo.hosted.exlibrisgroup.com/primo-explore/search?tab=default_tab&amp;search_scope=EVERYTHING&amp;vid=01CRU&amp;lang=en_US&amp;offset=0&amp;query=any,contains,991000622819702656","Catalog Record")</f>
        <v>Catalog Record</v>
      </c>
      <c r="AT310" s="6" t="str">
        <f>HYPERLINK("http://www.worldcat.org/oclc/11972918","WorldCat Record")</f>
        <v>WorldCat Record</v>
      </c>
    </row>
    <row r="311" spans="1:46" ht="41.25" customHeight="1" x14ac:dyDescent="0.25">
      <c r="A311" s="8" t="s">
        <v>51</v>
      </c>
      <c r="B311" s="2" t="s">
        <v>2052</v>
      </c>
      <c r="C311" s="2" t="s">
        <v>2053</v>
      </c>
      <c r="D311" s="2" t="s">
        <v>2054</v>
      </c>
      <c r="F311" s="3" t="s">
        <v>51</v>
      </c>
      <c r="G311" s="3" t="s">
        <v>50</v>
      </c>
      <c r="H311" s="3" t="s">
        <v>51</v>
      </c>
      <c r="I311" s="3" t="s">
        <v>51</v>
      </c>
      <c r="J311" s="3" t="s">
        <v>52</v>
      </c>
      <c r="L311" s="2" t="s">
        <v>2055</v>
      </c>
      <c r="M311" s="3" t="s">
        <v>77</v>
      </c>
      <c r="O311" s="3" t="s">
        <v>56</v>
      </c>
      <c r="P311" s="3" t="s">
        <v>202</v>
      </c>
      <c r="Q311" s="2" t="s">
        <v>2056</v>
      </c>
      <c r="R311" s="3" t="s">
        <v>59</v>
      </c>
      <c r="S311" s="4">
        <v>4</v>
      </c>
      <c r="T311" s="4">
        <v>4</v>
      </c>
      <c r="U311" s="5" t="s">
        <v>2057</v>
      </c>
      <c r="V311" s="5" t="s">
        <v>2057</v>
      </c>
      <c r="W311" s="5" t="s">
        <v>2058</v>
      </c>
      <c r="X311" s="5" t="s">
        <v>2058</v>
      </c>
      <c r="Y311" s="4">
        <v>318</v>
      </c>
      <c r="Z311" s="4">
        <v>289</v>
      </c>
      <c r="AA311" s="4">
        <v>311</v>
      </c>
      <c r="AB311" s="4">
        <v>4</v>
      </c>
      <c r="AC311" s="4">
        <v>4</v>
      </c>
      <c r="AD311" s="4">
        <v>13</v>
      </c>
      <c r="AE311" s="4">
        <v>14</v>
      </c>
      <c r="AF311" s="4">
        <v>2</v>
      </c>
      <c r="AG311" s="4">
        <v>2</v>
      </c>
      <c r="AH311" s="4">
        <v>2</v>
      </c>
      <c r="AI311" s="4">
        <v>2</v>
      </c>
      <c r="AJ311" s="4">
        <v>5</v>
      </c>
      <c r="AK311" s="4">
        <v>5</v>
      </c>
      <c r="AL311" s="4">
        <v>3</v>
      </c>
      <c r="AM311" s="4">
        <v>3</v>
      </c>
      <c r="AN311" s="4">
        <v>3</v>
      </c>
      <c r="AO311" s="4">
        <v>4</v>
      </c>
      <c r="AP311" s="3" t="s">
        <v>51</v>
      </c>
      <c r="AQ311" s="3" t="s">
        <v>49</v>
      </c>
      <c r="AR311" s="6" t="str">
        <f>HYPERLINK("http://catalog.hathitrust.org/Record/002495065","HathiTrust Record")</f>
        <v>HathiTrust Record</v>
      </c>
      <c r="AS311" s="6" t="str">
        <f>HYPERLINK("https://creighton-primo.hosted.exlibrisgroup.com/primo-explore/search?tab=default_tab&amp;search_scope=EVERYTHING&amp;vid=01CRU&amp;lang=en_US&amp;offset=0&amp;query=any,contains,991001856879702656","Catalog Record")</f>
        <v>Catalog Record</v>
      </c>
      <c r="AT311" s="6" t="str">
        <f>HYPERLINK("http://www.worldcat.org/oclc/23287653","WorldCat Record")</f>
        <v>WorldCat Record</v>
      </c>
    </row>
    <row r="312" spans="1:46" ht="41.25" customHeight="1" x14ac:dyDescent="0.25">
      <c r="A312" s="8" t="s">
        <v>51</v>
      </c>
      <c r="B312" s="2" t="s">
        <v>2059</v>
      </c>
      <c r="C312" s="2" t="s">
        <v>2060</v>
      </c>
      <c r="D312" s="2" t="s">
        <v>2061</v>
      </c>
      <c r="F312" s="3" t="s">
        <v>51</v>
      </c>
      <c r="G312" s="3" t="s">
        <v>50</v>
      </c>
      <c r="H312" s="3" t="s">
        <v>49</v>
      </c>
      <c r="I312" s="3" t="s">
        <v>51</v>
      </c>
      <c r="J312" s="3" t="s">
        <v>52</v>
      </c>
      <c r="K312" s="2" t="s">
        <v>2062</v>
      </c>
      <c r="L312" s="2" t="s">
        <v>2063</v>
      </c>
      <c r="M312" s="3" t="s">
        <v>263</v>
      </c>
      <c r="O312" s="3" t="s">
        <v>56</v>
      </c>
      <c r="P312" s="3" t="s">
        <v>87</v>
      </c>
      <c r="R312" s="3" t="s">
        <v>59</v>
      </c>
      <c r="S312" s="4">
        <v>5</v>
      </c>
      <c r="T312" s="4">
        <v>10</v>
      </c>
      <c r="U312" s="5" t="s">
        <v>2032</v>
      </c>
      <c r="V312" s="5" t="s">
        <v>2032</v>
      </c>
      <c r="W312" s="5" t="s">
        <v>1700</v>
      </c>
      <c r="X312" s="5" t="s">
        <v>1700</v>
      </c>
      <c r="Y312" s="4">
        <v>384</v>
      </c>
      <c r="Z312" s="4">
        <v>293</v>
      </c>
      <c r="AA312" s="4">
        <v>368</v>
      </c>
      <c r="AB312" s="4">
        <v>4</v>
      </c>
      <c r="AC312" s="4">
        <v>6</v>
      </c>
      <c r="AD312" s="4">
        <v>15</v>
      </c>
      <c r="AE312" s="4">
        <v>19</v>
      </c>
      <c r="AF312" s="4">
        <v>5</v>
      </c>
      <c r="AG312" s="4">
        <v>6</v>
      </c>
      <c r="AH312" s="4">
        <v>3</v>
      </c>
      <c r="AI312" s="4">
        <v>3</v>
      </c>
      <c r="AJ312" s="4">
        <v>10</v>
      </c>
      <c r="AK312" s="4">
        <v>12</v>
      </c>
      <c r="AL312" s="4">
        <v>2</v>
      </c>
      <c r="AM312" s="4">
        <v>4</v>
      </c>
      <c r="AN312" s="4">
        <v>0</v>
      </c>
      <c r="AO312" s="4">
        <v>0</v>
      </c>
      <c r="AP312" s="3" t="s">
        <v>51</v>
      </c>
      <c r="AQ312" s="3" t="s">
        <v>49</v>
      </c>
      <c r="AR312" s="6" t="str">
        <f>HYPERLINK("http://catalog.hathitrust.org/Record/009917756","HathiTrust Record")</f>
        <v>HathiTrust Record</v>
      </c>
      <c r="AS312" s="6" t="str">
        <f>HYPERLINK("https://creighton-primo.hosted.exlibrisgroup.com/primo-explore/search?tab=default_tab&amp;search_scope=EVERYTHING&amp;vid=01CRU&amp;lang=en_US&amp;offset=0&amp;query=any,contains,991001753559702656","Catalog Record")</f>
        <v>Catalog Record</v>
      </c>
      <c r="AT312" s="6" t="str">
        <f>HYPERLINK("http://www.worldcat.org/oclc/1858263","WorldCat Record")</f>
        <v>WorldCat Record</v>
      </c>
    </row>
    <row r="313" spans="1:46" ht="41.25" customHeight="1" x14ac:dyDescent="0.25">
      <c r="A313" s="8" t="s">
        <v>51</v>
      </c>
      <c r="B313" s="2" t="s">
        <v>2064</v>
      </c>
      <c r="C313" s="2" t="s">
        <v>2065</v>
      </c>
      <c r="D313" s="2" t="s">
        <v>2066</v>
      </c>
      <c r="F313" s="3" t="s">
        <v>51</v>
      </c>
      <c r="G313" s="3" t="s">
        <v>50</v>
      </c>
      <c r="H313" s="3" t="s">
        <v>51</v>
      </c>
      <c r="I313" s="3" t="s">
        <v>51</v>
      </c>
      <c r="J313" s="3" t="s">
        <v>52</v>
      </c>
      <c r="L313" s="2" t="s">
        <v>2067</v>
      </c>
      <c r="M313" s="3" t="s">
        <v>389</v>
      </c>
      <c r="O313" s="3" t="s">
        <v>56</v>
      </c>
      <c r="P313" s="3" t="s">
        <v>748</v>
      </c>
      <c r="R313" s="3" t="s">
        <v>59</v>
      </c>
      <c r="S313" s="4">
        <v>2</v>
      </c>
      <c r="T313" s="4">
        <v>2</v>
      </c>
      <c r="U313" s="5" t="s">
        <v>1998</v>
      </c>
      <c r="V313" s="5" t="s">
        <v>1998</v>
      </c>
      <c r="W313" s="5" t="s">
        <v>2068</v>
      </c>
      <c r="X313" s="5" t="s">
        <v>2068</v>
      </c>
      <c r="Y313" s="4">
        <v>278</v>
      </c>
      <c r="Z313" s="4">
        <v>207</v>
      </c>
      <c r="AA313" s="4">
        <v>240</v>
      </c>
      <c r="AB313" s="4">
        <v>1</v>
      </c>
      <c r="AC313" s="4">
        <v>1</v>
      </c>
      <c r="AD313" s="4">
        <v>13</v>
      </c>
      <c r="AE313" s="4">
        <v>13</v>
      </c>
      <c r="AF313" s="4">
        <v>3</v>
      </c>
      <c r="AG313" s="4">
        <v>3</v>
      </c>
      <c r="AH313" s="4">
        <v>5</v>
      </c>
      <c r="AI313" s="4">
        <v>5</v>
      </c>
      <c r="AJ313" s="4">
        <v>7</v>
      </c>
      <c r="AK313" s="4">
        <v>7</v>
      </c>
      <c r="AL313" s="4">
        <v>0</v>
      </c>
      <c r="AM313" s="4">
        <v>0</v>
      </c>
      <c r="AN313" s="4">
        <v>1</v>
      </c>
      <c r="AO313" s="4">
        <v>1</v>
      </c>
      <c r="AP313" s="3" t="s">
        <v>51</v>
      </c>
      <c r="AQ313" s="3" t="s">
        <v>49</v>
      </c>
      <c r="AR313" s="6" t="str">
        <f>HYPERLINK("http://catalog.hathitrust.org/Record/002977055","HathiTrust Record")</f>
        <v>HathiTrust Record</v>
      </c>
      <c r="AS313" s="6" t="str">
        <f>HYPERLINK("https://creighton-primo.hosted.exlibrisgroup.com/primo-explore/search?tab=default_tab&amp;search_scope=EVERYTHING&amp;vid=01CRU&amp;lang=en_US&amp;offset=0&amp;query=any,contains,991002292589702656","Catalog Record")</f>
        <v>Catalog Record</v>
      </c>
      <c r="AT313" s="6" t="str">
        <f>HYPERLINK("http://www.worldcat.org/oclc/29704237","WorldCat Record")</f>
        <v>WorldCat Record</v>
      </c>
    </row>
    <row r="314" spans="1:46" ht="41.25" customHeight="1" x14ac:dyDescent="0.25">
      <c r="A314" s="8" t="s">
        <v>51</v>
      </c>
      <c r="B314" s="2" t="s">
        <v>2069</v>
      </c>
      <c r="C314" s="2" t="s">
        <v>2070</v>
      </c>
      <c r="D314" s="2" t="s">
        <v>2071</v>
      </c>
      <c r="F314" s="3" t="s">
        <v>51</v>
      </c>
      <c r="G314" s="3" t="s">
        <v>50</v>
      </c>
      <c r="H314" s="3" t="s">
        <v>51</v>
      </c>
      <c r="I314" s="3" t="s">
        <v>51</v>
      </c>
      <c r="J314" s="3" t="s">
        <v>52</v>
      </c>
      <c r="K314" s="2" t="s">
        <v>2072</v>
      </c>
      <c r="L314" s="2" t="s">
        <v>2073</v>
      </c>
      <c r="M314" s="3" t="s">
        <v>920</v>
      </c>
      <c r="O314" s="3" t="s">
        <v>56</v>
      </c>
      <c r="P314" s="3" t="s">
        <v>2074</v>
      </c>
      <c r="R314" s="3" t="s">
        <v>59</v>
      </c>
      <c r="S314" s="4">
        <v>4</v>
      </c>
      <c r="T314" s="4">
        <v>4</v>
      </c>
      <c r="U314" s="5" t="s">
        <v>2075</v>
      </c>
      <c r="V314" s="5" t="s">
        <v>2075</v>
      </c>
      <c r="W314" s="5" t="s">
        <v>2076</v>
      </c>
      <c r="X314" s="5" t="s">
        <v>2076</v>
      </c>
      <c r="Y314" s="4">
        <v>488</v>
      </c>
      <c r="Z314" s="4">
        <v>449</v>
      </c>
      <c r="AA314" s="4">
        <v>476</v>
      </c>
      <c r="AB314" s="4">
        <v>3</v>
      </c>
      <c r="AC314" s="4">
        <v>3</v>
      </c>
      <c r="AD314" s="4">
        <v>17</v>
      </c>
      <c r="AE314" s="4">
        <v>17</v>
      </c>
      <c r="AF314" s="4">
        <v>6</v>
      </c>
      <c r="AG314" s="4">
        <v>6</v>
      </c>
      <c r="AH314" s="4">
        <v>6</v>
      </c>
      <c r="AI314" s="4">
        <v>6</v>
      </c>
      <c r="AJ314" s="4">
        <v>9</v>
      </c>
      <c r="AK314" s="4">
        <v>9</v>
      </c>
      <c r="AL314" s="4">
        <v>2</v>
      </c>
      <c r="AM314" s="4">
        <v>2</v>
      </c>
      <c r="AN314" s="4">
        <v>0</v>
      </c>
      <c r="AO314" s="4">
        <v>0</v>
      </c>
      <c r="AP314" s="3" t="s">
        <v>51</v>
      </c>
      <c r="AQ314" s="3" t="s">
        <v>49</v>
      </c>
      <c r="AR314" s="6" t="str">
        <f>HYPERLINK("http://catalog.hathitrust.org/Record/003510217","HathiTrust Record")</f>
        <v>HathiTrust Record</v>
      </c>
      <c r="AS314" s="6" t="str">
        <f>HYPERLINK("https://creighton-primo.hosted.exlibrisgroup.com/primo-explore/search?tab=default_tab&amp;search_scope=EVERYTHING&amp;vid=01CRU&amp;lang=en_US&amp;offset=0&amp;query=any,contains,991003533919702656","Catalog Record")</f>
        <v>Catalog Record</v>
      </c>
      <c r="AT314" s="6" t="str">
        <f>HYPERLINK("http://www.worldcat.org/oclc/43542034","WorldCat Record")</f>
        <v>WorldCat Record</v>
      </c>
    </row>
    <row r="315" spans="1:46" ht="41.25" customHeight="1" x14ac:dyDescent="0.25">
      <c r="A315" s="8" t="s">
        <v>51</v>
      </c>
      <c r="B315" s="2" t="s">
        <v>2077</v>
      </c>
      <c r="C315" s="2" t="s">
        <v>2078</v>
      </c>
      <c r="D315" s="2" t="s">
        <v>2079</v>
      </c>
      <c r="F315" s="3" t="s">
        <v>51</v>
      </c>
      <c r="G315" s="3" t="s">
        <v>50</v>
      </c>
      <c r="H315" s="3" t="s">
        <v>49</v>
      </c>
      <c r="I315" s="3" t="s">
        <v>51</v>
      </c>
      <c r="J315" s="3" t="s">
        <v>52</v>
      </c>
      <c r="K315" s="2" t="s">
        <v>2080</v>
      </c>
      <c r="L315" s="2" t="s">
        <v>2081</v>
      </c>
      <c r="M315" s="3" t="s">
        <v>553</v>
      </c>
      <c r="O315" s="3" t="s">
        <v>56</v>
      </c>
      <c r="P315" s="3" t="s">
        <v>87</v>
      </c>
      <c r="R315" s="3" t="s">
        <v>59</v>
      </c>
      <c r="S315" s="4">
        <v>2</v>
      </c>
      <c r="T315" s="4">
        <v>10</v>
      </c>
      <c r="U315" s="5" t="s">
        <v>2082</v>
      </c>
      <c r="V315" s="5" t="s">
        <v>398</v>
      </c>
      <c r="W315" s="5" t="s">
        <v>2083</v>
      </c>
      <c r="X315" s="5" t="s">
        <v>2083</v>
      </c>
      <c r="Y315" s="4">
        <v>725</v>
      </c>
      <c r="Z315" s="4">
        <v>643</v>
      </c>
      <c r="AA315" s="4">
        <v>645</v>
      </c>
      <c r="AB315" s="4">
        <v>4</v>
      </c>
      <c r="AC315" s="4">
        <v>4</v>
      </c>
      <c r="AD315" s="4">
        <v>26</v>
      </c>
      <c r="AE315" s="4">
        <v>26</v>
      </c>
      <c r="AF315" s="4">
        <v>13</v>
      </c>
      <c r="AG315" s="4">
        <v>13</v>
      </c>
      <c r="AH315" s="4">
        <v>5</v>
      </c>
      <c r="AI315" s="4">
        <v>5</v>
      </c>
      <c r="AJ315" s="4">
        <v>14</v>
      </c>
      <c r="AK315" s="4">
        <v>14</v>
      </c>
      <c r="AL315" s="4">
        <v>2</v>
      </c>
      <c r="AM315" s="4">
        <v>2</v>
      </c>
      <c r="AN315" s="4">
        <v>1</v>
      </c>
      <c r="AO315" s="4">
        <v>1</v>
      </c>
      <c r="AP315" s="3" t="s">
        <v>51</v>
      </c>
      <c r="AQ315" s="3" t="s">
        <v>49</v>
      </c>
      <c r="AR315" s="6" t="str">
        <f>HYPERLINK("http://catalog.hathitrust.org/Record/002544695","HathiTrust Record")</f>
        <v>HathiTrust Record</v>
      </c>
      <c r="AS315" s="6" t="str">
        <f>HYPERLINK("https://creighton-primo.hosted.exlibrisgroup.com/primo-explore/search?tab=default_tab&amp;search_scope=EVERYTHING&amp;vid=01CRU&amp;lang=en_US&amp;offset=0&amp;query=any,contains,991001800769702656","Catalog Record")</f>
        <v>Catalog Record</v>
      </c>
      <c r="AT315" s="6" t="str">
        <f>HYPERLINK("http://www.worldcat.org/oclc/18588017","WorldCat Record")</f>
        <v>WorldCat Record</v>
      </c>
    </row>
    <row r="316" spans="1:46" ht="41.25" customHeight="1" x14ac:dyDescent="0.25">
      <c r="A316" s="8" t="s">
        <v>51</v>
      </c>
      <c r="B316" s="2" t="s">
        <v>2084</v>
      </c>
      <c r="C316" s="2" t="s">
        <v>2085</v>
      </c>
      <c r="D316" s="2" t="s">
        <v>2086</v>
      </c>
      <c r="F316" s="3" t="s">
        <v>51</v>
      </c>
      <c r="G316" s="3" t="s">
        <v>50</v>
      </c>
      <c r="H316" s="3" t="s">
        <v>51</v>
      </c>
      <c r="I316" s="3" t="s">
        <v>51</v>
      </c>
      <c r="J316" s="3" t="s">
        <v>52</v>
      </c>
      <c r="L316" s="2" t="s">
        <v>2087</v>
      </c>
      <c r="M316" s="3" t="s">
        <v>171</v>
      </c>
      <c r="O316" s="3" t="s">
        <v>56</v>
      </c>
      <c r="P316" s="3" t="s">
        <v>476</v>
      </c>
      <c r="R316" s="3" t="s">
        <v>59</v>
      </c>
      <c r="S316" s="4">
        <v>11</v>
      </c>
      <c r="T316" s="4">
        <v>11</v>
      </c>
      <c r="U316" s="5" t="s">
        <v>2088</v>
      </c>
      <c r="V316" s="5" t="s">
        <v>2088</v>
      </c>
      <c r="W316" s="5" t="s">
        <v>2089</v>
      </c>
      <c r="X316" s="5" t="s">
        <v>2089</v>
      </c>
      <c r="Y316" s="4">
        <v>618</v>
      </c>
      <c r="Z316" s="4">
        <v>572</v>
      </c>
      <c r="AA316" s="4">
        <v>641</v>
      </c>
      <c r="AB316" s="4">
        <v>5</v>
      </c>
      <c r="AC316" s="4">
        <v>5</v>
      </c>
      <c r="AD316" s="4">
        <v>21</v>
      </c>
      <c r="AE316" s="4">
        <v>25</v>
      </c>
      <c r="AF316" s="4">
        <v>8</v>
      </c>
      <c r="AG316" s="4">
        <v>9</v>
      </c>
      <c r="AH316" s="4">
        <v>3</v>
      </c>
      <c r="AI316" s="4">
        <v>5</v>
      </c>
      <c r="AJ316" s="4">
        <v>12</v>
      </c>
      <c r="AK316" s="4">
        <v>13</v>
      </c>
      <c r="AL316" s="4">
        <v>4</v>
      </c>
      <c r="AM316" s="4">
        <v>4</v>
      </c>
      <c r="AN316" s="4">
        <v>0</v>
      </c>
      <c r="AO316" s="4">
        <v>0</v>
      </c>
      <c r="AP316" s="3" t="s">
        <v>51</v>
      </c>
      <c r="AQ316" s="3" t="s">
        <v>49</v>
      </c>
      <c r="AR316" s="6" t="str">
        <f>HYPERLINK("http://catalog.hathitrust.org/Record/000706825","HathiTrust Record")</f>
        <v>HathiTrust Record</v>
      </c>
      <c r="AS316" s="6" t="str">
        <f>HYPERLINK("https://creighton-primo.hosted.exlibrisgroup.com/primo-explore/search?tab=default_tab&amp;search_scope=EVERYTHING&amp;vid=01CRU&amp;lang=en_US&amp;offset=0&amp;query=any,contains,991005257569702656","Catalog Record")</f>
        <v>Catalog Record</v>
      </c>
      <c r="AT316" s="6" t="str">
        <f>HYPERLINK("http://www.worldcat.org/oclc/5798683","WorldCat Record")</f>
        <v>WorldCat Record</v>
      </c>
    </row>
    <row r="317" spans="1:46" ht="41.25" customHeight="1" x14ac:dyDescent="0.25">
      <c r="A317" s="8" t="s">
        <v>51</v>
      </c>
      <c r="B317" s="2" t="s">
        <v>2090</v>
      </c>
      <c r="C317" s="2" t="s">
        <v>2091</v>
      </c>
      <c r="D317" s="2" t="s">
        <v>2092</v>
      </c>
      <c r="F317" s="3" t="s">
        <v>51</v>
      </c>
      <c r="G317" s="3" t="s">
        <v>50</v>
      </c>
      <c r="H317" s="3" t="s">
        <v>51</v>
      </c>
      <c r="I317" s="3" t="s">
        <v>51</v>
      </c>
      <c r="J317" s="3" t="s">
        <v>52</v>
      </c>
      <c r="K317" s="2" t="s">
        <v>2093</v>
      </c>
      <c r="L317" s="2" t="s">
        <v>2094</v>
      </c>
      <c r="M317" s="3" t="s">
        <v>194</v>
      </c>
      <c r="O317" s="3" t="s">
        <v>56</v>
      </c>
      <c r="P317" s="3" t="s">
        <v>87</v>
      </c>
      <c r="R317" s="3" t="s">
        <v>59</v>
      </c>
      <c r="S317" s="4">
        <v>1</v>
      </c>
      <c r="T317" s="4">
        <v>1</v>
      </c>
      <c r="U317" s="5" t="s">
        <v>2095</v>
      </c>
      <c r="V317" s="5" t="s">
        <v>2095</v>
      </c>
      <c r="W317" s="5" t="s">
        <v>765</v>
      </c>
      <c r="X317" s="5" t="s">
        <v>765</v>
      </c>
      <c r="Y317" s="4">
        <v>282</v>
      </c>
      <c r="Z317" s="4">
        <v>250</v>
      </c>
      <c r="AA317" s="4">
        <v>259</v>
      </c>
      <c r="AB317" s="4">
        <v>2</v>
      </c>
      <c r="AC317" s="4">
        <v>2</v>
      </c>
      <c r="AD317" s="4">
        <v>4</v>
      </c>
      <c r="AE317" s="4">
        <v>5</v>
      </c>
      <c r="AF317" s="4">
        <v>2</v>
      </c>
      <c r="AG317" s="4">
        <v>2</v>
      </c>
      <c r="AH317" s="4">
        <v>0</v>
      </c>
      <c r="AI317" s="4">
        <v>1</v>
      </c>
      <c r="AJ317" s="4">
        <v>2</v>
      </c>
      <c r="AK317" s="4">
        <v>3</v>
      </c>
      <c r="AL317" s="4">
        <v>1</v>
      </c>
      <c r="AM317" s="4">
        <v>1</v>
      </c>
      <c r="AN317" s="4">
        <v>0</v>
      </c>
      <c r="AO317" s="4">
        <v>0</v>
      </c>
      <c r="AP317" s="3" t="s">
        <v>51</v>
      </c>
      <c r="AQ317" s="3" t="s">
        <v>49</v>
      </c>
      <c r="AR317" s="6" t="str">
        <f>HYPERLINK("http://catalog.hathitrust.org/Record/000176738","HathiTrust Record")</f>
        <v>HathiTrust Record</v>
      </c>
      <c r="AS317" s="6" t="str">
        <f>HYPERLINK("https://creighton-primo.hosted.exlibrisgroup.com/primo-explore/search?tab=default_tab&amp;search_scope=EVERYTHING&amp;vid=01CRU&amp;lang=en_US&amp;offset=0&amp;query=any,contains,991004566549702656","Catalog Record")</f>
        <v>Catalog Record</v>
      </c>
      <c r="AT317" s="6" t="str">
        <f>HYPERLINK("http://www.worldcat.org/oclc/4004638","WorldCat Record")</f>
        <v>WorldCat Record</v>
      </c>
    </row>
    <row r="318" spans="1:46" ht="41.25" customHeight="1" x14ac:dyDescent="0.25">
      <c r="A318" s="8" t="s">
        <v>51</v>
      </c>
      <c r="B318" s="2" t="s">
        <v>2096</v>
      </c>
      <c r="C318" s="2" t="s">
        <v>2097</v>
      </c>
      <c r="D318" s="2" t="s">
        <v>2098</v>
      </c>
      <c r="F318" s="3" t="s">
        <v>51</v>
      </c>
      <c r="G318" s="3" t="s">
        <v>50</v>
      </c>
      <c r="H318" s="3" t="s">
        <v>51</v>
      </c>
      <c r="I318" s="3" t="s">
        <v>51</v>
      </c>
      <c r="J318" s="3" t="s">
        <v>52</v>
      </c>
      <c r="K318" s="2" t="s">
        <v>2099</v>
      </c>
      <c r="L318" s="2" t="s">
        <v>2100</v>
      </c>
      <c r="M318" s="3" t="s">
        <v>186</v>
      </c>
      <c r="O318" s="3" t="s">
        <v>56</v>
      </c>
      <c r="P318" s="3" t="s">
        <v>79</v>
      </c>
      <c r="R318" s="3" t="s">
        <v>59</v>
      </c>
      <c r="S318" s="4">
        <v>23</v>
      </c>
      <c r="T318" s="4">
        <v>23</v>
      </c>
      <c r="U318" s="5" t="s">
        <v>2088</v>
      </c>
      <c r="V318" s="5" t="s">
        <v>2088</v>
      </c>
      <c r="W318" s="5" t="s">
        <v>2101</v>
      </c>
      <c r="X318" s="5" t="s">
        <v>2101</v>
      </c>
      <c r="Y318" s="4">
        <v>916</v>
      </c>
      <c r="Z318" s="4">
        <v>861</v>
      </c>
      <c r="AA318" s="4">
        <v>872</v>
      </c>
      <c r="AB318" s="4">
        <v>6</v>
      </c>
      <c r="AC318" s="4">
        <v>6</v>
      </c>
      <c r="AD318" s="4">
        <v>20</v>
      </c>
      <c r="AE318" s="4">
        <v>20</v>
      </c>
      <c r="AF318" s="4">
        <v>10</v>
      </c>
      <c r="AG318" s="4">
        <v>10</v>
      </c>
      <c r="AH318" s="4">
        <v>7</v>
      </c>
      <c r="AI318" s="4">
        <v>7</v>
      </c>
      <c r="AJ318" s="4">
        <v>7</v>
      </c>
      <c r="AK318" s="4">
        <v>7</v>
      </c>
      <c r="AL318" s="4">
        <v>2</v>
      </c>
      <c r="AM318" s="4">
        <v>2</v>
      </c>
      <c r="AN318" s="4">
        <v>0</v>
      </c>
      <c r="AO318" s="4">
        <v>0</v>
      </c>
      <c r="AP318" s="3" t="s">
        <v>51</v>
      </c>
      <c r="AQ318" s="3" t="s">
        <v>51</v>
      </c>
      <c r="AS318" s="6" t="str">
        <f>HYPERLINK("https://creighton-primo.hosted.exlibrisgroup.com/primo-explore/search?tab=default_tab&amp;search_scope=EVERYTHING&amp;vid=01CRU&amp;lang=en_US&amp;offset=0&amp;query=any,contains,991000235949702656","Catalog Record")</f>
        <v>Catalog Record</v>
      </c>
      <c r="AT318" s="6" t="str">
        <f>HYPERLINK("http://www.worldcat.org/oclc/9647111","WorldCat Record")</f>
        <v>WorldCat Record</v>
      </c>
    </row>
    <row r="319" spans="1:46" ht="41.25" customHeight="1" x14ac:dyDescent="0.25">
      <c r="A319" s="8" t="s">
        <v>51</v>
      </c>
      <c r="B319" s="2" t="s">
        <v>2102</v>
      </c>
      <c r="C319" s="2" t="s">
        <v>2103</v>
      </c>
      <c r="D319" s="2" t="s">
        <v>2104</v>
      </c>
      <c r="F319" s="3" t="s">
        <v>51</v>
      </c>
      <c r="G319" s="3" t="s">
        <v>50</v>
      </c>
      <c r="H319" s="3" t="s">
        <v>51</v>
      </c>
      <c r="I319" s="3" t="s">
        <v>51</v>
      </c>
      <c r="J319" s="3" t="s">
        <v>52</v>
      </c>
      <c r="K319" s="2" t="s">
        <v>2105</v>
      </c>
      <c r="L319" s="2" t="s">
        <v>2106</v>
      </c>
      <c r="M319" s="3" t="s">
        <v>186</v>
      </c>
      <c r="O319" s="3" t="s">
        <v>56</v>
      </c>
      <c r="P319" s="3" t="s">
        <v>748</v>
      </c>
      <c r="R319" s="3" t="s">
        <v>59</v>
      </c>
      <c r="S319" s="4">
        <v>9</v>
      </c>
      <c r="T319" s="4">
        <v>9</v>
      </c>
      <c r="U319" s="5" t="s">
        <v>2107</v>
      </c>
      <c r="V319" s="5" t="s">
        <v>2107</v>
      </c>
      <c r="W319" s="5" t="s">
        <v>2108</v>
      </c>
      <c r="X319" s="5" t="s">
        <v>2108</v>
      </c>
      <c r="Y319" s="4">
        <v>304</v>
      </c>
      <c r="Z319" s="4">
        <v>264</v>
      </c>
      <c r="AA319" s="4">
        <v>290</v>
      </c>
      <c r="AB319" s="4">
        <v>2</v>
      </c>
      <c r="AC319" s="4">
        <v>2</v>
      </c>
      <c r="AD319" s="4">
        <v>13</v>
      </c>
      <c r="AE319" s="4">
        <v>13</v>
      </c>
      <c r="AF319" s="4">
        <v>3</v>
      </c>
      <c r="AG319" s="4">
        <v>3</v>
      </c>
      <c r="AH319" s="4">
        <v>3</v>
      </c>
      <c r="AI319" s="4">
        <v>3</v>
      </c>
      <c r="AJ319" s="4">
        <v>7</v>
      </c>
      <c r="AK319" s="4">
        <v>7</v>
      </c>
      <c r="AL319" s="4">
        <v>1</v>
      </c>
      <c r="AM319" s="4">
        <v>1</v>
      </c>
      <c r="AN319" s="4">
        <v>0</v>
      </c>
      <c r="AO319" s="4">
        <v>0</v>
      </c>
      <c r="AP319" s="3" t="s">
        <v>51</v>
      </c>
      <c r="AQ319" s="3" t="s">
        <v>51</v>
      </c>
      <c r="AS319" s="6" t="str">
        <f>HYPERLINK("https://creighton-primo.hosted.exlibrisgroup.com/primo-explore/search?tab=default_tab&amp;search_scope=EVERYTHING&amp;vid=01CRU&amp;lang=en_US&amp;offset=0&amp;query=any,contains,991000119979702656","Catalog Record")</f>
        <v>Catalog Record</v>
      </c>
      <c r="AT319" s="6" t="str">
        <f>HYPERLINK("http://www.worldcat.org/oclc/9066152","WorldCat Record")</f>
        <v>WorldCat Record</v>
      </c>
    </row>
    <row r="320" spans="1:46" ht="41.25" customHeight="1" x14ac:dyDescent="0.25">
      <c r="A320" s="8" t="s">
        <v>51</v>
      </c>
      <c r="B320" s="2" t="s">
        <v>2109</v>
      </c>
      <c r="C320" s="2" t="s">
        <v>2110</v>
      </c>
      <c r="D320" s="2" t="s">
        <v>2111</v>
      </c>
      <c r="F320" s="3" t="s">
        <v>51</v>
      </c>
      <c r="G320" s="3" t="s">
        <v>50</v>
      </c>
      <c r="H320" s="3" t="s">
        <v>51</v>
      </c>
      <c r="I320" s="3" t="s">
        <v>51</v>
      </c>
      <c r="J320" s="3" t="s">
        <v>52</v>
      </c>
      <c r="K320" s="2" t="s">
        <v>2112</v>
      </c>
      <c r="L320" s="2" t="s">
        <v>2113</v>
      </c>
      <c r="M320" s="3" t="s">
        <v>2114</v>
      </c>
      <c r="O320" s="3" t="s">
        <v>56</v>
      </c>
      <c r="P320" s="3" t="s">
        <v>2115</v>
      </c>
      <c r="R320" s="3" t="s">
        <v>59</v>
      </c>
      <c r="S320" s="4">
        <v>3</v>
      </c>
      <c r="T320" s="4">
        <v>3</v>
      </c>
      <c r="U320" s="5" t="s">
        <v>2116</v>
      </c>
      <c r="V320" s="5" t="s">
        <v>2116</v>
      </c>
      <c r="W320" s="5" t="s">
        <v>2117</v>
      </c>
      <c r="X320" s="5" t="s">
        <v>2117</v>
      </c>
      <c r="Y320" s="4">
        <v>176</v>
      </c>
      <c r="Z320" s="4">
        <v>108</v>
      </c>
      <c r="AA320" s="4">
        <v>287</v>
      </c>
      <c r="AB320" s="4">
        <v>4</v>
      </c>
      <c r="AC320" s="4">
        <v>4</v>
      </c>
      <c r="AD320" s="4">
        <v>8</v>
      </c>
      <c r="AE320" s="4">
        <v>17</v>
      </c>
      <c r="AF320" s="4">
        <v>4</v>
      </c>
      <c r="AG320" s="4">
        <v>5</v>
      </c>
      <c r="AH320" s="4">
        <v>2</v>
      </c>
      <c r="AI320" s="4">
        <v>5</v>
      </c>
      <c r="AJ320" s="4">
        <v>2</v>
      </c>
      <c r="AK320" s="4">
        <v>8</v>
      </c>
      <c r="AL320" s="4">
        <v>2</v>
      </c>
      <c r="AM320" s="4">
        <v>2</v>
      </c>
      <c r="AN320" s="4">
        <v>0</v>
      </c>
      <c r="AO320" s="4">
        <v>0</v>
      </c>
      <c r="AP320" s="3" t="s">
        <v>51</v>
      </c>
      <c r="AQ320" s="3" t="s">
        <v>49</v>
      </c>
      <c r="AR320" s="6" t="str">
        <f>HYPERLINK("http://catalog.hathitrust.org/Record/009087825","HathiTrust Record")</f>
        <v>HathiTrust Record</v>
      </c>
      <c r="AS320" s="6" t="str">
        <f>HYPERLINK("https://creighton-primo.hosted.exlibrisgroup.com/primo-explore/search?tab=default_tab&amp;search_scope=EVERYTHING&amp;vid=01CRU&amp;lang=en_US&amp;offset=0&amp;query=any,contains,991001773159702656","Catalog Record")</f>
        <v>Catalog Record</v>
      </c>
      <c r="AT320" s="6" t="str">
        <f>HYPERLINK("http://www.worldcat.org/oclc/2150201","WorldCat Record")</f>
        <v>WorldCat Record</v>
      </c>
    </row>
    <row r="321" spans="1:46" ht="41.25" customHeight="1" x14ac:dyDescent="0.25">
      <c r="A321" s="8" t="s">
        <v>51</v>
      </c>
      <c r="B321" s="2" t="s">
        <v>2118</v>
      </c>
      <c r="C321" s="2" t="s">
        <v>2119</v>
      </c>
      <c r="D321" s="2" t="s">
        <v>2120</v>
      </c>
      <c r="F321" s="3" t="s">
        <v>51</v>
      </c>
      <c r="G321" s="3" t="s">
        <v>50</v>
      </c>
      <c r="H321" s="3" t="s">
        <v>49</v>
      </c>
      <c r="I321" s="3" t="s">
        <v>51</v>
      </c>
      <c r="J321" s="3" t="s">
        <v>52</v>
      </c>
      <c r="K321" s="2" t="s">
        <v>2121</v>
      </c>
      <c r="L321" s="2" t="s">
        <v>2122</v>
      </c>
      <c r="M321" s="3" t="s">
        <v>201</v>
      </c>
      <c r="O321" s="3" t="s">
        <v>56</v>
      </c>
      <c r="P321" s="3" t="s">
        <v>87</v>
      </c>
      <c r="R321" s="3" t="s">
        <v>59</v>
      </c>
      <c r="S321" s="4">
        <v>11</v>
      </c>
      <c r="T321" s="4">
        <v>16</v>
      </c>
      <c r="U321" s="5" t="s">
        <v>1137</v>
      </c>
      <c r="V321" s="5" t="s">
        <v>1137</v>
      </c>
      <c r="W321" s="5" t="s">
        <v>2108</v>
      </c>
      <c r="X321" s="5" t="s">
        <v>2108</v>
      </c>
      <c r="Y321" s="4">
        <v>218</v>
      </c>
      <c r="Z321" s="4">
        <v>189</v>
      </c>
      <c r="AA321" s="4">
        <v>193</v>
      </c>
      <c r="AB321" s="4">
        <v>3</v>
      </c>
      <c r="AC321" s="4">
        <v>3</v>
      </c>
      <c r="AD321" s="4">
        <v>3</v>
      </c>
      <c r="AE321" s="4">
        <v>3</v>
      </c>
      <c r="AF321" s="4">
        <v>1</v>
      </c>
      <c r="AG321" s="4">
        <v>1</v>
      </c>
      <c r="AH321" s="4">
        <v>0</v>
      </c>
      <c r="AI321" s="4">
        <v>0</v>
      </c>
      <c r="AJ321" s="4">
        <v>1</v>
      </c>
      <c r="AK321" s="4">
        <v>1</v>
      </c>
      <c r="AL321" s="4">
        <v>1</v>
      </c>
      <c r="AM321" s="4">
        <v>1</v>
      </c>
      <c r="AN321" s="4">
        <v>0</v>
      </c>
      <c r="AO321" s="4">
        <v>0</v>
      </c>
      <c r="AP321" s="3" t="s">
        <v>51</v>
      </c>
      <c r="AQ321" s="3" t="s">
        <v>49</v>
      </c>
      <c r="AR321" s="6" t="str">
        <f>HYPERLINK("http://catalog.hathitrust.org/Record/001577204","HathiTrust Record")</f>
        <v>HathiTrust Record</v>
      </c>
      <c r="AS321" s="6" t="str">
        <f>HYPERLINK("https://creighton-primo.hosted.exlibrisgroup.com/primo-explore/search?tab=default_tab&amp;search_scope=EVERYTHING&amp;vid=01CRU&amp;lang=en_US&amp;offset=0&amp;query=any,contains,991001788489702656","Catalog Record")</f>
        <v>Catalog Record</v>
      </c>
      <c r="AT321" s="6" t="str">
        <f>HYPERLINK("http://www.worldcat.org/oclc/702981","WorldCat Record")</f>
        <v>WorldCat Record</v>
      </c>
    </row>
    <row r="322" spans="1:46" ht="41.25" customHeight="1" x14ac:dyDescent="0.25">
      <c r="A322" s="8" t="s">
        <v>51</v>
      </c>
      <c r="B322" s="2" t="s">
        <v>2123</v>
      </c>
      <c r="C322" s="2" t="s">
        <v>2124</v>
      </c>
      <c r="D322" s="2" t="s">
        <v>2125</v>
      </c>
      <c r="F322" s="3" t="s">
        <v>51</v>
      </c>
      <c r="G322" s="3" t="s">
        <v>50</v>
      </c>
      <c r="H322" s="3" t="s">
        <v>49</v>
      </c>
      <c r="I322" s="3" t="s">
        <v>51</v>
      </c>
      <c r="J322" s="3" t="s">
        <v>52</v>
      </c>
      <c r="K322" s="2" t="s">
        <v>2126</v>
      </c>
      <c r="L322" s="2" t="s">
        <v>2127</v>
      </c>
      <c r="M322" s="3" t="s">
        <v>112</v>
      </c>
      <c r="O322" s="3" t="s">
        <v>56</v>
      </c>
      <c r="P322" s="3" t="s">
        <v>87</v>
      </c>
      <c r="R322" s="3" t="s">
        <v>59</v>
      </c>
      <c r="S322" s="4">
        <v>4</v>
      </c>
      <c r="T322" s="4">
        <v>4</v>
      </c>
      <c r="U322" s="5" t="s">
        <v>2128</v>
      </c>
      <c r="V322" s="5" t="s">
        <v>2128</v>
      </c>
      <c r="W322" s="5" t="s">
        <v>2129</v>
      </c>
      <c r="X322" s="5" t="s">
        <v>2129</v>
      </c>
      <c r="Y322" s="4">
        <v>165</v>
      </c>
      <c r="Z322" s="4">
        <v>147</v>
      </c>
      <c r="AA322" s="4">
        <v>149</v>
      </c>
      <c r="AB322" s="4">
        <v>2</v>
      </c>
      <c r="AC322" s="4">
        <v>2</v>
      </c>
      <c r="AD322" s="4">
        <v>5</v>
      </c>
      <c r="AE322" s="4">
        <v>5</v>
      </c>
      <c r="AF322" s="4">
        <v>2</v>
      </c>
      <c r="AG322" s="4">
        <v>2</v>
      </c>
      <c r="AH322" s="4">
        <v>0</v>
      </c>
      <c r="AI322" s="4">
        <v>0</v>
      </c>
      <c r="AJ322" s="4">
        <v>4</v>
      </c>
      <c r="AK322" s="4">
        <v>4</v>
      </c>
      <c r="AL322" s="4">
        <v>0</v>
      </c>
      <c r="AM322" s="4">
        <v>0</v>
      </c>
      <c r="AN322" s="4">
        <v>0</v>
      </c>
      <c r="AO322" s="4">
        <v>0</v>
      </c>
      <c r="AP322" s="3" t="s">
        <v>51</v>
      </c>
      <c r="AQ322" s="3" t="s">
        <v>49</v>
      </c>
      <c r="AR322" s="6" t="str">
        <f>HYPERLINK("http://catalog.hathitrust.org/Record/000432027","HathiTrust Record")</f>
        <v>HathiTrust Record</v>
      </c>
      <c r="AS322" s="6" t="str">
        <f>HYPERLINK("https://creighton-primo.hosted.exlibrisgroup.com/primo-explore/search?tab=default_tab&amp;search_scope=EVERYTHING&amp;vid=01CRU&amp;lang=en_US&amp;offset=0&amp;query=any,contains,991000706609702656","Catalog Record")</f>
        <v>Catalog Record</v>
      </c>
      <c r="AT322" s="6" t="str">
        <f>HYPERLINK("http://www.worldcat.org/oclc/12557530","WorldCat Record")</f>
        <v>WorldCat Record</v>
      </c>
    </row>
    <row r="323" spans="1:46" ht="41.25" customHeight="1" x14ac:dyDescent="0.25">
      <c r="A323" s="8" t="s">
        <v>51</v>
      </c>
      <c r="B323" s="2" t="s">
        <v>2130</v>
      </c>
      <c r="C323" s="2" t="s">
        <v>2131</v>
      </c>
      <c r="D323" s="2" t="s">
        <v>2132</v>
      </c>
      <c r="F323" s="3" t="s">
        <v>51</v>
      </c>
      <c r="G323" s="3" t="s">
        <v>50</v>
      </c>
      <c r="H323" s="3" t="s">
        <v>49</v>
      </c>
      <c r="I323" s="3" t="s">
        <v>51</v>
      </c>
      <c r="J323" s="3" t="s">
        <v>52</v>
      </c>
      <c r="K323" s="2" t="s">
        <v>2133</v>
      </c>
      <c r="L323" s="2" t="s">
        <v>2134</v>
      </c>
      <c r="M323" s="3" t="s">
        <v>129</v>
      </c>
      <c r="O323" s="3" t="s">
        <v>56</v>
      </c>
      <c r="P323" s="3" t="s">
        <v>87</v>
      </c>
      <c r="R323" s="3" t="s">
        <v>59</v>
      </c>
      <c r="S323" s="4">
        <v>6</v>
      </c>
      <c r="T323" s="4">
        <v>6</v>
      </c>
      <c r="U323" s="5" t="s">
        <v>1137</v>
      </c>
      <c r="V323" s="5" t="s">
        <v>1137</v>
      </c>
      <c r="W323" s="5" t="s">
        <v>2135</v>
      </c>
      <c r="X323" s="5" t="s">
        <v>2135</v>
      </c>
      <c r="Y323" s="4">
        <v>126</v>
      </c>
      <c r="Z323" s="4">
        <v>114</v>
      </c>
      <c r="AA323" s="4">
        <v>206</v>
      </c>
      <c r="AB323" s="4">
        <v>2</v>
      </c>
      <c r="AC323" s="4">
        <v>2</v>
      </c>
      <c r="AD323" s="4">
        <v>1</v>
      </c>
      <c r="AE323" s="4">
        <v>3</v>
      </c>
      <c r="AF323" s="4">
        <v>0</v>
      </c>
      <c r="AG323" s="4">
        <v>2</v>
      </c>
      <c r="AH323" s="4">
        <v>0</v>
      </c>
      <c r="AI323" s="4">
        <v>0</v>
      </c>
      <c r="AJ323" s="4">
        <v>1</v>
      </c>
      <c r="AK323" s="4">
        <v>2</v>
      </c>
      <c r="AL323" s="4">
        <v>0</v>
      </c>
      <c r="AM323" s="4">
        <v>0</v>
      </c>
      <c r="AN323" s="4">
        <v>0</v>
      </c>
      <c r="AO323" s="4">
        <v>0</v>
      </c>
      <c r="AP323" s="3" t="s">
        <v>51</v>
      </c>
      <c r="AQ323" s="3" t="s">
        <v>51</v>
      </c>
      <c r="AS323" s="6" t="str">
        <f>HYPERLINK("https://creighton-primo.hosted.exlibrisgroup.com/primo-explore/search?tab=default_tab&amp;search_scope=EVERYTHING&amp;vid=01CRU&amp;lang=en_US&amp;offset=0&amp;query=any,contains,991000653009702656","Catalog Record")</f>
        <v>Catalog Record</v>
      </c>
      <c r="AT323" s="6" t="str">
        <f>HYPERLINK("http://www.worldcat.org/oclc/12188797","WorldCat Record")</f>
        <v>WorldCat Record</v>
      </c>
    </row>
    <row r="324" spans="1:46" ht="41.25" customHeight="1" x14ac:dyDescent="0.25">
      <c r="A324" s="8" t="s">
        <v>51</v>
      </c>
      <c r="B324" s="2" t="s">
        <v>2136</v>
      </c>
      <c r="C324" s="2" t="s">
        <v>2137</v>
      </c>
      <c r="D324" s="2" t="s">
        <v>2138</v>
      </c>
      <c r="F324" s="3" t="s">
        <v>51</v>
      </c>
      <c r="G324" s="3" t="s">
        <v>50</v>
      </c>
      <c r="H324" s="3" t="s">
        <v>51</v>
      </c>
      <c r="I324" s="3" t="s">
        <v>51</v>
      </c>
      <c r="J324" s="3" t="s">
        <v>52</v>
      </c>
      <c r="K324" s="2" t="s">
        <v>2139</v>
      </c>
      <c r="L324" s="2" t="s">
        <v>2140</v>
      </c>
      <c r="M324" s="3" t="s">
        <v>129</v>
      </c>
      <c r="O324" s="3" t="s">
        <v>56</v>
      </c>
      <c r="P324" s="3" t="s">
        <v>87</v>
      </c>
      <c r="R324" s="3" t="s">
        <v>59</v>
      </c>
      <c r="S324" s="4">
        <v>3</v>
      </c>
      <c r="T324" s="4">
        <v>3</v>
      </c>
      <c r="U324" s="5" t="s">
        <v>2141</v>
      </c>
      <c r="V324" s="5" t="s">
        <v>2141</v>
      </c>
      <c r="W324" s="5" t="s">
        <v>2142</v>
      </c>
      <c r="X324" s="5" t="s">
        <v>2142</v>
      </c>
      <c r="Y324" s="4">
        <v>212</v>
      </c>
      <c r="Z324" s="4">
        <v>168</v>
      </c>
      <c r="AA324" s="4">
        <v>170</v>
      </c>
      <c r="AB324" s="4">
        <v>1</v>
      </c>
      <c r="AC324" s="4">
        <v>1</v>
      </c>
      <c r="AD324" s="4">
        <v>4</v>
      </c>
      <c r="AE324" s="4">
        <v>4</v>
      </c>
      <c r="AF324" s="4">
        <v>3</v>
      </c>
      <c r="AG324" s="4">
        <v>3</v>
      </c>
      <c r="AH324" s="4">
        <v>1</v>
      </c>
      <c r="AI324" s="4">
        <v>1</v>
      </c>
      <c r="AJ324" s="4">
        <v>1</v>
      </c>
      <c r="AK324" s="4">
        <v>1</v>
      </c>
      <c r="AL324" s="4">
        <v>0</v>
      </c>
      <c r="AM324" s="4">
        <v>0</v>
      </c>
      <c r="AN324" s="4">
        <v>0</v>
      </c>
      <c r="AO324" s="4">
        <v>0</v>
      </c>
      <c r="AP324" s="3" t="s">
        <v>51</v>
      </c>
      <c r="AQ324" s="3" t="s">
        <v>49</v>
      </c>
      <c r="AR324" s="6" t="str">
        <f>HYPERLINK("http://catalog.hathitrust.org/Record/000424294","HathiTrust Record")</f>
        <v>HathiTrust Record</v>
      </c>
      <c r="AS324" s="6" t="str">
        <f>HYPERLINK("https://creighton-primo.hosted.exlibrisgroup.com/primo-explore/search?tab=default_tab&amp;search_scope=EVERYTHING&amp;vid=01CRU&amp;lang=en_US&amp;offset=0&amp;query=any,contains,991000669409702656","Catalog Record")</f>
        <v>Catalog Record</v>
      </c>
      <c r="AT324" s="6" t="str">
        <f>HYPERLINK("http://www.worldcat.org/oclc/12313335","WorldCat Record")</f>
        <v>WorldCat Record</v>
      </c>
    </row>
    <row r="325" spans="1:46" ht="41.25" customHeight="1" x14ac:dyDescent="0.25">
      <c r="A325" s="8" t="s">
        <v>51</v>
      </c>
      <c r="B325" s="2" t="s">
        <v>2143</v>
      </c>
      <c r="C325" s="2" t="s">
        <v>2144</v>
      </c>
      <c r="D325" s="2" t="s">
        <v>2145</v>
      </c>
      <c r="F325" s="3" t="s">
        <v>51</v>
      </c>
      <c r="G325" s="3" t="s">
        <v>50</v>
      </c>
      <c r="H325" s="3" t="s">
        <v>51</v>
      </c>
      <c r="I325" s="3" t="s">
        <v>51</v>
      </c>
      <c r="J325" s="3" t="s">
        <v>52</v>
      </c>
      <c r="L325" s="2" t="s">
        <v>2146</v>
      </c>
      <c r="M325" s="3" t="s">
        <v>298</v>
      </c>
      <c r="O325" s="3" t="s">
        <v>56</v>
      </c>
      <c r="P325" s="3" t="s">
        <v>87</v>
      </c>
      <c r="Q325" s="2" t="s">
        <v>2147</v>
      </c>
      <c r="R325" s="3" t="s">
        <v>59</v>
      </c>
      <c r="S325" s="4">
        <v>8</v>
      </c>
      <c r="T325" s="4">
        <v>8</v>
      </c>
      <c r="U325" s="5" t="s">
        <v>2148</v>
      </c>
      <c r="V325" s="5" t="s">
        <v>2148</v>
      </c>
      <c r="W325" s="5" t="s">
        <v>2149</v>
      </c>
      <c r="X325" s="5" t="s">
        <v>2149</v>
      </c>
      <c r="Y325" s="4">
        <v>184</v>
      </c>
      <c r="Z325" s="4">
        <v>144</v>
      </c>
      <c r="AA325" s="4">
        <v>146</v>
      </c>
      <c r="AB325" s="4">
        <v>1</v>
      </c>
      <c r="AC325" s="4">
        <v>1</v>
      </c>
      <c r="AD325" s="4">
        <v>9</v>
      </c>
      <c r="AE325" s="4">
        <v>9</v>
      </c>
      <c r="AF325" s="4">
        <v>3</v>
      </c>
      <c r="AG325" s="4">
        <v>3</v>
      </c>
      <c r="AH325" s="4">
        <v>1</v>
      </c>
      <c r="AI325" s="4">
        <v>1</v>
      </c>
      <c r="AJ325" s="4">
        <v>3</v>
      </c>
      <c r="AK325" s="4">
        <v>3</v>
      </c>
      <c r="AL325" s="4">
        <v>0</v>
      </c>
      <c r="AM325" s="4">
        <v>0</v>
      </c>
      <c r="AN325" s="4">
        <v>2</v>
      </c>
      <c r="AO325" s="4">
        <v>2</v>
      </c>
      <c r="AP325" s="3" t="s">
        <v>51</v>
      </c>
      <c r="AQ325" s="3" t="s">
        <v>49</v>
      </c>
      <c r="AR325" s="6" t="str">
        <f>HYPERLINK("http://catalog.hathitrust.org/Record/002557398","HathiTrust Record")</f>
        <v>HathiTrust Record</v>
      </c>
      <c r="AS325" s="6" t="str">
        <f>HYPERLINK("https://creighton-primo.hosted.exlibrisgroup.com/primo-explore/search?tab=default_tab&amp;search_scope=EVERYTHING&amp;vid=01CRU&amp;lang=en_US&amp;offset=0&amp;query=any,contains,991001909169702656","Catalog Record")</f>
        <v>Catalog Record</v>
      </c>
      <c r="AT325" s="6" t="str">
        <f>HYPERLINK("http://www.worldcat.org/oclc/24108301","WorldCat Record")</f>
        <v>WorldCat Record</v>
      </c>
    </row>
    <row r="326" spans="1:46" ht="41.25" customHeight="1" x14ac:dyDescent="0.25">
      <c r="A326" s="8" t="s">
        <v>51</v>
      </c>
      <c r="B326" s="2" t="s">
        <v>2150</v>
      </c>
      <c r="C326" s="2" t="s">
        <v>2151</v>
      </c>
      <c r="D326" s="2" t="s">
        <v>2152</v>
      </c>
      <c r="F326" s="3" t="s">
        <v>51</v>
      </c>
      <c r="G326" s="3" t="s">
        <v>50</v>
      </c>
      <c r="H326" s="3" t="s">
        <v>49</v>
      </c>
      <c r="I326" s="3" t="s">
        <v>51</v>
      </c>
      <c r="J326" s="3" t="s">
        <v>52</v>
      </c>
      <c r="K326" s="2" t="s">
        <v>2153</v>
      </c>
      <c r="L326" s="2" t="s">
        <v>2154</v>
      </c>
      <c r="M326" s="3" t="s">
        <v>112</v>
      </c>
      <c r="O326" s="3" t="s">
        <v>56</v>
      </c>
      <c r="P326" s="3" t="s">
        <v>1017</v>
      </c>
      <c r="R326" s="3" t="s">
        <v>59</v>
      </c>
      <c r="S326" s="4">
        <v>2</v>
      </c>
      <c r="T326" s="4">
        <v>6</v>
      </c>
      <c r="U326" s="5" t="s">
        <v>2155</v>
      </c>
      <c r="V326" s="5" t="s">
        <v>2155</v>
      </c>
      <c r="W326" s="5" t="s">
        <v>2117</v>
      </c>
      <c r="X326" s="5" t="s">
        <v>2117</v>
      </c>
      <c r="Y326" s="4">
        <v>518</v>
      </c>
      <c r="Z326" s="4">
        <v>493</v>
      </c>
      <c r="AA326" s="4">
        <v>498</v>
      </c>
      <c r="AB326" s="4">
        <v>7</v>
      </c>
      <c r="AC326" s="4">
        <v>7</v>
      </c>
      <c r="AD326" s="4">
        <v>24</v>
      </c>
      <c r="AE326" s="4">
        <v>24</v>
      </c>
      <c r="AF326" s="4">
        <v>9</v>
      </c>
      <c r="AG326" s="4">
        <v>9</v>
      </c>
      <c r="AH326" s="4">
        <v>4</v>
      </c>
      <c r="AI326" s="4">
        <v>4</v>
      </c>
      <c r="AJ326" s="4">
        <v>11</v>
      </c>
      <c r="AK326" s="4">
        <v>11</v>
      </c>
      <c r="AL326" s="4">
        <v>5</v>
      </c>
      <c r="AM326" s="4">
        <v>5</v>
      </c>
      <c r="AN326" s="4">
        <v>0</v>
      </c>
      <c r="AO326" s="4">
        <v>0</v>
      </c>
      <c r="AP326" s="3" t="s">
        <v>51</v>
      </c>
      <c r="AQ326" s="3" t="s">
        <v>49</v>
      </c>
      <c r="AR326" s="6" t="str">
        <f>HYPERLINK("http://catalog.hathitrust.org/Record/000401265","HathiTrust Record")</f>
        <v>HathiTrust Record</v>
      </c>
      <c r="AS326" s="6" t="str">
        <f>HYPERLINK("https://creighton-primo.hosted.exlibrisgroup.com/primo-explore/search?tab=default_tab&amp;search_scope=EVERYTHING&amp;vid=01CRU&amp;lang=en_US&amp;offset=0&amp;query=any,contains,991001788379702656","Catalog Record")</f>
        <v>Catalog Record</v>
      </c>
      <c r="AT326" s="6" t="str">
        <f>HYPERLINK("http://www.worldcat.org/oclc/17353744","WorldCat Record")</f>
        <v>WorldCat Record</v>
      </c>
    </row>
    <row r="327" spans="1:46" ht="41.25" customHeight="1" x14ac:dyDescent="0.25">
      <c r="A327" s="8" t="s">
        <v>51</v>
      </c>
      <c r="B327" s="2" t="s">
        <v>2156</v>
      </c>
      <c r="C327" s="2" t="s">
        <v>2157</v>
      </c>
      <c r="D327" s="2" t="s">
        <v>2158</v>
      </c>
      <c r="F327" s="3" t="s">
        <v>51</v>
      </c>
      <c r="G327" s="3" t="s">
        <v>50</v>
      </c>
      <c r="H327" s="3" t="s">
        <v>51</v>
      </c>
      <c r="I327" s="3" t="s">
        <v>51</v>
      </c>
      <c r="J327" s="3" t="s">
        <v>52</v>
      </c>
      <c r="K327" s="2" t="s">
        <v>2159</v>
      </c>
      <c r="L327" s="2" t="s">
        <v>2160</v>
      </c>
      <c r="M327" s="3" t="s">
        <v>211</v>
      </c>
      <c r="O327" s="3" t="s">
        <v>56</v>
      </c>
      <c r="P327" s="3" t="s">
        <v>1017</v>
      </c>
      <c r="R327" s="3" t="s">
        <v>59</v>
      </c>
      <c r="S327" s="4">
        <v>3</v>
      </c>
      <c r="T327" s="4">
        <v>3</v>
      </c>
      <c r="U327" s="5" t="s">
        <v>2161</v>
      </c>
      <c r="V327" s="5" t="s">
        <v>2161</v>
      </c>
      <c r="W327" s="5" t="s">
        <v>2162</v>
      </c>
      <c r="X327" s="5" t="s">
        <v>2162</v>
      </c>
      <c r="Y327" s="4">
        <v>131</v>
      </c>
      <c r="Z327" s="4">
        <v>109</v>
      </c>
      <c r="AA327" s="4">
        <v>111</v>
      </c>
      <c r="AB327" s="4">
        <v>1</v>
      </c>
      <c r="AC327" s="4">
        <v>1</v>
      </c>
      <c r="AD327" s="4">
        <v>3</v>
      </c>
      <c r="AE327" s="4">
        <v>3</v>
      </c>
      <c r="AF327" s="4">
        <v>1</v>
      </c>
      <c r="AG327" s="4">
        <v>1</v>
      </c>
      <c r="AH327" s="4">
        <v>0</v>
      </c>
      <c r="AI327" s="4">
        <v>0</v>
      </c>
      <c r="AJ327" s="4">
        <v>2</v>
      </c>
      <c r="AK327" s="4">
        <v>2</v>
      </c>
      <c r="AL327" s="4">
        <v>0</v>
      </c>
      <c r="AM327" s="4">
        <v>0</v>
      </c>
      <c r="AN327" s="4">
        <v>0</v>
      </c>
      <c r="AO327" s="4">
        <v>0</v>
      </c>
      <c r="AP327" s="3" t="s">
        <v>51</v>
      </c>
      <c r="AQ327" s="3" t="s">
        <v>49</v>
      </c>
      <c r="AR327" s="6" t="str">
        <f>HYPERLINK("http://catalog.hathitrust.org/Record/000021064","HathiTrust Record")</f>
        <v>HathiTrust Record</v>
      </c>
      <c r="AS327" s="6" t="str">
        <f>HYPERLINK("https://creighton-primo.hosted.exlibrisgroup.com/primo-explore/search?tab=default_tab&amp;search_scope=EVERYTHING&amp;vid=01CRU&amp;lang=en_US&amp;offset=0&amp;query=any,contains,991004959869702656","Catalog Record")</f>
        <v>Catalog Record</v>
      </c>
      <c r="AT327" s="6" t="str">
        <f>HYPERLINK("http://www.worldcat.org/oclc/6304284","WorldCat Record")</f>
        <v>WorldCat Record</v>
      </c>
    </row>
    <row r="328" spans="1:46" ht="41.25" customHeight="1" x14ac:dyDescent="0.25">
      <c r="A328" s="8" t="s">
        <v>51</v>
      </c>
      <c r="B328" s="2" t="s">
        <v>2163</v>
      </c>
      <c r="C328" s="2" t="s">
        <v>2164</v>
      </c>
      <c r="D328" s="2" t="s">
        <v>2165</v>
      </c>
      <c r="F328" s="3" t="s">
        <v>51</v>
      </c>
      <c r="G328" s="3" t="s">
        <v>50</v>
      </c>
      <c r="H328" s="3" t="s">
        <v>51</v>
      </c>
      <c r="I328" s="3" t="s">
        <v>51</v>
      </c>
      <c r="J328" s="3" t="s">
        <v>52</v>
      </c>
      <c r="L328" s="2" t="s">
        <v>2166</v>
      </c>
      <c r="M328" s="3" t="s">
        <v>171</v>
      </c>
      <c r="O328" s="3" t="s">
        <v>56</v>
      </c>
      <c r="P328" s="3" t="s">
        <v>538</v>
      </c>
      <c r="R328" s="3" t="s">
        <v>59</v>
      </c>
      <c r="S328" s="4">
        <v>3</v>
      </c>
      <c r="T328" s="4">
        <v>3</v>
      </c>
      <c r="U328" s="5" t="s">
        <v>2148</v>
      </c>
      <c r="V328" s="5" t="s">
        <v>2148</v>
      </c>
      <c r="W328" s="5" t="s">
        <v>2142</v>
      </c>
      <c r="X328" s="5" t="s">
        <v>2142</v>
      </c>
      <c r="Y328" s="4">
        <v>335</v>
      </c>
      <c r="Z328" s="4">
        <v>290</v>
      </c>
      <c r="AA328" s="4">
        <v>291</v>
      </c>
      <c r="AB328" s="4">
        <v>1</v>
      </c>
      <c r="AC328" s="4">
        <v>1</v>
      </c>
      <c r="AD328" s="4">
        <v>10</v>
      </c>
      <c r="AE328" s="4">
        <v>10</v>
      </c>
      <c r="AF328" s="4">
        <v>5</v>
      </c>
      <c r="AG328" s="4">
        <v>5</v>
      </c>
      <c r="AH328" s="4">
        <v>1</v>
      </c>
      <c r="AI328" s="4">
        <v>1</v>
      </c>
      <c r="AJ328" s="4">
        <v>5</v>
      </c>
      <c r="AK328" s="4">
        <v>5</v>
      </c>
      <c r="AL328" s="4">
        <v>0</v>
      </c>
      <c r="AM328" s="4">
        <v>0</v>
      </c>
      <c r="AN328" s="4">
        <v>0</v>
      </c>
      <c r="AO328" s="4">
        <v>0</v>
      </c>
      <c r="AP328" s="3" t="s">
        <v>51</v>
      </c>
      <c r="AQ328" s="3" t="s">
        <v>51</v>
      </c>
      <c r="AS328" s="6" t="str">
        <f>HYPERLINK("https://creighton-primo.hosted.exlibrisgroup.com/primo-explore/search?tab=default_tab&amp;search_scope=EVERYTHING&amp;vid=01CRU&amp;lang=en_US&amp;offset=0&amp;query=any,contains,991004932709702656","Catalog Record")</f>
        <v>Catalog Record</v>
      </c>
      <c r="AT328" s="6" t="str">
        <f>HYPERLINK("http://www.worldcat.org/oclc/6111792","WorldCat Record")</f>
        <v>WorldCat Record</v>
      </c>
    </row>
    <row r="329" spans="1:46" ht="41.25" customHeight="1" x14ac:dyDescent="0.25">
      <c r="A329" s="8" t="s">
        <v>51</v>
      </c>
      <c r="B329" s="2" t="s">
        <v>2167</v>
      </c>
      <c r="C329" s="2" t="s">
        <v>2168</v>
      </c>
      <c r="D329" s="2" t="s">
        <v>2169</v>
      </c>
      <c r="F329" s="3" t="s">
        <v>51</v>
      </c>
      <c r="G329" s="3" t="s">
        <v>50</v>
      </c>
      <c r="H329" s="3" t="s">
        <v>49</v>
      </c>
      <c r="I329" s="3" t="s">
        <v>51</v>
      </c>
      <c r="J329" s="3" t="s">
        <v>52</v>
      </c>
      <c r="K329" s="2" t="s">
        <v>2170</v>
      </c>
      <c r="L329" s="2" t="s">
        <v>2171</v>
      </c>
      <c r="M329" s="3" t="s">
        <v>218</v>
      </c>
      <c r="O329" s="3" t="s">
        <v>56</v>
      </c>
      <c r="P329" s="3" t="s">
        <v>359</v>
      </c>
      <c r="R329" s="3" t="s">
        <v>59</v>
      </c>
      <c r="S329" s="4">
        <v>2</v>
      </c>
      <c r="T329" s="4">
        <v>3</v>
      </c>
      <c r="U329" s="5" t="s">
        <v>2172</v>
      </c>
      <c r="V329" s="5" t="s">
        <v>2172</v>
      </c>
      <c r="W329" s="5" t="s">
        <v>2173</v>
      </c>
      <c r="X329" s="5" t="s">
        <v>2173</v>
      </c>
      <c r="Y329" s="4">
        <v>225</v>
      </c>
      <c r="Z329" s="4">
        <v>194</v>
      </c>
      <c r="AA329" s="4">
        <v>196</v>
      </c>
      <c r="AB329" s="4">
        <v>3</v>
      </c>
      <c r="AC329" s="4">
        <v>3</v>
      </c>
      <c r="AD329" s="4">
        <v>14</v>
      </c>
      <c r="AE329" s="4">
        <v>14</v>
      </c>
      <c r="AF329" s="4">
        <v>3</v>
      </c>
      <c r="AG329" s="4">
        <v>3</v>
      </c>
      <c r="AH329" s="4">
        <v>4</v>
      </c>
      <c r="AI329" s="4">
        <v>4</v>
      </c>
      <c r="AJ329" s="4">
        <v>10</v>
      </c>
      <c r="AK329" s="4">
        <v>10</v>
      </c>
      <c r="AL329" s="4">
        <v>1</v>
      </c>
      <c r="AM329" s="4">
        <v>1</v>
      </c>
      <c r="AN329" s="4">
        <v>1</v>
      </c>
      <c r="AO329" s="4">
        <v>1</v>
      </c>
      <c r="AP329" s="3" t="s">
        <v>51</v>
      </c>
      <c r="AQ329" s="3" t="s">
        <v>49</v>
      </c>
      <c r="AR329" s="6" t="str">
        <f>HYPERLINK("http://catalog.hathitrust.org/Record/000695793","HathiTrust Record")</f>
        <v>HathiTrust Record</v>
      </c>
      <c r="AS329" s="6" t="str">
        <f>HYPERLINK("https://creighton-primo.hosted.exlibrisgroup.com/primo-explore/search?tab=default_tab&amp;search_scope=EVERYTHING&amp;vid=01CRU&amp;lang=en_US&amp;offset=0&amp;query=any,contains,991001788419702656","Catalog Record")</f>
        <v>Catalog Record</v>
      </c>
      <c r="AT329" s="6" t="str">
        <f>HYPERLINK("http://www.worldcat.org/oclc/1993212","WorldCat Record")</f>
        <v>WorldCat Record</v>
      </c>
    </row>
    <row r="330" spans="1:46" ht="41.25" customHeight="1" x14ac:dyDescent="0.25">
      <c r="A330" s="8" t="s">
        <v>51</v>
      </c>
      <c r="B330" s="2" t="s">
        <v>2174</v>
      </c>
      <c r="C330" s="2" t="s">
        <v>2175</v>
      </c>
      <c r="D330" s="2" t="s">
        <v>2176</v>
      </c>
      <c r="F330" s="3" t="s">
        <v>51</v>
      </c>
      <c r="G330" s="3" t="s">
        <v>50</v>
      </c>
      <c r="H330" s="3" t="s">
        <v>51</v>
      </c>
      <c r="I330" s="3" t="s">
        <v>51</v>
      </c>
      <c r="J330" s="3" t="s">
        <v>52</v>
      </c>
      <c r="K330" s="2" t="s">
        <v>2170</v>
      </c>
      <c r="L330" s="2" t="s">
        <v>2177</v>
      </c>
      <c r="M330" s="3" t="s">
        <v>171</v>
      </c>
      <c r="O330" s="3" t="s">
        <v>56</v>
      </c>
      <c r="P330" s="3" t="s">
        <v>359</v>
      </c>
      <c r="R330" s="3" t="s">
        <v>59</v>
      </c>
      <c r="S330" s="4">
        <v>13</v>
      </c>
      <c r="T330" s="4">
        <v>13</v>
      </c>
      <c r="U330" s="5" t="s">
        <v>2178</v>
      </c>
      <c r="V330" s="5" t="s">
        <v>2178</v>
      </c>
      <c r="W330" s="5" t="s">
        <v>2179</v>
      </c>
      <c r="X330" s="5" t="s">
        <v>2179</v>
      </c>
      <c r="Y330" s="4">
        <v>125</v>
      </c>
      <c r="Z330" s="4">
        <v>118</v>
      </c>
      <c r="AA330" s="4">
        <v>121</v>
      </c>
      <c r="AB330" s="4">
        <v>1</v>
      </c>
      <c r="AC330" s="4">
        <v>1</v>
      </c>
      <c r="AD330" s="4">
        <v>11</v>
      </c>
      <c r="AE330" s="4">
        <v>12</v>
      </c>
      <c r="AF330" s="4">
        <v>3</v>
      </c>
      <c r="AG330" s="4">
        <v>3</v>
      </c>
      <c r="AH330" s="4">
        <v>3</v>
      </c>
      <c r="AI330" s="4">
        <v>4</v>
      </c>
      <c r="AJ330" s="4">
        <v>9</v>
      </c>
      <c r="AK330" s="4">
        <v>10</v>
      </c>
      <c r="AL330" s="4">
        <v>0</v>
      </c>
      <c r="AM330" s="4">
        <v>0</v>
      </c>
      <c r="AN330" s="4">
        <v>0</v>
      </c>
      <c r="AO330" s="4">
        <v>0</v>
      </c>
      <c r="AP330" s="3" t="s">
        <v>51</v>
      </c>
      <c r="AQ330" s="3" t="s">
        <v>49</v>
      </c>
      <c r="AR330" s="6" t="str">
        <f>HYPERLINK("http://catalog.hathitrust.org/Record/003189198","HathiTrust Record")</f>
        <v>HathiTrust Record</v>
      </c>
      <c r="AS330" s="6" t="str">
        <f>HYPERLINK("https://creighton-primo.hosted.exlibrisgroup.com/primo-explore/search?tab=default_tab&amp;search_scope=EVERYTHING&amp;vid=01CRU&amp;lang=en_US&amp;offset=0&amp;query=any,contains,991004915039702656","Catalog Record")</f>
        <v>Catalog Record</v>
      </c>
      <c r="AT330" s="6" t="str">
        <f>HYPERLINK("http://www.worldcat.org/oclc/6015874","WorldCat Record")</f>
        <v>WorldCat Record</v>
      </c>
    </row>
    <row r="331" spans="1:46" ht="41.25" customHeight="1" x14ac:dyDescent="0.25">
      <c r="A331" s="8" t="s">
        <v>51</v>
      </c>
      <c r="B331" s="2" t="s">
        <v>2180</v>
      </c>
      <c r="C331" s="2" t="s">
        <v>2181</v>
      </c>
      <c r="D331" s="2" t="s">
        <v>2182</v>
      </c>
      <c r="F331" s="3" t="s">
        <v>51</v>
      </c>
      <c r="G331" s="3" t="s">
        <v>50</v>
      </c>
      <c r="H331" s="3" t="s">
        <v>51</v>
      </c>
      <c r="I331" s="3" t="s">
        <v>51</v>
      </c>
      <c r="J331" s="3" t="s">
        <v>52</v>
      </c>
      <c r="K331" s="2" t="s">
        <v>2183</v>
      </c>
      <c r="L331" s="2" t="s">
        <v>2184</v>
      </c>
      <c r="M331" s="3" t="s">
        <v>498</v>
      </c>
      <c r="O331" s="3" t="s">
        <v>56</v>
      </c>
      <c r="P331" s="3" t="s">
        <v>476</v>
      </c>
      <c r="R331" s="3" t="s">
        <v>59</v>
      </c>
      <c r="S331" s="4">
        <v>1</v>
      </c>
      <c r="T331" s="4">
        <v>1</v>
      </c>
      <c r="U331" s="5" t="s">
        <v>2185</v>
      </c>
      <c r="V331" s="5" t="s">
        <v>2185</v>
      </c>
      <c r="W331" s="5" t="s">
        <v>2186</v>
      </c>
      <c r="X331" s="5" t="s">
        <v>2186</v>
      </c>
      <c r="Y331" s="4">
        <v>23</v>
      </c>
      <c r="Z331" s="4">
        <v>23</v>
      </c>
      <c r="AA331" s="4">
        <v>24</v>
      </c>
      <c r="AB331" s="4">
        <v>1</v>
      </c>
      <c r="AC331" s="4">
        <v>1</v>
      </c>
      <c r="AD331" s="4">
        <v>1</v>
      </c>
      <c r="AE331" s="4">
        <v>1</v>
      </c>
      <c r="AF331" s="4">
        <v>0</v>
      </c>
      <c r="AG331" s="4">
        <v>0</v>
      </c>
      <c r="AH331" s="4">
        <v>0</v>
      </c>
      <c r="AI331" s="4">
        <v>0</v>
      </c>
      <c r="AJ331" s="4">
        <v>0</v>
      </c>
      <c r="AK331" s="4">
        <v>0</v>
      </c>
      <c r="AL331" s="4">
        <v>0</v>
      </c>
      <c r="AM331" s="4">
        <v>0</v>
      </c>
      <c r="AN331" s="4">
        <v>1</v>
      </c>
      <c r="AO331" s="4">
        <v>1</v>
      </c>
      <c r="AP331" s="3" t="s">
        <v>51</v>
      </c>
      <c r="AQ331" s="3" t="s">
        <v>51</v>
      </c>
      <c r="AS331" s="6" t="str">
        <f>HYPERLINK("https://creighton-primo.hosted.exlibrisgroup.com/primo-explore/search?tab=default_tab&amp;search_scope=EVERYTHING&amp;vid=01CRU&amp;lang=en_US&amp;offset=0&amp;query=any,contains,991003243589702656","Catalog Record")</f>
        <v>Catalog Record</v>
      </c>
      <c r="AT331" s="6" t="str">
        <f>HYPERLINK("http://www.worldcat.org/oclc/41070336","WorldCat Record")</f>
        <v>WorldCat Record</v>
      </c>
    </row>
    <row r="332" spans="1:46" ht="41.25" customHeight="1" x14ac:dyDescent="0.25">
      <c r="A332" s="8" t="s">
        <v>51</v>
      </c>
      <c r="B332" s="2" t="s">
        <v>2187</v>
      </c>
      <c r="C332" s="2" t="s">
        <v>2188</v>
      </c>
      <c r="D332" s="2" t="s">
        <v>2189</v>
      </c>
      <c r="F332" s="3" t="s">
        <v>51</v>
      </c>
      <c r="G332" s="3" t="s">
        <v>50</v>
      </c>
      <c r="H332" s="3" t="s">
        <v>51</v>
      </c>
      <c r="I332" s="3" t="s">
        <v>51</v>
      </c>
      <c r="J332" s="3" t="s">
        <v>52</v>
      </c>
      <c r="K332" s="2" t="s">
        <v>2190</v>
      </c>
      <c r="L332" s="2" t="s">
        <v>2191</v>
      </c>
      <c r="M332" s="3" t="s">
        <v>424</v>
      </c>
      <c r="O332" s="3" t="s">
        <v>56</v>
      </c>
      <c r="P332" s="3" t="s">
        <v>87</v>
      </c>
      <c r="R332" s="3" t="s">
        <v>59</v>
      </c>
      <c r="S332" s="4">
        <v>5</v>
      </c>
      <c r="T332" s="4">
        <v>5</v>
      </c>
      <c r="U332" s="5" t="s">
        <v>2192</v>
      </c>
      <c r="V332" s="5" t="s">
        <v>2192</v>
      </c>
      <c r="W332" s="5" t="s">
        <v>2135</v>
      </c>
      <c r="X332" s="5" t="s">
        <v>2135</v>
      </c>
      <c r="Y332" s="4">
        <v>280</v>
      </c>
      <c r="Z332" s="4">
        <v>252</v>
      </c>
      <c r="AA332" s="4">
        <v>275</v>
      </c>
      <c r="AB332" s="4">
        <v>3</v>
      </c>
      <c r="AC332" s="4">
        <v>3</v>
      </c>
      <c r="AD332" s="4">
        <v>16</v>
      </c>
      <c r="AE332" s="4">
        <v>17</v>
      </c>
      <c r="AF332" s="4">
        <v>8</v>
      </c>
      <c r="AG332" s="4">
        <v>8</v>
      </c>
      <c r="AH332" s="4">
        <v>4</v>
      </c>
      <c r="AI332" s="4">
        <v>4</v>
      </c>
      <c r="AJ332" s="4">
        <v>10</v>
      </c>
      <c r="AK332" s="4">
        <v>11</v>
      </c>
      <c r="AL332" s="4">
        <v>1</v>
      </c>
      <c r="AM332" s="4">
        <v>1</v>
      </c>
      <c r="AN332" s="4">
        <v>0</v>
      </c>
      <c r="AO332" s="4">
        <v>0</v>
      </c>
      <c r="AP332" s="3" t="s">
        <v>51</v>
      </c>
      <c r="AQ332" s="3" t="s">
        <v>49</v>
      </c>
      <c r="AR332" s="6" t="str">
        <f>HYPERLINK("http://catalog.hathitrust.org/Record/000103438","HathiTrust Record")</f>
        <v>HathiTrust Record</v>
      </c>
      <c r="AS332" s="6" t="str">
        <f>HYPERLINK("https://creighton-primo.hosted.exlibrisgroup.com/primo-explore/search?tab=default_tab&amp;search_scope=EVERYTHING&amp;vid=01CRU&amp;lang=en_US&amp;offset=0&amp;query=any,contains,991005149969702656","Catalog Record")</f>
        <v>Catalog Record</v>
      </c>
      <c r="AT332" s="6" t="str">
        <f>HYPERLINK("http://www.worldcat.org/oclc/7722189","WorldCat Record")</f>
        <v>WorldCat Record</v>
      </c>
    </row>
    <row r="333" spans="1:46" ht="41.25" customHeight="1" x14ac:dyDescent="0.25">
      <c r="A333" s="8" t="s">
        <v>51</v>
      </c>
      <c r="B333" s="2" t="s">
        <v>2193</v>
      </c>
      <c r="C333" s="2" t="s">
        <v>2194</v>
      </c>
      <c r="D333" s="2" t="s">
        <v>2195</v>
      </c>
      <c r="F333" s="3" t="s">
        <v>51</v>
      </c>
      <c r="G333" s="3" t="s">
        <v>50</v>
      </c>
      <c r="H333" s="3" t="s">
        <v>51</v>
      </c>
      <c r="I333" s="3" t="s">
        <v>51</v>
      </c>
      <c r="J333" s="3" t="s">
        <v>52</v>
      </c>
      <c r="K333" s="2" t="s">
        <v>2196</v>
      </c>
      <c r="L333" s="2" t="s">
        <v>2197</v>
      </c>
      <c r="M333" s="3" t="s">
        <v>129</v>
      </c>
      <c r="O333" s="3" t="s">
        <v>56</v>
      </c>
      <c r="P333" s="3" t="s">
        <v>87</v>
      </c>
      <c r="R333" s="3" t="s">
        <v>59</v>
      </c>
      <c r="S333" s="4">
        <v>4</v>
      </c>
      <c r="T333" s="4">
        <v>4</v>
      </c>
      <c r="U333" s="5" t="s">
        <v>539</v>
      </c>
      <c r="V333" s="5" t="s">
        <v>539</v>
      </c>
      <c r="W333" s="5" t="s">
        <v>2142</v>
      </c>
      <c r="X333" s="5" t="s">
        <v>2142</v>
      </c>
      <c r="Y333" s="4">
        <v>725</v>
      </c>
      <c r="Z333" s="4">
        <v>672</v>
      </c>
      <c r="AA333" s="4">
        <v>720</v>
      </c>
      <c r="AB333" s="4">
        <v>1</v>
      </c>
      <c r="AC333" s="4">
        <v>1</v>
      </c>
      <c r="AD333" s="4">
        <v>23</v>
      </c>
      <c r="AE333" s="4">
        <v>27</v>
      </c>
      <c r="AF333" s="4">
        <v>13</v>
      </c>
      <c r="AG333" s="4">
        <v>14</v>
      </c>
      <c r="AH333" s="4">
        <v>5</v>
      </c>
      <c r="AI333" s="4">
        <v>5</v>
      </c>
      <c r="AJ333" s="4">
        <v>12</v>
      </c>
      <c r="AK333" s="4">
        <v>15</v>
      </c>
      <c r="AL333" s="4">
        <v>0</v>
      </c>
      <c r="AM333" s="4">
        <v>0</v>
      </c>
      <c r="AN333" s="4">
        <v>2</v>
      </c>
      <c r="AO333" s="4">
        <v>2</v>
      </c>
      <c r="AP333" s="3" t="s">
        <v>51</v>
      </c>
      <c r="AQ333" s="3" t="s">
        <v>49</v>
      </c>
      <c r="AR333" s="6" t="str">
        <f>HYPERLINK("http://catalog.hathitrust.org/Record/000375211","HathiTrust Record")</f>
        <v>HathiTrust Record</v>
      </c>
      <c r="AS333" s="6" t="str">
        <f>HYPERLINK("https://creighton-primo.hosted.exlibrisgroup.com/primo-explore/search?tab=default_tab&amp;search_scope=EVERYTHING&amp;vid=01CRU&amp;lang=en_US&amp;offset=0&amp;query=any,contains,991000677679702656","Catalog Record")</f>
        <v>Catalog Record</v>
      </c>
      <c r="AT333" s="6" t="str">
        <f>HYPERLINK("http://www.worldcat.org/oclc/12370294","WorldCat Record")</f>
        <v>WorldCat Record</v>
      </c>
    </row>
    <row r="334" spans="1:46" ht="41.25" customHeight="1" x14ac:dyDescent="0.25">
      <c r="A334" s="8" t="s">
        <v>51</v>
      </c>
      <c r="B334" s="2" t="s">
        <v>2198</v>
      </c>
      <c r="C334" s="2" t="s">
        <v>2199</v>
      </c>
      <c r="D334" s="2" t="s">
        <v>2200</v>
      </c>
      <c r="F334" s="3" t="s">
        <v>51</v>
      </c>
      <c r="G334" s="3" t="s">
        <v>50</v>
      </c>
      <c r="H334" s="3" t="s">
        <v>51</v>
      </c>
      <c r="I334" s="3" t="s">
        <v>51</v>
      </c>
      <c r="J334" s="3" t="s">
        <v>52</v>
      </c>
      <c r="K334" s="2" t="s">
        <v>2201</v>
      </c>
      <c r="L334" s="2" t="s">
        <v>2202</v>
      </c>
      <c r="M334" s="3" t="s">
        <v>211</v>
      </c>
      <c r="O334" s="3" t="s">
        <v>56</v>
      </c>
      <c r="P334" s="3" t="s">
        <v>748</v>
      </c>
      <c r="Q334" s="2" t="s">
        <v>2203</v>
      </c>
      <c r="R334" s="3" t="s">
        <v>59</v>
      </c>
      <c r="S334" s="4">
        <v>1</v>
      </c>
      <c r="T334" s="4">
        <v>1</v>
      </c>
      <c r="U334" s="5" t="s">
        <v>2161</v>
      </c>
      <c r="V334" s="5" t="s">
        <v>2161</v>
      </c>
      <c r="W334" s="5" t="s">
        <v>2142</v>
      </c>
      <c r="X334" s="5" t="s">
        <v>2142</v>
      </c>
      <c r="Y334" s="4">
        <v>146</v>
      </c>
      <c r="Z334" s="4">
        <v>134</v>
      </c>
      <c r="AA334" s="4">
        <v>141</v>
      </c>
      <c r="AB334" s="4">
        <v>2</v>
      </c>
      <c r="AC334" s="4">
        <v>2</v>
      </c>
      <c r="AD334" s="4">
        <v>2</v>
      </c>
      <c r="AE334" s="4">
        <v>3</v>
      </c>
      <c r="AF334" s="4">
        <v>0</v>
      </c>
      <c r="AG334" s="4">
        <v>0</v>
      </c>
      <c r="AH334" s="4">
        <v>0</v>
      </c>
      <c r="AI334" s="4">
        <v>1</v>
      </c>
      <c r="AJ334" s="4">
        <v>1</v>
      </c>
      <c r="AK334" s="4">
        <v>2</v>
      </c>
      <c r="AL334" s="4">
        <v>1</v>
      </c>
      <c r="AM334" s="4">
        <v>1</v>
      </c>
      <c r="AN334" s="4">
        <v>0</v>
      </c>
      <c r="AO334" s="4">
        <v>0</v>
      </c>
      <c r="AP334" s="3" t="s">
        <v>51</v>
      </c>
      <c r="AQ334" s="3" t="s">
        <v>49</v>
      </c>
      <c r="AR334" s="6" t="str">
        <f>HYPERLINK("http://catalog.hathitrust.org/Record/000138324","HathiTrust Record")</f>
        <v>HathiTrust Record</v>
      </c>
      <c r="AS334" s="6" t="str">
        <f>HYPERLINK("https://creighton-primo.hosted.exlibrisgroup.com/primo-explore/search?tab=default_tab&amp;search_scope=EVERYTHING&amp;vid=01CRU&amp;lang=en_US&amp;offset=0&amp;query=any,contains,991004857819702656","Catalog Record")</f>
        <v>Catalog Record</v>
      </c>
      <c r="AT334" s="6" t="str">
        <f>HYPERLINK("http://www.worldcat.org/oclc/5676596","WorldCat Record")</f>
        <v>WorldCat Record</v>
      </c>
    </row>
    <row r="335" spans="1:46" ht="41.25" customHeight="1" x14ac:dyDescent="0.25">
      <c r="A335" s="8" t="s">
        <v>51</v>
      </c>
      <c r="B335" s="2" t="s">
        <v>2204</v>
      </c>
      <c r="C335" s="2" t="s">
        <v>2205</v>
      </c>
      <c r="D335" s="2" t="s">
        <v>2206</v>
      </c>
      <c r="F335" s="3" t="s">
        <v>51</v>
      </c>
      <c r="G335" s="3" t="s">
        <v>50</v>
      </c>
      <c r="H335" s="3" t="s">
        <v>51</v>
      </c>
      <c r="I335" s="3" t="s">
        <v>51</v>
      </c>
      <c r="J335" s="3" t="s">
        <v>52</v>
      </c>
      <c r="K335" s="2" t="s">
        <v>2207</v>
      </c>
      <c r="L335" s="2" t="s">
        <v>2208</v>
      </c>
      <c r="M335" s="3" t="s">
        <v>851</v>
      </c>
      <c r="N335" s="2" t="s">
        <v>245</v>
      </c>
      <c r="O335" s="3" t="s">
        <v>56</v>
      </c>
      <c r="P335" s="3" t="s">
        <v>87</v>
      </c>
      <c r="R335" s="3" t="s">
        <v>59</v>
      </c>
      <c r="S335" s="4">
        <v>7</v>
      </c>
      <c r="T335" s="4">
        <v>7</v>
      </c>
      <c r="U335" s="5" t="s">
        <v>2209</v>
      </c>
      <c r="V335" s="5" t="s">
        <v>2209</v>
      </c>
      <c r="W335" s="5" t="s">
        <v>2210</v>
      </c>
      <c r="X335" s="5" t="s">
        <v>2210</v>
      </c>
      <c r="Y335" s="4">
        <v>62</v>
      </c>
      <c r="Z335" s="4">
        <v>57</v>
      </c>
      <c r="AA335" s="4">
        <v>61</v>
      </c>
      <c r="AB335" s="4">
        <v>1</v>
      </c>
      <c r="AC335" s="4">
        <v>1</v>
      </c>
      <c r="AD335" s="4">
        <v>0</v>
      </c>
      <c r="AE335" s="4">
        <v>1</v>
      </c>
      <c r="AF335" s="4">
        <v>0</v>
      </c>
      <c r="AG335" s="4">
        <v>0</v>
      </c>
      <c r="AH335" s="4">
        <v>0</v>
      </c>
      <c r="AI335" s="4">
        <v>1</v>
      </c>
      <c r="AJ335" s="4">
        <v>0</v>
      </c>
      <c r="AK335" s="4">
        <v>1</v>
      </c>
      <c r="AL335" s="4">
        <v>0</v>
      </c>
      <c r="AM335" s="4">
        <v>0</v>
      </c>
      <c r="AN335" s="4">
        <v>0</v>
      </c>
      <c r="AO335" s="4">
        <v>0</v>
      </c>
      <c r="AP335" s="3" t="s">
        <v>51</v>
      </c>
      <c r="AQ335" s="3" t="s">
        <v>51</v>
      </c>
      <c r="AS335" s="6" t="str">
        <f>HYPERLINK("https://creighton-primo.hosted.exlibrisgroup.com/primo-explore/search?tab=default_tab&amp;search_scope=EVERYTHING&amp;vid=01CRU&amp;lang=en_US&amp;offset=0&amp;query=any,contains,991002616789702656","Catalog Record")</f>
        <v>Catalog Record</v>
      </c>
      <c r="AT335" s="6" t="str">
        <f>HYPERLINK("http://www.worldcat.org/oclc/34303848","WorldCat Record")</f>
        <v>WorldCat Record</v>
      </c>
    </row>
    <row r="336" spans="1:46" ht="41.25" customHeight="1" x14ac:dyDescent="0.25">
      <c r="A336" s="8" t="s">
        <v>51</v>
      </c>
      <c r="B336" s="2" t="s">
        <v>2211</v>
      </c>
      <c r="C336" s="2" t="s">
        <v>2212</v>
      </c>
      <c r="D336" s="2" t="s">
        <v>2213</v>
      </c>
      <c r="F336" s="3" t="s">
        <v>51</v>
      </c>
      <c r="G336" s="3" t="s">
        <v>50</v>
      </c>
      <c r="H336" s="3" t="s">
        <v>51</v>
      </c>
      <c r="I336" s="3" t="s">
        <v>51</v>
      </c>
      <c r="J336" s="3" t="s">
        <v>52</v>
      </c>
      <c r="K336" s="2" t="s">
        <v>2214</v>
      </c>
      <c r="L336" s="2" t="s">
        <v>2215</v>
      </c>
      <c r="M336" s="3" t="s">
        <v>154</v>
      </c>
      <c r="O336" s="3" t="s">
        <v>56</v>
      </c>
      <c r="P336" s="3" t="s">
        <v>79</v>
      </c>
      <c r="R336" s="3" t="s">
        <v>59</v>
      </c>
      <c r="S336" s="4">
        <v>15</v>
      </c>
      <c r="T336" s="4">
        <v>15</v>
      </c>
      <c r="U336" s="5" t="s">
        <v>2216</v>
      </c>
      <c r="V336" s="5" t="s">
        <v>2216</v>
      </c>
      <c r="W336" s="5" t="s">
        <v>2217</v>
      </c>
      <c r="X336" s="5" t="s">
        <v>2217</v>
      </c>
      <c r="Y336" s="4">
        <v>197</v>
      </c>
      <c r="Z336" s="4">
        <v>182</v>
      </c>
      <c r="AA336" s="4">
        <v>185</v>
      </c>
      <c r="AB336" s="4">
        <v>2</v>
      </c>
      <c r="AC336" s="4">
        <v>2</v>
      </c>
      <c r="AD336" s="4">
        <v>1</v>
      </c>
      <c r="AE336" s="4">
        <v>1</v>
      </c>
      <c r="AF336" s="4">
        <v>0</v>
      </c>
      <c r="AG336" s="4">
        <v>0</v>
      </c>
      <c r="AH336" s="4">
        <v>0</v>
      </c>
      <c r="AI336" s="4">
        <v>0</v>
      </c>
      <c r="AJ336" s="4">
        <v>0</v>
      </c>
      <c r="AK336" s="4">
        <v>0</v>
      </c>
      <c r="AL336" s="4">
        <v>1</v>
      </c>
      <c r="AM336" s="4">
        <v>1</v>
      </c>
      <c r="AN336" s="4">
        <v>0</v>
      </c>
      <c r="AO336" s="4">
        <v>0</v>
      </c>
      <c r="AP336" s="3" t="s">
        <v>51</v>
      </c>
      <c r="AQ336" s="3" t="s">
        <v>49</v>
      </c>
      <c r="AR336" s="6" t="str">
        <f>HYPERLINK("http://catalog.hathitrust.org/Record/000146086","HathiTrust Record")</f>
        <v>HathiTrust Record</v>
      </c>
      <c r="AS336" s="6" t="str">
        <f>HYPERLINK("https://creighton-primo.hosted.exlibrisgroup.com/primo-explore/search?tab=default_tab&amp;search_scope=EVERYTHING&amp;vid=01CRU&amp;lang=en_US&amp;offset=0&amp;query=any,contains,991005251929702656","Catalog Record")</f>
        <v>Catalog Record</v>
      </c>
      <c r="AT336" s="6" t="str">
        <f>HYPERLINK("http://www.worldcat.org/oclc/8494722","WorldCat Record")</f>
        <v>WorldCat Record</v>
      </c>
    </row>
    <row r="337" spans="1:46" ht="41.25" customHeight="1" x14ac:dyDescent="0.25">
      <c r="A337" s="8" t="s">
        <v>51</v>
      </c>
      <c r="B337" s="2" t="s">
        <v>2218</v>
      </c>
      <c r="C337" s="2" t="s">
        <v>2219</v>
      </c>
      <c r="D337" s="2" t="s">
        <v>2220</v>
      </c>
      <c r="F337" s="3" t="s">
        <v>51</v>
      </c>
      <c r="G337" s="3" t="s">
        <v>50</v>
      </c>
      <c r="H337" s="3" t="s">
        <v>51</v>
      </c>
      <c r="I337" s="3" t="s">
        <v>51</v>
      </c>
      <c r="J337" s="3" t="s">
        <v>52</v>
      </c>
      <c r="K337" s="2" t="s">
        <v>2221</v>
      </c>
      <c r="L337" s="2" t="s">
        <v>2222</v>
      </c>
      <c r="M337" s="3" t="s">
        <v>77</v>
      </c>
      <c r="O337" s="3" t="s">
        <v>56</v>
      </c>
      <c r="P337" s="3" t="s">
        <v>1680</v>
      </c>
      <c r="R337" s="3" t="s">
        <v>59</v>
      </c>
      <c r="S337" s="4">
        <v>4</v>
      </c>
      <c r="T337" s="4">
        <v>4</v>
      </c>
      <c r="U337" s="5" t="s">
        <v>853</v>
      </c>
      <c r="V337" s="5" t="s">
        <v>853</v>
      </c>
      <c r="W337" s="5" t="s">
        <v>140</v>
      </c>
      <c r="X337" s="5" t="s">
        <v>140</v>
      </c>
      <c r="Y337" s="4">
        <v>15</v>
      </c>
      <c r="Z337" s="4">
        <v>5</v>
      </c>
      <c r="AA337" s="4">
        <v>86</v>
      </c>
      <c r="AB337" s="4">
        <v>1</v>
      </c>
      <c r="AC337" s="4">
        <v>1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4">
        <v>0</v>
      </c>
      <c r="AJ337" s="4">
        <v>0</v>
      </c>
      <c r="AK337" s="4">
        <v>0</v>
      </c>
      <c r="AL337" s="4">
        <v>0</v>
      </c>
      <c r="AM337" s="4">
        <v>0</v>
      </c>
      <c r="AN337" s="4">
        <v>0</v>
      </c>
      <c r="AO337" s="4">
        <v>0</v>
      </c>
      <c r="AP337" s="3" t="s">
        <v>51</v>
      </c>
      <c r="AQ337" s="3" t="s">
        <v>51</v>
      </c>
      <c r="AS337" s="6" t="str">
        <f>HYPERLINK("https://creighton-primo.hosted.exlibrisgroup.com/primo-explore/search?tab=default_tab&amp;search_scope=EVERYTHING&amp;vid=01CRU&amp;lang=en_US&amp;offset=0&amp;query=any,contains,991001889589702656","Catalog Record")</f>
        <v>Catalog Record</v>
      </c>
      <c r="AT337" s="6" t="str">
        <f>HYPERLINK("http://www.worldcat.org/oclc/23838039","WorldCat Record")</f>
        <v>WorldCat Record</v>
      </c>
    </row>
    <row r="338" spans="1:46" ht="41.25" customHeight="1" x14ac:dyDescent="0.25">
      <c r="A338" s="8" t="s">
        <v>51</v>
      </c>
      <c r="B338" s="2" t="s">
        <v>2223</v>
      </c>
      <c r="C338" s="2" t="s">
        <v>2224</v>
      </c>
      <c r="D338" s="2" t="s">
        <v>2225</v>
      </c>
      <c r="F338" s="3" t="s">
        <v>51</v>
      </c>
      <c r="G338" s="3" t="s">
        <v>50</v>
      </c>
      <c r="H338" s="3" t="s">
        <v>51</v>
      </c>
      <c r="I338" s="3" t="s">
        <v>51</v>
      </c>
      <c r="J338" s="3" t="s">
        <v>52</v>
      </c>
      <c r="L338" s="2" t="s">
        <v>2226</v>
      </c>
      <c r="M338" s="3" t="s">
        <v>103</v>
      </c>
      <c r="N338" s="2" t="s">
        <v>245</v>
      </c>
      <c r="O338" s="3" t="s">
        <v>56</v>
      </c>
      <c r="P338" s="3" t="s">
        <v>538</v>
      </c>
      <c r="Q338" s="2" t="s">
        <v>2227</v>
      </c>
      <c r="R338" s="3" t="s">
        <v>59</v>
      </c>
      <c r="S338" s="4">
        <v>2</v>
      </c>
      <c r="T338" s="4">
        <v>2</v>
      </c>
      <c r="U338" s="5" t="s">
        <v>2228</v>
      </c>
      <c r="V338" s="5" t="s">
        <v>2228</v>
      </c>
      <c r="W338" s="5" t="s">
        <v>2142</v>
      </c>
      <c r="X338" s="5" t="s">
        <v>2142</v>
      </c>
      <c r="Y338" s="4">
        <v>235</v>
      </c>
      <c r="Z338" s="4">
        <v>183</v>
      </c>
      <c r="AA338" s="4">
        <v>191</v>
      </c>
      <c r="AB338" s="4">
        <v>2</v>
      </c>
      <c r="AC338" s="4">
        <v>2</v>
      </c>
      <c r="AD338" s="4">
        <v>6</v>
      </c>
      <c r="AE338" s="4">
        <v>6</v>
      </c>
      <c r="AF338" s="4">
        <v>3</v>
      </c>
      <c r="AG338" s="4">
        <v>3</v>
      </c>
      <c r="AH338" s="4">
        <v>1</v>
      </c>
      <c r="AI338" s="4">
        <v>1</v>
      </c>
      <c r="AJ338" s="4">
        <v>4</v>
      </c>
      <c r="AK338" s="4">
        <v>4</v>
      </c>
      <c r="AL338" s="4">
        <v>1</v>
      </c>
      <c r="AM338" s="4">
        <v>1</v>
      </c>
      <c r="AN338" s="4">
        <v>0</v>
      </c>
      <c r="AO338" s="4">
        <v>0</v>
      </c>
      <c r="AP338" s="3" t="s">
        <v>51</v>
      </c>
      <c r="AQ338" s="3" t="s">
        <v>49</v>
      </c>
      <c r="AR338" s="6" t="str">
        <f>HYPERLINK("http://catalog.hathitrust.org/Record/000336329","HathiTrust Record")</f>
        <v>HathiTrust Record</v>
      </c>
      <c r="AS338" s="6" t="str">
        <f>HYPERLINK("https://creighton-primo.hosted.exlibrisgroup.com/primo-explore/search?tab=default_tab&amp;search_scope=EVERYTHING&amp;vid=01CRU&amp;lang=en_US&amp;offset=0&amp;query=any,contains,991000370409702656","Catalog Record")</f>
        <v>Catalog Record</v>
      </c>
      <c r="AT338" s="6" t="str">
        <f>HYPERLINK("http://www.worldcat.org/oclc/10429957","WorldCat Record")</f>
        <v>WorldCat Record</v>
      </c>
    </row>
    <row r="339" spans="1:46" ht="41.25" customHeight="1" x14ac:dyDescent="0.25">
      <c r="A339" s="8" t="s">
        <v>51</v>
      </c>
      <c r="B339" s="2" t="s">
        <v>2229</v>
      </c>
      <c r="C339" s="2" t="s">
        <v>2230</v>
      </c>
      <c r="D339" s="2" t="s">
        <v>2231</v>
      </c>
      <c r="F339" s="3" t="s">
        <v>51</v>
      </c>
      <c r="G339" s="3" t="s">
        <v>50</v>
      </c>
      <c r="H339" s="3" t="s">
        <v>51</v>
      </c>
      <c r="I339" s="3" t="s">
        <v>49</v>
      </c>
      <c r="J339" s="3" t="s">
        <v>52</v>
      </c>
      <c r="K339" s="2" t="s">
        <v>2232</v>
      </c>
      <c r="L339" s="2" t="s">
        <v>2233</v>
      </c>
      <c r="M339" s="3" t="s">
        <v>2234</v>
      </c>
      <c r="O339" s="3" t="s">
        <v>56</v>
      </c>
      <c r="P339" s="3" t="s">
        <v>87</v>
      </c>
      <c r="R339" s="3" t="s">
        <v>59</v>
      </c>
      <c r="S339" s="4">
        <v>10</v>
      </c>
      <c r="T339" s="4">
        <v>10</v>
      </c>
      <c r="U339" s="5" t="s">
        <v>2235</v>
      </c>
      <c r="V339" s="5" t="s">
        <v>2235</v>
      </c>
      <c r="W339" s="5" t="s">
        <v>314</v>
      </c>
      <c r="X339" s="5" t="s">
        <v>314</v>
      </c>
      <c r="Y339" s="4">
        <v>550</v>
      </c>
      <c r="Z339" s="4">
        <v>451</v>
      </c>
      <c r="AA339" s="4">
        <v>746</v>
      </c>
      <c r="AB339" s="4">
        <v>5</v>
      </c>
      <c r="AC339" s="4">
        <v>8</v>
      </c>
      <c r="AD339" s="4">
        <v>22</v>
      </c>
      <c r="AE339" s="4">
        <v>31</v>
      </c>
      <c r="AF339" s="4">
        <v>6</v>
      </c>
      <c r="AG339" s="4">
        <v>9</v>
      </c>
      <c r="AH339" s="4">
        <v>3</v>
      </c>
      <c r="AI339" s="4">
        <v>6</v>
      </c>
      <c r="AJ339" s="4">
        <v>13</v>
      </c>
      <c r="AK339" s="4">
        <v>16</v>
      </c>
      <c r="AL339" s="4">
        <v>4</v>
      </c>
      <c r="AM339" s="4">
        <v>6</v>
      </c>
      <c r="AN339" s="4">
        <v>1</v>
      </c>
      <c r="AO339" s="4">
        <v>1</v>
      </c>
      <c r="AP339" s="3" t="s">
        <v>51</v>
      </c>
      <c r="AQ339" s="3" t="s">
        <v>49</v>
      </c>
      <c r="AR339" s="6" t="str">
        <f>HYPERLINK("http://catalog.hathitrust.org/Record/000337617","HathiTrust Record")</f>
        <v>HathiTrust Record</v>
      </c>
      <c r="AS339" s="6" t="str">
        <f>HYPERLINK("https://creighton-primo.hosted.exlibrisgroup.com/primo-explore/search?tab=default_tab&amp;search_scope=EVERYTHING&amp;vid=01CRU&amp;lang=en_US&amp;offset=0&amp;query=any,contains,991002378769702656","Catalog Record")</f>
        <v>Catalog Record</v>
      </c>
      <c r="AT339" s="6" t="str">
        <f>HYPERLINK("http://www.worldcat.org/oclc/327900","WorldCat Record")</f>
        <v>WorldCat Record</v>
      </c>
    </row>
    <row r="340" spans="1:46" ht="41.25" customHeight="1" x14ac:dyDescent="0.25">
      <c r="A340" s="8" t="s">
        <v>51</v>
      </c>
      <c r="B340" s="2" t="s">
        <v>2236</v>
      </c>
      <c r="C340" s="2" t="s">
        <v>2237</v>
      </c>
      <c r="D340" s="2" t="s">
        <v>2238</v>
      </c>
      <c r="F340" s="3" t="s">
        <v>51</v>
      </c>
      <c r="G340" s="3" t="s">
        <v>50</v>
      </c>
      <c r="H340" s="3" t="s">
        <v>51</v>
      </c>
      <c r="I340" s="3" t="s">
        <v>51</v>
      </c>
      <c r="J340" s="3" t="s">
        <v>52</v>
      </c>
      <c r="K340" s="2" t="s">
        <v>2239</v>
      </c>
      <c r="L340" s="2" t="s">
        <v>2240</v>
      </c>
      <c r="M340" s="3" t="s">
        <v>86</v>
      </c>
      <c r="O340" s="3" t="s">
        <v>56</v>
      </c>
      <c r="P340" s="3" t="s">
        <v>538</v>
      </c>
      <c r="Q340" s="2" t="s">
        <v>2241</v>
      </c>
      <c r="R340" s="3" t="s">
        <v>59</v>
      </c>
      <c r="S340" s="4">
        <v>5</v>
      </c>
      <c r="T340" s="4">
        <v>5</v>
      </c>
      <c r="U340" s="5" t="s">
        <v>2242</v>
      </c>
      <c r="V340" s="5" t="s">
        <v>2242</v>
      </c>
      <c r="W340" s="5" t="s">
        <v>2142</v>
      </c>
      <c r="X340" s="5" t="s">
        <v>2142</v>
      </c>
      <c r="Y340" s="4">
        <v>475</v>
      </c>
      <c r="Z340" s="4">
        <v>335</v>
      </c>
      <c r="AA340" s="4">
        <v>390</v>
      </c>
      <c r="AB340" s="4">
        <v>4</v>
      </c>
      <c r="AC340" s="4">
        <v>5</v>
      </c>
      <c r="AD340" s="4">
        <v>22</v>
      </c>
      <c r="AE340" s="4">
        <v>24</v>
      </c>
      <c r="AF340" s="4">
        <v>8</v>
      </c>
      <c r="AG340" s="4">
        <v>8</v>
      </c>
      <c r="AH340" s="4">
        <v>5</v>
      </c>
      <c r="AI340" s="4">
        <v>6</v>
      </c>
      <c r="AJ340" s="4">
        <v>11</v>
      </c>
      <c r="AK340" s="4">
        <v>11</v>
      </c>
      <c r="AL340" s="4">
        <v>3</v>
      </c>
      <c r="AM340" s="4">
        <v>4</v>
      </c>
      <c r="AN340" s="4">
        <v>2</v>
      </c>
      <c r="AO340" s="4">
        <v>2</v>
      </c>
      <c r="AP340" s="3" t="s">
        <v>51</v>
      </c>
      <c r="AQ340" s="3" t="s">
        <v>51</v>
      </c>
      <c r="AS340" s="6" t="str">
        <f>HYPERLINK("https://creighton-primo.hosted.exlibrisgroup.com/primo-explore/search?tab=default_tab&amp;search_scope=EVERYTHING&amp;vid=01CRU&amp;lang=en_US&amp;offset=0&amp;query=any,contains,991001226309702656","Catalog Record")</f>
        <v>Catalog Record</v>
      </c>
      <c r="AT340" s="6" t="str">
        <f>HYPERLINK("http://www.worldcat.org/oclc/17507441","WorldCat Record")</f>
        <v>WorldCat Record</v>
      </c>
    </row>
    <row r="341" spans="1:46" ht="41.25" customHeight="1" x14ac:dyDescent="0.25">
      <c r="A341" s="8" t="s">
        <v>51</v>
      </c>
      <c r="B341" s="2" t="s">
        <v>2243</v>
      </c>
      <c r="C341" s="2" t="s">
        <v>2244</v>
      </c>
      <c r="D341" s="2" t="s">
        <v>2245</v>
      </c>
      <c r="F341" s="3" t="s">
        <v>51</v>
      </c>
      <c r="G341" s="3" t="s">
        <v>50</v>
      </c>
      <c r="H341" s="3" t="s">
        <v>51</v>
      </c>
      <c r="I341" s="3" t="s">
        <v>49</v>
      </c>
      <c r="J341" s="3" t="s">
        <v>52</v>
      </c>
      <c r="K341" s="2" t="s">
        <v>2246</v>
      </c>
      <c r="L341" s="2" t="s">
        <v>2247</v>
      </c>
      <c r="M341" s="3" t="s">
        <v>121</v>
      </c>
      <c r="O341" s="3" t="s">
        <v>56</v>
      </c>
      <c r="P341" s="3" t="s">
        <v>113</v>
      </c>
      <c r="R341" s="3" t="s">
        <v>59</v>
      </c>
      <c r="S341" s="4">
        <v>1</v>
      </c>
      <c r="T341" s="4">
        <v>1</v>
      </c>
      <c r="U341" s="5" t="s">
        <v>2248</v>
      </c>
      <c r="V341" s="5" t="s">
        <v>2248</v>
      </c>
      <c r="W341" s="5" t="s">
        <v>2249</v>
      </c>
      <c r="X341" s="5" t="s">
        <v>2249</v>
      </c>
      <c r="Y341" s="4">
        <v>261</v>
      </c>
      <c r="Z341" s="4">
        <v>115</v>
      </c>
      <c r="AA341" s="4">
        <v>838</v>
      </c>
      <c r="AB341" s="4">
        <v>2</v>
      </c>
      <c r="AC341" s="4">
        <v>7</v>
      </c>
      <c r="AD341" s="4">
        <v>3</v>
      </c>
      <c r="AE341" s="4">
        <v>32</v>
      </c>
      <c r="AF341" s="4">
        <v>1</v>
      </c>
      <c r="AG341" s="4">
        <v>9</v>
      </c>
      <c r="AH341" s="4">
        <v>1</v>
      </c>
      <c r="AI341" s="4">
        <v>10</v>
      </c>
      <c r="AJ341" s="4">
        <v>1</v>
      </c>
      <c r="AK341" s="4">
        <v>12</v>
      </c>
      <c r="AL341" s="4">
        <v>1</v>
      </c>
      <c r="AM341" s="4">
        <v>5</v>
      </c>
      <c r="AN341" s="4">
        <v>0</v>
      </c>
      <c r="AO341" s="4">
        <v>1</v>
      </c>
      <c r="AP341" s="3" t="s">
        <v>51</v>
      </c>
      <c r="AQ341" s="3" t="s">
        <v>51</v>
      </c>
      <c r="AS341" s="6" t="str">
        <f>HYPERLINK("https://creighton-primo.hosted.exlibrisgroup.com/primo-explore/search?tab=default_tab&amp;search_scope=EVERYTHING&amp;vid=01CRU&amp;lang=en_US&amp;offset=0&amp;query=any,contains,991001907299702656","Catalog Record")</f>
        <v>Catalog Record</v>
      </c>
      <c r="AT341" s="6" t="str">
        <f>HYPERLINK("http://www.worldcat.org/oclc/240938","WorldCat Record")</f>
        <v>WorldCat Record</v>
      </c>
    </row>
    <row r="342" spans="1:46" ht="41.25" customHeight="1" x14ac:dyDescent="0.25">
      <c r="A342" s="8" t="s">
        <v>51</v>
      </c>
      <c r="B342" s="2" t="s">
        <v>2250</v>
      </c>
      <c r="C342" s="2" t="s">
        <v>2251</v>
      </c>
      <c r="D342" s="2" t="s">
        <v>2252</v>
      </c>
      <c r="F342" s="3" t="s">
        <v>51</v>
      </c>
      <c r="G342" s="3" t="s">
        <v>50</v>
      </c>
      <c r="H342" s="3" t="s">
        <v>51</v>
      </c>
      <c r="I342" s="3" t="s">
        <v>51</v>
      </c>
      <c r="J342" s="3" t="s">
        <v>52</v>
      </c>
      <c r="K342" s="2" t="s">
        <v>2253</v>
      </c>
      <c r="L342" s="2" t="s">
        <v>1024</v>
      </c>
      <c r="M342" s="3" t="s">
        <v>858</v>
      </c>
      <c r="O342" s="3" t="s">
        <v>56</v>
      </c>
      <c r="P342" s="3" t="s">
        <v>87</v>
      </c>
      <c r="R342" s="3" t="s">
        <v>59</v>
      </c>
      <c r="S342" s="4">
        <v>12</v>
      </c>
      <c r="T342" s="4">
        <v>12</v>
      </c>
      <c r="U342" s="5" t="s">
        <v>2254</v>
      </c>
      <c r="V342" s="5" t="s">
        <v>2254</v>
      </c>
      <c r="W342" s="5" t="s">
        <v>1767</v>
      </c>
      <c r="X342" s="5" t="s">
        <v>1767</v>
      </c>
      <c r="Y342" s="4">
        <v>454</v>
      </c>
      <c r="Z342" s="4">
        <v>348</v>
      </c>
      <c r="AA342" s="4">
        <v>355</v>
      </c>
      <c r="AB342" s="4">
        <v>1</v>
      </c>
      <c r="AC342" s="4">
        <v>1</v>
      </c>
      <c r="AD342" s="4">
        <v>19</v>
      </c>
      <c r="AE342" s="4">
        <v>19</v>
      </c>
      <c r="AF342" s="4">
        <v>6</v>
      </c>
      <c r="AG342" s="4">
        <v>6</v>
      </c>
      <c r="AH342" s="4">
        <v>7</v>
      </c>
      <c r="AI342" s="4">
        <v>7</v>
      </c>
      <c r="AJ342" s="4">
        <v>10</v>
      </c>
      <c r="AK342" s="4">
        <v>10</v>
      </c>
      <c r="AL342" s="4">
        <v>0</v>
      </c>
      <c r="AM342" s="4">
        <v>0</v>
      </c>
      <c r="AN342" s="4">
        <v>3</v>
      </c>
      <c r="AO342" s="4">
        <v>3</v>
      </c>
      <c r="AP342" s="3" t="s">
        <v>51</v>
      </c>
      <c r="AQ342" s="3" t="s">
        <v>49</v>
      </c>
      <c r="AR342" s="6" t="str">
        <f>HYPERLINK("http://catalog.hathitrust.org/Record/003267450","HathiTrust Record")</f>
        <v>HathiTrust Record</v>
      </c>
      <c r="AS342" s="6" t="str">
        <f>HYPERLINK("https://creighton-primo.hosted.exlibrisgroup.com/primo-explore/search?tab=default_tab&amp;search_scope=EVERYTHING&amp;vid=01CRU&amp;lang=en_US&amp;offset=0&amp;query=any,contains,991003222119702656","Catalog Record")</f>
        <v>Catalog Record</v>
      </c>
      <c r="AT342" s="6" t="str">
        <f>HYPERLINK("http://www.worldcat.org/oclc/37696614","WorldCat Record")</f>
        <v>WorldCat Record</v>
      </c>
    </row>
    <row r="343" spans="1:46" ht="41.25" customHeight="1" x14ac:dyDescent="0.25">
      <c r="A343" s="8" t="s">
        <v>51</v>
      </c>
      <c r="B343" s="2" t="s">
        <v>2255</v>
      </c>
      <c r="C343" s="2" t="s">
        <v>2256</v>
      </c>
      <c r="D343" s="2" t="s">
        <v>2257</v>
      </c>
      <c r="F343" s="3" t="s">
        <v>51</v>
      </c>
      <c r="G343" s="3" t="s">
        <v>50</v>
      </c>
      <c r="H343" s="3" t="s">
        <v>49</v>
      </c>
      <c r="I343" s="3" t="s">
        <v>51</v>
      </c>
      <c r="J343" s="3" t="s">
        <v>52</v>
      </c>
      <c r="L343" s="2" t="s">
        <v>2258</v>
      </c>
      <c r="M343" s="3" t="s">
        <v>77</v>
      </c>
      <c r="O343" s="3" t="s">
        <v>56</v>
      </c>
      <c r="P343" s="3" t="s">
        <v>113</v>
      </c>
      <c r="R343" s="3" t="s">
        <v>59</v>
      </c>
      <c r="S343" s="4">
        <v>41</v>
      </c>
      <c r="T343" s="4">
        <v>41</v>
      </c>
      <c r="U343" s="5" t="s">
        <v>2259</v>
      </c>
      <c r="V343" s="5" t="s">
        <v>2259</v>
      </c>
      <c r="W343" s="5" t="s">
        <v>2260</v>
      </c>
      <c r="X343" s="5" t="s">
        <v>2260</v>
      </c>
      <c r="Y343" s="4">
        <v>617</v>
      </c>
      <c r="Z343" s="4">
        <v>489</v>
      </c>
      <c r="AA343" s="4">
        <v>495</v>
      </c>
      <c r="AB343" s="4">
        <v>4</v>
      </c>
      <c r="AC343" s="4">
        <v>4</v>
      </c>
      <c r="AD343" s="4">
        <v>31</v>
      </c>
      <c r="AE343" s="4">
        <v>31</v>
      </c>
      <c r="AF343" s="4">
        <v>12</v>
      </c>
      <c r="AG343" s="4">
        <v>12</v>
      </c>
      <c r="AH343" s="4">
        <v>7</v>
      </c>
      <c r="AI343" s="4">
        <v>7</v>
      </c>
      <c r="AJ343" s="4">
        <v>10</v>
      </c>
      <c r="AK343" s="4">
        <v>10</v>
      </c>
      <c r="AL343" s="4">
        <v>2</v>
      </c>
      <c r="AM343" s="4">
        <v>2</v>
      </c>
      <c r="AN343" s="4">
        <v>7</v>
      </c>
      <c r="AO343" s="4">
        <v>7</v>
      </c>
      <c r="AP343" s="3" t="s">
        <v>51</v>
      </c>
      <c r="AQ343" s="3" t="s">
        <v>49</v>
      </c>
      <c r="AR343" s="6" t="str">
        <f>HYPERLINK("http://catalog.hathitrust.org/Record/002511510","HathiTrust Record")</f>
        <v>HathiTrust Record</v>
      </c>
      <c r="AS343" s="6" t="str">
        <f>HYPERLINK("https://creighton-primo.hosted.exlibrisgroup.com/primo-explore/search?tab=default_tab&amp;search_scope=EVERYTHING&amp;vid=01CRU&amp;lang=en_US&amp;offset=0&amp;query=any,contains,991001880779702656","Catalog Record")</f>
        <v>Catalog Record</v>
      </c>
      <c r="AT343" s="6" t="str">
        <f>HYPERLINK("http://www.worldcat.org/oclc/23731739","WorldCat Record")</f>
        <v>WorldCat Record</v>
      </c>
    </row>
    <row r="344" spans="1:46" ht="41.25" customHeight="1" x14ac:dyDescent="0.25">
      <c r="A344" s="8" t="s">
        <v>51</v>
      </c>
      <c r="B344" s="2" t="s">
        <v>2261</v>
      </c>
      <c r="C344" s="2" t="s">
        <v>2262</v>
      </c>
      <c r="D344" s="2" t="s">
        <v>2263</v>
      </c>
      <c r="F344" s="3" t="s">
        <v>51</v>
      </c>
      <c r="G344" s="3" t="s">
        <v>50</v>
      </c>
      <c r="H344" s="3" t="s">
        <v>51</v>
      </c>
      <c r="I344" s="3" t="s">
        <v>51</v>
      </c>
      <c r="J344" s="3" t="s">
        <v>52</v>
      </c>
      <c r="K344" s="2" t="s">
        <v>2264</v>
      </c>
      <c r="L344" s="2" t="s">
        <v>2265</v>
      </c>
      <c r="M344" s="3" t="s">
        <v>244</v>
      </c>
      <c r="O344" s="3" t="s">
        <v>56</v>
      </c>
      <c r="P344" s="3" t="s">
        <v>748</v>
      </c>
      <c r="R344" s="3" t="s">
        <v>59</v>
      </c>
      <c r="S344" s="4">
        <v>1</v>
      </c>
      <c r="T344" s="4">
        <v>1</v>
      </c>
      <c r="U344" s="5" t="s">
        <v>2266</v>
      </c>
      <c r="V344" s="5" t="s">
        <v>2266</v>
      </c>
      <c r="W344" s="5" t="s">
        <v>2267</v>
      </c>
      <c r="X344" s="5" t="s">
        <v>2267</v>
      </c>
      <c r="Y344" s="4">
        <v>243</v>
      </c>
      <c r="Z344" s="4">
        <v>164</v>
      </c>
      <c r="AA344" s="4">
        <v>495</v>
      </c>
      <c r="AB344" s="4">
        <v>1</v>
      </c>
      <c r="AC344" s="4">
        <v>26</v>
      </c>
      <c r="AD344" s="4">
        <v>6</v>
      </c>
      <c r="AE344" s="4">
        <v>22</v>
      </c>
      <c r="AF344" s="4">
        <v>1</v>
      </c>
      <c r="AG344" s="4">
        <v>5</v>
      </c>
      <c r="AH344" s="4">
        <v>3</v>
      </c>
      <c r="AI344" s="4">
        <v>3</v>
      </c>
      <c r="AJ344" s="4">
        <v>3</v>
      </c>
      <c r="AK344" s="4">
        <v>5</v>
      </c>
      <c r="AL344" s="4">
        <v>0</v>
      </c>
      <c r="AM344" s="4">
        <v>11</v>
      </c>
      <c r="AN344" s="4">
        <v>0</v>
      </c>
      <c r="AO344" s="4">
        <v>0</v>
      </c>
      <c r="AP344" s="3" t="s">
        <v>51</v>
      </c>
      <c r="AQ344" s="3" t="s">
        <v>51</v>
      </c>
      <c r="AS344" s="6" t="str">
        <f>HYPERLINK("https://creighton-primo.hosted.exlibrisgroup.com/primo-explore/search?tab=default_tab&amp;search_scope=EVERYTHING&amp;vid=01CRU&amp;lang=en_US&amp;offset=0&amp;query=any,contains,991002422039702656","Catalog Record")</f>
        <v>Catalog Record</v>
      </c>
      <c r="AT344" s="6" t="str">
        <f>HYPERLINK("http://www.worldcat.org/oclc/31604425","WorldCat Record")</f>
        <v>WorldCat Record</v>
      </c>
    </row>
    <row r="345" spans="1:46" ht="41.25" customHeight="1" x14ac:dyDescent="0.25">
      <c r="A345" s="8" t="s">
        <v>51</v>
      </c>
      <c r="B345" s="2" t="s">
        <v>2268</v>
      </c>
      <c r="C345" s="2" t="s">
        <v>2269</v>
      </c>
      <c r="D345" s="2" t="s">
        <v>2270</v>
      </c>
      <c r="F345" s="3" t="s">
        <v>51</v>
      </c>
      <c r="G345" s="3" t="s">
        <v>50</v>
      </c>
      <c r="H345" s="3" t="s">
        <v>51</v>
      </c>
      <c r="I345" s="3" t="s">
        <v>51</v>
      </c>
      <c r="J345" s="3" t="s">
        <v>52</v>
      </c>
      <c r="K345" s="2" t="s">
        <v>2271</v>
      </c>
      <c r="L345" s="2" t="s">
        <v>2272</v>
      </c>
      <c r="M345" s="3" t="s">
        <v>253</v>
      </c>
      <c r="O345" s="3" t="s">
        <v>56</v>
      </c>
      <c r="P345" s="3" t="s">
        <v>79</v>
      </c>
      <c r="R345" s="3" t="s">
        <v>59</v>
      </c>
      <c r="S345" s="4">
        <v>2</v>
      </c>
      <c r="T345" s="4">
        <v>2</v>
      </c>
      <c r="U345" s="5" t="s">
        <v>2273</v>
      </c>
      <c r="V345" s="5" t="s">
        <v>2273</v>
      </c>
      <c r="W345" s="5" t="s">
        <v>2273</v>
      </c>
      <c r="X345" s="5" t="s">
        <v>2273</v>
      </c>
      <c r="Y345" s="4">
        <v>675</v>
      </c>
      <c r="Z345" s="4">
        <v>629</v>
      </c>
      <c r="AA345" s="4">
        <v>648</v>
      </c>
      <c r="AB345" s="4">
        <v>4</v>
      </c>
      <c r="AC345" s="4">
        <v>4</v>
      </c>
      <c r="AD345" s="4">
        <v>21</v>
      </c>
      <c r="AE345" s="4">
        <v>21</v>
      </c>
      <c r="AF345" s="4">
        <v>10</v>
      </c>
      <c r="AG345" s="4">
        <v>10</v>
      </c>
      <c r="AH345" s="4">
        <v>4</v>
      </c>
      <c r="AI345" s="4">
        <v>4</v>
      </c>
      <c r="AJ345" s="4">
        <v>10</v>
      </c>
      <c r="AK345" s="4">
        <v>10</v>
      </c>
      <c r="AL345" s="4">
        <v>3</v>
      </c>
      <c r="AM345" s="4">
        <v>3</v>
      </c>
      <c r="AN345" s="4">
        <v>0</v>
      </c>
      <c r="AO345" s="4">
        <v>0</v>
      </c>
      <c r="AP345" s="3" t="s">
        <v>51</v>
      </c>
      <c r="AQ345" s="3" t="s">
        <v>49</v>
      </c>
      <c r="AR345" s="6" t="str">
        <f>HYPERLINK("http://catalog.hathitrust.org/Record/008466311","HathiTrust Record")</f>
        <v>HathiTrust Record</v>
      </c>
      <c r="AS345" s="6" t="str">
        <f>HYPERLINK("https://creighton-primo.hosted.exlibrisgroup.com/primo-explore/search?tab=default_tab&amp;search_scope=EVERYTHING&amp;vid=01CRU&amp;lang=en_US&amp;offset=0&amp;query=any,contains,991003593269702656","Catalog Record")</f>
        <v>Catalog Record</v>
      </c>
      <c r="AT345" s="6" t="str">
        <f>HYPERLINK("http://www.worldcat.org/oclc/47007067","WorldCat Record")</f>
        <v>WorldCat Record</v>
      </c>
    </row>
    <row r="346" spans="1:46" ht="41.25" customHeight="1" x14ac:dyDescent="0.25">
      <c r="A346" s="8" t="s">
        <v>51</v>
      </c>
      <c r="B346" s="2" t="s">
        <v>2274</v>
      </c>
      <c r="C346" s="2" t="s">
        <v>2275</v>
      </c>
      <c r="D346" s="2" t="s">
        <v>2276</v>
      </c>
      <c r="F346" s="3" t="s">
        <v>51</v>
      </c>
      <c r="G346" s="3" t="s">
        <v>50</v>
      </c>
      <c r="H346" s="3" t="s">
        <v>49</v>
      </c>
      <c r="I346" s="3" t="s">
        <v>51</v>
      </c>
      <c r="J346" s="3" t="s">
        <v>52</v>
      </c>
      <c r="K346" s="2" t="s">
        <v>884</v>
      </c>
      <c r="L346" s="2" t="s">
        <v>2277</v>
      </c>
      <c r="M346" s="3" t="s">
        <v>171</v>
      </c>
      <c r="O346" s="3" t="s">
        <v>56</v>
      </c>
      <c r="P346" s="3" t="s">
        <v>1240</v>
      </c>
      <c r="R346" s="3" t="s">
        <v>59</v>
      </c>
      <c r="S346" s="4">
        <v>4</v>
      </c>
      <c r="T346" s="4">
        <v>12</v>
      </c>
      <c r="U346" s="5" t="s">
        <v>2278</v>
      </c>
      <c r="V346" s="5" t="s">
        <v>2279</v>
      </c>
      <c r="W346" s="5" t="s">
        <v>247</v>
      </c>
      <c r="X346" s="5" t="s">
        <v>247</v>
      </c>
      <c r="Y346" s="4">
        <v>2</v>
      </c>
      <c r="Z346" s="4">
        <v>2</v>
      </c>
      <c r="AA346" s="4">
        <v>2</v>
      </c>
      <c r="AB346" s="4">
        <v>2</v>
      </c>
      <c r="AC346" s="4">
        <v>2</v>
      </c>
      <c r="AD346" s="4">
        <v>0</v>
      </c>
      <c r="AE346" s="4">
        <v>0</v>
      </c>
      <c r="AF346" s="4">
        <v>0</v>
      </c>
      <c r="AG346" s="4">
        <v>0</v>
      </c>
      <c r="AH346" s="4">
        <v>0</v>
      </c>
      <c r="AI346" s="4">
        <v>0</v>
      </c>
      <c r="AJ346" s="4">
        <v>0</v>
      </c>
      <c r="AK346" s="4">
        <v>0</v>
      </c>
      <c r="AL346" s="4">
        <v>0</v>
      </c>
      <c r="AM346" s="4">
        <v>0</v>
      </c>
      <c r="AN346" s="4">
        <v>0</v>
      </c>
      <c r="AO346" s="4">
        <v>0</v>
      </c>
      <c r="AP346" s="3" t="s">
        <v>51</v>
      </c>
      <c r="AQ346" s="3" t="s">
        <v>51</v>
      </c>
      <c r="AS346" s="6" t="str">
        <f>HYPERLINK("https://creighton-primo.hosted.exlibrisgroup.com/primo-explore/search?tab=default_tab&amp;search_scope=EVERYTHING&amp;vid=01CRU&amp;lang=en_US&amp;offset=0&amp;query=any,contains,991001788769702656","Catalog Record")</f>
        <v>Catalog Record</v>
      </c>
      <c r="AT346" s="6" t="str">
        <f>HYPERLINK("http://www.worldcat.org/oclc/10125530","WorldCat Record")</f>
        <v>WorldCat Record</v>
      </c>
    </row>
    <row r="347" spans="1:46" ht="41.25" customHeight="1" x14ac:dyDescent="0.25">
      <c r="A347" s="8" t="s">
        <v>51</v>
      </c>
      <c r="B347" s="2" t="s">
        <v>2280</v>
      </c>
      <c r="C347" s="2" t="s">
        <v>2281</v>
      </c>
      <c r="D347" s="2" t="s">
        <v>2282</v>
      </c>
      <c r="F347" s="3" t="s">
        <v>51</v>
      </c>
      <c r="G347" s="3" t="s">
        <v>50</v>
      </c>
      <c r="H347" s="3" t="s">
        <v>49</v>
      </c>
      <c r="I347" s="3" t="s">
        <v>51</v>
      </c>
      <c r="J347" s="3" t="s">
        <v>52</v>
      </c>
      <c r="K347" s="2" t="s">
        <v>1172</v>
      </c>
      <c r="L347" s="2" t="s">
        <v>2283</v>
      </c>
      <c r="M347" s="3" t="s">
        <v>263</v>
      </c>
      <c r="O347" s="3" t="s">
        <v>56</v>
      </c>
      <c r="P347" s="3" t="s">
        <v>578</v>
      </c>
      <c r="Q347" s="2" t="s">
        <v>2284</v>
      </c>
      <c r="R347" s="3" t="s">
        <v>59</v>
      </c>
      <c r="S347" s="4">
        <v>21</v>
      </c>
      <c r="T347" s="4">
        <v>25</v>
      </c>
      <c r="U347" s="5" t="s">
        <v>2285</v>
      </c>
      <c r="V347" s="5" t="s">
        <v>2285</v>
      </c>
      <c r="W347" s="5" t="s">
        <v>2286</v>
      </c>
      <c r="X347" s="5" t="s">
        <v>2286</v>
      </c>
      <c r="Y347" s="4">
        <v>994</v>
      </c>
      <c r="Z347" s="4">
        <v>852</v>
      </c>
      <c r="AA347" s="4">
        <v>854</v>
      </c>
      <c r="AB347" s="4">
        <v>5</v>
      </c>
      <c r="AC347" s="4">
        <v>5</v>
      </c>
      <c r="AD347" s="4">
        <v>44</v>
      </c>
      <c r="AE347" s="4">
        <v>44</v>
      </c>
      <c r="AF347" s="4">
        <v>13</v>
      </c>
      <c r="AG347" s="4">
        <v>13</v>
      </c>
      <c r="AH347" s="4">
        <v>8</v>
      </c>
      <c r="AI347" s="4">
        <v>8</v>
      </c>
      <c r="AJ347" s="4">
        <v>20</v>
      </c>
      <c r="AK347" s="4">
        <v>20</v>
      </c>
      <c r="AL347" s="4">
        <v>1</v>
      </c>
      <c r="AM347" s="4">
        <v>1</v>
      </c>
      <c r="AN347" s="4">
        <v>12</v>
      </c>
      <c r="AO347" s="4">
        <v>12</v>
      </c>
      <c r="AP347" s="3" t="s">
        <v>51</v>
      </c>
      <c r="AQ347" s="3" t="s">
        <v>51</v>
      </c>
      <c r="AS347" s="6" t="str">
        <f>HYPERLINK("https://creighton-primo.hosted.exlibrisgroup.com/primo-explore/search?tab=default_tab&amp;search_scope=EVERYTHING&amp;vid=01CRU&amp;lang=en_US&amp;offset=0&amp;query=any,contains,991001790269702656","Catalog Record")</f>
        <v>Catalog Record</v>
      </c>
      <c r="AT347" s="6" t="str">
        <f>HYPERLINK("http://www.worldcat.org/oclc/1266071","WorldCat Record")</f>
        <v>WorldCat Record</v>
      </c>
    </row>
    <row r="348" spans="1:46" ht="41.25" customHeight="1" x14ac:dyDescent="0.25">
      <c r="A348" s="8" t="s">
        <v>51</v>
      </c>
      <c r="B348" s="2" t="s">
        <v>2287</v>
      </c>
      <c r="C348" s="2" t="s">
        <v>2288</v>
      </c>
      <c r="D348" s="2" t="s">
        <v>2289</v>
      </c>
      <c r="F348" s="3" t="s">
        <v>51</v>
      </c>
      <c r="G348" s="3" t="s">
        <v>50</v>
      </c>
      <c r="H348" s="3" t="s">
        <v>51</v>
      </c>
      <c r="I348" s="3" t="s">
        <v>51</v>
      </c>
      <c r="J348" s="3" t="s">
        <v>52</v>
      </c>
      <c r="L348" s="2" t="s">
        <v>2290</v>
      </c>
      <c r="M348" s="3" t="s">
        <v>389</v>
      </c>
      <c r="O348" s="3" t="s">
        <v>56</v>
      </c>
      <c r="P348" s="3" t="s">
        <v>2115</v>
      </c>
      <c r="R348" s="3" t="s">
        <v>59</v>
      </c>
      <c r="S348" s="4">
        <v>2</v>
      </c>
      <c r="T348" s="4">
        <v>2</v>
      </c>
      <c r="U348" s="5" t="s">
        <v>2291</v>
      </c>
      <c r="V348" s="5" t="s">
        <v>2291</v>
      </c>
      <c r="W348" s="5" t="s">
        <v>2292</v>
      </c>
      <c r="X348" s="5" t="s">
        <v>2292</v>
      </c>
      <c r="Y348" s="4">
        <v>163</v>
      </c>
      <c r="Z348" s="4">
        <v>127</v>
      </c>
      <c r="AA348" s="4">
        <v>166</v>
      </c>
      <c r="AB348" s="4">
        <v>3</v>
      </c>
      <c r="AC348" s="4">
        <v>3</v>
      </c>
      <c r="AD348" s="4">
        <v>9</v>
      </c>
      <c r="AE348" s="4">
        <v>11</v>
      </c>
      <c r="AF348" s="4">
        <v>3</v>
      </c>
      <c r="AG348" s="4">
        <v>4</v>
      </c>
      <c r="AH348" s="4">
        <v>4</v>
      </c>
      <c r="AI348" s="4">
        <v>5</v>
      </c>
      <c r="AJ348" s="4">
        <v>4</v>
      </c>
      <c r="AK348" s="4">
        <v>5</v>
      </c>
      <c r="AL348" s="4">
        <v>2</v>
      </c>
      <c r="AM348" s="4">
        <v>2</v>
      </c>
      <c r="AN348" s="4">
        <v>0</v>
      </c>
      <c r="AO348" s="4">
        <v>0</v>
      </c>
      <c r="AP348" s="3" t="s">
        <v>51</v>
      </c>
      <c r="AQ348" s="3" t="s">
        <v>51</v>
      </c>
      <c r="AS348" s="6" t="str">
        <f>HYPERLINK("https://creighton-primo.hosted.exlibrisgroup.com/primo-explore/search?tab=default_tab&amp;search_scope=EVERYTHING&amp;vid=01CRU&amp;lang=en_US&amp;offset=0&amp;query=any,contains,991002268269702656","Catalog Record")</f>
        <v>Catalog Record</v>
      </c>
      <c r="AT348" s="6" t="str">
        <f>HYPERLINK("http://www.worldcat.org/oclc/29428836","WorldCat Record")</f>
        <v>WorldCat Record</v>
      </c>
    </row>
    <row r="349" spans="1:46" ht="41.25" customHeight="1" x14ac:dyDescent="0.25">
      <c r="A349" s="8" t="s">
        <v>51</v>
      </c>
      <c r="B349" s="2" t="s">
        <v>2293</v>
      </c>
      <c r="C349" s="2" t="s">
        <v>2294</v>
      </c>
      <c r="D349" s="2" t="s">
        <v>2295</v>
      </c>
      <c r="F349" s="3" t="s">
        <v>51</v>
      </c>
      <c r="G349" s="3" t="s">
        <v>50</v>
      </c>
      <c r="H349" s="3" t="s">
        <v>51</v>
      </c>
      <c r="I349" s="3" t="s">
        <v>51</v>
      </c>
      <c r="J349" s="3" t="s">
        <v>52</v>
      </c>
      <c r="K349" s="2" t="s">
        <v>2296</v>
      </c>
      <c r="L349" s="2" t="s">
        <v>2297</v>
      </c>
      <c r="M349" s="3" t="s">
        <v>920</v>
      </c>
      <c r="O349" s="3" t="s">
        <v>56</v>
      </c>
      <c r="P349" s="3" t="s">
        <v>179</v>
      </c>
      <c r="Q349" s="2" t="s">
        <v>2298</v>
      </c>
      <c r="R349" s="3" t="s">
        <v>59</v>
      </c>
      <c r="S349" s="4">
        <v>14</v>
      </c>
      <c r="T349" s="4">
        <v>14</v>
      </c>
      <c r="U349" s="5" t="s">
        <v>2299</v>
      </c>
      <c r="V349" s="5" t="s">
        <v>2299</v>
      </c>
      <c r="W349" s="5" t="s">
        <v>2300</v>
      </c>
      <c r="X349" s="5" t="s">
        <v>2300</v>
      </c>
      <c r="Y349" s="4">
        <v>64</v>
      </c>
      <c r="Z349" s="4">
        <v>41</v>
      </c>
      <c r="AA349" s="4">
        <v>42</v>
      </c>
      <c r="AB349" s="4">
        <v>1</v>
      </c>
      <c r="AC349" s="4">
        <v>1</v>
      </c>
      <c r="AD349" s="4">
        <v>0</v>
      </c>
      <c r="AE349" s="4">
        <v>0</v>
      </c>
      <c r="AF349" s="4">
        <v>0</v>
      </c>
      <c r="AG349" s="4">
        <v>0</v>
      </c>
      <c r="AH349" s="4">
        <v>0</v>
      </c>
      <c r="AI349" s="4">
        <v>0</v>
      </c>
      <c r="AJ349" s="4">
        <v>0</v>
      </c>
      <c r="AK349" s="4">
        <v>0</v>
      </c>
      <c r="AL349" s="4">
        <v>0</v>
      </c>
      <c r="AM349" s="4">
        <v>0</v>
      </c>
      <c r="AN349" s="4">
        <v>0</v>
      </c>
      <c r="AO349" s="4">
        <v>0</v>
      </c>
      <c r="AP349" s="3" t="s">
        <v>51</v>
      </c>
      <c r="AQ349" s="3" t="s">
        <v>51</v>
      </c>
      <c r="AS349" s="6" t="str">
        <f>HYPERLINK("https://creighton-primo.hosted.exlibrisgroup.com/primo-explore/search?tab=default_tab&amp;search_scope=EVERYTHING&amp;vid=01CRU&amp;lang=en_US&amp;offset=0&amp;query=any,contains,991003492239702656","Catalog Record")</f>
        <v>Catalog Record</v>
      </c>
      <c r="AT349" s="6" t="str">
        <f>HYPERLINK("http://www.worldcat.org/oclc/45002138","WorldCat Record")</f>
        <v>WorldCat Record</v>
      </c>
    </row>
    <row r="350" spans="1:46" ht="41.25" customHeight="1" x14ac:dyDescent="0.25">
      <c r="A350" s="8" t="s">
        <v>51</v>
      </c>
      <c r="B350" s="2" t="s">
        <v>2301</v>
      </c>
      <c r="C350" s="2" t="s">
        <v>2302</v>
      </c>
      <c r="D350" s="2" t="s">
        <v>2303</v>
      </c>
      <c r="F350" s="3" t="s">
        <v>51</v>
      </c>
      <c r="G350" s="3" t="s">
        <v>50</v>
      </c>
      <c r="H350" s="3" t="s">
        <v>51</v>
      </c>
      <c r="I350" s="3" t="s">
        <v>51</v>
      </c>
      <c r="J350" s="3" t="s">
        <v>52</v>
      </c>
      <c r="L350" s="2" t="s">
        <v>2304</v>
      </c>
      <c r="M350" s="3" t="s">
        <v>851</v>
      </c>
      <c r="O350" s="3" t="s">
        <v>56</v>
      </c>
      <c r="P350" s="3" t="s">
        <v>1970</v>
      </c>
      <c r="R350" s="3" t="s">
        <v>59</v>
      </c>
      <c r="S350" s="4">
        <v>1</v>
      </c>
      <c r="T350" s="4">
        <v>1</v>
      </c>
      <c r="U350" s="5" t="s">
        <v>2305</v>
      </c>
      <c r="V350" s="5" t="s">
        <v>2305</v>
      </c>
      <c r="W350" s="5" t="s">
        <v>2306</v>
      </c>
      <c r="X350" s="5" t="s">
        <v>2306</v>
      </c>
      <c r="Y350" s="4">
        <v>264</v>
      </c>
      <c r="Z350" s="4">
        <v>180</v>
      </c>
      <c r="AA350" s="4">
        <v>203</v>
      </c>
      <c r="AB350" s="4">
        <v>2</v>
      </c>
      <c r="AC350" s="4">
        <v>2</v>
      </c>
      <c r="AD350" s="4">
        <v>8</v>
      </c>
      <c r="AE350" s="4">
        <v>8</v>
      </c>
      <c r="AF350" s="4">
        <v>2</v>
      </c>
      <c r="AG350" s="4">
        <v>2</v>
      </c>
      <c r="AH350" s="4">
        <v>1</v>
      </c>
      <c r="AI350" s="4">
        <v>1</v>
      </c>
      <c r="AJ350" s="4">
        <v>6</v>
      </c>
      <c r="AK350" s="4">
        <v>6</v>
      </c>
      <c r="AL350" s="4">
        <v>1</v>
      </c>
      <c r="AM350" s="4">
        <v>1</v>
      </c>
      <c r="AN350" s="4">
        <v>0</v>
      </c>
      <c r="AO350" s="4">
        <v>0</v>
      </c>
      <c r="AP350" s="3" t="s">
        <v>51</v>
      </c>
      <c r="AQ350" s="3" t="s">
        <v>51</v>
      </c>
      <c r="AS350" s="6" t="str">
        <f>HYPERLINK("https://creighton-primo.hosted.exlibrisgroup.com/primo-explore/search?tab=default_tab&amp;search_scope=EVERYTHING&amp;vid=01CRU&amp;lang=en_US&amp;offset=0&amp;query=any,contains,991002567129702656","Catalog Record")</f>
        <v>Catalog Record</v>
      </c>
      <c r="AT350" s="6" t="str">
        <f>HYPERLINK("http://www.worldcat.org/oclc/33359799","WorldCat Record")</f>
        <v>WorldCat Record</v>
      </c>
    </row>
    <row r="351" spans="1:46" ht="41.25" customHeight="1" x14ac:dyDescent="0.25">
      <c r="A351" s="8" t="s">
        <v>51</v>
      </c>
      <c r="B351" s="2" t="s">
        <v>2307</v>
      </c>
      <c r="C351" s="2" t="s">
        <v>2308</v>
      </c>
      <c r="D351" s="2" t="s">
        <v>2309</v>
      </c>
      <c r="F351" s="3" t="s">
        <v>51</v>
      </c>
      <c r="G351" s="3" t="s">
        <v>50</v>
      </c>
      <c r="H351" s="3" t="s">
        <v>51</v>
      </c>
      <c r="I351" s="3" t="s">
        <v>51</v>
      </c>
      <c r="J351" s="3" t="s">
        <v>52</v>
      </c>
      <c r="K351" s="2" t="s">
        <v>2310</v>
      </c>
      <c r="L351" s="2" t="s">
        <v>2311</v>
      </c>
      <c r="M351" s="3" t="s">
        <v>586</v>
      </c>
      <c r="N351" s="2" t="s">
        <v>78</v>
      </c>
      <c r="O351" s="3" t="s">
        <v>56</v>
      </c>
      <c r="P351" s="3" t="s">
        <v>113</v>
      </c>
      <c r="R351" s="3" t="s">
        <v>59</v>
      </c>
      <c r="S351" s="4">
        <v>8</v>
      </c>
      <c r="T351" s="4">
        <v>8</v>
      </c>
      <c r="U351" s="5" t="s">
        <v>2312</v>
      </c>
      <c r="V351" s="5" t="s">
        <v>2312</v>
      </c>
      <c r="W351" s="5" t="s">
        <v>2313</v>
      </c>
      <c r="X351" s="5" t="s">
        <v>2313</v>
      </c>
      <c r="Y351" s="4">
        <v>267</v>
      </c>
      <c r="Z351" s="4">
        <v>130</v>
      </c>
      <c r="AA351" s="4">
        <v>277</v>
      </c>
      <c r="AB351" s="4">
        <v>1</v>
      </c>
      <c r="AC351" s="4">
        <v>1</v>
      </c>
      <c r="AD351" s="4">
        <v>3</v>
      </c>
      <c r="AE351" s="4">
        <v>9</v>
      </c>
      <c r="AF351" s="4">
        <v>1</v>
      </c>
      <c r="AG351" s="4">
        <v>2</v>
      </c>
      <c r="AH351" s="4">
        <v>0</v>
      </c>
      <c r="AI351" s="4">
        <v>2</v>
      </c>
      <c r="AJ351" s="4">
        <v>2</v>
      </c>
      <c r="AK351" s="4">
        <v>7</v>
      </c>
      <c r="AL351" s="4">
        <v>0</v>
      </c>
      <c r="AM351" s="4">
        <v>0</v>
      </c>
      <c r="AN351" s="4">
        <v>0</v>
      </c>
      <c r="AO351" s="4">
        <v>0</v>
      </c>
      <c r="AP351" s="3" t="s">
        <v>51</v>
      </c>
      <c r="AQ351" s="3" t="s">
        <v>49</v>
      </c>
      <c r="AR351" s="6" t="str">
        <f>HYPERLINK("http://catalog.hathitrust.org/Record/004547592","HathiTrust Record")</f>
        <v>HathiTrust Record</v>
      </c>
      <c r="AS351" s="6" t="str">
        <f>HYPERLINK("https://creighton-primo.hosted.exlibrisgroup.com/primo-explore/search?tab=default_tab&amp;search_scope=EVERYTHING&amp;vid=01CRU&amp;lang=en_US&amp;offset=0&amp;query=any,contains,991002087129702656","Catalog Record")</f>
        <v>Catalog Record</v>
      </c>
      <c r="AT351" s="6" t="str">
        <f>HYPERLINK("http://www.worldcat.org/oclc/26769074","WorldCat Record")</f>
        <v>WorldCat Record</v>
      </c>
    </row>
    <row r="352" spans="1:46" ht="41.25" customHeight="1" x14ac:dyDescent="0.25">
      <c r="A352" s="8" t="s">
        <v>51</v>
      </c>
      <c r="B352" s="2" t="s">
        <v>2314</v>
      </c>
      <c r="C352" s="2" t="s">
        <v>2315</v>
      </c>
      <c r="D352" s="2" t="s">
        <v>2316</v>
      </c>
      <c r="F352" s="3" t="s">
        <v>51</v>
      </c>
      <c r="G352" s="3" t="s">
        <v>50</v>
      </c>
      <c r="H352" s="3" t="s">
        <v>51</v>
      </c>
      <c r="I352" s="3" t="s">
        <v>51</v>
      </c>
      <c r="J352" s="3" t="s">
        <v>52</v>
      </c>
      <c r="K352" s="2" t="s">
        <v>2317</v>
      </c>
      <c r="L352" s="2" t="s">
        <v>2318</v>
      </c>
      <c r="M352" s="3" t="s">
        <v>389</v>
      </c>
      <c r="N352" s="2" t="s">
        <v>78</v>
      </c>
      <c r="O352" s="3" t="s">
        <v>56</v>
      </c>
      <c r="P352" s="3" t="s">
        <v>113</v>
      </c>
      <c r="R352" s="3" t="s">
        <v>59</v>
      </c>
      <c r="S352" s="4">
        <v>3</v>
      </c>
      <c r="T352" s="4">
        <v>3</v>
      </c>
      <c r="U352" s="5" t="s">
        <v>2312</v>
      </c>
      <c r="V352" s="5" t="s">
        <v>2312</v>
      </c>
      <c r="W352" s="5" t="s">
        <v>2319</v>
      </c>
      <c r="X352" s="5" t="s">
        <v>2319</v>
      </c>
      <c r="Y352" s="4">
        <v>204</v>
      </c>
      <c r="Z352" s="4">
        <v>114</v>
      </c>
      <c r="AA352" s="4">
        <v>114</v>
      </c>
      <c r="AB352" s="4">
        <v>1</v>
      </c>
      <c r="AC352" s="4">
        <v>1</v>
      </c>
      <c r="AD352" s="4">
        <v>1</v>
      </c>
      <c r="AE352" s="4">
        <v>1</v>
      </c>
      <c r="AF352" s="4">
        <v>0</v>
      </c>
      <c r="AG352" s="4">
        <v>0</v>
      </c>
      <c r="AH352" s="4">
        <v>0</v>
      </c>
      <c r="AI352" s="4">
        <v>0</v>
      </c>
      <c r="AJ352" s="4">
        <v>1</v>
      </c>
      <c r="AK352" s="4">
        <v>1</v>
      </c>
      <c r="AL352" s="4">
        <v>0</v>
      </c>
      <c r="AM352" s="4">
        <v>0</v>
      </c>
      <c r="AN352" s="4">
        <v>0</v>
      </c>
      <c r="AO352" s="4">
        <v>0</v>
      </c>
      <c r="AP352" s="3" t="s">
        <v>51</v>
      </c>
      <c r="AQ352" s="3" t="s">
        <v>51</v>
      </c>
      <c r="AS352" s="6" t="str">
        <f>HYPERLINK("https://creighton-primo.hosted.exlibrisgroup.com/primo-explore/search?tab=default_tab&amp;search_scope=EVERYTHING&amp;vid=01CRU&amp;lang=en_US&amp;offset=0&amp;query=any,contains,991002319469702656","Catalog Record")</f>
        <v>Catalog Record</v>
      </c>
      <c r="AT352" s="6" t="str">
        <f>HYPERLINK("http://www.worldcat.org/oclc/30079085","WorldCat Record")</f>
        <v>WorldCat Record</v>
      </c>
    </row>
    <row r="353" spans="1:46" ht="41.25" customHeight="1" x14ac:dyDescent="0.25">
      <c r="A353" s="8" t="s">
        <v>51</v>
      </c>
      <c r="B353" s="2" t="s">
        <v>2320</v>
      </c>
      <c r="C353" s="2" t="s">
        <v>2321</v>
      </c>
      <c r="D353" s="2" t="s">
        <v>2322</v>
      </c>
      <c r="E353" s="3" t="s">
        <v>62</v>
      </c>
      <c r="F353" s="3" t="s">
        <v>49</v>
      </c>
      <c r="G353" s="3" t="s">
        <v>50</v>
      </c>
      <c r="H353" s="3" t="s">
        <v>49</v>
      </c>
      <c r="I353" s="3" t="s">
        <v>51</v>
      </c>
      <c r="J353" s="3" t="s">
        <v>52</v>
      </c>
      <c r="K353" s="2" t="s">
        <v>2323</v>
      </c>
      <c r="L353" s="2" t="s">
        <v>2324</v>
      </c>
      <c r="M353" s="3" t="s">
        <v>2325</v>
      </c>
      <c r="N353" s="2" t="s">
        <v>1220</v>
      </c>
      <c r="O353" s="3" t="s">
        <v>56</v>
      </c>
      <c r="P353" s="3" t="s">
        <v>79</v>
      </c>
      <c r="R353" s="3" t="s">
        <v>59</v>
      </c>
      <c r="S353" s="4">
        <v>0</v>
      </c>
      <c r="T353" s="4">
        <v>2</v>
      </c>
      <c r="V353" s="5" t="s">
        <v>2326</v>
      </c>
      <c r="W353" s="5" t="s">
        <v>2327</v>
      </c>
      <c r="X353" s="5" t="s">
        <v>2327</v>
      </c>
      <c r="Y353" s="4">
        <v>389</v>
      </c>
      <c r="Z353" s="4">
        <v>340</v>
      </c>
      <c r="AA353" s="4">
        <v>365</v>
      </c>
      <c r="AB353" s="4">
        <v>4</v>
      </c>
      <c r="AC353" s="4">
        <v>4</v>
      </c>
      <c r="AD353" s="4">
        <v>13</v>
      </c>
      <c r="AE353" s="4">
        <v>13</v>
      </c>
      <c r="AF353" s="4">
        <v>4</v>
      </c>
      <c r="AG353" s="4">
        <v>4</v>
      </c>
      <c r="AH353" s="4">
        <v>3</v>
      </c>
      <c r="AI353" s="4">
        <v>3</v>
      </c>
      <c r="AJ353" s="4">
        <v>7</v>
      </c>
      <c r="AK353" s="4">
        <v>7</v>
      </c>
      <c r="AL353" s="4">
        <v>2</v>
      </c>
      <c r="AM353" s="4">
        <v>2</v>
      </c>
      <c r="AN353" s="4">
        <v>0</v>
      </c>
      <c r="AO353" s="4">
        <v>0</v>
      </c>
      <c r="AP353" s="3" t="s">
        <v>51</v>
      </c>
      <c r="AQ353" s="3" t="s">
        <v>49</v>
      </c>
      <c r="AR353" s="6" t="str">
        <f>HYPERLINK("http://catalog.hathitrust.org/Record/004416443","HathiTrust Record")</f>
        <v>HathiTrust Record</v>
      </c>
      <c r="AS353" s="6" t="str">
        <f>HYPERLINK("https://creighton-primo.hosted.exlibrisgroup.com/primo-explore/search?tab=default_tab&amp;search_scope=EVERYTHING&amp;vid=01CRU&amp;lang=en_US&amp;offset=0&amp;query=any,contains,991001788659702656","Catalog Record")</f>
        <v>Catalog Record</v>
      </c>
      <c r="AT353" s="6" t="str">
        <f>HYPERLINK("http://www.worldcat.org/oclc/14659796","WorldCat Record")</f>
        <v>WorldCat Record</v>
      </c>
    </row>
    <row r="354" spans="1:46" ht="41.25" customHeight="1" x14ac:dyDescent="0.25">
      <c r="A354" s="8" t="s">
        <v>51</v>
      </c>
      <c r="B354" s="2" t="s">
        <v>2320</v>
      </c>
      <c r="C354" s="2" t="s">
        <v>2321</v>
      </c>
      <c r="D354" s="2" t="s">
        <v>2322</v>
      </c>
      <c r="E354" s="3" t="s">
        <v>48</v>
      </c>
      <c r="F354" s="3" t="s">
        <v>49</v>
      </c>
      <c r="G354" s="3" t="s">
        <v>50</v>
      </c>
      <c r="H354" s="3" t="s">
        <v>49</v>
      </c>
      <c r="I354" s="3" t="s">
        <v>51</v>
      </c>
      <c r="J354" s="3" t="s">
        <v>52</v>
      </c>
      <c r="K354" s="2" t="s">
        <v>2323</v>
      </c>
      <c r="L354" s="2" t="s">
        <v>2324</v>
      </c>
      <c r="M354" s="3" t="s">
        <v>2325</v>
      </c>
      <c r="N354" s="2" t="s">
        <v>1220</v>
      </c>
      <c r="O354" s="3" t="s">
        <v>56</v>
      </c>
      <c r="P354" s="3" t="s">
        <v>79</v>
      </c>
      <c r="R354" s="3" t="s">
        <v>59</v>
      </c>
      <c r="S354" s="4">
        <v>2</v>
      </c>
      <c r="T354" s="4">
        <v>2</v>
      </c>
      <c r="U354" s="5" t="s">
        <v>2326</v>
      </c>
      <c r="V354" s="5" t="s">
        <v>2326</v>
      </c>
      <c r="W354" s="5" t="s">
        <v>2327</v>
      </c>
      <c r="X354" s="5" t="s">
        <v>2327</v>
      </c>
      <c r="Y354" s="4">
        <v>389</v>
      </c>
      <c r="Z354" s="4">
        <v>340</v>
      </c>
      <c r="AA354" s="4">
        <v>365</v>
      </c>
      <c r="AB354" s="4">
        <v>4</v>
      </c>
      <c r="AC354" s="4">
        <v>4</v>
      </c>
      <c r="AD354" s="4">
        <v>13</v>
      </c>
      <c r="AE354" s="4">
        <v>13</v>
      </c>
      <c r="AF354" s="4">
        <v>4</v>
      </c>
      <c r="AG354" s="4">
        <v>4</v>
      </c>
      <c r="AH354" s="4">
        <v>3</v>
      </c>
      <c r="AI354" s="4">
        <v>3</v>
      </c>
      <c r="AJ354" s="4">
        <v>7</v>
      </c>
      <c r="AK354" s="4">
        <v>7</v>
      </c>
      <c r="AL354" s="4">
        <v>2</v>
      </c>
      <c r="AM354" s="4">
        <v>2</v>
      </c>
      <c r="AN354" s="4">
        <v>0</v>
      </c>
      <c r="AO354" s="4">
        <v>0</v>
      </c>
      <c r="AP354" s="3" t="s">
        <v>51</v>
      </c>
      <c r="AQ354" s="3" t="s">
        <v>49</v>
      </c>
      <c r="AR354" s="6" t="str">
        <f>HYPERLINK("http://catalog.hathitrust.org/Record/004416443","HathiTrust Record")</f>
        <v>HathiTrust Record</v>
      </c>
      <c r="AS354" s="6" t="str">
        <f>HYPERLINK("https://creighton-primo.hosted.exlibrisgroup.com/primo-explore/search?tab=default_tab&amp;search_scope=EVERYTHING&amp;vid=01CRU&amp;lang=en_US&amp;offset=0&amp;query=any,contains,991001788659702656","Catalog Record")</f>
        <v>Catalog Record</v>
      </c>
      <c r="AT354" s="6" t="str">
        <f>HYPERLINK("http://www.worldcat.org/oclc/14659796","WorldCat Record")</f>
        <v>WorldCat Record</v>
      </c>
    </row>
    <row r="355" spans="1:46" ht="41.25" customHeight="1" x14ac:dyDescent="0.25">
      <c r="A355" s="8" t="s">
        <v>51</v>
      </c>
      <c r="B355" s="2" t="s">
        <v>2328</v>
      </c>
      <c r="C355" s="2" t="s">
        <v>2329</v>
      </c>
      <c r="D355" s="2" t="s">
        <v>2330</v>
      </c>
      <c r="F355" s="3" t="s">
        <v>51</v>
      </c>
      <c r="G355" s="3" t="s">
        <v>50</v>
      </c>
      <c r="H355" s="3" t="s">
        <v>51</v>
      </c>
      <c r="I355" s="3" t="s">
        <v>51</v>
      </c>
      <c r="J355" s="3" t="s">
        <v>52</v>
      </c>
      <c r="L355" s="2" t="s">
        <v>2331</v>
      </c>
      <c r="M355" s="3" t="s">
        <v>298</v>
      </c>
      <c r="O355" s="3" t="s">
        <v>56</v>
      </c>
      <c r="P355" s="3" t="s">
        <v>69</v>
      </c>
      <c r="R355" s="3" t="s">
        <v>59</v>
      </c>
      <c r="S355" s="4">
        <v>8</v>
      </c>
      <c r="T355" s="4">
        <v>8</v>
      </c>
      <c r="U355" s="5" t="s">
        <v>1932</v>
      </c>
      <c r="V355" s="5" t="s">
        <v>1932</v>
      </c>
      <c r="W355" s="5" t="s">
        <v>2332</v>
      </c>
      <c r="X355" s="5" t="s">
        <v>2332</v>
      </c>
      <c r="Y355" s="4">
        <v>322</v>
      </c>
      <c r="Z355" s="4">
        <v>284</v>
      </c>
      <c r="AA355" s="4">
        <v>285</v>
      </c>
      <c r="AB355" s="4">
        <v>1</v>
      </c>
      <c r="AC355" s="4">
        <v>1</v>
      </c>
      <c r="AD355" s="4">
        <v>7</v>
      </c>
      <c r="AE355" s="4">
        <v>7</v>
      </c>
      <c r="AF355" s="4">
        <v>2</v>
      </c>
      <c r="AG355" s="4">
        <v>2</v>
      </c>
      <c r="AH355" s="4">
        <v>2</v>
      </c>
      <c r="AI355" s="4">
        <v>2</v>
      </c>
      <c r="AJ355" s="4">
        <v>5</v>
      </c>
      <c r="AK355" s="4">
        <v>5</v>
      </c>
      <c r="AL355" s="4">
        <v>0</v>
      </c>
      <c r="AM355" s="4">
        <v>0</v>
      </c>
      <c r="AN355" s="4">
        <v>1</v>
      </c>
      <c r="AO355" s="4">
        <v>1</v>
      </c>
      <c r="AP355" s="3" t="s">
        <v>51</v>
      </c>
      <c r="AQ355" s="3" t="s">
        <v>51</v>
      </c>
      <c r="AS355" s="6" t="str">
        <f>HYPERLINK("https://creighton-primo.hosted.exlibrisgroup.com/primo-explore/search?tab=default_tab&amp;search_scope=EVERYTHING&amp;vid=01CRU&amp;lang=en_US&amp;offset=0&amp;query=any,contains,991001961819702656","Catalog Record")</f>
        <v>Catalog Record</v>
      </c>
      <c r="AT355" s="6" t="str">
        <f>HYPERLINK("http://www.worldcat.org/oclc/24848749","WorldCat Record")</f>
        <v>WorldCat Record</v>
      </c>
    </row>
    <row r="356" spans="1:46" ht="41.25" customHeight="1" x14ac:dyDescent="0.25">
      <c r="A356" s="8" t="s">
        <v>51</v>
      </c>
      <c r="B356" s="2" t="s">
        <v>2333</v>
      </c>
      <c r="C356" s="2" t="s">
        <v>2334</v>
      </c>
      <c r="D356" s="2" t="s">
        <v>2335</v>
      </c>
      <c r="F356" s="3" t="s">
        <v>51</v>
      </c>
      <c r="G356" s="3" t="s">
        <v>50</v>
      </c>
      <c r="H356" s="3" t="s">
        <v>51</v>
      </c>
      <c r="I356" s="3" t="s">
        <v>51</v>
      </c>
      <c r="J356" s="3" t="s">
        <v>52</v>
      </c>
      <c r="L356" s="2" t="s">
        <v>1925</v>
      </c>
      <c r="M356" s="3" t="s">
        <v>194</v>
      </c>
      <c r="O356" s="3" t="s">
        <v>56</v>
      </c>
      <c r="P356" s="3" t="s">
        <v>87</v>
      </c>
      <c r="R356" s="3" t="s">
        <v>59</v>
      </c>
      <c r="S356" s="4">
        <v>4</v>
      </c>
      <c r="T356" s="4">
        <v>4</v>
      </c>
      <c r="U356" s="5" t="s">
        <v>819</v>
      </c>
      <c r="V356" s="5" t="s">
        <v>819</v>
      </c>
      <c r="W356" s="5" t="s">
        <v>2336</v>
      </c>
      <c r="X356" s="5" t="s">
        <v>2336</v>
      </c>
      <c r="Y356" s="4">
        <v>266</v>
      </c>
      <c r="Z356" s="4">
        <v>212</v>
      </c>
      <c r="AA356" s="4">
        <v>228</v>
      </c>
      <c r="AB356" s="4">
        <v>2</v>
      </c>
      <c r="AC356" s="4">
        <v>2</v>
      </c>
      <c r="AD356" s="4">
        <v>3</v>
      </c>
      <c r="AE356" s="4">
        <v>4</v>
      </c>
      <c r="AF356" s="4">
        <v>0</v>
      </c>
      <c r="AG356" s="4">
        <v>1</v>
      </c>
      <c r="AH356" s="4">
        <v>2</v>
      </c>
      <c r="AI356" s="4">
        <v>2</v>
      </c>
      <c r="AJ356" s="4">
        <v>1</v>
      </c>
      <c r="AK356" s="4">
        <v>2</v>
      </c>
      <c r="AL356" s="4">
        <v>1</v>
      </c>
      <c r="AM356" s="4">
        <v>1</v>
      </c>
      <c r="AN356" s="4">
        <v>0</v>
      </c>
      <c r="AO356" s="4">
        <v>0</v>
      </c>
      <c r="AP356" s="3" t="s">
        <v>51</v>
      </c>
      <c r="AQ356" s="3" t="s">
        <v>49</v>
      </c>
      <c r="AR356" s="6" t="str">
        <f>HYPERLINK("http://catalog.hathitrust.org/Record/000179631","HathiTrust Record")</f>
        <v>HathiTrust Record</v>
      </c>
      <c r="AS356" s="6" t="str">
        <f>HYPERLINK("https://creighton-primo.hosted.exlibrisgroup.com/primo-explore/search?tab=default_tab&amp;search_scope=EVERYTHING&amp;vid=01CRU&amp;lang=en_US&amp;offset=0&amp;query=any,contains,991004589829702656","Catalog Record")</f>
        <v>Catalog Record</v>
      </c>
      <c r="AT356" s="6" t="str">
        <f>HYPERLINK("http://www.worldcat.org/oclc/4114517","WorldCat Record")</f>
        <v>WorldCat Record</v>
      </c>
    </row>
    <row r="357" spans="1:46" ht="41.25" customHeight="1" x14ac:dyDescent="0.25">
      <c r="A357" s="8" t="s">
        <v>51</v>
      </c>
      <c r="B357" s="2" t="s">
        <v>2337</v>
      </c>
      <c r="C357" s="2" t="s">
        <v>2338</v>
      </c>
      <c r="D357" s="2" t="s">
        <v>2339</v>
      </c>
      <c r="F357" s="3" t="s">
        <v>51</v>
      </c>
      <c r="G357" s="3" t="s">
        <v>50</v>
      </c>
      <c r="H357" s="3" t="s">
        <v>51</v>
      </c>
      <c r="I357" s="3" t="s">
        <v>51</v>
      </c>
      <c r="J357" s="3" t="s">
        <v>52</v>
      </c>
      <c r="K357" s="2" t="s">
        <v>2340</v>
      </c>
      <c r="L357" s="2" t="s">
        <v>2341</v>
      </c>
      <c r="M357" s="3" t="s">
        <v>201</v>
      </c>
      <c r="O357" s="3" t="s">
        <v>56</v>
      </c>
      <c r="P357" s="3" t="s">
        <v>87</v>
      </c>
      <c r="Q357" s="2" t="s">
        <v>2342</v>
      </c>
      <c r="R357" s="3" t="s">
        <v>59</v>
      </c>
      <c r="S357" s="4">
        <v>10</v>
      </c>
      <c r="T357" s="4">
        <v>10</v>
      </c>
      <c r="U357" s="5" t="s">
        <v>2032</v>
      </c>
      <c r="V357" s="5" t="s">
        <v>2032</v>
      </c>
      <c r="W357" s="5" t="s">
        <v>2249</v>
      </c>
      <c r="X357" s="5" t="s">
        <v>2249</v>
      </c>
      <c r="Y357" s="4">
        <v>241</v>
      </c>
      <c r="Z357" s="4">
        <v>209</v>
      </c>
      <c r="AA357" s="4">
        <v>211</v>
      </c>
      <c r="AB357" s="4">
        <v>2</v>
      </c>
      <c r="AC357" s="4">
        <v>2</v>
      </c>
      <c r="AD357" s="4">
        <v>14</v>
      </c>
      <c r="AE357" s="4">
        <v>14</v>
      </c>
      <c r="AF357" s="4">
        <v>2</v>
      </c>
      <c r="AG357" s="4">
        <v>2</v>
      </c>
      <c r="AH357" s="4">
        <v>3</v>
      </c>
      <c r="AI357" s="4">
        <v>3</v>
      </c>
      <c r="AJ357" s="4">
        <v>3</v>
      </c>
      <c r="AK357" s="4">
        <v>3</v>
      </c>
      <c r="AL357" s="4">
        <v>0</v>
      </c>
      <c r="AM357" s="4">
        <v>0</v>
      </c>
      <c r="AN357" s="4">
        <v>7</v>
      </c>
      <c r="AO357" s="4">
        <v>7</v>
      </c>
      <c r="AP357" s="3" t="s">
        <v>51</v>
      </c>
      <c r="AQ357" s="3" t="s">
        <v>49</v>
      </c>
      <c r="AR357" s="6" t="str">
        <f>HYPERLINK("http://catalog.hathitrust.org/Record/002078433","HathiTrust Record")</f>
        <v>HathiTrust Record</v>
      </c>
      <c r="AS357" s="6" t="str">
        <f>HYPERLINK("https://creighton-primo.hosted.exlibrisgroup.com/primo-explore/search?tab=default_tab&amp;search_scope=EVERYTHING&amp;vid=01CRU&amp;lang=en_US&amp;offset=0&amp;query=any,contains,991003275029702656","Catalog Record")</f>
        <v>Catalog Record</v>
      </c>
      <c r="AT357" s="6" t="str">
        <f>HYPERLINK("http://www.worldcat.org/oclc/799572","WorldCat Record")</f>
        <v>WorldCat Record</v>
      </c>
    </row>
    <row r="358" spans="1:46" ht="41.25" customHeight="1" x14ac:dyDescent="0.25">
      <c r="A358" s="8" t="s">
        <v>51</v>
      </c>
      <c r="B358" s="2" t="s">
        <v>2343</v>
      </c>
      <c r="C358" s="2" t="s">
        <v>2344</v>
      </c>
      <c r="D358" s="2" t="s">
        <v>2345</v>
      </c>
      <c r="F358" s="3" t="s">
        <v>51</v>
      </c>
      <c r="G358" s="3" t="s">
        <v>50</v>
      </c>
      <c r="H358" s="3" t="s">
        <v>51</v>
      </c>
      <c r="I358" s="3" t="s">
        <v>51</v>
      </c>
      <c r="J358" s="3" t="s">
        <v>52</v>
      </c>
      <c r="K358" s="2" t="s">
        <v>2346</v>
      </c>
      <c r="L358" s="2" t="s">
        <v>2347</v>
      </c>
      <c r="M358" s="3" t="s">
        <v>306</v>
      </c>
      <c r="O358" s="3" t="s">
        <v>56</v>
      </c>
      <c r="P358" s="3" t="s">
        <v>79</v>
      </c>
      <c r="R358" s="3" t="s">
        <v>59</v>
      </c>
      <c r="S358" s="4">
        <v>1</v>
      </c>
      <c r="T358" s="4">
        <v>1</v>
      </c>
      <c r="U358" s="5" t="s">
        <v>2348</v>
      </c>
      <c r="V358" s="5" t="s">
        <v>2348</v>
      </c>
      <c r="W358" s="5" t="s">
        <v>1407</v>
      </c>
      <c r="X358" s="5" t="s">
        <v>1407</v>
      </c>
      <c r="Y358" s="4">
        <v>538</v>
      </c>
      <c r="Z358" s="4">
        <v>477</v>
      </c>
      <c r="AA358" s="4">
        <v>480</v>
      </c>
      <c r="AB358" s="4">
        <v>1</v>
      </c>
      <c r="AC358" s="4">
        <v>1</v>
      </c>
      <c r="AD358" s="4">
        <v>15</v>
      </c>
      <c r="AE358" s="4">
        <v>15</v>
      </c>
      <c r="AF358" s="4">
        <v>3</v>
      </c>
      <c r="AG358" s="4">
        <v>3</v>
      </c>
      <c r="AH358" s="4">
        <v>7</v>
      </c>
      <c r="AI358" s="4">
        <v>7</v>
      </c>
      <c r="AJ358" s="4">
        <v>8</v>
      </c>
      <c r="AK358" s="4">
        <v>8</v>
      </c>
      <c r="AL358" s="4">
        <v>0</v>
      </c>
      <c r="AM358" s="4">
        <v>0</v>
      </c>
      <c r="AN358" s="4">
        <v>1</v>
      </c>
      <c r="AO358" s="4">
        <v>1</v>
      </c>
      <c r="AP358" s="3" t="s">
        <v>51</v>
      </c>
      <c r="AQ358" s="3" t="s">
        <v>49</v>
      </c>
      <c r="AR358" s="6" t="str">
        <f>HYPERLINK("http://catalog.hathitrust.org/Record/000006779","HathiTrust Record")</f>
        <v>HathiTrust Record</v>
      </c>
      <c r="AS358" s="6" t="str">
        <f>HYPERLINK("https://creighton-primo.hosted.exlibrisgroup.com/primo-explore/search?tab=default_tab&amp;search_scope=EVERYTHING&amp;vid=01CRU&amp;lang=en_US&amp;offset=0&amp;query=any,contains,991002885779702656","Catalog Record")</f>
        <v>Catalog Record</v>
      </c>
      <c r="AT358" s="6" t="str">
        <f>HYPERLINK("http://www.worldcat.org/oclc/508260","WorldCat Record")</f>
        <v>WorldCat Record</v>
      </c>
    </row>
    <row r="359" spans="1:46" ht="41.25" customHeight="1" x14ac:dyDescent="0.25">
      <c r="A359" s="8" t="s">
        <v>51</v>
      </c>
      <c r="B359" s="2" t="s">
        <v>2349</v>
      </c>
      <c r="C359" s="2" t="s">
        <v>2350</v>
      </c>
      <c r="D359" s="2" t="s">
        <v>2351</v>
      </c>
      <c r="F359" s="3" t="s">
        <v>51</v>
      </c>
      <c r="G359" s="3" t="s">
        <v>50</v>
      </c>
      <c r="H359" s="3" t="s">
        <v>51</v>
      </c>
      <c r="I359" s="3" t="s">
        <v>49</v>
      </c>
      <c r="J359" s="3" t="s">
        <v>52</v>
      </c>
      <c r="K359" s="2" t="s">
        <v>2352</v>
      </c>
      <c r="L359" s="2" t="s">
        <v>2353</v>
      </c>
      <c r="M359" s="3" t="s">
        <v>263</v>
      </c>
      <c r="N359" s="2" t="s">
        <v>2354</v>
      </c>
      <c r="O359" s="3" t="s">
        <v>56</v>
      </c>
      <c r="P359" s="3" t="s">
        <v>87</v>
      </c>
      <c r="R359" s="3" t="s">
        <v>59</v>
      </c>
      <c r="S359" s="4">
        <v>4</v>
      </c>
      <c r="T359" s="4">
        <v>4</v>
      </c>
      <c r="U359" s="5" t="s">
        <v>2355</v>
      </c>
      <c r="V359" s="5" t="s">
        <v>2355</v>
      </c>
      <c r="W359" s="5" t="s">
        <v>2173</v>
      </c>
      <c r="X359" s="5" t="s">
        <v>2173</v>
      </c>
      <c r="Y359" s="4">
        <v>378</v>
      </c>
      <c r="Z359" s="4">
        <v>298</v>
      </c>
      <c r="AA359" s="4">
        <v>523</v>
      </c>
      <c r="AB359" s="4">
        <v>1</v>
      </c>
      <c r="AC359" s="4">
        <v>4</v>
      </c>
      <c r="AD359" s="4">
        <v>6</v>
      </c>
      <c r="AE359" s="4">
        <v>14</v>
      </c>
      <c r="AF359" s="4">
        <v>1</v>
      </c>
      <c r="AG359" s="4">
        <v>3</v>
      </c>
      <c r="AH359" s="4">
        <v>3</v>
      </c>
      <c r="AI359" s="4">
        <v>5</v>
      </c>
      <c r="AJ359" s="4">
        <v>5</v>
      </c>
      <c r="AK359" s="4">
        <v>8</v>
      </c>
      <c r="AL359" s="4">
        <v>0</v>
      </c>
      <c r="AM359" s="4">
        <v>2</v>
      </c>
      <c r="AN359" s="4">
        <v>0</v>
      </c>
      <c r="AO359" s="4">
        <v>0</v>
      </c>
      <c r="AP359" s="3" t="s">
        <v>51</v>
      </c>
      <c r="AQ359" s="3" t="s">
        <v>49</v>
      </c>
      <c r="AR359" s="6" t="str">
        <f>HYPERLINK("http://catalog.hathitrust.org/Record/000024210","HathiTrust Record")</f>
        <v>HathiTrust Record</v>
      </c>
      <c r="AS359" s="6" t="str">
        <f>HYPERLINK("https://creighton-primo.hosted.exlibrisgroup.com/primo-explore/search?tab=default_tab&amp;search_scope=EVERYTHING&amp;vid=01CRU&amp;lang=en_US&amp;offset=0&amp;query=any,contains,991003845179702656","Catalog Record")</f>
        <v>Catalog Record</v>
      </c>
      <c r="AT359" s="6" t="str">
        <f>HYPERLINK("http://www.worldcat.org/oclc/1628209","WorldCat Record")</f>
        <v>WorldCat Record</v>
      </c>
    </row>
    <row r="360" spans="1:46" ht="41.25" customHeight="1" x14ac:dyDescent="0.25">
      <c r="A360" s="8" t="s">
        <v>51</v>
      </c>
      <c r="B360" s="2" t="s">
        <v>2356</v>
      </c>
      <c r="C360" s="2" t="s">
        <v>2357</v>
      </c>
      <c r="D360" s="2" t="s">
        <v>2358</v>
      </c>
      <c r="F360" s="3" t="s">
        <v>51</v>
      </c>
      <c r="G360" s="3" t="s">
        <v>50</v>
      </c>
      <c r="H360" s="3" t="s">
        <v>51</v>
      </c>
      <c r="I360" s="3" t="s">
        <v>49</v>
      </c>
      <c r="J360" s="3" t="s">
        <v>52</v>
      </c>
      <c r="L360" s="2" t="s">
        <v>2359</v>
      </c>
      <c r="M360" s="3" t="s">
        <v>194</v>
      </c>
      <c r="O360" s="3" t="s">
        <v>56</v>
      </c>
      <c r="P360" s="3" t="s">
        <v>79</v>
      </c>
      <c r="R360" s="3" t="s">
        <v>59</v>
      </c>
      <c r="S360" s="4">
        <v>3</v>
      </c>
      <c r="T360" s="4">
        <v>3</v>
      </c>
      <c r="U360" s="5" t="s">
        <v>2355</v>
      </c>
      <c r="V360" s="5" t="s">
        <v>2355</v>
      </c>
      <c r="W360" s="5" t="s">
        <v>340</v>
      </c>
      <c r="X360" s="5" t="s">
        <v>340</v>
      </c>
      <c r="Y360" s="4">
        <v>285</v>
      </c>
      <c r="Z360" s="4">
        <v>193</v>
      </c>
      <c r="AA360" s="4">
        <v>428</v>
      </c>
      <c r="AB360" s="4">
        <v>2</v>
      </c>
      <c r="AC360" s="4">
        <v>3</v>
      </c>
      <c r="AD360" s="4">
        <v>4</v>
      </c>
      <c r="AE360" s="4">
        <v>14</v>
      </c>
      <c r="AF360" s="4">
        <v>1</v>
      </c>
      <c r="AG360" s="4">
        <v>5</v>
      </c>
      <c r="AH360" s="4">
        <v>3</v>
      </c>
      <c r="AI360" s="4">
        <v>4</v>
      </c>
      <c r="AJ360" s="4">
        <v>1</v>
      </c>
      <c r="AK360" s="4">
        <v>8</v>
      </c>
      <c r="AL360" s="4">
        <v>1</v>
      </c>
      <c r="AM360" s="4">
        <v>1</v>
      </c>
      <c r="AN360" s="4">
        <v>0</v>
      </c>
      <c r="AO360" s="4">
        <v>0</v>
      </c>
      <c r="AP360" s="3" t="s">
        <v>51</v>
      </c>
      <c r="AQ360" s="3" t="s">
        <v>49</v>
      </c>
      <c r="AR360" s="6" t="str">
        <f>HYPERLINK("http://catalog.hathitrust.org/Record/000487448","HathiTrust Record")</f>
        <v>HathiTrust Record</v>
      </c>
      <c r="AS360" s="6" t="str">
        <f>HYPERLINK("https://creighton-primo.hosted.exlibrisgroup.com/primo-explore/search?tab=default_tab&amp;search_scope=EVERYTHING&amp;vid=01CRU&amp;lang=en_US&amp;offset=0&amp;query=any,contains,991004514559702656","Catalog Record")</f>
        <v>Catalog Record</v>
      </c>
      <c r="AT360" s="6" t="str">
        <f>HYPERLINK("http://www.worldcat.org/oclc/3779717","WorldCat Record")</f>
        <v>WorldCat Record</v>
      </c>
    </row>
    <row r="361" spans="1:46" ht="41.25" customHeight="1" x14ac:dyDescent="0.25">
      <c r="A361" s="8" t="s">
        <v>51</v>
      </c>
      <c r="B361" s="2" t="s">
        <v>2360</v>
      </c>
      <c r="C361" s="2" t="s">
        <v>2361</v>
      </c>
      <c r="D361" s="2" t="s">
        <v>2362</v>
      </c>
      <c r="F361" s="3" t="s">
        <v>51</v>
      </c>
      <c r="G361" s="3" t="s">
        <v>50</v>
      </c>
      <c r="H361" s="3" t="s">
        <v>51</v>
      </c>
      <c r="I361" s="3" t="s">
        <v>51</v>
      </c>
      <c r="J361" s="3" t="s">
        <v>52</v>
      </c>
      <c r="K361" s="2" t="s">
        <v>2363</v>
      </c>
      <c r="L361" s="2" t="s">
        <v>2364</v>
      </c>
      <c r="M361" s="3" t="s">
        <v>851</v>
      </c>
      <c r="O361" s="3" t="s">
        <v>56</v>
      </c>
      <c r="P361" s="3" t="s">
        <v>113</v>
      </c>
      <c r="R361" s="3" t="s">
        <v>59</v>
      </c>
      <c r="S361" s="4">
        <v>1</v>
      </c>
      <c r="T361" s="4">
        <v>1</v>
      </c>
      <c r="U361" s="5" t="s">
        <v>2365</v>
      </c>
      <c r="V361" s="5" t="s">
        <v>2365</v>
      </c>
      <c r="W361" s="5" t="s">
        <v>2366</v>
      </c>
      <c r="X361" s="5" t="s">
        <v>2366</v>
      </c>
      <c r="Y361" s="4">
        <v>305</v>
      </c>
      <c r="Z361" s="4">
        <v>177</v>
      </c>
      <c r="AA361" s="4">
        <v>199</v>
      </c>
      <c r="AB361" s="4">
        <v>1</v>
      </c>
      <c r="AC361" s="4">
        <v>1</v>
      </c>
      <c r="AD361" s="4">
        <v>7</v>
      </c>
      <c r="AE361" s="4">
        <v>7</v>
      </c>
      <c r="AF361" s="4">
        <v>2</v>
      </c>
      <c r="AG361" s="4">
        <v>2</v>
      </c>
      <c r="AH361" s="4">
        <v>3</v>
      </c>
      <c r="AI361" s="4">
        <v>3</v>
      </c>
      <c r="AJ361" s="4">
        <v>6</v>
      </c>
      <c r="AK361" s="4">
        <v>6</v>
      </c>
      <c r="AL361" s="4">
        <v>0</v>
      </c>
      <c r="AM361" s="4">
        <v>0</v>
      </c>
      <c r="AN361" s="4">
        <v>0</v>
      </c>
      <c r="AO361" s="4">
        <v>0</v>
      </c>
      <c r="AP361" s="3" t="s">
        <v>51</v>
      </c>
      <c r="AQ361" s="3" t="s">
        <v>49</v>
      </c>
      <c r="AR361" s="6" t="str">
        <f>HYPERLINK("http://catalog.hathitrust.org/Record/003069807","HathiTrust Record")</f>
        <v>HathiTrust Record</v>
      </c>
      <c r="AS361" s="6" t="str">
        <f>HYPERLINK("https://creighton-primo.hosted.exlibrisgroup.com/primo-explore/search?tab=default_tab&amp;search_scope=EVERYTHING&amp;vid=01CRU&amp;lang=en_US&amp;offset=0&amp;query=any,contains,991002544669702656","Catalog Record")</f>
        <v>Catalog Record</v>
      </c>
      <c r="AT361" s="6" t="str">
        <f>HYPERLINK("http://www.worldcat.org/oclc/33078157","WorldCat Record")</f>
        <v>WorldCat Record</v>
      </c>
    </row>
    <row r="362" spans="1:46" ht="41.25" customHeight="1" x14ac:dyDescent="0.25">
      <c r="A362" s="8" t="s">
        <v>51</v>
      </c>
      <c r="B362" s="2" t="s">
        <v>2367</v>
      </c>
      <c r="C362" s="2" t="s">
        <v>2368</v>
      </c>
      <c r="D362" s="2" t="s">
        <v>2369</v>
      </c>
      <c r="F362" s="3" t="s">
        <v>51</v>
      </c>
      <c r="G362" s="3" t="s">
        <v>50</v>
      </c>
      <c r="H362" s="3" t="s">
        <v>51</v>
      </c>
      <c r="I362" s="3" t="s">
        <v>51</v>
      </c>
      <c r="J362" s="3" t="s">
        <v>52</v>
      </c>
      <c r="K362" s="2" t="s">
        <v>2370</v>
      </c>
      <c r="L362" s="2" t="s">
        <v>2371</v>
      </c>
      <c r="M362" s="3" t="s">
        <v>2372</v>
      </c>
      <c r="O362" s="3" t="s">
        <v>56</v>
      </c>
      <c r="P362" s="3" t="s">
        <v>87</v>
      </c>
      <c r="Q362" s="2" t="s">
        <v>2373</v>
      </c>
      <c r="R362" s="3" t="s">
        <v>59</v>
      </c>
      <c r="S362" s="4">
        <v>1</v>
      </c>
      <c r="T362" s="4">
        <v>1</v>
      </c>
      <c r="U362" s="5" t="s">
        <v>2374</v>
      </c>
      <c r="V362" s="5" t="s">
        <v>2374</v>
      </c>
      <c r="W362" s="5" t="s">
        <v>2374</v>
      </c>
      <c r="X362" s="5" t="s">
        <v>2374</v>
      </c>
      <c r="Y362" s="4">
        <v>198</v>
      </c>
      <c r="Z362" s="4">
        <v>110</v>
      </c>
      <c r="AA362" s="4">
        <v>135</v>
      </c>
      <c r="AB362" s="4">
        <v>1</v>
      </c>
      <c r="AC362" s="4">
        <v>1</v>
      </c>
      <c r="AD362" s="4">
        <v>3</v>
      </c>
      <c r="AE362" s="4">
        <v>3</v>
      </c>
      <c r="AF362" s="4">
        <v>1</v>
      </c>
      <c r="AG362" s="4">
        <v>1</v>
      </c>
      <c r="AH362" s="4">
        <v>1</v>
      </c>
      <c r="AI362" s="4">
        <v>1</v>
      </c>
      <c r="AJ362" s="4">
        <v>3</v>
      </c>
      <c r="AK362" s="4">
        <v>3</v>
      </c>
      <c r="AL362" s="4">
        <v>0</v>
      </c>
      <c r="AM362" s="4">
        <v>0</v>
      </c>
      <c r="AN362" s="4">
        <v>0</v>
      </c>
      <c r="AO362" s="4">
        <v>0</v>
      </c>
      <c r="AP362" s="3" t="s">
        <v>51</v>
      </c>
      <c r="AQ362" s="3" t="s">
        <v>51</v>
      </c>
      <c r="AS362" s="6" t="str">
        <f>HYPERLINK("https://creighton-primo.hosted.exlibrisgroup.com/primo-explore/search?tab=default_tab&amp;search_scope=EVERYTHING&amp;vid=01CRU&amp;lang=en_US&amp;offset=0&amp;query=any,contains,991005060999702656","Catalog Record")</f>
        <v>Catalog Record</v>
      </c>
      <c r="AT362" s="6" t="str">
        <f>HYPERLINK("http://www.worldcat.org/oclc/70874166","WorldCat Record")</f>
        <v>WorldCat Record</v>
      </c>
    </row>
    <row r="363" spans="1:46" ht="41.25" customHeight="1" x14ac:dyDescent="0.25">
      <c r="A363" s="8" t="s">
        <v>51</v>
      </c>
      <c r="B363" s="2" t="s">
        <v>2375</v>
      </c>
      <c r="C363" s="2" t="s">
        <v>2376</v>
      </c>
      <c r="D363" s="2" t="s">
        <v>2377</v>
      </c>
      <c r="F363" s="3" t="s">
        <v>51</v>
      </c>
      <c r="G363" s="3" t="s">
        <v>50</v>
      </c>
      <c r="H363" s="3" t="s">
        <v>51</v>
      </c>
      <c r="I363" s="3" t="s">
        <v>51</v>
      </c>
      <c r="J363" s="3" t="s">
        <v>52</v>
      </c>
      <c r="L363" s="2" t="s">
        <v>2378</v>
      </c>
      <c r="M363" s="3" t="s">
        <v>979</v>
      </c>
      <c r="O363" s="3" t="s">
        <v>56</v>
      </c>
      <c r="P363" s="3" t="s">
        <v>179</v>
      </c>
      <c r="Q363" s="2" t="s">
        <v>2379</v>
      </c>
      <c r="R363" s="3" t="s">
        <v>59</v>
      </c>
      <c r="S363" s="4">
        <v>1</v>
      </c>
      <c r="T363" s="4">
        <v>1</v>
      </c>
      <c r="U363" s="5" t="s">
        <v>2380</v>
      </c>
      <c r="V363" s="5" t="s">
        <v>2380</v>
      </c>
      <c r="W363" s="5" t="s">
        <v>2380</v>
      </c>
      <c r="X363" s="5" t="s">
        <v>2380</v>
      </c>
      <c r="Y363" s="4">
        <v>160</v>
      </c>
      <c r="Z363" s="4">
        <v>96</v>
      </c>
      <c r="AA363" s="4">
        <v>119</v>
      </c>
      <c r="AB363" s="4">
        <v>1</v>
      </c>
      <c r="AC363" s="4">
        <v>1</v>
      </c>
      <c r="AD363" s="4">
        <v>1</v>
      </c>
      <c r="AE363" s="4">
        <v>3</v>
      </c>
      <c r="AF363" s="4">
        <v>0</v>
      </c>
      <c r="AG363" s="4">
        <v>1</v>
      </c>
      <c r="AH363" s="4">
        <v>1</v>
      </c>
      <c r="AI363" s="4">
        <v>2</v>
      </c>
      <c r="AJ363" s="4">
        <v>1</v>
      </c>
      <c r="AK363" s="4">
        <v>2</v>
      </c>
      <c r="AL363" s="4">
        <v>0</v>
      </c>
      <c r="AM363" s="4">
        <v>0</v>
      </c>
      <c r="AN363" s="4">
        <v>0</v>
      </c>
      <c r="AO363" s="4">
        <v>0</v>
      </c>
      <c r="AP363" s="3" t="s">
        <v>51</v>
      </c>
      <c r="AQ363" s="3" t="s">
        <v>51</v>
      </c>
      <c r="AS363" s="6" t="str">
        <f>HYPERLINK("https://creighton-primo.hosted.exlibrisgroup.com/primo-explore/search?tab=default_tab&amp;search_scope=EVERYTHING&amp;vid=01CRU&amp;lang=en_US&amp;offset=0&amp;query=any,contains,991004320099702656","Catalog Record")</f>
        <v>Catalog Record</v>
      </c>
      <c r="AT363" s="6" t="str">
        <f>HYPERLINK("http://www.worldcat.org/oclc/50479266","WorldCat Record")</f>
        <v>WorldCat Record</v>
      </c>
    </row>
    <row r="364" spans="1:46" ht="41.25" customHeight="1" x14ac:dyDescent="0.25">
      <c r="A364" s="8" t="s">
        <v>51</v>
      </c>
      <c r="B364" s="2" t="s">
        <v>2381</v>
      </c>
      <c r="C364" s="2" t="s">
        <v>2382</v>
      </c>
      <c r="D364" s="2" t="s">
        <v>2383</v>
      </c>
      <c r="F364" s="3" t="s">
        <v>51</v>
      </c>
      <c r="G364" s="3" t="s">
        <v>50</v>
      </c>
      <c r="H364" s="3" t="s">
        <v>51</v>
      </c>
      <c r="I364" s="3" t="s">
        <v>51</v>
      </c>
      <c r="J364" s="3" t="s">
        <v>52</v>
      </c>
      <c r="K364" s="2" t="s">
        <v>2384</v>
      </c>
      <c r="L364" s="2" t="s">
        <v>2385</v>
      </c>
      <c r="M364" s="3" t="s">
        <v>644</v>
      </c>
      <c r="O364" s="3" t="s">
        <v>56</v>
      </c>
      <c r="P364" s="3" t="s">
        <v>87</v>
      </c>
      <c r="R364" s="3" t="s">
        <v>59</v>
      </c>
      <c r="S364" s="4">
        <v>1</v>
      </c>
      <c r="T364" s="4">
        <v>1</v>
      </c>
      <c r="U364" s="5" t="s">
        <v>1369</v>
      </c>
      <c r="V364" s="5" t="s">
        <v>1369</v>
      </c>
      <c r="W364" s="5" t="s">
        <v>2032</v>
      </c>
      <c r="X364" s="5" t="s">
        <v>2032</v>
      </c>
      <c r="Y364" s="4">
        <v>73</v>
      </c>
      <c r="Z364" s="4">
        <v>61</v>
      </c>
      <c r="AA364" s="4">
        <v>237</v>
      </c>
      <c r="AB364" s="4">
        <v>1</v>
      </c>
      <c r="AC364" s="4">
        <v>1</v>
      </c>
      <c r="AD364" s="4">
        <v>2</v>
      </c>
      <c r="AE364" s="4">
        <v>4</v>
      </c>
      <c r="AF364" s="4">
        <v>1</v>
      </c>
      <c r="AG364" s="4">
        <v>2</v>
      </c>
      <c r="AH364" s="4">
        <v>0</v>
      </c>
      <c r="AI364" s="4">
        <v>0</v>
      </c>
      <c r="AJ364" s="4">
        <v>1</v>
      </c>
      <c r="AK364" s="4">
        <v>2</v>
      </c>
      <c r="AL364" s="4">
        <v>0</v>
      </c>
      <c r="AM364" s="4">
        <v>0</v>
      </c>
      <c r="AN364" s="4">
        <v>0</v>
      </c>
      <c r="AO364" s="4">
        <v>0</v>
      </c>
      <c r="AP364" s="3" t="s">
        <v>51</v>
      </c>
      <c r="AQ364" s="3" t="s">
        <v>51</v>
      </c>
      <c r="AS364" s="6" t="str">
        <f>HYPERLINK("https://creighton-primo.hosted.exlibrisgroup.com/primo-explore/search?tab=default_tab&amp;search_scope=EVERYTHING&amp;vid=01CRU&amp;lang=en_US&amp;offset=0&amp;query=any,contains,991002990809702656","Catalog Record")</f>
        <v>Catalog Record</v>
      </c>
      <c r="AT364" s="6" t="str">
        <f>HYPERLINK("http://www.worldcat.org/oclc/40359460","WorldCat Record")</f>
        <v>WorldCat Record</v>
      </c>
    </row>
    <row r="365" spans="1:46" ht="41.25" customHeight="1" x14ac:dyDescent="0.25">
      <c r="A365" s="8" t="s">
        <v>51</v>
      </c>
      <c r="B365" s="2" t="s">
        <v>2386</v>
      </c>
      <c r="C365" s="2" t="s">
        <v>2387</v>
      </c>
      <c r="D365" s="2" t="s">
        <v>2388</v>
      </c>
      <c r="F365" s="3" t="s">
        <v>51</v>
      </c>
      <c r="G365" s="3" t="s">
        <v>50</v>
      </c>
      <c r="H365" s="3" t="s">
        <v>51</v>
      </c>
      <c r="I365" s="3" t="s">
        <v>51</v>
      </c>
      <c r="J365" s="3" t="s">
        <v>52</v>
      </c>
      <c r="L365" s="2" t="s">
        <v>2389</v>
      </c>
      <c r="M365" s="3" t="s">
        <v>660</v>
      </c>
      <c r="O365" s="3" t="s">
        <v>56</v>
      </c>
      <c r="P365" s="3" t="s">
        <v>179</v>
      </c>
      <c r="Q365" s="2" t="s">
        <v>2390</v>
      </c>
      <c r="R365" s="3" t="s">
        <v>59</v>
      </c>
      <c r="S365" s="4">
        <v>3</v>
      </c>
      <c r="T365" s="4">
        <v>3</v>
      </c>
      <c r="U365" s="5" t="s">
        <v>2391</v>
      </c>
      <c r="V365" s="5" t="s">
        <v>2391</v>
      </c>
      <c r="W365" s="5" t="s">
        <v>2392</v>
      </c>
      <c r="X365" s="5" t="s">
        <v>2392</v>
      </c>
      <c r="Y365" s="4">
        <v>57</v>
      </c>
      <c r="Z365" s="4">
        <v>35</v>
      </c>
      <c r="AA365" s="4">
        <v>75</v>
      </c>
      <c r="AB365" s="4">
        <v>1</v>
      </c>
      <c r="AC365" s="4">
        <v>1</v>
      </c>
      <c r="AD365" s="4">
        <v>0</v>
      </c>
      <c r="AE365" s="4">
        <v>1</v>
      </c>
      <c r="AF365" s="4">
        <v>0</v>
      </c>
      <c r="AG365" s="4">
        <v>0</v>
      </c>
      <c r="AH365" s="4">
        <v>0</v>
      </c>
      <c r="AI365" s="4">
        <v>0</v>
      </c>
      <c r="AJ365" s="4">
        <v>0</v>
      </c>
      <c r="AK365" s="4">
        <v>1</v>
      </c>
      <c r="AL365" s="4">
        <v>0</v>
      </c>
      <c r="AM365" s="4">
        <v>0</v>
      </c>
      <c r="AN365" s="4">
        <v>0</v>
      </c>
      <c r="AO365" s="4">
        <v>0</v>
      </c>
      <c r="AP365" s="3" t="s">
        <v>51</v>
      </c>
      <c r="AQ365" s="3" t="s">
        <v>51</v>
      </c>
      <c r="AS365" s="6" t="str">
        <f>HYPERLINK("https://creighton-primo.hosted.exlibrisgroup.com/primo-explore/search?tab=default_tab&amp;search_scope=EVERYTHING&amp;vid=01CRU&amp;lang=en_US&amp;offset=0&amp;query=any,contains,991003771189702656","Catalog Record")</f>
        <v>Catalog Record</v>
      </c>
      <c r="AT365" s="6" t="str">
        <f>HYPERLINK("http://www.worldcat.org/oclc/49260095","WorldCat Record")</f>
        <v>WorldCat Record</v>
      </c>
    </row>
    <row r="366" spans="1:46" ht="41.25" customHeight="1" x14ac:dyDescent="0.25">
      <c r="A366" s="8" t="s">
        <v>51</v>
      </c>
      <c r="B366" s="2" t="s">
        <v>2393</v>
      </c>
      <c r="C366" s="2" t="s">
        <v>2394</v>
      </c>
      <c r="D366" s="2" t="s">
        <v>2395</v>
      </c>
      <c r="F366" s="3" t="s">
        <v>51</v>
      </c>
      <c r="G366" s="3" t="s">
        <v>50</v>
      </c>
      <c r="H366" s="3" t="s">
        <v>51</v>
      </c>
      <c r="I366" s="3" t="s">
        <v>51</v>
      </c>
      <c r="J366" s="3" t="s">
        <v>52</v>
      </c>
      <c r="K366" s="2" t="s">
        <v>2396</v>
      </c>
      <c r="L366" s="2" t="s">
        <v>2397</v>
      </c>
      <c r="M366" s="3" t="s">
        <v>920</v>
      </c>
      <c r="O366" s="3" t="s">
        <v>56</v>
      </c>
      <c r="P366" s="3" t="s">
        <v>69</v>
      </c>
      <c r="R366" s="3" t="s">
        <v>59</v>
      </c>
      <c r="S366" s="4">
        <v>4</v>
      </c>
      <c r="T366" s="4">
        <v>4</v>
      </c>
      <c r="U366" s="5" t="s">
        <v>2398</v>
      </c>
      <c r="V366" s="5" t="s">
        <v>2398</v>
      </c>
      <c r="W366" s="5" t="s">
        <v>2399</v>
      </c>
      <c r="X366" s="5" t="s">
        <v>2399</v>
      </c>
      <c r="Y366" s="4">
        <v>211</v>
      </c>
      <c r="Z366" s="4">
        <v>170</v>
      </c>
      <c r="AA366" s="4">
        <v>177</v>
      </c>
      <c r="AB366" s="4">
        <v>1</v>
      </c>
      <c r="AC366" s="4">
        <v>1</v>
      </c>
      <c r="AD366" s="4">
        <v>10</v>
      </c>
      <c r="AE366" s="4">
        <v>10</v>
      </c>
      <c r="AF366" s="4">
        <v>1</v>
      </c>
      <c r="AG366" s="4">
        <v>1</v>
      </c>
      <c r="AH366" s="4">
        <v>5</v>
      </c>
      <c r="AI366" s="4">
        <v>5</v>
      </c>
      <c r="AJ366" s="4">
        <v>5</v>
      </c>
      <c r="AK366" s="4">
        <v>5</v>
      </c>
      <c r="AL366" s="4">
        <v>0</v>
      </c>
      <c r="AM366" s="4">
        <v>0</v>
      </c>
      <c r="AN366" s="4">
        <v>2</v>
      </c>
      <c r="AO366" s="4">
        <v>2</v>
      </c>
      <c r="AP366" s="3" t="s">
        <v>51</v>
      </c>
      <c r="AQ366" s="3" t="s">
        <v>49</v>
      </c>
      <c r="AR366" s="6" t="str">
        <f>HYPERLINK("http://catalog.hathitrust.org/Record/004081864","HathiTrust Record")</f>
        <v>HathiTrust Record</v>
      </c>
      <c r="AS366" s="6" t="str">
        <f>HYPERLINK("https://creighton-primo.hosted.exlibrisgroup.com/primo-explore/search?tab=default_tab&amp;search_scope=EVERYTHING&amp;vid=01CRU&amp;lang=en_US&amp;offset=0&amp;query=any,contains,991003727439702656","Catalog Record")</f>
        <v>Catalog Record</v>
      </c>
      <c r="AT366" s="6" t="str">
        <f>HYPERLINK("http://www.worldcat.org/oclc/42889750","WorldCat Record")</f>
        <v>WorldCat Record</v>
      </c>
    </row>
    <row r="367" spans="1:46" ht="41.25" customHeight="1" x14ac:dyDescent="0.25">
      <c r="A367" s="8" t="s">
        <v>51</v>
      </c>
      <c r="B367" s="2" t="s">
        <v>2400</v>
      </c>
      <c r="C367" s="2" t="s">
        <v>2401</v>
      </c>
      <c r="D367" s="2" t="s">
        <v>2402</v>
      </c>
      <c r="F367" s="3" t="s">
        <v>51</v>
      </c>
      <c r="G367" s="3" t="s">
        <v>50</v>
      </c>
      <c r="H367" s="3" t="s">
        <v>51</v>
      </c>
      <c r="I367" s="3" t="s">
        <v>51</v>
      </c>
      <c r="J367" s="3" t="s">
        <v>52</v>
      </c>
      <c r="K367" s="2" t="s">
        <v>2403</v>
      </c>
      <c r="L367" s="2" t="s">
        <v>2404</v>
      </c>
      <c r="M367" s="3" t="s">
        <v>2405</v>
      </c>
      <c r="O367" s="3" t="s">
        <v>56</v>
      </c>
      <c r="P367" s="3" t="s">
        <v>748</v>
      </c>
      <c r="R367" s="3" t="s">
        <v>59</v>
      </c>
      <c r="S367" s="4">
        <v>9</v>
      </c>
      <c r="T367" s="4">
        <v>9</v>
      </c>
      <c r="U367" s="5" t="s">
        <v>2406</v>
      </c>
      <c r="V367" s="5" t="s">
        <v>2406</v>
      </c>
      <c r="W367" s="5" t="s">
        <v>2249</v>
      </c>
      <c r="X367" s="5" t="s">
        <v>2249</v>
      </c>
      <c r="Y367" s="4">
        <v>364</v>
      </c>
      <c r="Z367" s="4">
        <v>299</v>
      </c>
      <c r="AA367" s="4">
        <v>426</v>
      </c>
      <c r="AB367" s="4">
        <v>3</v>
      </c>
      <c r="AC367" s="4">
        <v>4</v>
      </c>
      <c r="AD367" s="4">
        <v>11</v>
      </c>
      <c r="AE367" s="4">
        <v>14</v>
      </c>
      <c r="AF367" s="4">
        <v>4</v>
      </c>
      <c r="AG367" s="4">
        <v>4</v>
      </c>
      <c r="AH367" s="4">
        <v>2</v>
      </c>
      <c r="AI367" s="4">
        <v>2</v>
      </c>
      <c r="AJ367" s="4">
        <v>7</v>
      </c>
      <c r="AK367" s="4">
        <v>9</v>
      </c>
      <c r="AL367" s="4">
        <v>2</v>
      </c>
      <c r="AM367" s="4">
        <v>3</v>
      </c>
      <c r="AN367" s="4">
        <v>0</v>
      </c>
      <c r="AO367" s="4">
        <v>0</v>
      </c>
      <c r="AP367" s="3" t="s">
        <v>49</v>
      </c>
      <c r="AQ367" s="3" t="s">
        <v>51</v>
      </c>
      <c r="AR367" s="6" t="str">
        <f>HYPERLINK("http://catalog.hathitrust.org/Record/002079077","HathiTrust Record")</f>
        <v>HathiTrust Record</v>
      </c>
      <c r="AS367" s="6" t="str">
        <f>HYPERLINK("https://creighton-primo.hosted.exlibrisgroup.com/primo-explore/search?tab=default_tab&amp;search_scope=EVERYTHING&amp;vid=01CRU&amp;lang=en_US&amp;offset=0&amp;query=any,contains,991005356129702656","Catalog Record")</f>
        <v>Catalog Record</v>
      </c>
      <c r="AT367" s="6" t="str">
        <f>HYPERLINK("http://www.worldcat.org/oclc/642424","WorldCat Record")</f>
        <v>WorldCat Record</v>
      </c>
    </row>
    <row r="368" spans="1:46" ht="41.25" customHeight="1" x14ac:dyDescent="0.25">
      <c r="A368" s="8" t="s">
        <v>51</v>
      </c>
      <c r="B368" s="2" t="s">
        <v>2407</v>
      </c>
      <c r="C368" s="2" t="s">
        <v>2408</v>
      </c>
      <c r="D368" s="2" t="s">
        <v>2409</v>
      </c>
      <c r="F368" s="3" t="s">
        <v>51</v>
      </c>
      <c r="G368" s="3" t="s">
        <v>50</v>
      </c>
      <c r="H368" s="3" t="s">
        <v>51</v>
      </c>
      <c r="I368" s="3" t="s">
        <v>51</v>
      </c>
      <c r="J368" s="3" t="s">
        <v>52</v>
      </c>
      <c r="K368" s="2" t="s">
        <v>2410</v>
      </c>
      <c r="L368" s="2" t="s">
        <v>2411</v>
      </c>
      <c r="M368" s="3" t="s">
        <v>644</v>
      </c>
      <c r="N368" s="2" t="s">
        <v>78</v>
      </c>
      <c r="O368" s="3" t="s">
        <v>56</v>
      </c>
      <c r="P368" s="3" t="s">
        <v>346</v>
      </c>
      <c r="R368" s="3" t="s">
        <v>59</v>
      </c>
      <c r="S368" s="4">
        <v>4</v>
      </c>
      <c r="T368" s="4">
        <v>4</v>
      </c>
      <c r="U368" s="5" t="s">
        <v>2412</v>
      </c>
      <c r="V368" s="5" t="s">
        <v>2412</v>
      </c>
      <c r="W368" s="5" t="s">
        <v>1630</v>
      </c>
      <c r="X368" s="5" t="s">
        <v>1630</v>
      </c>
      <c r="Y368" s="4">
        <v>197</v>
      </c>
      <c r="Z368" s="4">
        <v>160</v>
      </c>
      <c r="AA368" s="4">
        <v>163</v>
      </c>
      <c r="AB368" s="4">
        <v>3</v>
      </c>
      <c r="AC368" s="4">
        <v>3</v>
      </c>
      <c r="AD368" s="4">
        <v>7</v>
      </c>
      <c r="AE368" s="4">
        <v>7</v>
      </c>
      <c r="AF368" s="4">
        <v>1</v>
      </c>
      <c r="AG368" s="4">
        <v>1</v>
      </c>
      <c r="AH368" s="4">
        <v>3</v>
      </c>
      <c r="AI368" s="4">
        <v>3</v>
      </c>
      <c r="AJ368" s="4">
        <v>3</v>
      </c>
      <c r="AK368" s="4">
        <v>3</v>
      </c>
      <c r="AL368" s="4">
        <v>2</v>
      </c>
      <c r="AM368" s="4">
        <v>2</v>
      </c>
      <c r="AN368" s="4">
        <v>0</v>
      </c>
      <c r="AO368" s="4">
        <v>0</v>
      </c>
      <c r="AP368" s="3" t="s">
        <v>51</v>
      </c>
      <c r="AQ368" s="3" t="s">
        <v>51</v>
      </c>
      <c r="AS368" s="6" t="str">
        <f>HYPERLINK("https://creighton-primo.hosted.exlibrisgroup.com/primo-explore/search?tab=default_tab&amp;search_scope=EVERYTHING&amp;vid=01CRU&amp;lang=en_US&amp;offset=0&amp;query=any,contains,991003021869702656","Catalog Record")</f>
        <v>Catalog Record</v>
      </c>
      <c r="AT368" s="6" t="str">
        <f>HYPERLINK("http://www.worldcat.org/oclc/41211397","WorldCat Record")</f>
        <v>WorldCat Record</v>
      </c>
    </row>
    <row r="369" spans="1:46" ht="41.25" customHeight="1" x14ac:dyDescent="0.25">
      <c r="A369" s="8" t="s">
        <v>51</v>
      </c>
      <c r="B369" s="2" t="s">
        <v>2413</v>
      </c>
      <c r="C369" s="2" t="s">
        <v>2414</v>
      </c>
      <c r="D369" s="2" t="s">
        <v>2415</v>
      </c>
      <c r="F369" s="3" t="s">
        <v>51</v>
      </c>
      <c r="G369" s="3" t="s">
        <v>50</v>
      </c>
      <c r="H369" s="3" t="s">
        <v>51</v>
      </c>
      <c r="I369" s="3" t="s">
        <v>51</v>
      </c>
      <c r="J369" s="3" t="s">
        <v>52</v>
      </c>
      <c r="K369" s="2" t="s">
        <v>2416</v>
      </c>
      <c r="L369" s="2" t="s">
        <v>2417</v>
      </c>
      <c r="M369" s="3" t="s">
        <v>586</v>
      </c>
      <c r="N369" s="2" t="s">
        <v>78</v>
      </c>
      <c r="O369" s="3" t="s">
        <v>56</v>
      </c>
      <c r="P369" s="3" t="s">
        <v>87</v>
      </c>
      <c r="Q369" s="2" t="s">
        <v>2418</v>
      </c>
      <c r="R369" s="3" t="s">
        <v>59</v>
      </c>
      <c r="S369" s="4">
        <v>13</v>
      </c>
      <c r="T369" s="4">
        <v>13</v>
      </c>
      <c r="U369" s="5" t="s">
        <v>2419</v>
      </c>
      <c r="V369" s="5" t="s">
        <v>2419</v>
      </c>
      <c r="W369" s="5" t="s">
        <v>2420</v>
      </c>
      <c r="X369" s="5" t="s">
        <v>2420</v>
      </c>
      <c r="Y369" s="4">
        <v>119</v>
      </c>
      <c r="Z369" s="4">
        <v>47</v>
      </c>
      <c r="AA369" s="4">
        <v>52</v>
      </c>
      <c r="AB369" s="4">
        <v>1</v>
      </c>
      <c r="AC369" s="4">
        <v>1</v>
      </c>
      <c r="AD369" s="4">
        <v>0</v>
      </c>
      <c r="AE369" s="4">
        <v>0</v>
      </c>
      <c r="AF369" s="4">
        <v>0</v>
      </c>
      <c r="AG369" s="4">
        <v>0</v>
      </c>
      <c r="AH369" s="4">
        <v>0</v>
      </c>
      <c r="AI369" s="4">
        <v>0</v>
      </c>
      <c r="AJ369" s="4">
        <v>0</v>
      </c>
      <c r="AK369" s="4">
        <v>0</v>
      </c>
      <c r="AL369" s="4">
        <v>0</v>
      </c>
      <c r="AM369" s="4">
        <v>0</v>
      </c>
      <c r="AN369" s="4">
        <v>0</v>
      </c>
      <c r="AO369" s="4">
        <v>0</v>
      </c>
      <c r="AP369" s="3" t="s">
        <v>51</v>
      </c>
      <c r="AQ369" s="3" t="s">
        <v>51</v>
      </c>
      <c r="AS369" s="6" t="str">
        <f>HYPERLINK("https://creighton-primo.hosted.exlibrisgroup.com/primo-explore/search?tab=default_tab&amp;search_scope=EVERYTHING&amp;vid=01CRU&amp;lang=en_US&amp;offset=0&amp;query=any,contains,991002176689702656","Catalog Record")</f>
        <v>Catalog Record</v>
      </c>
      <c r="AT369" s="6" t="str">
        <f>HYPERLINK("http://www.worldcat.org/oclc/28022064","WorldCat Record")</f>
        <v>WorldCat Record</v>
      </c>
    </row>
    <row r="370" spans="1:46" ht="41.25" customHeight="1" x14ac:dyDescent="0.25">
      <c r="A370" s="8" t="s">
        <v>51</v>
      </c>
      <c r="B370" s="2" t="s">
        <v>2421</v>
      </c>
      <c r="C370" s="2" t="s">
        <v>2422</v>
      </c>
      <c r="D370" s="2" t="s">
        <v>2423</v>
      </c>
      <c r="F370" s="3" t="s">
        <v>51</v>
      </c>
      <c r="G370" s="3" t="s">
        <v>50</v>
      </c>
      <c r="H370" s="3" t="s">
        <v>51</v>
      </c>
      <c r="I370" s="3" t="s">
        <v>51</v>
      </c>
      <c r="J370" s="3" t="s">
        <v>52</v>
      </c>
      <c r="K370" s="2" t="s">
        <v>2424</v>
      </c>
      <c r="L370" s="2" t="s">
        <v>2425</v>
      </c>
      <c r="M370" s="3" t="s">
        <v>129</v>
      </c>
      <c r="N370" s="2" t="s">
        <v>78</v>
      </c>
      <c r="O370" s="3" t="s">
        <v>56</v>
      </c>
      <c r="P370" s="3" t="s">
        <v>113</v>
      </c>
      <c r="Q370" s="2" t="s">
        <v>2426</v>
      </c>
      <c r="R370" s="3" t="s">
        <v>59</v>
      </c>
      <c r="S370" s="4">
        <v>5</v>
      </c>
      <c r="T370" s="4">
        <v>5</v>
      </c>
      <c r="U370" s="5" t="s">
        <v>2427</v>
      </c>
      <c r="V370" s="5" t="s">
        <v>2427</v>
      </c>
      <c r="W370" s="5" t="s">
        <v>2142</v>
      </c>
      <c r="X370" s="5" t="s">
        <v>2142</v>
      </c>
      <c r="Y370" s="4">
        <v>145</v>
      </c>
      <c r="Z370" s="4">
        <v>75</v>
      </c>
      <c r="AA370" s="4">
        <v>105</v>
      </c>
      <c r="AB370" s="4">
        <v>1</v>
      </c>
      <c r="AC370" s="4">
        <v>1</v>
      </c>
      <c r="AD370" s="4">
        <v>0</v>
      </c>
      <c r="AE370" s="4">
        <v>0</v>
      </c>
      <c r="AF370" s="4">
        <v>0</v>
      </c>
      <c r="AG370" s="4">
        <v>0</v>
      </c>
      <c r="AH370" s="4">
        <v>0</v>
      </c>
      <c r="AI370" s="4">
        <v>0</v>
      </c>
      <c r="AJ370" s="4">
        <v>0</v>
      </c>
      <c r="AK370" s="4">
        <v>0</v>
      </c>
      <c r="AL370" s="4">
        <v>0</v>
      </c>
      <c r="AM370" s="4">
        <v>0</v>
      </c>
      <c r="AN370" s="4">
        <v>0</v>
      </c>
      <c r="AO370" s="4">
        <v>0</v>
      </c>
      <c r="AP370" s="3" t="s">
        <v>51</v>
      </c>
      <c r="AQ370" s="3" t="s">
        <v>51</v>
      </c>
      <c r="AS370" s="6" t="str">
        <f>HYPERLINK("https://creighton-primo.hosted.exlibrisgroup.com/primo-explore/search?tab=default_tab&amp;search_scope=EVERYTHING&amp;vid=01CRU&amp;lang=en_US&amp;offset=0&amp;query=any,contains,991000654389702656","Catalog Record")</f>
        <v>Catalog Record</v>
      </c>
      <c r="AT370" s="6" t="str">
        <f>HYPERLINK("http://www.worldcat.org/oclc/15521662","WorldCat Record")</f>
        <v>WorldCat Record</v>
      </c>
    </row>
    <row r="371" spans="1:46" ht="41.25" customHeight="1" x14ac:dyDescent="0.25">
      <c r="A371" s="8" t="s">
        <v>51</v>
      </c>
      <c r="B371" s="2" t="s">
        <v>2428</v>
      </c>
      <c r="C371" s="2" t="s">
        <v>2429</v>
      </c>
      <c r="D371" s="2" t="s">
        <v>2430</v>
      </c>
      <c r="F371" s="3" t="s">
        <v>51</v>
      </c>
      <c r="G371" s="3" t="s">
        <v>50</v>
      </c>
      <c r="H371" s="3" t="s">
        <v>51</v>
      </c>
      <c r="I371" s="3" t="s">
        <v>51</v>
      </c>
      <c r="J371" s="3" t="s">
        <v>52</v>
      </c>
      <c r="L371" s="2" t="s">
        <v>1549</v>
      </c>
      <c r="M371" s="3" t="s">
        <v>112</v>
      </c>
      <c r="O371" s="3" t="s">
        <v>56</v>
      </c>
      <c r="P371" s="3" t="s">
        <v>87</v>
      </c>
      <c r="R371" s="3" t="s">
        <v>59</v>
      </c>
      <c r="S371" s="4">
        <v>5</v>
      </c>
      <c r="T371" s="4">
        <v>5</v>
      </c>
      <c r="U371" s="5" t="s">
        <v>2419</v>
      </c>
      <c r="V371" s="5" t="s">
        <v>2419</v>
      </c>
      <c r="W371" s="5" t="s">
        <v>2142</v>
      </c>
      <c r="X371" s="5" t="s">
        <v>2142</v>
      </c>
      <c r="Y371" s="4">
        <v>177</v>
      </c>
      <c r="Z371" s="4">
        <v>134</v>
      </c>
      <c r="AA371" s="4">
        <v>152</v>
      </c>
      <c r="AB371" s="4">
        <v>1</v>
      </c>
      <c r="AC371" s="4">
        <v>1</v>
      </c>
      <c r="AD371" s="4">
        <v>1</v>
      </c>
      <c r="AE371" s="4">
        <v>1</v>
      </c>
      <c r="AF371" s="4">
        <v>0</v>
      </c>
      <c r="AG371" s="4">
        <v>0</v>
      </c>
      <c r="AH371" s="4">
        <v>0</v>
      </c>
      <c r="AI371" s="4">
        <v>0</v>
      </c>
      <c r="AJ371" s="4">
        <v>1</v>
      </c>
      <c r="AK371" s="4">
        <v>1</v>
      </c>
      <c r="AL371" s="4">
        <v>0</v>
      </c>
      <c r="AM371" s="4">
        <v>0</v>
      </c>
      <c r="AN371" s="4">
        <v>0</v>
      </c>
      <c r="AO371" s="4">
        <v>0</v>
      </c>
      <c r="AP371" s="3" t="s">
        <v>51</v>
      </c>
      <c r="AQ371" s="3" t="s">
        <v>51</v>
      </c>
      <c r="AS371" s="6" t="str">
        <f>HYPERLINK("https://creighton-primo.hosted.exlibrisgroup.com/primo-explore/search?tab=default_tab&amp;search_scope=EVERYTHING&amp;vid=01CRU&amp;lang=en_US&amp;offset=0&amp;query=any,contains,991000759519702656","Catalog Record")</f>
        <v>Catalog Record</v>
      </c>
      <c r="AT371" s="6" t="str">
        <f>HYPERLINK("http://www.worldcat.org/oclc/12971505","WorldCat Record")</f>
        <v>WorldCat Record</v>
      </c>
    </row>
    <row r="372" spans="1:46" ht="41.25" customHeight="1" x14ac:dyDescent="0.25">
      <c r="A372" s="8" t="s">
        <v>51</v>
      </c>
      <c r="B372" s="2" t="s">
        <v>45</v>
      </c>
      <c r="C372" s="2" t="s">
        <v>46</v>
      </c>
      <c r="D372" s="2" t="s">
        <v>47</v>
      </c>
      <c r="E372" s="3" t="s">
        <v>144</v>
      </c>
      <c r="F372" s="3" t="s">
        <v>49</v>
      </c>
      <c r="G372" s="3" t="s">
        <v>50</v>
      </c>
      <c r="H372" s="3" t="s">
        <v>49</v>
      </c>
      <c r="I372" s="3" t="s">
        <v>51</v>
      </c>
      <c r="J372" s="3" t="s">
        <v>52</v>
      </c>
      <c r="K372" s="2" t="s">
        <v>53</v>
      </c>
      <c r="L372" s="2" t="s">
        <v>54</v>
      </c>
      <c r="M372" s="3" t="s">
        <v>55</v>
      </c>
      <c r="O372" s="3" t="s">
        <v>56</v>
      </c>
      <c r="P372" s="3" t="s">
        <v>57</v>
      </c>
      <c r="Q372" s="2" t="s">
        <v>58</v>
      </c>
      <c r="R372" s="3" t="s">
        <v>59</v>
      </c>
      <c r="S372" s="4">
        <v>0</v>
      </c>
      <c r="T372" s="4">
        <v>3</v>
      </c>
      <c r="V372" s="5" t="s">
        <v>60</v>
      </c>
      <c r="W372" s="5" t="s">
        <v>2576</v>
      </c>
      <c r="X372" s="5" t="s">
        <v>61</v>
      </c>
      <c r="Y372" s="4">
        <v>434</v>
      </c>
      <c r="Z372" s="4">
        <v>387</v>
      </c>
      <c r="AA372" s="4">
        <v>402</v>
      </c>
      <c r="AB372" s="4">
        <v>5</v>
      </c>
      <c r="AC372" s="4">
        <v>5</v>
      </c>
      <c r="AD372" s="4">
        <v>20</v>
      </c>
      <c r="AE372" s="4">
        <v>21</v>
      </c>
      <c r="AF372" s="4">
        <v>5</v>
      </c>
      <c r="AG372" s="4">
        <v>5</v>
      </c>
      <c r="AH372" s="4">
        <v>3</v>
      </c>
      <c r="AI372" s="4">
        <v>4</v>
      </c>
      <c r="AJ372" s="4">
        <v>12</v>
      </c>
      <c r="AK372" s="4">
        <v>13</v>
      </c>
      <c r="AL372" s="4">
        <v>3</v>
      </c>
      <c r="AM372" s="4">
        <v>3</v>
      </c>
      <c r="AN372" s="4">
        <v>0</v>
      </c>
      <c r="AO372" s="4">
        <v>0</v>
      </c>
      <c r="AP372" s="3" t="s">
        <v>51</v>
      </c>
      <c r="AQ372" s="3" t="s">
        <v>49</v>
      </c>
      <c r="AR372" s="6" t="str">
        <f>HYPERLINK("http://catalog.hathitrust.org/Record/000314341","HathiTrust Record")</f>
        <v>HathiTrust Record</v>
      </c>
      <c r="AS372" s="6" t="str">
        <f>HYPERLINK("https://creighton-primo.hosted.exlibrisgroup.com/primo-explore/search?tab=default_tab&amp;search_scope=EVERYTHING&amp;vid=01CRU&amp;lang=en_US&amp;offset=0&amp;query=any,contains,991001779239702656","Catalog Record")</f>
        <v>Catalog Record</v>
      </c>
      <c r="AT372" s="6" t="str">
        <f>HYPERLINK("http://www.worldcat.org/oclc/8168727","WorldCat Record")</f>
        <v>WorldCat Record</v>
      </c>
    </row>
    <row r="373" spans="1:46" ht="41.25" customHeight="1" x14ac:dyDescent="0.25">
      <c r="A373" s="8" t="s">
        <v>51</v>
      </c>
      <c r="B373" s="2" t="s">
        <v>45</v>
      </c>
      <c r="C373" s="2" t="s">
        <v>46</v>
      </c>
      <c r="D373" s="2" t="s">
        <v>47</v>
      </c>
      <c r="E373" s="3" t="s">
        <v>148</v>
      </c>
      <c r="F373" s="3" t="s">
        <v>49</v>
      </c>
      <c r="G373" s="3" t="s">
        <v>50</v>
      </c>
      <c r="H373" s="3" t="s">
        <v>49</v>
      </c>
      <c r="I373" s="3" t="s">
        <v>51</v>
      </c>
      <c r="J373" s="3" t="s">
        <v>52</v>
      </c>
      <c r="K373" s="2" t="s">
        <v>53</v>
      </c>
      <c r="L373" s="2" t="s">
        <v>54</v>
      </c>
      <c r="M373" s="3" t="s">
        <v>55</v>
      </c>
      <c r="O373" s="3" t="s">
        <v>56</v>
      </c>
      <c r="P373" s="3" t="s">
        <v>57</v>
      </c>
      <c r="Q373" s="2" t="s">
        <v>58</v>
      </c>
      <c r="R373" s="3" t="s">
        <v>59</v>
      </c>
      <c r="S373" s="4">
        <v>1</v>
      </c>
      <c r="T373" s="4">
        <v>3</v>
      </c>
      <c r="U373" s="5" t="s">
        <v>2577</v>
      </c>
      <c r="V373" s="5" t="s">
        <v>60</v>
      </c>
      <c r="W373" s="5" t="s">
        <v>2576</v>
      </c>
      <c r="X373" s="5" t="s">
        <v>61</v>
      </c>
      <c r="Y373" s="4">
        <v>434</v>
      </c>
      <c r="Z373" s="4">
        <v>387</v>
      </c>
      <c r="AA373" s="4">
        <v>402</v>
      </c>
      <c r="AB373" s="4">
        <v>5</v>
      </c>
      <c r="AC373" s="4">
        <v>5</v>
      </c>
      <c r="AD373" s="4">
        <v>20</v>
      </c>
      <c r="AE373" s="4">
        <v>21</v>
      </c>
      <c r="AF373" s="4">
        <v>5</v>
      </c>
      <c r="AG373" s="4">
        <v>5</v>
      </c>
      <c r="AH373" s="4">
        <v>3</v>
      </c>
      <c r="AI373" s="4">
        <v>4</v>
      </c>
      <c r="AJ373" s="4">
        <v>12</v>
      </c>
      <c r="AK373" s="4">
        <v>13</v>
      </c>
      <c r="AL373" s="4">
        <v>3</v>
      </c>
      <c r="AM373" s="4">
        <v>3</v>
      </c>
      <c r="AN373" s="4">
        <v>0</v>
      </c>
      <c r="AO373" s="4">
        <v>0</v>
      </c>
      <c r="AP373" s="3" t="s">
        <v>51</v>
      </c>
      <c r="AQ373" s="3" t="s">
        <v>49</v>
      </c>
      <c r="AR373" s="6" t="str">
        <f>HYPERLINK("http://catalog.hathitrust.org/Record/000314341","HathiTrust Record")</f>
        <v>HathiTrust Record</v>
      </c>
      <c r="AS373" s="6" t="str">
        <f>HYPERLINK("https://creighton-primo.hosted.exlibrisgroup.com/primo-explore/search?tab=default_tab&amp;search_scope=EVERYTHING&amp;vid=01CRU&amp;lang=en_US&amp;offset=0&amp;query=any,contains,991001779239702656","Catalog Record")</f>
        <v>Catalog Record</v>
      </c>
      <c r="AT373" s="6" t="str">
        <f>HYPERLINK("http://www.worldcat.org/oclc/8168727","WorldCat Record")</f>
        <v>WorldCat Record</v>
      </c>
    </row>
    <row r="374" spans="1:46" ht="41.25" customHeight="1" x14ac:dyDescent="0.25">
      <c r="A374" s="8" t="s">
        <v>51</v>
      </c>
      <c r="B374" s="2" t="s">
        <v>45</v>
      </c>
      <c r="C374" s="2" t="s">
        <v>46</v>
      </c>
      <c r="D374" s="2" t="s">
        <v>47</v>
      </c>
      <c r="E374" s="3" t="s">
        <v>205</v>
      </c>
      <c r="F374" s="3" t="s">
        <v>49</v>
      </c>
      <c r="G374" s="3" t="s">
        <v>50</v>
      </c>
      <c r="H374" s="3" t="s">
        <v>49</v>
      </c>
      <c r="I374" s="3" t="s">
        <v>51</v>
      </c>
      <c r="J374" s="3" t="s">
        <v>52</v>
      </c>
      <c r="K374" s="2" t="s">
        <v>53</v>
      </c>
      <c r="L374" s="2" t="s">
        <v>54</v>
      </c>
      <c r="M374" s="3" t="s">
        <v>55</v>
      </c>
      <c r="O374" s="3" t="s">
        <v>56</v>
      </c>
      <c r="P374" s="3" t="s">
        <v>57</v>
      </c>
      <c r="Q374" s="2" t="s">
        <v>58</v>
      </c>
      <c r="R374" s="3" t="s">
        <v>59</v>
      </c>
      <c r="S374" s="4">
        <v>2</v>
      </c>
      <c r="T374" s="4">
        <v>3</v>
      </c>
      <c r="U374" s="5" t="s">
        <v>60</v>
      </c>
      <c r="V374" s="5" t="s">
        <v>60</v>
      </c>
      <c r="W374" s="5" t="s">
        <v>2576</v>
      </c>
      <c r="X374" s="5" t="s">
        <v>61</v>
      </c>
      <c r="Y374" s="4">
        <v>434</v>
      </c>
      <c r="Z374" s="4">
        <v>387</v>
      </c>
      <c r="AA374" s="4">
        <v>402</v>
      </c>
      <c r="AB374" s="4">
        <v>5</v>
      </c>
      <c r="AC374" s="4">
        <v>5</v>
      </c>
      <c r="AD374" s="4">
        <v>20</v>
      </c>
      <c r="AE374" s="4">
        <v>21</v>
      </c>
      <c r="AF374" s="4">
        <v>5</v>
      </c>
      <c r="AG374" s="4">
        <v>5</v>
      </c>
      <c r="AH374" s="4">
        <v>3</v>
      </c>
      <c r="AI374" s="4">
        <v>4</v>
      </c>
      <c r="AJ374" s="4">
        <v>12</v>
      </c>
      <c r="AK374" s="4">
        <v>13</v>
      </c>
      <c r="AL374" s="4">
        <v>3</v>
      </c>
      <c r="AM374" s="4">
        <v>3</v>
      </c>
      <c r="AN374" s="4">
        <v>0</v>
      </c>
      <c r="AO374" s="4">
        <v>0</v>
      </c>
      <c r="AP374" s="3" t="s">
        <v>51</v>
      </c>
      <c r="AQ374" s="3" t="s">
        <v>49</v>
      </c>
      <c r="AR374" s="6" t="str">
        <f>HYPERLINK("http://catalog.hathitrust.org/Record/000314341","HathiTrust Record")</f>
        <v>HathiTrust Record</v>
      </c>
      <c r="AS374" s="6" t="str">
        <f>HYPERLINK("https://creighton-primo.hosted.exlibrisgroup.com/primo-explore/search?tab=default_tab&amp;search_scope=EVERYTHING&amp;vid=01CRU&amp;lang=en_US&amp;offset=0&amp;query=any,contains,991001779239702656","Catalog Record")</f>
        <v>Catalog Record</v>
      </c>
      <c r="AT374" s="6" t="str">
        <f>HYPERLINK("http://www.worldcat.org/oclc/8168727","WorldCat Record")</f>
        <v>WorldCat Record</v>
      </c>
    </row>
    <row r="375" spans="1:46" ht="41.25" customHeight="1" x14ac:dyDescent="0.25">
      <c r="A375" s="8" t="s">
        <v>51</v>
      </c>
      <c r="B375" s="2" t="s">
        <v>2578</v>
      </c>
      <c r="C375" s="2" t="s">
        <v>2579</v>
      </c>
      <c r="D375" s="2" t="s">
        <v>2580</v>
      </c>
      <c r="F375" s="3" t="s">
        <v>51</v>
      </c>
      <c r="G375" s="3" t="s">
        <v>50</v>
      </c>
      <c r="H375" s="3" t="s">
        <v>49</v>
      </c>
      <c r="I375" s="3" t="s">
        <v>49</v>
      </c>
      <c r="J375" s="3" t="s">
        <v>50</v>
      </c>
      <c r="K375" s="2" t="s">
        <v>2581</v>
      </c>
      <c r="L375" s="2" t="s">
        <v>2582</v>
      </c>
      <c r="M375" s="3" t="s">
        <v>920</v>
      </c>
      <c r="N375" s="2" t="s">
        <v>2583</v>
      </c>
      <c r="O375" s="3" t="s">
        <v>56</v>
      </c>
      <c r="P375" s="3" t="s">
        <v>229</v>
      </c>
      <c r="R375" s="3" t="s">
        <v>59</v>
      </c>
      <c r="S375" s="4">
        <v>175</v>
      </c>
      <c r="T375" s="4">
        <v>177</v>
      </c>
      <c r="U375" s="5" t="s">
        <v>2584</v>
      </c>
      <c r="V375" s="5" t="s">
        <v>2585</v>
      </c>
      <c r="W375" s="5" t="s">
        <v>2586</v>
      </c>
      <c r="X375" s="5" t="s">
        <v>2587</v>
      </c>
      <c r="Y375" s="4">
        <v>1171</v>
      </c>
      <c r="Z375" s="4">
        <v>1017</v>
      </c>
      <c r="AA375" s="4">
        <v>2937</v>
      </c>
      <c r="AB375" s="4">
        <v>5</v>
      </c>
      <c r="AC375" s="4">
        <v>21</v>
      </c>
      <c r="AD375" s="4">
        <v>14</v>
      </c>
      <c r="AE375" s="4">
        <v>65</v>
      </c>
      <c r="AF375" s="4">
        <v>6</v>
      </c>
      <c r="AG375" s="4">
        <v>21</v>
      </c>
      <c r="AH375" s="4">
        <v>3</v>
      </c>
      <c r="AI375" s="4">
        <v>8</v>
      </c>
      <c r="AJ375" s="4">
        <v>5</v>
      </c>
      <c r="AK375" s="4">
        <v>23</v>
      </c>
      <c r="AL375" s="4">
        <v>0</v>
      </c>
      <c r="AM375" s="4">
        <v>6</v>
      </c>
      <c r="AN375" s="4">
        <v>2</v>
      </c>
      <c r="AO375" s="4">
        <v>18</v>
      </c>
      <c r="AP375" s="3" t="s">
        <v>51</v>
      </c>
      <c r="AQ375" s="3" t="s">
        <v>49</v>
      </c>
      <c r="AR375" s="6" t="str">
        <f>HYPERLINK("http://catalog.hathitrust.org/Record/004083329","HathiTrust Record")</f>
        <v>HathiTrust Record</v>
      </c>
      <c r="AS375" s="6" t="str">
        <f>HYPERLINK("https://creighton-primo.hosted.exlibrisgroup.com/primo-explore/search?tab=default_tab&amp;search_scope=EVERYTHING&amp;vid=01CRU&amp;lang=en_US&amp;offset=0&amp;query=any,contains,991001406609702656","Catalog Record")</f>
        <v>Catalog Record</v>
      </c>
      <c r="AT375" s="6" t="str">
        <f>HYPERLINK("http://www.worldcat.org/oclc/42772946","WorldCat Record")</f>
        <v>WorldCat Record</v>
      </c>
    </row>
    <row r="376" spans="1:46" ht="41.25" customHeight="1" x14ac:dyDescent="0.25">
      <c r="A376" s="8" t="s">
        <v>51</v>
      </c>
      <c r="B376" s="2" t="s">
        <v>2578</v>
      </c>
      <c r="C376" s="2" t="s">
        <v>2579</v>
      </c>
      <c r="D376" s="2" t="s">
        <v>2580</v>
      </c>
      <c r="F376" s="3" t="s">
        <v>51</v>
      </c>
      <c r="G376" s="3" t="s">
        <v>1051</v>
      </c>
      <c r="H376" s="3" t="s">
        <v>49</v>
      </c>
      <c r="I376" s="3" t="s">
        <v>49</v>
      </c>
      <c r="J376" s="3" t="s">
        <v>50</v>
      </c>
      <c r="K376" s="2" t="s">
        <v>2581</v>
      </c>
      <c r="L376" s="2" t="s">
        <v>2582</v>
      </c>
      <c r="M376" s="3" t="s">
        <v>920</v>
      </c>
      <c r="N376" s="2" t="s">
        <v>2583</v>
      </c>
      <c r="O376" s="3" t="s">
        <v>56</v>
      </c>
      <c r="P376" s="3" t="s">
        <v>229</v>
      </c>
      <c r="R376" s="3" t="s">
        <v>59</v>
      </c>
      <c r="S376" s="4">
        <v>2</v>
      </c>
      <c r="T376" s="4">
        <v>177</v>
      </c>
      <c r="U376" s="5" t="s">
        <v>2585</v>
      </c>
      <c r="V376" s="5" t="s">
        <v>2585</v>
      </c>
      <c r="W376" s="5" t="s">
        <v>2587</v>
      </c>
      <c r="X376" s="5" t="s">
        <v>2587</v>
      </c>
      <c r="Y376" s="4">
        <v>1171</v>
      </c>
      <c r="Z376" s="4">
        <v>1017</v>
      </c>
      <c r="AA376" s="4">
        <v>2937</v>
      </c>
      <c r="AB376" s="4">
        <v>5</v>
      </c>
      <c r="AC376" s="4">
        <v>21</v>
      </c>
      <c r="AD376" s="4">
        <v>14</v>
      </c>
      <c r="AE376" s="4">
        <v>65</v>
      </c>
      <c r="AF376" s="4">
        <v>6</v>
      </c>
      <c r="AG376" s="4">
        <v>21</v>
      </c>
      <c r="AH376" s="4">
        <v>3</v>
      </c>
      <c r="AI376" s="4">
        <v>8</v>
      </c>
      <c r="AJ376" s="4">
        <v>5</v>
      </c>
      <c r="AK376" s="4">
        <v>23</v>
      </c>
      <c r="AL376" s="4">
        <v>0</v>
      </c>
      <c r="AM376" s="4">
        <v>6</v>
      </c>
      <c r="AN376" s="4">
        <v>2</v>
      </c>
      <c r="AO376" s="4">
        <v>18</v>
      </c>
      <c r="AP376" s="3" t="s">
        <v>51</v>
      </c>
      <c r="AQ376" s="3" t="s">
        <v>49</v>
      </c>
      <c r="AR376" s="6" t="str">
        <f>HYPERLINK("http://catalog.hathitrust.org/Record/004083329","HathiTrust Record")</f>
        <v>HathiTrust Record</v>
      </c>
      <c r="AS376" s="6" t="str">
        <f>HYPERLINK("https://creighton-primo.hosted.exlibrisgroup.com/primo-explore/search?tab=default_tab&amp;search_scope=EVERYTHING&amp;vid=01CRU&amp;lang=en_US&amp;offset=0&amp;query=any,contains,991001406609702656","Catalog Record")</f>
        <v>Catalog Record</v>
      </c>
      <c r="AT376" s="6" t="str">
        <f>HYPERLINK("http://www.worldcat.org/oclc/42772946","WorldCat Record")</f>
        <v>WorldCat Record</v>
      </c>
    </row>
    <row r="377" spans="1:46" ht="41.25" customHeight="1" x14ac:dyDescent="0.25">
      <c r="A377" s="8" t="s">
        <v>51</v>
      </c>
      <c r="B377" s="2" t="s">
        <v>2588</v>
      </c>
      <c r="C377" s="2" t="s">
        <v>2589</v>
      </c>
      <c r="D377" s="2" t="s">
        <v>2590</v>
      </c>
      <c r="F377" s="3" t="s">
        <v>51</v>
      </c>
      <c r="G377" s="3" t="s">
        <v>50</v>
      </c>
      <c r="H377" s="3" t="s">
        <v>49</v>
      </c>
      <c r="I377" s="3" t="s">
        <v>51</v>
      </c>
      <c r="J377" s="3" t="s">
        <v>50</v>
      </c>
      <c r="L377" s="2" t="s">
        <v>2591</v>
      </c>
      <c r="M377" s="3" t="s">
        <v>586</v>
      </c>
      <c r="O377" s="3" t="s">
        <v>56</v>
      </c>
      <c r="P377" s="3" t="s">
        <v>113</v>
      </c>
      <c r="R377" s="3" t="s">
        <v>59</v>
      </c>
      <c r="S377" s="4">
        <v>21</v>
      </c>
      <c r="T377" s="4">
        <v>32</v>
      </c>
      <c r="U377" s="5" t="s">
        <v>2592</v>
      </c>
      <c r="V377" s="5" t="s">
        <v>2593</v>
      </c>
      <c r="W377" s="5" t="s">
        <v>2594</v>
      </c>
      <c r="X377" s="5" t="s">
        <v>2595</v>
      </c>
      <c r="Y377" s="4">
        <v>1400</v>
      </c>
      <c r="Z377" s="4">
        <v>1190</v>
      </c>
      <c r="AA377" s="4">
        <v>1319</v>
      </c>
      <c r="AB377" s="4">
        <v>9</v>
      </c>
      <c r="AC377" s="4">
        <v>9</v>
      </c>
      <c r="AD377" s="4">
        <v>36</v>
      </c>
      <c r="AE377" s="4">
        <v>42</v>
      </c>
      <c r="AF377" s="4">
        <v>14</v>
      </c>
      <c r="AG377" s="4">
        <v>17</v>
      </c>
      <c r="AH377" s="4">
        <v>5</v>
      </c>
      <c r="AI377" s="4">
        <v>8</v>
      </c>
      <c r="AJ377" s="4">
        <v>14</v>
      </c>
      <c r="AK377" s="4">
        <v>17</v>
      </c>
      <c r="AL377" s="4">
        <v>5</v>
      </c>
      <c r="AM377" s="4">
        <v>5</v>
      </c>
      <c r="AN377" s="4">
        <v>2</v>
      </c>
      <c r="AO377" s="4">
        <v>2</v>
      </c>
      <c r="AP377" s="3" t="s">
        <v>51</v>
      </c>
      <c r="AQ377" s="3" t="s">
        <v>51</v>
      </c>
      <c r="AS377" s="6" t="str">
        <f>HYPERLINK("https://creighton-primo.hosted.exlibrisgroup.com/primo-explore/search?tab=default_tab&amp;search_scope=EVERYTHING&amp;vid=01CRU&amp;lang=en_US&amp;offset=0&amp;query=any,contains,991001689869702656","Catalog Record")</f>
        <v>Catalog Record</v>
      </c>
      <c r="AT377" s="6" t="str">
        <f>HYPERLINK("http://www.worldcat.org/oclc/25315863","WorldCat Record")</f>
        <v>WorldCat Record</v>
      </c>
    </row>
    <row r="378" spans="1:46" ht="41.25" customHeight="1" x14ac:dyDescent="0.25">
      <c r="A378" s="8" t="s">
        <v>51</v>
      </c>
      <c r="B378" s="2" t="s">
        <v>232</v>
      </c>
      <c r="C378" s="2" t="s">
        <v>233</v>
      </c>
      <c r="D378" s="2" t="s">
        <v>234</v>
      </c>
      <c r="F378" s="3" t="s">
        <v>51</v>
      </c>
      <c r="G378" s="3" t="s">
        <v>50</v>
      </c>
      <c r="H378" s="3" t="s">
        <v>49</v>
      </c>
      <c r="I378" s="3" t="s">
        <v>51</v>
      </c>
      <c r="J378" s="3" t="s">
        <v>52</v>
      </c>
      <c r="K378" s="2" t="s">
        <v>235</v>
      </c>
      <c r="L378" s="2" t="s">
        <v>236</v>
      </c>
      <c r="M378" s="3" t="s">
        <v>237</v>
      </c>
      <c r="O378" s="3" t="s">
        <v>56</v>
      </c>
      <c r="P378" s="3" t="s">
        <v>87</v>
      </c>
      <c r="R378" s="3" t="s">
        <v>59</v>
      </c>
      <c r="S378" s="4">
        <v>0</v>
      </c>
      <c r="T378" s="4">
        <v>1</v>
      </c>
      <c r="V378" s="5" t="s">
        <v>238</v>
      </c>
      <c r="W378" s="5" t="s">
        <v>2596</v>
      </c>
      <c r="X378" s="5" t="s">
        <v>239</v>
      </c>
      <c r="Y378" s="4">
        <v>369</v>
      </c>
      <c r="Z378" s="4">
        <v>310</v>
      </c>
      <c r="AA378" s="4">
        <v>317</v>
      </c>
      <c r="AB378" s="4">
        <v>4</v>
      </c>
      <c r="AC378" s="4">
        <v>4</v>
      </c>
      <c r="AD378" s="4">
        <v>9</v>
      </c>
      <c r="AE378" s="4">
        <v>9</v>
      </c>
      <c r="AF378" s="4">
        <v>3</v>
      </c>
      <c r="AG378" s="4">
        <v>3</v>
      </c>
      <c r="AH378" s="4">
        <v>2</v>
      </c>
      <c r="AI378" s="4">
        <v>2</v>
      </c>
      <c r="AJ378" s="4">
        <v>6</v>
      </c>
      <c r="AK378" s="4">
        <v>6</v>
      </c>
      <c r="AL378" s="4">
        <v>2</v>
      </c>
      <c r="AM378" s="4">
        <v>2</v>
      </c>
      <c r="AN378" s="4">
        <v>0</v>
      </c>
      <c r="AO378" s="4">
        <v>0</v>
      </c>
      <c r="AP378" s="3" t="s">
        <v>51</v>
      </c>
      <c r="AQ378" s="3" t="s">
        <v>51</v>
      </c>
      <c r="AR378" s="6" t="str">
        <f>HYPERLINK("http://catalog.hathitrust.org/Record/001557024","HathiTrust Record")</f>
        <v>HathiTrust Record</v>
      </c>
      <c r="AS378" s="6" t="str">
        <f>HYPERLINK("https://creighton-primo.hosted.exlibrisgroup.com/primo-explore/search?tab=default_tab&amp;search_scope=EVERYTHING&amp;vid=01CRU&amp;lang=en_US&amp;offset=0&amp;query=any,contains,991001778129702656","Catalog Record")</f>
        <v>Catalog Record</v>
      </c>
      <c r="AT378" s="6" t="str">
        <f>HYPERLINK("http://www.worldcat.org/oclc/339430","WorldCat Record")</f>
        <v>WorldCat Record</v>
      </c>
    </row>
    <row r="379" spans="1:46" ht="41.25" customHeight="1" x14ac:dyDescent="0.25">
      <c r="A379" s="8" t="s">
        <v>51</v>
      </c>
      <c r="B379" s="2" t="s">
        <v>275</v>
      </c>
      <c r="C379" s="2" t="s">
        <v>276</v>
      </c>
      <c r="D379" s="2" t="s">
        <v>277</v>
      </c>
      <c r="F379" s="3" t="s">
        <v>51</v>
      </c>
      <c r="G379" s="3" t="s">
        <v>50</v>
      </c>
      <c r="H379" s="3" t="s">
        <v>49</v>
      </c>
      <c r="I379" s="3" t="s">
        <v>51</v>
      </c>
      <c r="J379" s="3" t="s">
        <v>52</v>
      </c>
      <c r="K379" s="2" t="s">
        <v>278</v>
      </c>
      <c r="L379" s="2" t="s">
        <v>279</v>
      </c>
      <c r="M379" s="3" t="s">
        <v>263</v>
      </c>
      <c r="O379" s="3" t="s">
        <v>56</v>
      </c>
      <c r="P379" s="3" t="s">
        <v>87</v>
      </c>
      <c r="R379" s="3" t="s">
        <v>59</v>
      </c>
      <c r="S379" s="4">
        <v>3</v>
      </c>
      <c r="T379" s="4">
        <v>3</v>
      </c>
      <c r="U379" s="5" t="s">
        <v>280</v>
      </c>
      <c r="V379" s="5" t="s">
        <v>280</v>
      </c>
      <c r="W379" s="5" t="s">
        <v>2597</v>
      </c>
      <c r="X379" s="5" t="s">
        <v>281</v>
      </c>
      <c r="Y379" s="4">
        <v>377</v>
      </c>
      <c r="Z379" s="4">
        <v>320</v>
      </c>
      <c r="AA379" s="4">
        <v>493</v>
      </c>
      <c r="AB379" s="4">
        <v>3</v>
      </c>
      <c r="AC379" s="4">
        <v>4</v>
      </c>
      <c r="AD379" s="4">
        <v>14</v>
      </c>
      <c r="AE379" s="4">
        <v>23</v>
      </c>
      <c r="AF379" s="4">
        <v>4</v>
      </c>
      <c r="AG379" s="4">
        <v>6</v>
      </c>
      <c r="AH379" s="4">
        <v>4</v>
      </c>
      <c r="AI379" s="4">
        <v>7</v>
      </c>
      <c r="AJ379" s="4">
        <v>8</v>
      </c>
      <c r="AK379" s="4">
        <v>13</v>
      </c>
      <c r="AL379" s="4">
        <v>1</v>
      </c>
      <c r="AM379" s="4">
        <v>2</v>
      </c>
      <c r="AN379" s="4">
        <v>1</v>
      </c>
      <c r="AO379" s="4">
        <v>1</v>
      </c>
      <c r="AP379" s="3" t="s">
        <v>51</v>
      </c>
      <c r="AQ379" s="3" t="s">
        <v>49</v>
      </c>
      <c r="AR379" s="6" t="str">
        <f>HYPERLINK("http://catalog.hathitrust.org/Record/000685674","HathiTrust Record")</f>
        <v>HathiTrust Record</v>
      </c>
      <c r="AS379" s="6" t="str">
        <f>HYPERLINK("https://creighton-primo.hosted.exlibrisgroup.com/primo-explore/search?tab=default_tab&amp;search_scope=EVERYTHING&amp;vid=01CRU&amp;lang=en_US&amp;offset=0&amp;query=any,contains,991001790679702656","Catalog Record")</f>
        <v>Catalog Record</v>
      </c>
      <c r="AT379" s="6" t="str">
        <f>HYPERLINK("http://www.worldcat.org/oclc/1750044","WorldCat Record")</f>
        <v>WorldCat Record</v>
      </c>
    </row>
    <row r="380" spans="1:46" ht="41.25" customHeight="1" x14ac:dyDescent="0.25">
      <c r="A380" s="8" t="s">
        <v>51</v>
      </c>
      <c r="B380" s="2" t="s">
        <v>609</v>
      </c>
      <c r="C380" s="2" t="s">
        <v>610</v>
      </c>
      <c r="D380" s="2" t="s">
        <v>611</v>
      </c>
      <c r="F380" s="3" t="s">
        <v>51</v>
      </c>
      <c r="G380" s="3" t="s">
        <v>50</v>
      </c>
      <c r="H380" s="3" t="s">
        <v>49</v>
      </c>
      <c r="I380" s="3" t="s">
        <v>51</v>
      </c>
      <c r="J380" s="3" t="s">
        <v>52</v>
      </c>
      <c r="K380" s="2" t="s">
        <v>612</v>
      </c>
      <c r="L380" s="2" t="s">
        <v>613</v>
      </c>
      <c r="M380" s="3" t="s">
        <v>201</v>
      </c>
      <c r="O380" s="3" t="s">
        <v>56</v>
      </c>
      <c r="P380" s="3" t="s">
        <v>87</v>
      </c>
      <c r="Q380" s="2" t="s">
        <v>614</v>
      </c>
      <c r="R380" s="3" t="s">
        <v>59</v>
      </c>
      <c r="S380" s="4">
        <v>1</v>
      </c>
      <c r="T380" s="4">
        <v>7</v>
      </c>
      <c r="U380" s="5" t="s">
        <v>2598</v>
      </c>
      <c r="V380" s="5" t="s">
        <v>615</v>
      </c>
      <c r="W380" s="5" t="s">
        <v>2599</v>
      </c>
      <c r="X380" s="5" t="s">
        <v>239</v>
      </c>
      <c r="Y380" s="4">
        <v>391</v>
      </c>
      <c r="Z380" s="4">
        <v>337</v>
      </c>
      <c r="AA380" s="4">
        <v>436</v>
      </c>
      <c r="AB380" s="4">
        <v>2</v>
      </c>
      <c r="AC380" s="4">
        <v>2</v>
      </c>
      <c r="AD380" s="4">
        <v>14</v>
      </c>
      <c r="AE380" s="4">
        <v>16</v>
      </c>
      <c r="AF380" s="4">
        <v>5</v>
      </c>
      <c r="AG380" s="4">
        <v>7</v>
      </c>
      <c r="AH380" s="4">
        <v>5</v>
      </c>
      <c r="AI380" s="4">
        <v>5</v>
      </c>
      <c r="AJ380" s="4">
        <v>7</v>
      </c>
      <c r="AK380" s="4">
        <v>8</v>
      </c>
      <c r="AL380" s="4">
        <v>0</v>
      </c>
      <c r="AM380" s="4">
        <v>0</v>
      </c>
      <c r="AN380" s="4">
        <v>1</v>
      </c>
      <c r="AO380" s="4">
        <v>1</v>
      </c>
      <c r="AP380" s="3" t="s">
        <v>51</v>
      </c>
      <c r="AQ380" s="3" t="s">
        <v>49</v>
      </c>
      <c r="AR380" s="6" t="str">
        <f>HYPERLINK("http://catalog.hathitrust.org/Record/000012490","HathiTrust Record")</f>
        <v>HathiTrust Record</v>
      </c>
      <c r="AS380" s="6" t="str">
        <f>HYPERLINK("https://creighton-primo.hosted.exlibrisgroup.com/primo-explore/search?tab=default_tab&amp;search_scope=EVERYTHING&amp;vid=01CRU&amp;lang=en_US&amp;offset=0&amp;query=any,contains,991001756179702656","Catalog Record")</f>
        <v>Catalog Record</v>
      </c>
      <c r="AT380" s="6" t="str">
        <f>HYPERLINK("http://www.worldcat.org/oclc/821170","WorldCat Record")</f>
        <v>WorldCat Record</v>
      </c>
    </row>
    <row r="381" spans="1:46" ht="41.25" customHeight="1" x14ac:dyDescent="0.25">
      <c r="A381" s="8" t="s">
        <v>51</v>
      </c>
      <c r="B381" s="2" t="s">
        <v>2600</v>
      </c>
      <c r="C381" s="2" t="s">
        <v>2601</v>
      </c>
      <c r="D381" s="2" t="s">
        <v>2602</v>
      </c>
      <c r="F381" s="3" t="s">
        <v>51</v>
      </c>
      <c r="G381" s="3" t="s">
        <v>50</v>
      </c>
      <c r="H381" s="3" t="s">
        <v>51</v>
      </c>
      <c r="I381" s="3" t="s">
        <v>51</v>
      </c>
      <c r="J381" s="3" t="s">
        <v>52</v>
      </c>
      <c r="K381" s="2" t="s">
        <v>2603</v>
      </c>
      <c r="L381" s="2" t="s">
        <v>2604</v>
      </c>
      <c r="M381" s="3" t="s">
        <v>660</v>
      </c>
      <c r="N381" s="2" t="s">
        <v>2605</v>
      </c>
      <c r="O381" s="3" t="s">
        <v>56</v>
      </c>
      <c r="P381" s="3" t="s">
        <v>79</v>
      </c>
      <c r="R381" s="3" t="s">
        <v>59</v>
      </c>
      <c r="S381" s="4">
        <v>8</v>
      </c>
      <c r="T381" s="4">
        <v>8</v>
      </c>
      <c r="U381" s="5" t="s">
        <v>2606</v>
      </c>
      <c r="V381" s="5" t="s">
        <v>2606</v>
      </c>
      <c r="W381" s="5" t="s">
        <v>2607</v>
      </c>
      <c r="X381" s="5" t="s">
        <v>2607</v>
      </c>
      <c r="Y381" s="4">
        <v>208</v>
      </c>
      <c r="Z381" s="4">
        <v>176</v>
      </c>
      <c r="AA381" s="4">
        <v>1298</v>
      </c>
      <c r="AB381" s="4">
        <v>2</v>
      </c>
      <c r="AC381" s="4">
        <v>8</v>
      </c>
      <c r="AD381" s="4">
        <v>5</v>
      </c>
      <c r="AE381" s="4">
        <v>34</v>
      </c>
      <c r="AF381" s="4">
        <v>2</v>
      </c>
      <c r="AG381" s="4">
        <v>18</v>
      </c>
      <c r="AH381" s="4">
        <v>1</v>
      </c>
      <c r="AI381" s="4">
        <v>5</v>
      </c>
      <c r="AJ381" s="4">
        <v>1</v>
      </c>
      <c r="AK381" s="4">
        <v>12</v>
      </c>
      <c r="AL381" s="4">
        <v>1</v>
      </c>
      <c r="AM381" s="4">
        <v>6</v>
      </c>
      <c r="AN381" s="4">
        <v>0</v>
      </c>
      <c r="AO381" s="4">
        <v>1</v>
      </c>
      <c r="AP381" s="3" t="s">
        <v>51</v>
      </c>
      <c r="AQ381" s="3" t="s">
        <v>49</v>
      </c>
      <c r="AR381" s="6" t="str">
        <f>HYPERLINK("http://catalog.hathitrust.org/Record/004278590","HathiTrust Record")</f>
        <v>HathiTrust Record</v>
      </c>
      <c r="AS381" s="6" t="str">
        <f>HYPERLINK("https://creighton-primo.hosted.exlibrisgroup.com/primo-explore/search?tab=default_tab&amp;search_scope=EVERYTHING&amp;vid=01CRU&amp;lang=en_US&amp;offset=0&amp;query=any,contains,991000330859702656","Catalog Record")</f>
        <v>Catalog Record</v>
      </c>
      <c r="AT381" s="6" t="str">
        <f>HYPERLINK("http://www.worldcat.org/oclc/49598524","WorldCat Record")</f>
        <v>WorldCat Record</v>
      </c>
    </row>
    <row r="382" spans="1:46" ht="41.25" customHeight="1" x14ac:dyDescent="0.25">
      <c r="A382" s="8" t="s">
        <v>51</v>
      </c>
      <c r="B382" s="2" t="s">
        <v>663</v>
      </c>
      <c r="C382" s="2" t="s">
        <v>664</v>
      </c>
      <c r="D382" s="2" t="s">
        <v>665</v>
      </c>
      <c r="F382" s="3" t="s">
        <v>51</v>
      </c>
      <c r="G382" s="3" t="s">
        <v>50</v>
      </c>
      <c r="H382" s="3" t="s">
        <v>49</v>
      </c>
      <c r="I382" s="3" t="s">
        <v>51</v>
      </c>
      <c r="J382" s="3" t="s">
        <v>52</v>
      </c>
      <c r="K382" s="2" t="s">
        <v>666</v>
      </c>
      <c r="L382" s="2" t="s">
        <v>667</v>
      </c>
      <c r="M382" s="3" t="s">
        <v>271</v>
      </c>
      <c r="O382" s="3" t="s">
        <v>56</v>
      </c>
      <c r="P382" s="3" t="s">
        <v>578</v>
      </c>
      <c r="R382" s="3" t="s">
        <v>59</v>
      </c>
      <c r="S382" s="4">
        <v>8</v>
      </c>
      <c r="T382" s="4">
        <v>14</v>
      </c>
      <c r="U382" s="5" t="s">
        <v>669</v>
      </c>
      <c r="V382" s="5" t="s">
        <v>669</v>
      </c>
      <c r="W382" s="5" t="s">
        <v>2608</v>
      </c>
      <c r="X382" s="5" t="s">
        <v>485</v>
      </c>
      <c r="Y382" s="4">
        <v>1108</v>
      </c>
      <c r="Z382" s="4">
        <v>973</v>
      </c>
      <c r="AA382" s="4">
        <v>989</v>
      </c>
      <c r="AB382" s="4">
        <v>6</v>
      </c>
      <c r="AC382" s="4">
        <v>6</v>
      </c>
      <c r="AD382" s="4">
        <v>38</v>
      </c>
      <c r="AE382" s="4">
        <v>38</v>
      </c>
      <c r="AF382" s="4">
        <v>17</v>
      </c>
      <c r="AG382" s="4">
        <v>17</v>
      </c>
      <c r="AH382" s="4">
        <v>8</v>
      </c>
      <c r="AI382" s="4">
        <v>8</v>
      </c>
      <c r="AJ382" s="4">
        <v>14</v>
      </c>
      <c r="AK382" s="4">
        <v>14</v>
      </c>
      <c r="AL382" s="4">
        <v>4</v>
      </c>
      <c r="AM382" s="4">
        <v>4</v>
      </c>
      <c r="AN382" s="4">
        <v>4</v>
      </c>
      <c r="AO382" s="4">
        <v>4</v>
      </c>
      <c r="AP382" s="3" t="s">
        <v>51</v>
      </c>
      <c r="AQ382" s="3" t="s">
        <v>51</v>
      </c>
      <c r="AS382" s="6" t="str">
        <f>HYPERLINK("https://creighton-primo.hosted.exlibrisgroup.com/primo-explore/search?tab=default_tab&amp;search_scope=EVERYTHING&amp;vid=01CRU&amp;lang=en_US&amp;offset=0&amp;query=any,contains,991001788979702656","Catalog Record")</f>
        <v>Catalog Record</v>
      </c>
      <c r="AT382" s="6" t="str">
        <f>HYPERLINK("http://www.worldcat.org/oclc/2463650","WorldCat Record")</f>
        <v>WorldCat Record</v>
      </c>
    </row>
    <row r="383" spans="1:46" ht="41.25" customHeight="1" x14ac:dyDescent="0.25">
      <c r="A383" s="8" t="s">
        <v>51</v>
      </c>
      <c r="B383" s="2" t="s">
        <v>2609</v>
      </c>
      <c r="C383" s="2" t="s">
        <v>2610</v>
      </c>
      <c r="D383" s="2" t="s">
        <v>2611</v>
      </c>
      <c r="F383" s="3" t="s">
        <v>51</v>
      </c>
      <c r="G383" s="3" t="s">
        <v>50</v>
      </c>
      <c r="H383" s="3" t="s">
        <v>51</v>
      </c>
      <c r="I383" s="3" t="s">
        <v>51</v>
      </c>
      <c r="J383" s="3" t="s">
        <v>52</v>
      </c>
      <c r="L383" s="2" t="s">
        <v>2612</v>
      </c>
      <c r="M383" s="3" t="s">
        <v>271</v>
      </c>
      <c r="O383" s="3" t="s">
        <v>56</v>
      </c>
      <c r="P383" s="3" t="s">
        <v>87</v>
      </c>
      <c r="Q383" s="2" t="s">
        <v>2613</v>
      </c>
      <c r="R383" s="3" t="s">
        <v>59</v>
      </c>
      <c r="S383" s="4">
        <v>8</v>
      </c>
      <c r="T383" s="4">
        <v>8</v>
      </c>
      <c r="U383" s="5" t="s">
        <v>2614</v>
      </c>
      <c r="V383" s="5" t="s">
        <v>2614</v>
      </c>
      <c r="W383" s="5" t="s">
        <v>2608</v>
      </c>
      <c r="X383" s="5" t="s">
        <v>2608</v>
      </c>
      <c r="Y383" s="4">
        <v>195</v>
      </c>
      <c r="Z383" s="4">
        <v>173</v>
      </c>
      <c r="AA383" s="4">
        <v>173</v>
      </c>
      <c r="AB383" s="4">
        <v>1</v>
      </c>
      <c r="AC383" s="4">
        <v>1</v>
      </c>
      <c r="AD383" s="4">
        <v>5</v>
      </c>
      <c r="AE383" s="4">
        <v>5</v>
      </c>
      <c r="AF383" s="4">
        <v>2</v>
      </c>
      <c r="AG383" s="4">
        <v>2</v>
      </c>
      <c r="AH383" s="4">
        <v>1</v>
      </c>
      <c r="AI383" s="4">
        <v>1</v>
      </c>
      <c r="AJ383" s="4">
        <v>3</v>
      </c>
      <c r="AK383" s="4">
        <v>3</v>
      </c>
      <c r="AL383" s="4">
        <v>0</v>
      </c>
      <c r="AM383" s="4">
        <v>0</v>
      </c>
      <c r="AN383" s="4">
        <v>0</v>
      </c>
      <c r="AO383" s="4">
        <v>0</v>
      </c>
      <c r="AP383" s="3" t="s">
        <v>51</v>
      </c>
      <c r="AQ383" s="3" t="s">
        <v>51</v>
      </c>
      <c r="AS383" s="6" t="str">
        <f>HYPERLINK("https://creighton-primo.hosted.exlibrisgroup.com/primo-explore/search?tab=default_tab&amp;search_scope=EVERYTHING&amp;vid=01CRU&amp;lang=en_US&amp;offset=0&amp;query=any,contains,991001178719702656","Catalog Record")</f>
        <v>Catalog Record</v>
      </c>
      <c r="AT383" s="6" t="str">
        <f>HYPERLINK("http://www.worldcat.org/oclc/3283532","WorldCat Record")</f>
        <v>WorldCat Record</v>
      </c>
    </row>
    <row r="384" spans="1:46" ht="41.25" customHeight="1" x14ac:dyDescent="0.25">
      <c r="A384" s="8" t="s">
        <v>51</v>
      </c>
      <c r="B384" s="2" t="s">
        <v>2615</v>
      </c>
      <c r="C384" s="2" t="s">
        <v>2616</v>
      </c>
      <c r="D384" s="2" t="s">
        <v>2617</v>
      </c>
      <c r="F384" s="3" t="s">
        <v>51</v>
      </c>
      <c r="G384" s="3" t="s">
        <v>50</v>
      </c>
      <c r="H384" s="3" t="s">
        <v>51</v>
      </c>
      <c r="I384" s="3" t="s">
        <v>51</v>
      </c>
      <c r="J384" s="3" t="s">
        <v>52</v>
      </c>
      <c r="K384" s="2" t="s">
        <v>2618</v>
      </c>
      <c r="L384" s="2" t="s">
        <v>2619</v>
      </c>
      <c r="M384" s="3" t="s">
        <v>271</v>
      </c>
      <c r="O384" s="3" t="s">
        <v>56</v>
      </c>
      <c r="P384" s="3" t="s">
        <v>87</v>
      </c>
      <c r="R384" s="3" t="s">
        <v>59</v>
      </c>
      <c r="S384" s="4">
        <v>4</v>
      </c>
      <c r="T384" s="4">
        <v>4</v>
      </c>
      <c r="U384" s="5" t="s">
        <v>2620</v>
      </c>
      <c r="V384" s="5" t="s">
        <v>2620</v>
      </c>
      <c r="W384" s="5" t="s">
        <v>2621</v>
      </c>
      <c r="X384" s="5" t="s">
        <v>2621</v>
      </c>
      <c r="Y384" s="4">
        <v>115</v>
      </c>
      <c r="Z384" s="4">
        <v>114</v>
      </c>
      <c r="AA384" s="4">
        <v>116</v>
      </c>
      <c r="AB384" s="4">
        <v>1</v>
      </c>
      <c r="AC384" s="4">
        <v>1</v>
      </c>
      <c r="AD384" s="4">
        <v>9</v>
      </c>
      <c r="AE384" s="4">
        <v>9</v>
      </c>
      <c r="AF384" s="4">
        <v>0</v>
      </c>
      <c r="AG384" s="4">
        <v>0</v>
      </c>
      <c r="AH384" s="4">
        <v>0</v>
      </c>
      <c r="AI384" s="4">
        <v>0</v>
      </c>
      <c r="AJ384" s="4">
        <v>0</v>
      </c>
      <c r="AK384" s="4">
        <v>0</v>
      </c>
      <c r="AL384" s="4">
        <v>0</v>
      </c>
      <c r="AM384" s="4">
        <v>0</v>
      </c>
      <c r="AN384" s="4">
        <v>9</v>
      </c>
      <c r="AO384" s="4">
        <v>9</v>
      </c>
      <c r="AP384" s="3" t="s">
        <v>51</v>
      </c>
      <c r="AQ384" s="3" t="s">
        <v>49</v>
      </c>
      <c r="AR384" s="6" t="str">
        <f>HYPERLINK("http://catalog.hathitrust.org/Record/000751497","HathiTrust Record")</f>
        <v>HathiTrust Record</v>
      </c>
      <c r="AS384" s="6" t="str">
        <f>HYPERLINK("https://creighton-primo.hosted.exlibrisgroup.com/primo-explore/search?tab=default_tab&amp;search_scope=EVERYTHING&amp;vid=01CRU&amp;lang=en_US&amp;offset=0&amp;query=any,contains,991001169539702656","Catalog Record")</f>
        <v>Catalog Record</v>
      </c>
      <c r="AT384" s="6" t="str">
        <f>HYPERLINK("http://www.worldcat.org/oclc/4499860","WorldCat Record")</f>
        <v>WorldCat Record</v>
      </c>
    </row>
    <row r="385" spans="1:46" ht="41.25" customHeight="1" x14ac:dyDescent="0.25">
      <c r="A385" s="8" t="s">
        <v>51</v>
      </c>
      <c r="B385" s="2" t="s">
        <v>2622</v>
      </c>
      <c r="C385" s="2" t="s">
        <v>2623</v>
      </c>
      <c r="D385" s="2" t="s">
        <v>2624</v>
      </c>
      <c r="F385" s="3" t="s">
        <v>51</v>
      </c>
      <c r="G385" s="3" t="s">
        <v>50</v>
      </c>
      <c r="H385" s="3" t="s">
        <v>51</v>
      </c>
      <c r="I385" s="3" t="s">
        <v>51</v>
      </c>
      <c r="J385" s="3" t="s">
        <v>52</v>
      </c>
      <c r="L385" s="2" t="s">
        <v>2625</v>
      </c>
      <c r="M385" s="3" t="s">
        <v>271</v>
      </c>
      <c r="O385" s="3" t="s">
        <v>56</v>
      </c>
      <c r="P385" s="3" t="s">
        <v>69</v>
      </c>
      <c r="R385" s="3" t="s">
        <v>59</v>
      </c>
      <c r="S385" s="4">
        <v>6</v>
      </c>
      <c r="T385" s="4">
        <v>6</v>
      </c>
      <c r="U385" s="5" t="s">
        <v>2626</v>
      </c>
      <c r="V385" s="5" t="s">
        <v>2626</v>
      </c>
      <c r="W385" s="5" t="s">
        <v>2608</v>
      </c>
      <c r="X385" s="5" t="s">
        <v>2608</v>
      </c>
      <c r="Y385" s="4">
        <v>364</v>
      </c>
      <c r="Z385" s="4">
        <v>336</v>
      </c>
      <c r="AA385" s="4">
        <v>338</v>
      </c>
      <c r="AB385" s="4">
        <v>2</v>
      </c>
      <c r="AC385" s="4">
        <v>2</v>
      </c>
      <c r="AD385" s="4">
        <v>18</v>
      </c>
      <c r="AE385" s="4">
        <v>18</v>
      </c>
      <c r="AF385" s="4">
        <v>5</v>
      </c>
      <c r="AG385" s="4">
        <v>5</v>
      </c>
      <c r="AH385" s="4">
        <v>4</v>
      </c>
      <c r="AI385" s="4">
        <v>4</v>
      </c>
      <c r="AJ385" s="4">
        <v>12</v>
      </c>
      <c r="AK385" s="4">
        <v>12</v>
      </c>
      <c r="AL385" s="4">
        <v>1</v>
      </c>
      <c r="AM385" s="4">
        <v>1</v>
      </c>
      <c r="AN385" s="4">
        <v>1</v>
      </c>
      <c r="AO385" s="4">
        <v>1</v>
      </c>
      <c r="AP385" s="3" t="s">
        <v>51</v>
      </c>
      <c r="AQ385" s="3" t="s">
        <v>49</v>
      </c>
      <c r="AR385" s="6" t="str">
        <f>HYPERLINK("http://catalog.hathitrust.org/Record/000214510","HathiTrust Record")</f>
        <v>HathiTrust Record</v>
      </c>
      <c r="AS385" s="6" t="str">
        <f>HYPERLINK("https://creighton-primo.hosted.exlibrisgroup.com/primo-explore/search?tab=default_tab&amp;search_scope=EVERYTHING&amp;vid=01CRU&amp;lang=en_US&amp;offset=0&amp;query=any,contains,991001178109702656","Catalog Record")</f>
        <v>Catalog Record</v>
      </c>
      <c r="AT385" s="6" t="str">
        <f>HYPERLINK("http://www.worldcat.org/oclc/2980538","WorldCat Record")</f>
        <v>WorldCat Record</v>
      </c>
    </row>
    <row r="386" spans="1:46" ht="41.25" customHeight="1" x14ac:dyDescent="0.25">
      <c r="A386" s="8" t="s">
        <v>51</v>
      </c>
      <c r="B386" s="2" t="s">
        <v>720</v>
      </c>
      <c r="C386" s="2" t="s">
        <v>721</v>
      </c>
      <c r="D386" s="2" t="s">
        <v>722</v>
      </c>
      <c r="F386" s="3" t="s">
        <v>51</v>
      </c>
      <c r="G386" s="3" t="s">
        <v>50</v>
      </c>
      <c r="H386" s="3" t="s">
        <v>49</v>
      </c>
      <c r="I386" s="3" t="s">
        <v>51</v>
      </c>
      <c r="J386" s="3" t="s">
        <v>52</v>
      </c>
      <c r="K386" s="2" t="s">
        <v>723</v>
      </c>
      <c r="L386" s="2" t="s">
        <v>724</v>
      </c>
      <c r="M386" s="3" t="s">
        <v>103</v>
      </c>
      <c r="O386" s="3" t="s">
        <v>56</v>
      </c>
      <c r="P386" s="3" t="s">
        <v>87</v>
      </c>
      <c r="R386" s="3" t="s">
        <v>59</v>
      </c>
      <c r="S386" s="4">
        <v>2</v>
      </c>
      <c r="T386" s="4">
        <v>5</v>
      </c>
      <c r="U386" s="5" t="s">
        <v>2627</v>
      </c>
      <c r="V386" s="5" t="s">
        <v>725</v>
      </c>
      <c r="W386" s="5" t="s">
        <v>2628</v>
      </c>
      <c r="X386" s="5" t="s">
        <v>485</v>
      </c>
      <c r="Y386" s="4">
        <v>217</v>
      </c>
      <c r="Z386" s="4">
        <v>195</v>
      </c>
      <c r="AA386" s="4">
        <v>199</v>
      </c>
      <c r="AB386" s="4">
        <v>2</v>
      </c>
      <c r="AC386" s="4">
        <v>2</v>
      </c>
      <c r="AD386" s="4">
        <v>10</v>
      </c>
      <c r="AE386" s="4">
        <v>10</v>
      </c>
      <c r="AF386" s="4">
        <v>3</v>
      </c>
      <c r="AG386" s="4">
        <v>3</v>
      </c>
      <c r="AH386" s="4">
        <v>1</v>
      </c>
      <c r="AI386" s="4">
        <v>1</v>
      </c>
      <c r="AJ386" s="4">
        <v>6</v>
      </c>
      <c r="AK386" s="4">
        <v>6</v>
      </c>
      <c r="AL386" s="4">
        <v>0</v>
      </c>
      <c r="AM386" s="4">
        <v>0</v>
      </c>
      <c r="AN386" s="4">
        <v>3</v>
      </c>
      <c r="AO386" s="4">
        <v>3</v>
      </c>
      <c r="AP386" s="3" t="s">
        <v>51</v>
      </c>
      <c r="AQ386" s="3" t="s">
        <v>49</v>
      </c>
      <c r="AR386" s="6" t="str">
        <f>HYPERLINK("http://catalog.hathitrust.org/Record/000456801","HathiTrust Record")</f>
        <v>HathiTrust Record</v>
      </c>
      <c r="AS386" s="6" t="str">
        <f>HYPERLINK("https://creighton-primo.hosted.exlibrisgroup.com/primo-explore/search?tab=default_tab&amp;search_scope=EVERYTHING&amp;vid=01CRU&amp;lang=en_US&amp;offset=0&amp;query=any,contains,991001805859702656","Catalog Record")</f>
        <v>Catalog Record</v>
      </c>
      <c r="AT386" s="6" t="str">
        <f>HYPERLINK("http://www.worldcat.org/oclc/10780701","WorldCat Record")</f>
        <v>WorldCat Record</v>
      </c>
    </row>
    <row r="387" spans="1:46" ht="41.25" customHeight="1" x14ac:dyDescent="0.25">
      <c r="A387" s="8" t="s">
        <v>51</v>
      </c>
      <c r="B387" s="2" t="s">
        <v>2629</v>
      </c>
      <c r="C387" s="2" t="s">
        <v>2630</v>
      </c>
      <c r="D387" s="2" t="s">
        <v>2631</v>
      </c>
      <c r="F387" s="3" t="s">
        <v>51</v>
      </c>
      <c r="G387" s="3" t="s">
        <v>50</v>
      </c>
      <c r="H387" s="3" t="s">
        <v>51</v>
      </c>
      <c r="I387" s="3" t="s">
        <v>51</v>
      </c>
      <c r="J387" s="3" t="s">
        <v>52</v>
      </c>
      <c r="K387" s="2" t="s">
        <v>2632</v>
      </c>
      <c r="L387" s="2" t="s">
        <v>1283</v>
      </c>
      <c r="M387" s="3" t="s">
        <v>154</v>
      </c>
      <c r="O387" s="3" t="s">
        <v>56</v>
      </c>
      <c r="P387" s="3" t="s">
        <v>87</v>
      </c>
      <c r="R387" s="3" t="s">
        <v>59</v>
      </c>
      <c r="S387" s="4">
        <v>4</v>
      </c>
      <c r="T387" s="4">
        <v>4</v>
      </c>
      <c r="U387" s="5" t="s">
        <v>2633</v>
      </c>
      <c r="V387" s="5" t="s">
        <v>2633</v>
      </c>
      <c r="W387" s="5" t="s">
        <v>2628</v>
      </c>
      <c r="X387" s="5" t="s">
        <v>2628</v>
      </c>
      <c r="Y387" s="4">
        <v>581</v>
      </c>
      <c r="Z387" s="4">
        <v>465</v>
      </c>
      <c r="AA387" s="4">
        <v>474</v>
      </c>
      <c r="AB387" s="4">
        <v>3</v>
      </c>
      <c r="AC387" s="4">
        <v>3</v>
      </c>
      <c r="AD387" s="4">
        <v>25</v>
      </c>
      <c r="AE387" s="4">
        <v>25</v>
      </c>
      <c r="AF387" s="4">
        <v>9</v>
      </c>
      <c r="AG387" s="4">
        <v>9</v>
      </c>
      <c r="AH387" s="4">
        <v>3</v>
      </c>
      <c r="AI387" s="4">
        <v>3</v>
      </c>
      <c r="AJ387" s="4">
        <v>13</v>
      </c>
      <c r="AK387" s="4">
        <v>13</v>
      </c>
      <c r="AL387" s="4">
        <v>1</v>
      </c>
      <c r="AM387" s="4">
        <v>1</v>
      </c>
      <c r="AN387" s="4">
        <v>3</v>
      </c>
      <c r="AO387" s="4">
        <v>3</v>
      </c>
      <c r="AP387" s="3" t="s">
        <v>51</v>
      </c>
      <c r="AQ387" s="3" t="s">
        <v>49</v>
      </c>
      <c r="AR387" s="6" t="str">
        <f>HYPERLINK("http://catalog.hathitrust.org/Record/000228233","HathiTrust Record")</f>
        <v>HathiTrust Record</v>
      </c>
      <c r="AS387" s="6" t="str">
        <f>HYPERLINK("https://creighton-primo.hosted.exlibrisgroup.com/primo-explore/search?tab=default_tab&amp;search_scope=EVERYTHING&amp;vid=01CRU&amp;lang=en_US&amp;offset=0&amp;query=any,contains,991000155049702656","Catalog Record")</f>
        <v>Catalog Record</v>
      </c>
      <c r="AT387" s="6" t="str">
        <f>HYPERLINK("http://www.worldcat.org/oclc/7876456","WorldCat Record")</f>
        <v>WorldCat Record</v>
      </c>
    </row>
    <row r="388" spans="1:46" ht="41.25" customHeight="1" x14ac:dyDescent="0.25">
      <c r="A388" s="8" t="s">
        <v>51</v>
      </c>
      <c r="B388" s="2" t="s">
        <v>2634</v>
      </c>
      <c r="C388" s="2" t="s">
        <v>2635</v>
      </c>
      <c r="D388" s="2" t="s">
        <v>2636</v>
      </c>
      <c r="F388" s="3" t="s">
        <v>51</v>
      </c>
      <c r="G388" s="3" t="s">
        <v>50</v>
      </c>
      <c r="H388" s="3" t="s">
        <v>51</v>
      </c>
      <c r="I388" s="3" t="s">
        <v>51</v>
      </c>
      <c r="J388" s="3" t="s">
        <v>50</v>
      </c>
      <c r="K388" s="2" t="s">
        <v>2637</v>
      </c>
      <c r="L388" s="2" t="s">
        <v>2638</v>
      </c>
      <c r="M388" s="3" t="s">
        <v>211</v>
      </c>
      <c r="O388" s="3" t="s">
        <v>56</v>
      </c>
      <c r="P388" s="3" t="s">
        <v>748</v>
      </c>
      <c r="R388" s="3" t="s">
        <v>59</v>
      </c>
      <c r="S388" s="4">
        <v>4</v>
      </c>
      <c r="T388" s="4">
        <v>4</v>
      </c>
      <c r="U388" s="5" t="s">
        <v>2639</v>
      </c>
      <c r="V388" s="5" t="s">
        <v>2639</v>
      </c>
      <c r="W388" s="5" t="s">
        <v>2628</v>
      </c>
      <c r="X388" s="5" t="s">
        <v>2628</v>
      </c>
      <c r="Y388" s="4">
        <v>390</v>
      </c>
      <c r="Z388" s="4">
        <v>331</v>
      </c>
      <c r="AA388" s="4">
        <v>1040</v>
      </c>
      <c r="AB388" s="4">
        <v>2</v>
      </c>
      <c r="AC388" s="4">
        <v>16</v>
      </c>
      <c r="AD388" s="4">
        <v>13</v>
      </c>
      <c r="AE388" s="4">
        <v>45</v>
      </c>
      <c r="AF388" s="4">
        <v>4</v>
      </c>
      <c r="AG388" s="4">
        <v>16</v>
      </c>
      <c r="AH388" s="4">
        <v>3</v>
      </c>
      <c r="AI388" s="4">
        <v>7</v>
      </c>
      <c r="AJ388" s="4">
        <v>7</v>
      </c>
      <c r="AK388" s="4">
        <v>14</v>
      </c>
      <c r="AL388" s="4">
        <v>1</v>
      </c>
      <c r="AM388" s="4">
        <v>14</v>
      </c>
      <c r="AN388" s="4">
        <v>0</v>
      </c>
      <c r="AO388" s="4">
        <v>1</v>
      </c>
      <c r="AP388" s="3" t="s">
        <v>51</v>
      </c>
      <c r="AQ388" s="3" t="s">
        <v>51</v>
      </c>
      <c r="AS388" s="6" t="str">
        <f>HYPERLINK("https://creighton-primo.hosted.exlibrisgroup.com/primo-explore/search?tab=default_tab&amp;search_scope=EVERYTHING&amp;vid=01CRU&amp;lang=en_US&amp;offset=0&amp;query=any,contains,991001541799702656","Catalog Record")</f>
        <v>Catalog Record</v>
      </c>
      <c r="AT388" s="6" t="str">
        <f>HYPERLINK("http://www.worldcat.org/oclc/5678501","WorldCat Record")</f>
        <v>WorldCat Record</v>
      </c>
    </row>
    <row r="389" spans="1:46" ht="41.25" customHeight="1" x14ac:dyDescent="0.25">
      <c r="A389" s="8" t="s">
        <v>51</v>
      </c>
      <c r="B389" s="2" t="s">
        <v>750</v>
      </c>
      <c r="C389" s="2" t="s">
        <v>751</v>
      </c>
      <c r="D389" s="2" t="s">
        <v>752</v>
      </c>
      <c r="F389" s="3" t="s">
        <v>51</v>
      </c>
      <c r="G389" s="3" t="s">
        <v>50</v>
      </c>
      <c r="H389" s="3" t="s">
        <v>49</v>
      </c>
      <c r="I389" s="3" t="s">
        <v>51</v>
      </c>
      <c r="J389" s="3" t="s">
        <v>52</v>
      </c>
      <c r="K389" s="2" t="s">
        <v>753</v>
      </c>
      <c r="L389" s="2" t="s">
        <v>754</v>
      </c>
      <c r="M389" s="3" t="s">
        <v>211</v>
      </c>
      <c r="N389" s="2" t="s">
        <v>245</v>
      </c>
      <c r="O389" s="3" t="s">
        <v>56</v>
      </c>
      <c r="P389" s="3" t="s">
        <v>755</v>
      </c>
      <c r="R389" s="3" t="s">
        <v>59</v>
      </c>
      <c r="S389" s="4">
        <v>7</v>
      </c>
      <c r="T389" s="4">
        <v>11</v>
      </c>
      <c r="U389" s="5" t="s">
        <v>757</v>
      </c>
      <c r="V389" s="5" t="s">
        <v>757</v>
      </c>
      <c r="W389" s="5" t="s">
        <v>2628</v>
      </c>
      <c r="X389" s="5" t="s">
        <v>758</v>
      </c>
      <c r="Y389" s="4">
        <v>492</v>
      </c>
      <c r="Z389" s="4">
        <v>445</v>
      </c>
      <c r="AA389" s="4">
        <v>448</v>
      </c>
      <c r="AB389" s="4">
        <v>4</v>
      </c>
      <c r="AC389" s="4">
        <v>4</v>
      </c>
      <c r="AD389" s="4">
        <v>28</v>
      </c>
      <c r="AE389" s="4">
        <v>29</v>
      </c>
      <c r="AF389" s="4">
        <v>8</v>
      </c>
      <c r="AG389" s="4">
        <v>9</v>
      </c>
      <c r="AH389" s="4">
        <v>8</v>
      </c>
      <c r="AI389" s="4">
        <v>8</v>
      </c>
      <c r="AJ389" s="4">
        <v>16</v>
      </c>
      <c r="AK389" s="4">
        <v>17</v>
      </c>
      <c r="AL389" s="4">
        <v>2</v>
      </c>
      <c r="AM389" s="4">
        <v>2</v>
      </c>
      <c r="AN389" s="4">
        <v>2</v>
      </c>
      <c r="AO389" s="4">
        <v>2</v>
      </c>
      <c r="AP389" s="3" t="s">
        <v>51</v>
      </c>
      <c r="AQ389" s="3" t="s">
        <v>51</v>
      </c>
      <c r="AS389" s="6" t="str">
        <f>HYPERLINK("https://creighton-primo.hosted.exlibrisgroup.com/primo-explore/search?tab=default_tab&amp;search_scope=EVERYTHING&amp;vid=01CRU&amp;lang=en_US&amp;offset=0&amp;query=any,contains,991001805989702656","Catalog Record")</f>
        <v>Catalog Record</v>
      </c>
      <c r="AT389" s="6" t="str">
        <f>HYPERLINK("http://www.worldcat.org/oclc/4504498","WorldCat Record")</f>
        <v>WorldCat Record</v>
      </c>
    </row>
    <row r="390" spans="1:46" ht="41.25" customHeight="1" x14ac:dyDescent="0.25">
      <c r="A390" s="8" t="s">
        <v>51</v>
      </c>
      <c r="B390" s="2" t="s">
        <v>2640</v>
      </c>
      <c r="C390" s="2" t="s">
        <v>2641</v>
      </c>
      <c r="D390" s="2" t="s">
        <v>2642</v>
      </c>
      <c r="F390" s="3" t="s">
        <v>51</v>
      </c>
      <c r="G390" s="3" t="s">
        <v>50</v>
      </c>
      <c r="H390" s="3" t="s">
        <v>49</v>
      </c>
      <c r="I390" s="3" t="s">
        <v>51</v>
      </c>
      <c r="J390" s="3" t="s">
        <v>52</v>
      </c>
      <c r="L390" s="2" t="s">
        <v>2643</v>
      </c>
      <c r="M390" s="3" t="s">
        <v>298</v>
      </c>
      <c r="O390" s="3" t="s">
        <v>56</v>
      </c>
      <c r="P390" s="3" t="s">
        <v>202</v>
      </c>
      <c r="R390" s="3" t="s">
        <v>59</v>
      </c>
      <c r="S390" s="4">
        <v>6</v>
      </c>
      <c r="T390" s="4">
        <v>6</v>
      </c>
      <c r="U390" s="5" t="s">
        <v>2644</v>
      </c>
      <c r="V390" s="5" t="s">
        <v>2644</v>
      </c>
      <c r="W390" s="5" t="s">
        <v>2645</v>
      </c>
      <c r="X390" s="5" t="s">
        <v>2646</v>
      </c>
      <c r="Y390" s="4">
        <v>376</v>
      </c>
      <c r="Z390" s="4">
        <v>352</v>
      </c>
      <c r="AA390" s="4">
        <v>358</v>
      </c>
      <c r="AB390" s="4">
        <v>2</v>
      </c>
      <c r="AC390" s="4">
        <v>2</v>
      </c>
      <c r="AD390" s="4">
        <v>21</v>
      </c>
      <c r="AE390" s="4">
        <v>22</v>
      </c>
      <c r="AF390" s="4">
        <v>5</v>
      </c>
      <c r="AG390" s="4">
        <v>5</v>
      </c>
      <c r="AH390" s="4">
        <v>6</v>
      </c>
      <c r="AI390" s="4">
        <v>7</v>
      </c>
      <c r="AJ390" s="4">
        <v>13</v>
      </c>
      <c r="AK390" s="4">
        <v>14</v>
      </c>
      <c r="AL390" s="4">
        <v>0</v>
      </c>
      <c r="AM390" s="4">
        <v>0</v>
      </c>
      <c r="AN390" s="4">
        <v>5</v>
      </c>
      <c r="AO390" s="4">
        <v>5</v>
      </c>
      <c r="AP390" s="3" t="s">
        <v>51</v>
      </c>
      <c r="AQ390" s="3" t="s">
        <v>49</v>
      </c>
      <c r="AR390" s="6" t="str">
        <f>HYPERLINK("http://catalog.hathitrust.org/Record/002712368","HathiTrust Record")</f>
        <v>HathiTrust Record</v>
      </c>
      <c r="AS390" s="6" t="str">
        <f>HYPERLINK("https://creighton-primo.hosted.exlibrisgroup.com/primo-explore/search?tab=default_tab&amp;search_scope=EVERYTHING&amp;vid=01CRU&amp;lang=en_US&amp;offset=0&amp;query=any,contains,991001793489702656","Catalog Record")</f>
        <v>Catalog Record</v>
      </c>
      <c r="AT390" s="6" t="str">
        <f>HYPERLINK("http://www.worldcat.org/oclc/25964595","WorldCat Record")</f>
        <v>WorldCat Record</v>
      </c>
    </row>
    <row r="391" spans="1:46" ht="41.25" customHeight="1" x14ac:dyDescent="0.25">
      <c r="A391" s="8" t="s">
        <v>51</v>
      </c>
      <c r="B391" s="2" t="s">
        <v>801</v>
      </c>
      <c r="C391" s="2" t="s">
        <v>802</v>
      </c>
      <c r="D391" s="2" t="s">
        <v>803</v>
      </c>
      <c r="F391" s="3" t="s">
        <v>51</v>
      </c>
      <c r="G391" s="3" t="s">
        <v>50</v>
      </c>
      <c r="H391" s="3" t="s">
        <v>49</v>
      </c>
      <c r="I391" s="3" t="s">
        <v>51</v>
      </c>
      <c r="J391" s="3" t="s">
        <v>52</v>
      </c>
      <c r="L391" s="2" t="s">
        <v>804</v>
      </c>
      <c r="M391" s="3" t="s">
        <v>194</v>
      </c>
      <c r="N391" s="2" t="s">
        <v>245</v>
      </c>
      <c r="O391" s="3" t="s">
        <v>56</v>
      </c>
      <c r="P391" s="3" t="s">
        <v>79</v>
      </c>
      <c r="R391" s="3" t="s">
        <v>59</v>
      </c>
      <c r="S391" s="4">
        <v>7</v>
      </c>
      <c r="T391" s="4">
        <v>30</v>
      </c>
      <c r="U391" s="5" t="s">
        <v>2647</v>
      </c>
      <c r="V391" s="5" t="s">
        <v>805</v>
      </c>
      <c r="W391" s="5" t="s">
        <v>2648</v>
      </c>
      <c r="X391" s="5" t="s">
        <v>806</v>
      </c>
      <c r="Y391" s="4">
        <v>573</v>
      </c>
      <c r="Z391" s="4">
        <v>500</v>
      </c>
      <c r="AA391" s="4">
        <v>535</v>
      </c>
      <c r="AB391" s="4">
        <v>5</v>
      </c>
      <c r="AC391" s="4">
        <v>5</v>
      </c>
      <c r="AD391" s="4">
        <v>34</v>
      </c>
      <c r="AE391" s="4">
        <v>35</v>
      </c>
      <c r="AF391" s="4">
        <v>14</v>
      </c>
      <c r="AG391" s="4">
        <v>14</v>
      </c>
      <c r="AH391" s="4">
        <v>4</v>
      </c>
      <c r="AI391" s="4">
        <v>5</v>
      </c>
      <c r="AJ391" s="4">
        <v>18</v>
      </c>
      <c r="AK391" s="4">
        <v>18</v>
      </c>
      <c r="AL391" s="4">
        <v>2</v>
      </c>
      <c r="AM391" s="4">
        <v>2</v>
      </c>
      <c r="AN391" s="4">
        <v>5</v>
      </c>
      <c r="AO391" s="4">
        <v>5</v>
      </c>
      <c r="AP391" s="3" t="s">
        <v>51</v>
      </c>
      <c r="AQ391" s="3" t="s">
        <v>49</v>
      </c>
      <c r="AR391" s="6" t="str">
        <f>HYPERLINK("http://catalog.hathitrust.org/Record/000223371","HathiTrust Record")</f>
        <v>HathiTrust Record</v>
      </c>
      <c r="AS391" s="6" t="str">
        <f>HYPERLINK("https://creighton-primo.hosted.exlibrisgroup.com/primo-explore/search?tab=default_tab&amp;search_scope=EVERYTHING&amp;vid=01CRU&amp;lang=en_US&amp;offset=0&amp;query=any,contains,991001759909702656","Catalog Record")</f>
        <v>Catalog Record</v>
      </c>
      <c r="AT391" s="6" t="str">
        <f>HYPERLINK("http://www.worldcat.org/oclc/4262774","WorldCat Record")</f>
        <v>WorldCat Record</v>
      </c>
    </row>
    <row r="392" spans="1:46" ht="41.25" customHeight="1" x14ac:dyDescent="0.25">
      <c r="A392" s="8" t="s">
        <v>51</v>
      </c>
      <c r="B392" s="2" t="s">
        <v>2649</v>
      </c>
      <c r="C392" s="2" t="s">
        <v>2650</v>
      </c>
      <c r="D392" s="2" t="s">
        <v>809</v>
      </c>
      <c r="F392" s="3" t="s">
        <v>51</v>
      </c>
      <c r="G392" s="3" t="s">
        <v>50</v>
      </c>
      <c r="H392" s="3" t="s">
        <v>51</v>
      </c>
      <c r="I392" s="3" t="s">
        <v>49</v>
      </c>
      <c r="J392" s="3" t="s">
        <v>52</v>
      </c>
      <c r="L392" s="2" t="s">
        <v>2651</v>
      </c>
      <c r="M392" s="3" t="s">
        <v>218</v>
      </c>
      <c r="O392" s="3" t="s">
        <v>56</v>
      </c>
      <c r="P392" s="3" t="s">
        <v>87</v>
      </c>
      <c r="R392" s="3" t="s">
        <v>59</v>
      </c>
      <c r="S392" s="4">
        <v>12</v>
      </c>
      <c r="T392" s="4">
        <v>12</v>
      </c>
      <c r="U392" s="5" t="s">
        <v>2652</v>
      </c>
      <c r="V392" s="5" t="s">
        <v>2652</v>
      </c>
      <c r="W392" s="5" t="s">
        <v>2653</v>
      </c>
      <c r="X392" s="5" t="s">
        <v>2653</v>
      </c>
      <c r="Y392" s="4">
        <v>620</v>
      </c>
      <c r="Z392" s="4">
        <v>544</v>
      </c>
      <c r="AA392" s="4">
        <v>1001</v>
      </c>
      <c r="AB392" s="4">
        <v>7</v>
      </c>
      <c r="AC392" s="4">
        <v>12</v>
      </c>
      <c r="AD392" s="4">
        <v>27</v>
      </c>
      <c r="AE392" s="4">
        <v>55</v>
      </c>
      <c r="AF392" s="4">
        <v>7</v>
      </c>
      <c r="AG392" s="4">
        <v>18</v>
      </c>
      <c r="AH392" s="4">
        <v>6</v>
      </c>
      <c r="AI392" s="4">
        <v>10</v>
      </c>
      <c r="AJ392" s="4">
        <v>11</v>
      </c>
      <c r="AK392" s="4">
        <v>25</v>
      </c>
      <c r="AL392" s="4">
        <v>4</v>
      </c>
      <c r="AM392" s="4">
        <v>7</v>
      </c>
      <c r="AN392" s="4">
        <v>4</v>
      </c>
      <c r="AO392" s="4">
        <v>7</v>
      </c>
      <c r="AP392" s="3" t="s">
        <v>51</v>
      </c>
      <c r="AQ392" s="3" t="s">
        <v>49</v>
      </c>
      <c r="AR392" s="6" t="str">
        <f>HYPERLINK("http://catalog.hathitrust.org/Record/000129143","HathiTrust Record")</f>
        <v>HathiTrust Record</v>
      </c>
      <c r="AS392" s="6" t="str">
        <f>HYPERLINK("https://creighton-primo.hosted.exlibrisgroup.com/primo-explore/search?tab=default_tab&amp;search_scope=EVERYTHING&amp;vid=01CRU&amp;lang=en_US&amp;offset=0&amp;query=any,contains,991001183029702656","Catalog Record")</f>
        <v>Catalog Record</v>
      </c>
      <c r="AT392" s="6" t="str">
        <f>HYPERLINK("http://www.worldcat.org/oclc/2639189","WorldCat Record")</f>
        <v>WorldCat Record</v>
      </c>
    </row>
    <row r="393" spans="1:46" ht="41.25" customHeight="1" x14ac:dyDescent="0.25">
      <c r="A393" s="8" t="s">
        <v>51</v>
      </c>
      <c r="B393" s="2" t="s">
        <v>868</v>
      </c>
      <c r="C393" s="2" t="s">
        <v>869</v>
      </c>
      <c r="D393" s="2" t="s">
        <v>870</v>
      </c>
      <c r="F393" s="3" t="s">
        <v>51</v>
      </c>
      <c r="G393" s="3" t="s">
        <v>50</v>
      </c>
      <c r="H393" s="3" t="s">
        <v>49</v>
      </c>
      <c r="I393" s="3" t="s">
        <v>51</v>
      </c>
      <c r="J393" s="3" t="s">
        <v>52</v>
      </c>
      <c r="K393" s="2" t="s">
        <v>871</v>
      </c>
      <c r="L393" s="2" t="s">
        <v>872</v>
      </c>
      <c r="M393" s="3" t="s">
        <v>424</v>
      </c>
      <c r="N393" s="2" t="s">
        <v>245</v>
      </c>
      <c r="O393" s="3" t="s">
        <v>56</v>
      </c>
      <c r="P393" s="3" t="s">
        <v>229</v>
      </c>
      <c r="R393" s="3" t="s">
        <v>59</v>
      </c>
      <c r="S393" s="4">
        <v>7</v>
      </c>
      <c r="T393" s="4">
        <v>24</v>
      </c>
      <c r="U393" s="5" t="s">
        <v>2654</v>
      </c>
      <c r="V393" s="5" t="s">
        <v>873</v>
      </c>
      <c r="W393" s="5" t="s">
        <v>2655</v>
      </c>
      <c r="X393" s="5" t="s">
        <v>793</v>
      </c>
      <c r="Y393" s="4">
        <v>759</v>
      </c>
      <c r="Z393" s="4">
        <v>674</v>
      </c>
      <c r="AA393" s="4">
        <v>674</v>
      </c>
      <c r="AB393" s="4">
        <v>6</v>
      </c>
      <c r="AC393" s="4">
        <v>6</v>
      </c>
      <c r="AD393" s="4">
        <v>30</v>
      </c>
      <c r="AE393" s="4">
        <v>30</v>
      </c>
      <c r="AF393" s="4">
        <v>14</v>
      </c>
      <c r="AG393" s="4">
        <v>14</v>
      </c>
      <c r="AH393" s="4">
        <v>4</v>
      </c>
      <c r="AI393" s="4">
        <v>4</v>
      </c>
      <c r="AJ393" s="4">
        <v>17</v>
      </c>
      <c r="AK393" s="4">
        <v>17</v>
      </c>
      <c r="AL393" s="4">
        <v>3</v>
      </c>
      <c r="AM393" s="4">
        <v>3</v>
      </c>
      <c r="AN393" s="4">
        <v>0</v>
      </c>
      <c r="AO393" s="4">
        <v>0</v>
      </c>
      <c r="AP393" s="3" t="s">
        <v>51</v>
      </c>
      <c r="AQ393" s="3" t="s">
        <v>49</v>
      </c>
      <c r="AR393" s="6" t="str">
        <f>HYPERLINK("http://catalog.hathitrust.org/Record/010593937","HathiTrust Record")</f>
        <v>HathiTrust Record</v>
      </c>
      <c r="AS393" s="6" t="str">
        <f>HYPERLINK("https://creighton-primo.hosted.exlibrisgroup.com/primo-explore/search?tab=default_tab&amp;search_scope=EVERYTHING&amp;vid=01CRU&amp;lang=en_US&amp;offset=0&amp;query=any,contains,991001760449702656","Catalog Record")</f>
        <v>Catalog Record</v>
      </c>
      <c r="AT393" s="6" t="str">
        <f>HYPERLINK("http://www.worldcat.org/oclc/7197146","WorldCat Record")</f>
        <v>WorldCat Record</v>
      </c>
    </row>
    <row r="394" spans="1:46" ht="41.25" customHeight="1" x14ac:dyDescent="0.25">
      <c r="A394" s="8" t="s">
        <v>51</v>
      </c>
      <c r="B394" s="2" t="s">
        <v>2656</v>
      </c>
      <c r="C394" s="2" t="s">
        <v>2657</v>
      </c>
      <c r="D394" s="2" t="s">
        <v>2658</v>
      </c>
      <c r="F394" s="3" t="s">
        <v>51</v>
      </c>
      <c r="G394" s="3" t="s">
        <v>50</v>
      </c>
      <c r="H394" s="3" t="s">
        <v>51</v>
      </c>
      <c r="I394" s="3" t="s">
        <v>49</v>
      </c>
      <c r="J394" s="3" t="s">
        <v>50</v>
      </c>
      <c r="K394" s="2" t="s">
        <v>2659</v>
      </c>
      <c r="L394" s="2" t="s">
        <v>2660</v>
      </c>
      <c r="M394" s="3" t="s">
        <v>244</v>
      </c>
      <c r="O394" s="3" t="s">
        <v>56</v>
      </c>
      <c r="P394" s="3" t="s">
        <v>202</v>
      </c>
      <c r="R394" s="3" t="s">
        <v>59</v>
      </c>
      <c r="S394" s="4">
        <v>21</v>
      </c>
      <c r="T394" s="4">
        <v>21</v>
      </c>
      <c r="U394" s="5" t="s">
        <v>2661</v>
      </c>
      <c r="V394" s="5" t="s">
        <v>2661</v>
      </c>
      <c r="W394" s="5" t="s">
        <v>2662</v>
      </c>
      <c r="X394" s="5" t="s">
        <v>2662</v>
      </c>
      <c r="Y394" s="4">
        <v>358</v>
      </c>
      <c r="Z394" s="4">
        <v>301</v>
      </c>
      <c r="AA394" s="4">
        <v>1876</v>
      </c>
      <c r="AB394" s="4">
        <v>1</v>
      </c>
      <c r="AC394" s="4">
        <v>16</v>
      </c>
      <c r="AD394" s="4">
        <v>17</v>
      </c>
      <c r="AE394" s="4">
        <v>69</v>
      </c>
      <c r="AF394" s="4">
        <v>2</v>
      </c>
      <c r="AG394" s="4">
        <v>21</v>
      </c>
      <c r="AH394" s="4">
        <v>2</v>
      </c>
      <c r="AI394" s="4">
        <v>12</v>
      </c>
      <c r="AJ394" s="4">
        <v>6</v>
      </c>
      <c r="AK394" s="4">
        <v>23</v>
      </c>
      <c r="AL394" s="4">
        <v>0</v>
      </c>
      <c r="AM394" s="4">
        <v>14</v>
      </c>
      <c r="AN394" s="4">
        <v>8</v>
      </c>
      <c r="AO394" s="4">
        <v>10</v>
      </c>
      <c r="AP394" s="3" t="s">
        <v>51</v>
      </c>
      <c r="AQ394" s="3" t="s">
        <v>49</v>
      </c>
      <c r="AR394" s="6" t="str">
        <f>HYPERLINK("http://catalog.hathitrust.org/Record/003092627","HathiTrust Record")</f>
        <v>HathiTrust Record</v>
      </c>
      <c r="AS394" s="6" t="str">
        <f>HYPERLINK("https://creighton-primo.hosted.exlibrisgroup.com/primo-explore/search?tab=default_tab&amp;search_scope=EVERYTHING&amp;vid=01CRU&amp;lang=en_US&amp;offset=0&amp;query=any,contains,991001199159702656","Catalog Record")</f>
        <v>Catalog Record</v>
      </c>
      <c r="AT394" s="6" t="str">
        <f>HYPERLINK("http://www.worldcat.org/oclc/32052914","WorldCat Record")</f>
        <v>WorldCat Record</v>
      </c>
    </row>
    <row r="395" spans="1:46" ht="41.25" customHeight="1" x14ac:dyDescent="0.25">
      <c r="A395" s="8" t="s">
        <v>51</v>
      </c>
      <c r="B395" s="2" t="s">
        <v>2663</v>
      </c>
      <c r="C395" s="2" t="s">
        <v>2664</v>
      </c>
      <c r="D395" s="2" t="s">
        <v>2665</v>
      </c>
      <c r="F395" s="3" t="s">
        <v>51</v>
      </c>
      <c r="G395" s="3" t="s">
        <v>50</v>
      </c>
      <c r="H395" s="3" t="s">
        <v>51</v>
      </c>
      <c r="I395" s="3" t="s">
        <v>51</v>
      </c>
      <c r="J395" s="3" t="s">
        <v>52</v>
      </c>
      <c r="K395" s="2" t="s">
        <v>1367</v>
      </c>
      <c r="L395" s="2" t="s">
        <v>2666</v>
      </c>
      <c r="M395" s="3" t="s">
        <v>86</v>
      </c>
      <c r="O395" s="3" t="s">
        <v>56</v>
      </c>
      <c r="P395" s="3" t="s">
        <v>1799</v>
      </c>
      <c r="R395" s="3" t="s">
        <v>59</v>
      </c>
      <c r="S395" s="4">
        <v>10</v>
      </c>
      <c r="T395" s="4">
        <v>10</v>
      </c>
      <c r="U395" s="5" t="s">
        <v>2667</v>
      </c>
      <c r="V395" s="5" t="s">
        <v>2667</v>
      </c>
      <c r="W395" s="5" t="s">
        <v>2668</v>
      </c>
      <c r="X395" s="5" t="s">
        <v>2668</v>
      </c>
      <c r="Y395" s="4">
        <v>188</v>
      </c>
      <c r="Z395" s="4">
        <v>160</v>
      </c>
      <c r="AA395" s="4">
        <v>193</v>
      </c>
      <c r="AB395" s="4">
        <v>1</v>
      </c>
      <c r="AC395" s="4">
        <v>2</v>
      </c>
      <c r="AD395" s="4">
        <v>10</v>
      </c>
      <c r="AE395" s="4">
        <v>17</v>
      </c>
      <c r="AF395" s="4">
        <v>3</v>
      </c>
      <c r="AG395" s="4">
        <v>6</v>
      </c>
      <c r="AH395" s="4">
        <v>1</v>
      </c>
      <c r="AI395" s="4">
        <v>3</v>
      </c>
      <c r="AJ395" s="4">
        <v>7</v>
      </c>
      <c r="AK395" s="4">
        <v>9</v>
      </c>
      <c r="AL395" s="4">
        <v>0</v>
      </c>
      <c r="AM395" s="4">
        <v>1</v>
      </c>
      <c r="AN395" s="4">
        <v>1</v>
      </c>
      <c r="AO395" s="4">
        <v>1</v>
      </c>
      <c r="AP395" s="3" t="s">
        <v>51</v>
      </c>
      <c r="AQ395" s="3" t="s">
        <v>49</v>
      </c>
      <c r="AR395" s="6" t="str">
        <f>HYPERLINK("http://catalog.hathitrust.org/Record/002055900","HathiTrust Record")</f>
        <v>HathiTrust Record</v>
      </c>
      <c r="AS395" s="6" t="str">
        <f>HYPERLINK("https://creighton-primo.hosted.exlibrisgroup.com/primo-explore/search?tab=default_tab&amp;search_scope=EVERYTHING&amp;vid=01CRU&amp;lang=en_US&amp;offset=0&amp;query=any,contains,991001244819702656","Catalog Record")</f>
        <v>Catalog Record</v>
      </c>
      <c r="AT395" s="6" t="str">
        <f>HYPERLINK("http://www.worldcat.org/oclc/19116209","WorldCat Record")</f>
        <v>WorldCat Record</v>
      </c>
    </row>
    <row r="396" spans="1:46" ht="41.25" customHeight="1" x14ac:dyDescent="0.25">
      <c r="A396" s="8" t="s">
        <v>51</v>
      </c>
      <c r="B396" s="2" t="s">
        <v>907</v>
      </c>
      <c r="C396" s="2" t="s">
        <v>908</v>
      </c>
      <c r="D396" s="2" t="s">
        <v>909</v>
      </c>
      <c r="F396" s="3" t="s">
        <v>51</v>
      </c>
      <c r="G396" s="3" t="s">
        <v>50</v>
      </c>
      <c r="H396" s="3" t="s">
        <v>49</v>
      </c>
      <c r="I396" s="3" t="s">
        <v>49</v>
      </c>
      <c r="J396" s="3" t="s">
        <v>52</v>
      </c>
      <c r="K396" s="2" t="s">
        <v>910</v>
      </c>
      <c r="L396" s="2" t="s">
        <v>911</v>
      </c>
      <c r="M396" s="3" t="s">
        <v>851</v>
      </c>
      <c r="N396" s="2" t="s">
        <v>78</v>
      </c>
      <c r="O396" s="3" t="s">
        <v>56</v>
      </c>
      <c r="P396" s="3" t="s">
        <v>87</v>
      </c>
      <c r="R396" s="3" t="s">
        <v>59</v>
      </c>
      <c r="S396" s="4">
        <v>26</v>
      </c>
      <c r="T396" s="4">
        <v>34</v>
      </c>
      <c r="U396" s="5" t="s">
        <v>913</v>
      </c>
      <c r="V396" s="5" t="s">
        <v>913</v>
      </c>
      <c r="W396" s="5" t="s">
        <v>2278</v>
      </c>
      <c r="X396" s="5" t="s">
        <v>915</v>
      </c>
      <c r="Y396" s="4">
        <v>659</v>
      </c>
      <c r="Z396" s="4">
        <v>514</v>
      </c>
      <c r="AA396" s="4">
        <v>1398</v>
      </c>
      <c r="AB396" s="4">
        <v>4</v>
      </c>
      <c r="AC396" s="4">
        <v>14</v>
      </c>
      <c r="AD396" s="4">
        <v>36</v>
      </c>
      <c r="AE396" s="4">
        <v>73</v>
      </c>
      <c r="AF396" s="4">
        <v>11</v>
      </c>
      <c r="AG396" s="4">
        <v>22</v>
      </c>
      <c r="AH396" s="4">
        <v>8</v>
      </c>
      <c r="AI396" s="4">
        <v>12</v>
      </c>
      <c r="AJ396" s="4">
        <v>19</v>
      </c>
      <c r="AK396" s="4">
        <v>28</v>
      </c>
      <c r="AL396" s="4">
        <v>1</v>
      </c>
      <c r="AM396" s="4">
        <v>10</v>
      </c>
      <c r="AN396" s="4">
        <v>8</v>
      </c>
      <c r="AO396" s="4">
        <v>14</v>
      </c>
      <c r="AP396" s="3" t="s">
        <v>51</v>
      </c>
      <c r="AQ396" s="3" t="s">
        <v>49</v>
      </c>
      <c r="AR396" s="6" t="str">
        <f>HYPERLINK("http://catalog.hathitrust.org/Record/003019249","HathiTrust Record")</f>
        <v>HathiTrust Record</v>
      </c>
      <c r="AS396" s="6" t="str">
        <f>HYPERLINK("https://creighton-primo.hosted.exlibrisgroup.com/primo-explore/search?tab=default_tab&amp;search_scope=EVERYTHING&amp;vid=01CRU&amp;lang=en_US&amp;offset=0&amp;query=any,contains,991001664979702656","Catalog Record")</f>
        <v>Catalog Record</v>
      </c>
      <c r="AT396" s="6" t="str">
        <f>HYPERLINK("http://www.worldcat.org/oclc/31646988","WorldCat Record")</f>
        <v>WorldCat Record</v>
      </c>
    </row>
    <row r="397" spans="1:46" ht="41.25" customHeight="1" x14ac:dyDescent="0.25">
      <c r="A397" s="8" t="s">
        <v>51</v>
      </c>
      <c r="B397" s="2" t="s">
        <v>929</v>
      </c>
      <c r="C397" s="2" t="s">
        <v>930</v>
      </c>
      <c r="D397" s="2" t="s">
        <v>931</v>
      </c>
      <c r="F397" s="3" t="s">
        <v>51</v>
      </c>
      <c r="G397" s="3" t="s">
        <v>50</v>
      </c>
      <c r="H397" s="3" t="s">
        <v>49</v>
      </c>
      <c r="I397" s="3" t="s">
        <v>51</v>
      </c>
      <c r="J397" s="3" t="s">
        <v>52</v>
      </c>
      <c r="L397" s="2" t="s">
        <v>932</v>
      </c>
      <c r="M397" s="3" t="s">
        <v>271</v>
      </c>
      <c r="O397" s="3" t="s">
        <v>56</v>
      </c>
      <c r="P397" s="3" t="s">
        <v>79</v>
      </c>
      <c r="R397" s="3" t="s">
        <v>59</v>
      </c>
      <c r="S397" s="4">
        <v>11</v>
      </c>
      <c r="T397" s="4">
        <v>19</v>
      </c>
      <c r="U397" s="5" t="s">
        <v>2669</v>
      </c>
      <c r="V397" s="5" t="s">
        <v>818</v>
      </c>
      <c r="W397" s="5" t="s">
        <v>2596</v>
      </c>
      <c r="X397" s="5" t="s">
        <v>933</v>
      </c>
      <c r="Y397" s="4">
        <v>971</v>
      </c>
      <c r="Z397" s="4">
        <v>833</v>
      </c>
      <c r="AA397" s="4">
        <v>850</v>
      </c>
      <c r="AB397" s="4">
        <v>4</v>
      </c>
      <c r="AC397" s="4">
        <v>4</v>
      </c>
      <c r="AD397" s="4">
        <v>46</v>
      </c>
      <c r="AE397" s="4">
        <v>46</v>
      </c>
      <c r="AF397" s="4">
        <v>16</v>
      </c>
      <c r="AG397" s="4">
        <v>16</v>
      </c>
      <c r="AH397" s="4">
        <v>8</v>
      </c>
      <c r="AI397" s="4">
        <v>8</v>
      </c>
      <c r="AJ397" s="4">
        <v>19</v>
      </c>
      <c r="AK397" s="4">
        <v>19</v>
      </c>
      <c r="AL397" s="4">
        <v>2</v>
      </c>
      <c r="AM397" s="4">
        <v>2</v>
      </c>
      <c r="AN397" s="4">
        <v>10</v>
      </c>
      <c r="AO397" s="4">
        <v>10</v>
      </c>
      <c r="AP397" s="3" t="s">
        <v>51</v>
      </c>
      <c r="AQ397" s="3" t="s">
        <v>49</v>
      </c>
      <c r="AR397" s="6" t="str">
        <f>HYPERLINK("http://catalog.hathitrust.org/Record/000173223","HathiTrust Record")</f>
        <v>HathiTrust Record</v>
      </c>
      <c r="AS397" s="6" t="str">
        <f>HYPERLINK("https://creighton-primo.hosted.exlibrisgroup.com/primo-explore/search?tab=default_tab&amp;search_scope=EVERYTHING&amp;vid=01CRU&amp;lang=en_US&amp;offset=0&amp;query=any,contains,991001788119702656","Catalog Record")</f>
        <v>Catalog Record</v>
      </c>
      <c r="AT397" s="6" t="str">
        <f>HYPERLINK("http://www.worldcat.org/oclc/2797893","WorldCat Record")</f>
        <v>WorldCat Record</v>
      </c>
    </row>
    <row r="398" spans="1:46" ht="41.25" customHeight="1" x14ac:dyDescent="0.25">
      <c r="A398" s="8" t="s">
        <v>51</v>
      </c>
      <c r="B398" s="2" t="s">
        <v>2670</v>
      </c>
      <c r="C398" s="2" t="s">
        <v>2671</v>
      </c>
      <c r="D398" s="2" t="s">
        <v>2672</v>
      </c>
      <c r="F398" s="3" t="s">
        <v>51</v>
      </c>
      <c r="G398" s="3" t="s">
        <v>50</v>
      </c>
      <c r="H398" s="3" t="s">
        <v>49</v>
      </c>
      <c r="I398" s="3" t="s">
        <v>51</v>
      </c>
      <c r="J398" s="3" t="s">
        <v>50</v>
      </c>
      <c r="L398" s="2" t="s">
        <v>911</v>
      </c>
      <c r="M398" s="3" t="s">
        <v>851</v>
      </c>
      <c r="O398" s="3" t="s">
        <v>56</v>
      </c>
      <c r="P398" s="3" t="s">
        <v>87</v>
      </c>
      <c r="R398" s="3" t="s">
        <v>59</v>
      </c>
      <c r="S398" s="4">
        <v>9</v>
      </c>
      <c r="T398" s="4">
        <v>10</v>
      </c>
      <c r="U398" s="5" t="s">
        <v>2673</v>
      </c>
      <c r="V398" s="5" t="s">
        <v>2674</v>
      </c>
      <c r="W398" s="5" t="s">
        <v>2675</v>
      </c>
      <c r="X398" s="5" t="s">
        <v>2676</v>
      </c>
      <c r="Y398" s="4">
        <v>645</v>
      </c>
      <c r="Z398" s="4">
        <v>481</v>
      </c>
      <c r="AA398" s="4">
        <v>1334</v>
      </c>
      <c r="AB398" s="4">
        <v>3</v>
      </c>
      <c r="AC398" s="4">
        <v>16</v>
      </c>
      <c r="AD398" s="4">
        <v>29</v>
      </c>
      <c r="AE398" s="4">
        <v>61</v>
      </c>
      <c r="AF398" s="4">
        <v>8</v>
      </c>
      <c r="AG398" s="4">
        <v>18</v>
      </c>
      <c r="AH398" s="4">
        <v>5</v>
      </c>
      <c r="AI398" s="4">
        <v>11</v>
      </c>
      <c r="AJ398" s="4">
        <v>17</v>
      </c>
      <c r="AK398" s="4">
        <v>22</v>
      </c>
      <c r="AL398" s="4">
        <v>1</v>
      </c>
      <c r="AM398" s="4">
        <v>13</v>
      </c>
      <c r="AN398" s="4">
        <v>7</v>
      </c>
      <c r="AO398" s="4">
        <v>8</v>
      </c>
      <c r="AP398" s="3" t="s">
        <v>51</v>
      </c>
      <c r="AQ398" s="3" t="s">
        <v>51</v>
      </c>
      <c r="AS398" s="6" t="str">
        <f>HYPERLINK("https://creighton-primo.hosted.exlibrisgroup.com/primo-explore/search?tab=default_tab&amp;search_scope=EVERYTHING&amp;vid=01CRU&amp;lang=en_US&amp;offset=0&amp;query=any,contains,991001790559702656","Catalog Record")</f>
        <v>Catalog Record</v>
      </c>
      <c r="AT398" s="6" t="str">
        <f>HYPERLINK("http://www.worldcat.org/oclc/30734599","WorldCat Record")</f>
        <v>WorldCat Record</v>
      </c>
    </row>
    <row r="399" spans="1:46" ht="41.25" customHeight="1" x14ac:dyDescent="0.25">
      <c r="A399" s="8" t="s">
        <v>51</v>
      </c>
      <c r="B399" s="2" t="s">
        <v>941</v>
      </c>
      <c r="C399" s="2" t="s">
        <v>942</v>
      </c>
      <c r="D399" s="2" t="s">
        <v>943</v>
      </c>
      <c r="F399" s="3" t="s">
        <v>51</v>
      </c>
      <c r="G399" s="3" t="s">
        <v>50</v>
      </c>
      <c r="H399" s="3" t="s">
        <v>49</v>
      </c>
      <c r="I399" s="3" t="s">
        <v>51</v>
      </c>
      <c r="J399" s="3" t="s">
        <v>52</v>
      </c>
      <c r="K399" s="2" t="s">
        <v>944</v>
      </c>
      <c r="L399" s="2" t="s">
        <v>945</v>
      </c>
      <c r="M399" s="3" t="s">
        <v>211</v>
      </c>
      <c r="O399" s="3" t="s">
        <v>56</v>
      </c>
      <c r="P399" s="3" t="s">
        <v>87</v>
      </c>
      <c r="R399" s="3" t="s">
        <v>59</v>
      </c>
      <c r="S399" s="4">
        <v>6</v>
      </c>
      <c r="T399" s="4">
        <v>31</v>
      </c>
      <c r="U399" s="5" t="s">
        <v>2677</v>
      </c>
      <c r="V399" s="5" t="s">
        <v>946</v>
      </c>
      <c r="W399" s="5" t="s">
        <v>2678</v>
      </c>
      <c r="X399" s="5" t="s">
        <v>947</v>
      </c>
      <c r="Y399" s="4">
        <v>940</v>
      </c>
      <c r="Z399" s="4">
        <v>824</v>
      </c>
      <c r="AA399" s="4">
        <v>830</v>
      </c>
      <c r="AB399" s="4">
        <v>4</v>
      </c>
      <c r="AC399" s="4">
        <v>4</v>
      </c>
      <c r="AD399" s="4">
        <v>31</v>
      </c>
      <c r="AE399" s="4">
        <v>31</v>
      </c>
      <c r="AF399" s="4">
        <v>12</v>
      </c>
      <c r="AG399" s="4">
        <v>12</v>
      </c>
      <c r="AH399" s="4">
        <v>7</v>
      </c>
      <c r="AI399" s="4">
        <v>7</v>
      </c>
      <c r="AJ399" s="4">
        <v>16</v>
      </c>
      <c r="AK399" s="4">
        <v>16</v>
      </c>
      <c r="AL399" s="4">
        <v>2</v>
      </c>
      <c r="AM399" s="4">
        <v>2</v>
      </c>
      <c r="AN399" s="4">
        <v>1</v>
      </c>
      <c r="AO399" s="4">
        <v>1</v>
      </c>
      <c r="AP399" s="3" t="s">
        <v>51</v>
      </c>
      <c r="AQ399" s="3" t="s">
        <v>49</v>
      </c>
      <c r="AR399" s="6" t="str">
        <f>HYPERLINK("http://catalog.hathitrust.org/Record/000301063","HathiTrust Record")</f>
        <v>HathiTrust Record</v>
      </c>
      <c r="AS399" s="6" t="str">
        <f>HYPERLINK("https://creighton-primo.hosted.exlibrisgroup.com/primo-explore/search?tab=default_tab&amp;search_scope=EVERYTHING&amp;vid=01CRU&amp;lang=en_US&amp;offset=0&amp;query=any,contains,991001789299702656","Catalog Record")</f>
        <v>Catalog Record</v>
      </c>
      <c r="AT399" s="6" t="str">
        <f>HYPERLINK("http://www.worldcat.org/oclc/4946250","WorldCat Record")</f>
        <v>WorldCat Record</v>
      </c>
    </row>
    <row r="400" spans="1:46" ht="41.25" customHeight="1" x14ac:dyDescent="0.25">
      <c r="A400" s="8" t="s">
        <v>51</v>
      </c>
      <c r="B400" s="2" t="s">
        <v>982</v>
      </c>
      <c r="C400" s="2" t="s">
        <v>983</v>
      </c>
      <c r="D400" s="2" t="s">
        <v>984</v>
      </c>
      <c r="F400" s="3" t="s">
        <v>51</v>
      </c>
      <c r="G400" s="3" t="s">
        <v>50</v>
      </c>
      <c r="H400" s="3" t="s">
        <v>49</v>
      </c>
      <c r="I400" s="3" t="s">
        <v>51</v>
      </c>
      <c r="J400" s="3" t="s">
        <v>52</v>
      </c>
      <c r="K400" s="2" t="s">
        <v>985</v>
      </c>
      <c r="L400" s="2" t="s">
        <v>986</v>
      </c>
      <c r="M400" s="3" t="s">
        <v>154</v>
      </c>
      <c r="O400" s="3" t="s">
        <v>56</v>
      </c>
      <c r="P400" s="3" t="s">
        <v>87</v>
      </c>
      <c r="R400" s="3" t="s">
        <v>59</v>
      </c>
      <c r="S400" s="4">
        <v>6</v>
      </c>
      <c r="T400" s="4">
        <v>8</v>
      </c>
      <c r="U400" s="5" t="s">
        <v>2679</v>
      </c>
      <c r="V400" s="5" t="s">
        <v>139</v>
      </c>
      <c r="W400" s="5" t="s">
        <v>2653</v>
      </c>
      <c r="X400" s="5" t="s">
        <v>485</v>
      </c>
      <c r="Y400" s="4">
        <v>473</v>
      </c>
      <c r="Z400" s="4">
        <v>434</v>
      </c>
      <c r="AA400" s="4">
        <v>619</v>
      </c>
      <c r="AB400" s="4">
        <v>2</v>
      </c>
      <c r="AC400" s="4">
        <v>2</v>
      </c>
      <c r="AD400" s="4">
        <v>13</v>
      </c>
      <c r="AE400" s="4">
        <v>24</v>
      </c>
      <c r="AF400" s="4">
        <v>7</v>
      </c>
      <c r="AG400" s="4">
        <v>9</v>
      </c>
      <c r="AH400" s="4">
        <v>2</v>
      </c>
      <c r="AI400" s="4">
        <v>5</v>
      </c>
      <c r="AJ400" s="4">
        <v>10</v>
      </c>
      <c r="AK400" s="4">
        <v>14</v>
      </c>
      <c r="AL400" s="4">
        <v>0</v>
      </c>
      <c r="AM400" s="4">
        <v>0</v>
      </c>
      <c r="AN400" s="4">
        <v>0</v>
      </c>
      <c r="AO400" s="4">
        <v>4</v>
      </c>
      <c r="AP400" s="3" t="s">
        <v>51</v>
      </c>
      <c r="AQ400" s="3" t="s">
        <v>49</v>
      </c>
      <c r="AR400" s="6" t="str">
        <f>HYPERLINK("http://catalog.hathitrust.org/Record/000270643","HathiTrust Record")</f>
        <v>HathiTrust Record</v>
      </c>
      <c r="AS400" s="6" t="str">
        <f>HYPERLINK("https://creighton-primo.hosted.exlibrisgroup.com/primo-explore/search?tab=default_tab&amp;search_scope=EVERYTHING&amp;vid=01CRU&amp;lang=en_US&amp;offset=0&amp;query=any,contains,991001789369702656","Catalog Record")</f>
        <v>Catalog Record</v>
      </c>
      <c r="AT400" s="6" t="str">
        <f>HYPERLINK("http://www.worldcat.org/oclc/8306792","WorldCat Record")</f>
        <v>WorldCat Record</v>
      </c>
    </row>
    <row r="401" spans="1:46" ht="41.25" customHeight="1" x14ac:dyDescent="0.25">
      <c r="A401" s="8" t="s">
        <v>51</v>
      </c>
      <c r="B401" s="2" t="s">
        <v>987</v>
      </c>
      <c r="C401" s="2" t="s">
        <v>988</v>
      </c>
      <c r="D401" s="2" t="s">
        <v>989</v>
      </c>
      <c r="F401" s="3" t="s">
        <v>51</v>
      </c>
      <c r="G401" s="3" t="s">
        <v>50</v>
      </c>
      <c r="H401" s="3" t="s">
        <v>49</v>
      </c>
      <c r="I401" s="3" t="s">
        <v>51</v>
      </c>
      <c r="J401" s="3" t="s">
        <v>52</v>
      </c>
      <c r="K401" s="2" t="s">
        <v>990</v>
      </c>
      <c r="L401" s="2" t="s">
        <v>991</v>
      </c>
      <c r="M401" s="3" t="s">
        <v>201</v>
      </c>
      <c r="O401" s="3" t="s">
        <v>56</v>
      </c>
      <c r="P401" s="3" t="s">
        <v>992</v>
      </c>
      <c r="R401" s="3" t="s">
        <v>59</v>
      </c>
      <c r="S401" s="4">
        <v>13</v>
      </c>
      <c r="T401" s="4">
        <v>33</v>
      </c>
      <c r="U401" s="5" t="s">
        <v>2680</v>
      </c>
      <c r="V401" s="5" t="s">
        <v>993</v>
      </c>
      <c r="W401" s="5" t="s">
        <v>2597</v>
      </c>
      <c r="X401" s="5" t="s">
        <v>994</v>
      </c>
      <c r="Y401" s="4">
        <v>471</v>
      </c>
      <c r="Z401" s="4">
        <v>410</v>
      </c>
      <c r="AA401" s="4">
        <v>467</v>
      </c>
      <c r="AB401" s="4">
        <v>5</v>
      </c>
      <c r="AC401" s="4">
        <v>5</v>
      </c>
      <c r="AD401" s="4">
        <v>26</v>
      </c>
      <c r="AE401" s="4">
        <v>29</v>
      </c>
      <c r="AF401" s="4">
        <v>7</v>
      </c>
      <c r="AG401" s="4">
        <v>8</v>
      </c>
      <c r="AH401" s="4">
        <v>7</v>
      </c>
      <c r="AI401" s="4">
        <v>8</v>
      </c>
      <c r="AJ401" s="4">
        <v>18</v>
      </c>
      <c r="AK401" s="4">
        <v>20</v>
      </c>
      <c r="AL401" s="4">
        <v>1</v>
      </c>
      <c r="AM401" s="4">
        <v>1</v>
      </c>
      <c r="AN401" s="4">
        <v>1</v>
      </c>
      <c r="AO401" s="4">
        <v>1</v>
      </c>
      <c r="AP401" s="3" t="s">
        <v>51</v>
      </c>
      <c r="AQ401" s="3" t="s">
        <v>51</v>
      </c>
      <c r="AS401" s="6" t="str">
        <f>HYPERLINK("https://creighton-primo.hosted.exlibrisgroup.com/primo-explore/search?tab=default_tab&amp;search_scope=EVERYTHING&amp;vid=01CRU&amp;lang=en_US&amp;offset=0&amp;query=any,contains,991001789509702656","Catalog Record")</f>
        <v>Catalog Record</v>
      </c>
      <c r="AT401" s="6" t="str">
        <f>HYPERLINK("http://www.worldcat.org/oclc/524317","WorldCat Record")</f>
        <v>WorldCat Record</v>
      </c>
    </row>
    <row r="402" spans="1:46" ht="41.25" customHeight="1" x14ac:dyDescent="0.25">
      <c r="A402" s="8" t="s">
        <v>51</v>
      </c>
      <c r="B402" s="2" t="s">
        <v>1027</v>
      </c>
      <c r="C402" s="2" t="s">
        <v>1028</v>
      </c>
      <c r="D402" s="2" t="s">
        <v>1029</v>
      </c>
      <c r="F402" s="3" t="s">
        <v>51</v>
      </c>
      <c r="G402" s="3" t="s">
        <v>50</v>
      </c>
      <c r="H402" s="3" t="s">
        <v>49</v>
      </c>
      <c r="I402" s="3" t="s">
        <v>51</v>
      </c>
      <c r="J402" s="3" t="s">
        <v>52</v>
      </c>
      <c r="K402" s="2" t="s">
        <v>1030</v>
      </c>
      <c r="L402" s="2" t="s">
        <v>1031</v>
      </c>
      <c r="M402" s="3" t="s">
        <v>1032</v>
      </c>
      <c r="O402" s="3" t="s">
        <v>56</v>
      </c>
      <c r="P402" s="3" t="s">
        <v>69</v>
      </c>
      <c r="R402" s="3" t="s">
        <v>59</v>
      </c>
      <c r="S402" s="4">
        <v>5</v>
      </c>
      <c r="T402" s="4">
        <v>5</v>
      </c>
      <c r="U402" s="5" t="s">
        <v>1033</v>
      </c>
      <c r="V402" s="5" t="s">
        <v>1033</v>
      </c>
      <c r="W402" s="5" t="s">
        <v>2653</v>
      </c>
      <c r="X402" s="5" t="s">
        <v>239</v>
      </c>
      <c r="Y402" s="4">
        <v>131</v>
      </c>
      <c r="Z402" s="4">
        <v>114</v>
      </c>
      <c r="AA402" s="4">
        <v>363</v>
      </c>
      <c r="AB402" s="4">
        <v>2</v>
      </c>
      <c r="AC402" s="4">
        <v>6</v>
      </c>
      <c r="AD402" s="4">
        <v>17</v>
      </c>
      <c r="AE402" s="4">
        <v>35</v>
      </c>
      <c r="AF402" s="4">
        <v>5</v>
      </c>
      <c r="AG402" s="4">
        <v>10</v>
      </c>
      <c r="AH402" s="4">
        <v>3</v>
      </c>
      <c r="AI402" s="4">
        <v>7</v>
      </c>
      <c r="AJ402" s="4">
        <v>15</v>
      </c>
      <c r="AK402" s="4">
        <v>18</v>
      </c>
      <c r="AL402" s="4">
        <v>0</v>
      </c>
      <c r="AM402" s="4">
        <v>2</v>
      </c>
      <c r="AN402" s="4">
        <v>0</v>
      </c>
      <c r="AO402" s="4">
        <v>7</v>
      </c>
      <c r="AP402" s="3" t="s">
        <v>49</v>
      </c>
      <c r="AQ402" s="3" t="s">
        <v>51</v>
      </c>
      <c r="AR402" s="6" t="str">
        <f>HYPERLINK("http://catalog.hathitrust.org/Record/102256773","HathiTrust Record")</f>
        <v>HathiTrust Record</v>
      </c>
      <c r="AS402" s="6" t="str">
        <f>HYPERLINK("https://creighton-primo.hosted.exlibrisgroup.com/primo-explore/search?tab=default_tab&amp;search_scope=EVERYTHING&amp;vid=01CRU&amp;lang=en_US&amp;offset=0&amp;query=any,contains,991001792199702656","Catalog Record")</f>
        <v>Catalog Record</v>
      </c>
      <c r="AT402" s="6" t="str">
        <f>HYPERLINK("http://www.worldcat.org/oclc/368281","WorldCat Record")</f>
        <v>WorldCat Record</v>
      </c>
    </row>
    <row r="403" spans="1:46" ht="41.25" customHeight="1" x14ac:dyDescent="0.25">
      <c r="A403" s="8" t="s">
        <v>51</v>
      </c>
      <c r="B403" s="2" t="s">
        <v>1048</v>
      </c>
      <c r="C403" s="2" t="s">
        <v>1049</v>
      </c>
      <c r="D403" s="2" t="s">
        <v>1050</v>
      </c>
      <c r="F403" s="3" t="s">
        <v>51</v>
      </c>
      <c r="G403" s="3" t="s">
        <v>50</v>
      </c>
      <c r="H403" s="3" t="s">
        <v>49</v>
      </c>
      <c r="I403" s="3" t="s">
        <v>49</v>
      </c>
      <c r="J403" s="3" t="s">
        <v>52</v>
      </c>
      <c r="K403" s="2" t="s">
        <v>1043</v>
      </c>
      <c r="L403" s="2" t="s">
        <v>1052</v>
      </c>
      <c r="M403" s="3" t="s">
        <v>1053</v>
      </c>
      <c r="N403" s="2" t="s">
        <v>1054</v>
      </c>
      <c r="O403" s="3" t="s">
        <v>56</v>
      </c>
      <c r="P403" s="3" t="s">
        <v>229</v>
      </c>
      <c r="R403" s="3" t="s">
        <v>59</v>
      </c>
      <c r="S403" s="4">
        <v>5</v>
      </c>
      <c r="T403" s="4">
        <v>9</v>
      </c>
      <c r="V403" s="5" t="s">
        <v>1055</v>
      </c>
      <c r="W403" s="5" t="s">
        <v>2681</v>
      </c>
      <c r="X403" s="5" t="s">
        <v>1056</v>
      </c>
      <c r="Y403" s="4">
        <v>336</v>
      </c>
      <c r="Z403" s="4">
        <v>300</v>
      </c>
      <c r="AA403" s="4">
        <v>622</v>
      </c>
      <c r="AB403" s="4">
        <v>4</v>
      </c>
      <c r="AC403" s="4">
        <v>8</v>
      </c>
      <c r="AD403" s="4">
        <v>17</v>
      </c>
      <c r="AE403" s="4">
        <v>38</v>
      </c>
      <c r="AF403" s="4">
        <v>4</v>
      </c>
      <c r="AG403" s="4">
        <v>9</v>
      </c>
      <c r="AH403" s="4">
        <v>4</v>
      </c>
      <c r="AI403" s="4">
        <v>8</v>
      </c>
      <c r="AJ403" s="4">
        <v>12</v>
      </c>
      <c r="AK403" s="4">
        <v>18</v>
      </c>
      <c r="AL403" s="4">
        <v>1</v>
      </c>
      <c r="AM403" s="4">
        <v>3</v>
      </c>
      <c r="AN403" s="4">
        <v>0</v>
      </c>
      <c r="AO403" s="4">
        <v>7</v>
      </c>
      <c r="AP403" s="3" t="s">
        <v>51</v>
      </c>
      <c r="AQ403" s="3" t="s">
        <v>49</v>
      </c>
      <c r="AR403" s="6" t="str">
        <f>HYPERLINK("http://catalog.hathitrust.org/Record/001557837","HathiTrust Record")</f>
        <v>HathiTrust Record</v>
      </c>
      <c r="AS403" s="6" t="str">
        <f>HYPERLINK("https://creighton-primo.hosted.exlibrisgroup.com/primo-explore/search?tab=default_tab&amp;search_scope=EVERYTHING&amp;vid=01CRU&amp;lang=en_US&amp;offset=0&amp;query=any,contains,991001787309702656","Catalog Record")</f>
        <v>Catalog Record</v>
      </c>
      <c r="AT403" s="6" t="str">
        <f>HYPERLINK("http://www.worldcat.org/oclc/618880","WorldCat Record")</f>
        <v>WorldCat Record</v>
      </c>
    </row>
    <row r="404" spans="1:46" ht="41.25" customHeight="1" x14ac:dyDescent="0.25">
      <c r="A404" s="8" t="s">
        <v>51</v>
      </c>
      <c r="B404" s="2" t="s">
        <v>1090</v>
      </c>
      <c r="C404" s="2" t="s">
        <v>1091</v>
      </c>
      <c r="D404" s="2" t="s">
        <v>1092</v>
      </c>
      <c r="F404" s="3" t="s">
        <v>51</v>
      </c>
      <c r="G404" s="3" t="s">
        <v>50</v>
      </c>
      <c r="H404" s="3" t="s">
        <v>49</v>
      </c>
      <c r="I404" s="3" t="s">
        <v>51</v>
      </c>
      <c r="J404" s="3" t="s">
        <v>52</v>
      </c>
      <c r="L404" s="2" t="s">
        <v>1093</v>
      </c>
      <c r="M404" s="3" t="s">
        <v>186</v>
      </c>
      <c r="O404" s="3" t="s">
        <v>56</v>
      </c>
      <c r="P404" s="3" t="s">
        <v>79</v>
      </c>
      <c r="R404" s="3" t="s">
        <v>59</v>
      </c>
      <c r="S404" s="4">
        <v>18</v>
      </c>
      <c r="T404" s="4">
        <v>38</v>
      </c>
      <c r="U404" s="5" t="s">
        <v>1033</v>
      </c>
      <c r="V404" s="5" t="s">
        <v>1000</v>
      </c>
      <c r="W404" s="5" t="s">
        <v>2682</v>
      </c>
      <c r="X404" s="5" t="s">
        <v>1094</v>
      </c>
      <c r="Y404" s="4">
        <v>598</v>
      </c>
      <c r="Z404" s="4">
        <v>513</v>
      </c>
      <c r="AA404" s="4">
        <v>513</v>
      </c>
      <c r="AB404" s="4">
        <v>3</v>
      </c>
      <c r="AC404" s="4">
        <v>3</v>
      </c>
      <c r="AD404" s="4">
        <v>28</v>
      </c>
      <c r="AE404" s="4">
        <v>28</v>
      </c>
      <c r="AF404" s="4">
        <v>10</v>
      </c>
      <c r="AG404" s="4">
        <v>10</v>
      </c>
      <c r="AH404" s="4">
        <v>4</v>
      </c>
      <c r="AI404" s="4">
        <v>4</v>
      </c>
      <c r="AJ404" s="4">
        <v>16</v>
      </c>
      <c r="AK404" s="4">
        <v>16</v>
      </c>
      <c r="AL404" s="4">
        <v>0</v>
      </c>
      <c r="AM404" s="4">
        <v>0</v>
      </c>
      <c r="AN404" s="4">
        <v>6</v>
      </c>
      <c r="AO404" s="4">
        <v>6</v>
      </c>
      <c r="AP404" s="3" t="s">
        <v>51</v>
      </c>
      <c r="AQ404" s="3" t="s">
        <v>51</v>
      </c>
      <c r="AS404" s="6" t="str">
        <f>HYPERLINK("https://creighton-primo.hosted.exlibrisgroup.com/primo-explore/search?tab=default_tab&amp;search_scope=EVERYTHING&amp;vid=01CRU&amp;lang=en_US&amp;offset=0&amp;query=any,contains,991001624319702656","Catalog Record")</f>
        <v>Catalog Record</v>
      </c>
      <c r="AT404" s="6" t="str">
        <f>HYPERLINK("http://www.worldcat.org/oclc/9066415","WorldCat Record")</f>
        <v>WorldCat Record</v>
      </c>
    </row>
    <row r="405" spans="1:46" ht="41.25" customHeight="1" x14ac:dyDescent="0.25">
      <c r="A405" s="8" t="s">
        <v>51</v>
      </c>
      <c r="B405" s="2" t="s">
        <v>1115</v>
      </c>
      <c r="C405" s="2" t="s">
        <v>1116</v>
      </c>
      <c r="D405" s="2" t="s">
        <v>1117</v>
      </c>
      <c r="F405" s="3" t="s">
        <v>51</v>
      </c>
      <c r="G405" s="3" t="s">
        <v>50</v>
      </c>
      <c r="H405" s="3" t="s">
        <v>49</v>
      </c>
      <c r="I405" s="3" t="s">
        <v>51</v>
      </c>
      <c r="J405" s="3" t="s">
        <v>52</v>
      </c>
      <c r="L405" s="2" t="s">
        <v>1118</v>
      </c>
      <c r="M405" s="3" t="s">
        <v>194</v>
      </c>
      <c r="O405" s="3" t="s">
        <v>56</v>
      </c>
      <c r="P405" s="3" t="s">
        <v>229</v>
      </c>
      <c r="Q405" s="2" t="s">
        <v>1119</v>
      </c>
      <c r="R405" s="3" t="s">
        <v>59</v>
      </c>
      <c r="S405" s="4">
        <v>5</v>
      </c>
      <c r="T405" s="4">
        <v>10</v>
      </c>
      <c r="U405" s="5" t="s">
        <v>2683</v>
      </c>
      <c r="V405" s="5" t="s">
        <v>940</v>
      </c>
      <c r="W405" s="5" t="s">
        <v>2684</v>
      </c>
      <c r="X405" s="5" t="s">
        <v>765</v>
      </c>
      <c r="Y405" s="4">
        <v>389</v>
      </c>
      <c r="Z405" s="4">
        <v>343</v>
      </c>
      <c r="AA405" s="4">
        <v>352</v>
      </c>
      <c r="AB405" s="4">
        <v>3</v>
      </c>
      <c r="AC405" s="4">
        <v>3</v>
      </c>
      <c r="AD405" s="4">
        <v>15</v>
      </c>
      <c r="AE405" s="4">
        <v>15</v>
      </c>
      <c r="AF405" s="4">
        <v>4</v>
      </c>
      <c r="AG405" s="4">
        <v>4</v>
      </c>
      <c r="AH405" s="4">
        <v>2</v>
      </c>
      <c r="AI405" s="4">
        <v>2</v>
      </c>
      <c r="AJ405" s="4">
        <v>9</v>
      </c>
      <c r="AK405" s="4">
        <v>9</v>
      </c>
      <c r="AL405" s="4">
        <v>1</v>
      </c>
      <c r="AM405" s="4">
        <v>1</v>
      </c>
      <c r="AN405" s="4">
        <v>3</v>
      </c>
      <c r="AO405" s="4">
        <v>3</v>
      </c>
      <c r="AP405" s="3" t="s">
        <v>51</v>
      </c>
      <c r="AQ405" s="3" t="s">
        <v>51</v>
      </c>
      <c r="AS405" s="6" t="str">
        <f>HYPERLINK("https://creighton-primo.hosted.exlibrisgroup.com/primo-explore/search?tab=default_tab&amp;search_scope=EVERYTHING&amp;vid=01CRU&amp;lang=en_US&amp;offset=0&amp;query=any,contains,991001792399702656","Catalog Record")</f>
        <v>Catalog Record</v>
      </c>
      <c r="AT405" s="6" t="str">
        <f>HYPERLINK("http://www.worldcat.org/oclc/3964331","WorldCat Record")</f>
        <v>WorldCat Record</v>
      </c>
    </row>
    <row r="406" spans="1:46" ht="41.25" customHeight="1" x14ac:dyDescent="0.25">
      <c r="A406" s="8" t="s">
        <v>51</v>
      </c>
      <c r="B406" s="2" t="s">
        <v>1138</v>
      </c>
      <c r="C406" s="2" t="s">
        <v>1139</v>
      </c>
      <c r="D406" s="2" t="s">
        <v>1140</v>
      </c>
      <c r="F406" s="3" t="s">
        <v>51</v>
      </c>
      <c r="G406" s="3" t="s">
        <v>50</v>
      </c>
      <c r="H406" s="3" t="s">
        <v>49</v>
      </c>
      <c r="I406" s="3" t="s">
        <v>49</v>
      </c>
      <c r="J406" s="3" t="s">
        <v>52</v>
      </c>
      <c r="K406" s="2" t="s">
        <v>1141</v>
      </c>
      <c r="L406" s="2" t="s">
        <v>1142</v>
      </c>
      <c r="M406" s="3" t="s">
        <v>218</v>
      </c>
      <c r="O406" s="3" t="s">
        <v>56</v>
      </c>
      <c r="P406" s="3" t="s">
        <v>87</v>
      </c>
      <c r="R406" s="3" t="s">
        <v>59</v>
      </c>
      <c r="S406" s="4">
        <v>2</v>
      </c>
      <c r="T406" s="4">
        <v>8</v>
      </c>
      <c r="U406" s="5" t="s">
        <v>2685</v>
      </c>
      <c r="V406" s="5" t="s">
        <v>1143</v>
      </c>
      <c r="W406" s="5" t="s">
        <v>2686</v>
      </c>
      <c r="X406" s="5" t="s">
        <v>239</v>
      </c>
      <c r="Y406" s="4">
        <v>261</v>
      </c>
      <c r="Z406" s="4">
        <v>230</v>
      </c>
      <c r="AA406" s="4">
        <v>301</v>
      </c>
      <c r="AB406" s="4">
        <v>3</v>
      </c>
      <c r="AC406" s="4">
        <v>4</v>
      </c>
      <c r="AD406" s="4">
        <v>23</v>
      </c>
      <c r="AE406" s="4">
        <v>27</v>
      </c>
      <c r="AF406" s="4">
        <v>6</v>
      </c>
      <c r="AG406" s="4">
        <v>7</v>
      </c>
      <c r="AH406" s="4">
        <v>7</v>
      </c>
      <c r="AI406" s="4">
        <v>8</v>
      </c>
      <c r="AJ406" s="4">
        <v>17</v>
      </c>
      <c r="AK406" s="4">
        <v>20</v>
      </c>
      <c r="AL406" s="4">
        <v>0</v>
      </c>
      <c r="AM406" s="4">
        <v>0</v>
      </c>
      <c r="AN406" s="4">
        <v>0</v>
      </c>
      <c r="AO406" s="4">
        <v>0</v>
      </c>
      <c r="AP406" s="3" t="s">
        <v>51</v>
      </c>
      <c r="AQ406" s="3" t="s">
        <v>51</v>
      </c>
      <c r="AS406" s="6" t="str">
        <f>HYPERLINK("https://creighton-primo.hosted.exlibrisgroup.com/primo-explore/search?tab=default_tab&amp;search_scope=EVERYTHING&amp;vid=01CRU&amp;lang=en_US&amp;offset=0&amp;query=any,contains,991001786509702656","Catalog Record")</f>
        <v>Catalog Record</v>
      </c>
      <c r="AT406" s="6" t="str">
        <f>HYPERLINK("http://www.worldcat.org/oclc/1975980","WorldCat Record")</f>
        <v>WorldCat Record</v>
      </c>
    </row>
    <row r="407" spans="1:46" ht="41.25" customHeight="1" x14ac:dyDescent="0.25">
      <c r="A407" s="8" t="s">
        <v>51</v>
      </c>
      <c r="B407" s="2" t="s">
        <v>1169</v>
      </c>
      <c r="C407" s="2" t="s">
        <v>1170</v>
      </c>
      <c r="D407" s="2" t="s">
        <v>1171</v>
      </c>
      <c r="F407" s="3" t="s">
        <v>51</v>
      </c>
      <c r="G407" s="3" t="s">
        <v>50</v>
      </c>
      <c r="H407" s="3" t="s">
        <v>49</v>
      </c>
      <c r="I407" s="3" t="s">
        <v>51</v>
      </c>
      <c r="J407" s="3" t="s">
        <v>52</v>
      </c>
      <c r="K407" s="2" t="s">
        <v>1172</v>
      </c>
      <c r="L407" s="2" t="s">
        <v>1173</v>
      </c>
      <c r="M407" s="3" t="s">
        <v>194</v>
      </c>
      <c r="O407" s="3" t="s">
        <v>56</v>
      </c>
      <c r="P407" s="3" t="s">
        <v>578</v>
      </c>
      <c r="Q407" s="2" t="s">
        <v>1174</v>
      </c>
      <c r="R407" s="3" t="s">
        <v>59</v>
      </c>
      <c r="S407" s="4">
        <v>11</v>
      </c>
      <c r="T407" s="4">
        <v>18</v>
      </c>
      <c r="U407" s="5" t="s">
        <v>2687</v>
      </c>
      <c r="V407" s="5" t="s">
        <v>1175</v>
      </c>
      <c r="W407" s="5" t="s">
        <v>2653</v>
      </c>
      <c r="X407" s="5" t="s">
        <v>1176</v>
      </c>
      <c r="Y407" s="4">
        <v>1269</v>
      </c>
      <c r="Z407" s="4">
        <v>1106</v>
      </c>
      <c r="AA407" s="4">
        <v>1118</v>
      </c>
      <c r="AB407" s="4">
        <v>9</v>
      </c>
      <c r="AC407" s="4">
        <v>9</v>
      </c>
      <c r="AD407" s="4">
        <v>59</v>
      </c>
      <c r="AE407" s="4">
        <v>59</v>
      </c>
      <c r="AF407" s="4">
        <v>17</v>
      </c>
      <c r="AG407" s="4">
        <v>17</v>
      </c>
      <c r="AH407" s="4">
        <v>7</v>
      </c>
      <c r="AI407" s="4">
        <v>7</v>
      </c>
      <c r="AJ407" s="4">
        <v>23</v>
      </c>
      <c r="AK407" s="4">
        <v>23</v>
      </c>
      <c r="AL407" s="4">
        <v>4</v>
      </c>
      <c r="AM407" s="4">
        <v>4</v>
      </c>
      <c r="AN407" s="4">
        <v>20</v>
      </c>
      <c r="AO407" s="4">
        <v>20</v>
      </c>
      <c r="AP407" s="3" t="s">
        <v>51</v>
      </c>
      <c r="AQ407" s="3" t="s">
        <v>49</v>
      </c>
      <c r="AR407" s="6" t="str">
        <f>HYPERLINK("http://catalog.hathitrust.org/Record/000029697","HathiTrust Record")</f>
        <v>HathiTrust Record</v>
      </c>
      <c r="AS407" s="6" t="str">
        <f>HYPERLINK("https://creighton-primo.hosted.exlibrisgroup.com/primo-explore/search?tab=default_tab&amp;search_scope=EVERYTHING&amp;vid=01CRU&amp;lang=en_US&amp;offset=0&amp;query=any,contains,991001782839702656","Catalog Record")</f>
        <v>Catalog Record</v>
      </c>
      <c r="AT407" s="6" t="str">
        <f>HYPERLINK("http://www.worldcat.org/oclc/3414018","WorldCat Record")</f>
        <v>WorldCat Record</v>
      </c>
    </row>
    <row r="408" spans="1:46" ht="41.25" customHeight="1" x14ac:dyDescent="0.25">
      <c r="A408" s="8" t="s">
        <v>51</v>
      </c>
      <c r="B408" s="2" t="s">
        <v>1177</v>
      </c>
      <c r="C408" s="2" t="s">
        <v>1178</v>
      </c>
      <c r="D408" s="2" t="s">
        <v>1179</v>
      </c>
      <c r="F408" s="3" t="s">
        <v>51</v>
      </c>
      <c r="G408" s="3" t="s">
        <v>50</v>
      </c>
      <c r="H408" s="3" t="s">
        <v>49</v>
      </c>
      <c r="I408" s="3" t="s">
        <v>51</v>
      </c>
      <c r="J408" s="3" t="s">
        <v>52</v>
      </c>
      <c r="L408" s="2" t="s">
        <v>1180</v>
      </c>
      <c r="M408" s="3" t="s">
        <v>154</v>
      </c>
      <c r="O408" s="3" t="s">
        <v>56</v>
      </c>
      <c r="P408" s="3" t="s">
        <v>79</v>
      </c>
      <c r="R408" s="3" t="s">
        <v>59</v>
      </c>
      <c r="S408" s="4">
        <v>1</v>
      </c>
      <c r="T408" s="4">
        <v>5</v>
      </c>
      <c r="U408" s="5" t="s">
        <v>2688</v>
      </c>
      <c r="V408" s="5" t="s">
        <v>1018</v>
      </c>
      <c r="W408" s="5" t="s">
        <v>2689</v>
      </c>
      <c r="X408" s="5" t="s">
        <v>485</v>
      </c>
      <c r="Y408" s="4">
        <v>248</v>
      </c>
      <c r="Z408" s="4">
        <v>192</v>
      </c>
      <c r="AA408" s="4">
        <v>194</v>
      </c>
      <c r="AB408" s="4">
        <v>1</v>
      </c>
      <c r="AC408" s="4">
        <v>1</v>
      </c>
      <c r="AD408" s="4">
        <v>7</v>
      </c>
      <c r="AE408" s="4">
        <v>7</v>
      </c>
      <c r="AF408" s="4">
        <v>2</v>
      </c>
      <c r="AG408" s="4">
        <v>2</v>
      </c>
      <c r="AH408" s="4">
        <v>4</v>
      </c>
      <c r="AI408" s="4">
        <v>4</v>
      </c>
      <c r="AJ408" s="4">
        <v>4</v>
      </c>
      <c r="AK408" s="4">
        <v>4</v>
      </c>
      <c r="AL408" s="4">
        <v>0</v>
      </c>
      <c r="AM408" s="4">
        <v>0</v>
      </c>
      <c r="AN408" s="4">
        <v>0</v>
      </c>
      <c r="AO408" s="4">
        <v>0</v>
      </c>
      <c r="AP408" s="3" t="s">
        <v>51</v>
      </c>
      <c r="AQ408" s="3" t="s">
        <v>51</v>
      </c>
      <c r="AS408" s="6" t="str">
        <f>HYPERLINK("https://creighton-primo.hosted.exlibrisgroup.com/primo-explore/search?tab=default_tab&amp;search_scope=EVERYTHING&amp;vid=01CRU&amp;lang=en_US&amp;offset=0&amp;query=any,contains,991001795409702656","Catalog Record")</f>
        <v>Catalog Record</v>
      </c>
      <c r="AT408" s="6" t="str">
        <f>HYPERLINK("http://www.worldcat.org/oclc/7998547","WorldCat Record")</f>
        <v>WorldCat Record</v>
      </c>
    </row>
    <row r="409" spans="1:46" ht="41.25" customHeight="1" x14ac:dyDescent="0.25">
      <c r="A409" s="8" t="s">
        <v>51</v>
      </c>
      <c r="B409" s="2" t="s">
        <v>1195</v>
      </c>
      <c r="C409" s="2" t="s">
        <v>1196</v>
      </c>
      <c r="D409" s="2" t="s">
        <v>1197</v>
      </c>
      <c r="F409" s="3" t="s">
        <v>51</v>
      </c>
      <c r="G409" s="3" t="s">
        <v>1051</v>
      </c>
      <c r="H409" s="3" t="s">
        <v>49</v>
      </c>
      <c r="I409" s="3" t="s">
        <v>51</v>
      </c>
      <c r="J409" s="3" t="s">
        <v>52</v>
      </c>
      <c r="L409" s="2" t="s">
        <v>1198</v>
      </c>
      <c r="M409" s="3" t="s">
        <v>858</v>
      </c>
      <c r="O409" s="3" t="s">
        <v>56</v>
      </c>
      <c r="P409" s="3" t="s">
        <v>202</v>
      </c>
      <c r="R409" s="3" t="s">
        <v>59</v>
      </c>
      <c r="S409" s="4">
        <v>1</v>
      </c>
      <c r="T409" s="4">
        <v>21</v>
      </c>
      <c r="U409" s="5" t="s">
        <v>1199</v>
      </c>
      <c r="V409" s="5" t="s">
        <v>1199</v>
      </c>
      <c r="W409" s="5" t="s">
        <v>1201</v>
      </c>
      <c r="X409" s="5" t="s">
        <v>1201</v>
      </c>
      <c r="Y409" s="4">
        <v>778</v>
      </c>
      <c r="Z409" s="4">
        <v>694</v>
      </c>
      <c r="AA409" s="4">
        <v>717</v>
      </c>
      <c r="AB409" s="4">
        <v>3</v>
      </c>
      <c r="AC409" s="4">
        <v>3</v>
      </c>
      <c r="AD409" s="4">
        <v>40</v>
      </c>
      <c r="AE409" s="4">
        <v>40</v>
      </c>
      <c r="AF409" s="4">
        <v>12</v>
      </c>
      <c r="AG409" s="4">
        <v>12</v>
      </c>
      <c r="AH409" s="4">
        <v>8</v>
      </c>
      <c r="AI409" s="4">
        <v>8</v>
      </c>
      <c r="AJ409" s="4">
        <v>15</v>
      </c>
      <c r="AK409" s="4">
        <v>15</v>
      </c>
      <c r="AL409" s="4">
        <v>1</v>
      </c>
      <c r="AM409" s="4">
        <v>1</v>
      </c>
      <c r="AN409" s="4">
        <v>11</v>
      </c>
      <c r="AO409" s="4">
        <v>11</v>
      </c>
      <c r="AP409" s="3" t="s">
        <v>51</v>
      </c>
      <c r="AQ409" s="3" t="s">
        <v>49</v>
      </c>
      <c r="AR409" s="6" t="str">
        <f>HYPERLINK("http://catalog.hathitrust.org/Record/004018307","HathiTrust Record")</f>
        <v>HathiTrust Record</v>
      </c>
      <c r="AS409" s="6" t="str">
        <f>HYPERLINK("https://creighton-primo.hosted.exlibrisgroup.com/primo-explore/search?tab=default_tab&amp;search_scope=EVERYTHING&amp;vid=01CRU&amp;lang=en_US&amp;offset=0&amp;query=any,contains,991001693119702656","Catalog Record")</f>
        <v>Catalog Record</v>
      </c>
      <c r="AT409" s="6" t="str">
        <f>HYPERLINK("http://www.worldcat.org/oclc/37695741","WorldCat Record")</f>
        <v>WorldCat Record</v>
      </c>
    </row>
    <row r="410" spans="1:46" ht="41.25" customHeight="1" x14ac:dyDescent="0.25">
      <c r="A410" s="8" t="s">
        <v>51</v>
      </c>
      <c r="B410" s="2" t="s">
        <v>2690</v>
      </c>
      <c r="C410" s="2" t="s">
        <v>2691</v>
      </c>
      <c r="D410" s="2" t="s">
        <v>2692</v>
      </c>
      <c r="F410" s="3" t="s">
        <v>51</v>
      </c>
      <c r="G410" s="3" t="s">
        <v>50</v>
      </c>
      <c r="H410" s="3" t="s">
        <v>51</v>
      </c>
      <c r="I410" s="3" t="s">
        <v>51</v>
      </c>
      <c r="J410" s="3" t="s">
        <v>52</v>
      </c>
      <c r="K410" s="2" t="s">
        <v>1354</v>
      </c>
      <c r="L410" s="2" t="s">
        <v>2693</v>
      </c>
      <c r="M410" s="3" t="s">
        <v>313</v>
      </c>
      <c r="N410" s="2" t="s">
        <v>1220</v>
      </c>
      <c r="O410" s="3" t="s">
        <v>56</v>
      </c>
      <c r="P410" s="3" t="s">
        <v>87</v>
      </c>
      <c r="R410" s="3" t="s">
        <v>59</v>
      </c>
      <c r="S410" s="4">
        <v>13</v>
      </c>
      <c r="T410" s="4">
        <v>13</v>
      </c>
      <c r="U410" s="5" t="s">
        <v>2694</v>
      </c>
      <c r="V410" s="5" t="s">
        <v>2694</v>
      </c>
      <c r="W410" s="5" t="s">
        <v>2597</v>
      </c>
      <c r="X410" s="5" t="s">
        <v>2597</v>
      </c>
      <c r="Y410" s="4">
        <v>598</v>
      </c>
      <c r="Z410" s="4">
        <v>537</v>
      </c>
      <c r="AA410" s="4">
        <v>569</v>
      </c>
      <c r="AB410" s="4">
        <v>2</v>
      </c>
      <c r="AC410" s="4">
        <v>3</v>
      </c>
      <c r="AD410" s="4">
        <v>26</v>
      </c>
      <c r="AE410" s="4">
        <v>28</v>
      </c>
      <c r="AF410" s="4">
        <v>5</v>
      </c>
      <c r="AG410" s="4">
        <v>6</v>
      </c>
      <c r="AH410" s="4">
        <v>8</v>
      </c>
      <c r="AI410" s="4">
        <v>8</v>
      </c>
      <c r="AJ410" s="4">
        <v>18</v>
      </c>
      <c r="AK410" s="4">
        <v>18</v>
      </c>
      <c r="AL410" s="4">
        <v>1</v>
      </c>
      <c r="AM410" s="4">
        <v>2</v>
      </c>
      <c r="AN410" s="4">
        <v>1</v>
      </c>
      <c r="AO410" s="4">
        <v>1</v>
      </c>
      <c r="AP410" s="3" t="s">
        <v>51</v>
      </c>
      <c r="AQ410" s="3" t="s">
        <v>49</v>
      </c>
      <c r="AR410" s="6" t="str">
        <f>HYPERLINK("http://catalog.hathitrust.org/Record/001557846","HathiTrust Record")</f>
        <v>HathiTrust Record</v>
      </c>
      <c r="AS410" s="6" t="str">
        <f>HYPERLINK("https://creighton-primo.hosted.exlibrisgroup.com/primo-explore/search?tab=default_tab&amp;search_scope=EVERYTHING&amp;vid=01CRU&amp;lang=en_US&amp;offset=0&amp;query=any,contains,991001459689702656","Catalog Record")</f>
        <v>Catalog Record</v>
      </c>
      <c r="AT410" s="6" t="str">
        <f>HYPERLINK("http://www.worldcat.org/oclc/827870","WorldCat Record")</f>
        <v>WorldCat Record</v>
      </c>
    </row>
    <row r="411" spans="1:46" ht="41.25" customHeight="1" x14ac:dyDescent="0.25">
      <c r="A411" s="8" t="s">
        <v>51</v>
      </c>
      <c r="B411" s="2" t="s">
        <v>2695</v>
      </c>
      <c r="C411" s="2" t="s">
        <v>2696</v>
      </c>
      <c r="D411" s="2" t="s">
        <v>2697</v>
      </c>
      <c r="F411" s="3" t="s">
        <v>51</v>
      </c>
      <c r="G411" s="3" t="s">
        <v>50</v>
      </c>
      <c r="H411" s="3" t="s">
        <v>51</v>
      </c>
      <c r="I411" s="3" t="s">
        <v>51</v>
      </c>
      <c r="J411" s="3" t="s">
        <v>52</v>
      </c>
      <c r="K411" s="2" t="s">
        <v>1226</v>
      </c>
      <c r="L411" s="2" t="s">
        <v>2698</v>
      </c>
      <c r="M411" s="3" t="s">
        <v>271</v>
      </c>
      <c r="O411" s="3" t="s">
        <v>56</v>
      </c>
      <c r="P411" s="3" t="s">
        <v>79</v>
      </c>
      <c r="R411" s="3" t="s">
        <v>59</v>
      </c>
      <c r="S411" s="4">
        <v>28</v>
      </c>
      <c r="T411" s="4">
        <v>28</v>
      </c>
      <c r="U411" s="5" t="s">
        <v>2427</v>
      </c>
      <c r="V411" s="5" t="s">
        <v>2427</v>
      </c>
      <c r="W411" s="5" t="s">
        <v>2699</v>
      </c>
      <c r="X411" s="5" t="s">
        <v>2699</v>
      </c>
      <c r="Y411" s="4">
        <v>977</v>
      </c>
      <c r="Z411" s="4">
        <v>824</v>
      </c>
      <c r="AA411" s="4">
        <v>832</v>
      </c>
      <c r="AB411" s="4">
        <v>4</v>
      </c>
      <c r="AC411" s="4">
        <v>4</v>
      </c>
      <c r="AD411" s="4">
        <v>47</v>
      </c>
      <c r="AE411" s="4">
        <v>47</v>
      </c>
      <c r="AF411" s="4">
        <v>18</v>
      </c>
      <c r="AG411" s="4">
        <v>18</v>
      </c>
      <c r="AH411" s="4">
        <v>9</v>
      </c>
      <c r="AI411" s="4">
        <v>9</v>
      </c>
      <c r="AJ411" s="4">
        <v>21</v>
      </c>
      <c r="AK411" s="4">
        <v>21</v>
      </c>
      <c r="AL411" s="4">
        <v>3</v>
      </c>
      <c r="AM411" s="4">
        <v>3</v>
      </c>
      <c r="AN411" s="4">
        <v>7</v>
      </c>
      <c r="AO411" s="4">
        <v>7</v>
      </c>
      <c r="AP411" s="3" t="s">
        <v>51</v>
      </c>
      <c r="AQ411" s="3" t="s">
        <v>49</v>
      </c>
      <c r="AR411" s="6" t="str">
        <f>HYPERLINK("http://catalog.hathitrust.org/Record/000738703","HathiTrust Record")</f>
        <v>HathiTrust Record</v>
      </c>
      <c r="AS411" s="6" t="str">
        <f>HYPERLINK("https://creighton-primo.hosted.exlibrisgroup.com/primo-explore/search?tab=default_tab&amp;search_scope=EVERYTHING&amp;vid=01CRU&amp;lang=en_US&amp;offset=0&amp;query=any,contains,991001541209702656","Catalog Record")</f>
        <v>Catalog Record</v>
      </c>
      <c r="AT411" s="6" t="str">
        <f>HYPERLINK("http://www.worldcat.org/oclc/2595503","WorldCat Record")</f>
        <v>WorldCat Record</v>
      </c>
    </row>
    <row r="412" spans="1:46" ht="41.25" customHeight="1" x14ac:dyDescent="0.25">
      <c r="A412" s="8" t="s">
        <v>51</v>
      </c>
      <c r="B412" s="2" t="s">
        <v>1223</v>
      </c>
      <c r="C412" s="2" t="s">
        <v>1224</v>
      </c>
      <c r="D412" s="2" t="s">
        <v>1225</v>
      </c>
      <c r="F412" s="3" t="s">
        <v>51</v>
      </c>
      <c r="G412" s="3" t="s">
        <v>50</v>
      </c>
      <c r="H412" s="3" t="s">
        <v>49</v>
      </c>
      <c r="I412" s="3" t="s">
        <v>51</v>
      </c>
      <c r="J412" s="3" t="s">
        <v>52</v>
      </c>
      <c r="K412" s="2" t="s">
        <v>1226</v>
      </c>
      <c r="L412" s="2" t="s">
        <v>1227</v>
      </c>
      <c r="M412" s="3" t="s">
        <v>424</v>
      </c>
      <c r="O412" s="3" t="s">
        <v>56</v>
      </c>
      <c r="P412" s="3" t="s">
        <v>87</v>
      </c>
      <c r="R412" s="3" t="s">
        <v>59</v>
      </c>
      <c r="S412" s="4">
        <v>36</v>
      </c>
      <c r="T412" s="4">
        <v>45</v>
      </c>
      <c r="U412" s="5" t="s">
        <v>1943</v>
      </c>
      <c r="V412" s="5" t="s">
        <v>1221</v>
      </c>
      <c r="W412" s="5" t="s">
        <v>2655</v>
      </c>
      <c r="X412" s="5" t="s">
        <v>793</v>
      </c>
      <c r="Y412" s="4">
        <v>861</v>
      </c>
      <c r="Z412" s="4">
        <v>742</v>
      </c>
      <c r="AA412" s="4">
        <v>748</v>
      </c>
      <c r="AB412" s="4">
        <v>4</v>
      </c>
      <c r="AC412" s="4">
        <v>4</v>
      </c>
      <c r="AD412" s="4">
        <v>40</v>
      </c>
      <c r="AE412" s="4">
        <v>40</v>
      </c>
      <c r="AF412" s="4">
        <v>15</v>
      </c>
      <c r="AG412" s="4">
        <v>15</v>
      </c>
      <c r="AH412" s="4">
        <v>6</v>
      </c>
      <c r="AI412" s="4">
        <v>6</v>
      </c>
      <c r="AJ412" s="4">
        <v>20</v>
      </c>
      <c r="AK412" s="4">
        <v>20</v>
      </c>
      <c r="AL412" s="4">
        <v>2</v>
      </c>
      <c r="AM412" s="4">
        <v>2</v>
      </c>
      <c r="AN412" s="4">
        <v>7</v>
      </c>
      <c r="AO412" s="4">
        <v>7</v>
      </c>
      <c r="AP412" s="3" t="s">
        <v>51</v>
      </c>
      <c r="AQ412" s="3" t="s">
        <v>49</v>
      </c>
      <c r="AR412" s="6" t="str">
        <f>HYPERLINK("http://catalog.hathitrust.org/Record/000104024","HathiTrust Record")</f>
        <v>HathiTrust Record</v>
      </c>
      <c r="AS412" s="6" t="str">
        <f>HYPERLINK("https://creighton-primo.hosted.exlibrisgroup.com/primo-explore/search?tab=default_tab&amp;search_scope=EVERYTHING&amp;vid=01CRU&amp;lang=en_US&amp;offset=0&amp;query=any,contains,991001801379702656","Catalog Record")</f>
        <v>Catalog Record</v>
      </c>
      <c r="AT412" s="6" t="str">
        <f>HYPERLINK("http://www.worldcat.org/oclc/7739374","WorldCat Record")</f>
        <v>WorldCat Record</v>
      </c>
    </row>
    <row r="413" spans="1:46" ht="41.25" customHeight="1" x14ac:dyDescent="0.25">
      <c r="A413" s="8" t="s">
        <v>51</v>
      </c>
      <c r="B413" s="2" t="s">
        <v>2700</v>
      </c>
      <c r="C413" s="2" t="s">
        <v>2701</v>
      </c>
      <c r="D413" s="2" t="s">
        <v>2702</v>
      </c>
      <c r="F413" s="3" t="s">
        <v>51</v>
      </c>
      <c r="G413" s="3" t="s">
        <v>50</v>
      </c>
      <c r="H413" s="3" t="s">
        <v>51</v>
      </c>
      <c r="I413" s="3" t="s">
        <v>51</v>
      </c>
      <c r="J413" s="3" t="s">
        <v>52</v>
      </c>
      <c r="K413" s="2" t="s">
        <v>2703</v>
      </c>
      <c r="L413" s="2" t="s">
        <v>2704</v>
      </c>
      <c r="M413" s="3" t="s">
        <v>171</v>
      </c>
      <c r="O413" s="3" t="s">
        <v>56</v>
      </c>
      <c r="P413" s="3" t="s">
        <v>538</v>
      </c>
      <c r="R413" s="3" t="s">
        <v>59</v>
      </c>
      <c r="S413" s="4">
        <v>11</v>
      </c>
      <c r="T413" s="4">
        <v>11</v>
      </c>
      <c r="U413" s="5" t="s">
        <v>2705</v>
      </c>
      <c r="V413" s="5" t="s">
        <v>2705</v>
      </c>
      <c r="W413" s="5" t="s">
        <v>2706</v>
      </c>
      <c r="X413" s="5" t="s">
        <v>2706</v>
      </c>
      <c r="Y413" s="4">
        <v>143</v>
      </c>
      <c r="Z413" s="4">
        <v>131</v>
      </c>
      <c r="AA413" s="4">
        <v>134</v>
      </c>
      <c r="AB413" s="4">
        <v>3</v>
      </c>
      <c r="AC413" s="4">
        <v>3</v>
      </c>
      <c r="AD413" s="4">
        <v>7</v>
      </c>
      <c r="AE413" s="4">
        <v>7</v>
      </c>
      <c r="AF413" s="4">
        <v>3</v>
      </c>
      <c r="AG413" s="4">
        <v>3</v>
      </c>
      <c r="AH413" s="4">
        <v>0</v>
      </c>
      <c r="AI413" s="4">
        <v>0</v>
      </c>
      <c r="AJ413" s="4">
        <v>5</v>
      </c>
      <c r="AK413" s="4">
        <v>5</v>
      </c>
      <c r="AL413" s="4">
        <v>2</v>
      </c>
      <c r="AM413" s="4">
        <v>2</v>
      </c>
      <c r="AN413" s="4">
        <v>0</v>
      </c>
      <c r="AO413" s="4">
        <v>0</v>
      </c>
      <c r="AP413" s="3" t="s">
        <v>51</v>
      </c>
      <c r="AQ413" s="3" t="s">
        <v>49</v>
      </c>
      <c r="AR413" s="6" t="str">
        <f>HYPERLINK("http://catalog.hathitrust.org/Record/000029730","HathiTrust Record")</f>
        <v>HathiTrust Record</v>
      </c>
      <c r="AS413" s="6" t="str">
        <f>HYPERLINK("https://creighton-primo.hosted.exlibrisgroup.com/primo-explore/search?tab=default_tab&amp;search_scope=EVERYTHING&amp;vid=01CRU&amp;lang=en_US&amp;offset=0&amp;query=any,contains,991001541269702656","Catalog Record")</f>
        <v>Catalog Record</v>
      </c>
      <c r="AT413" s="6" t="str">
        <f>HYPERLINK("http://www.worldcat.org/oclc/5564933","WorldCat Record")</f>
        <v>WorldCat Record</v>
      </c>
    </row>
    <row r="414" spans="1:46" ht="41.25" customHeight="1" x14ac:dyDescent="0.25">
      <c r="A414" s="8" t="s">
        <v>51</v>
      </c>
      <c r="B414" s="2" t="s">
        <v>1235</v>
      </c>
      <c r="C414" s="2" t="s">
        <v>1236</v>
      </c>
      <c r="D414" s="2" t="s">
        <v>1237</v>
      </c>
      <c r="F414" s="3" t="s">
        <v>51</v>
      </c>
      <c r="G414" s="3" t="s">
        <v>50</v>
      </c>
      <c r="H414" s="3" t="s">
        <v>49</v>
      </c>
      <c r="I414" s="3" t="s">
        <v>51</v>
      </c>
      <c r="J414" s="3" t="s">
        <v>52</v>
      </c>
      <c r="K414" s="2" t="s">
        <v>1238</v>
      </c>
      <c r="L414" s="2" t="s">
        <v>1239</v>
      </c>
      <c r="M414" s="3" t="s">
        <v>858</v>
      </c>
      <c r="O414" s="3" t="s">
        <v>56</v>
      </c>
      <c r="P414" s="3" t="s">
        <v>1240</v>
      </c>
      <c r="Q414" s="2" t="s">
        <v>1241</v>
      </c>
      <c r="R414" s="3" t="s">
        <v>59</v>
      </c>
      <c r="S414" s="4">
        <v>19</v>
      </c>
      <c r="T414" s="4">
        <v>28</v>
      </c>
      <c r="U414" s="5" t="s">
        <v>1243</v>
      </c>
      <c r="V414" s="5" t="s">
        <v>1243</v>
      </c>
      <c r="W414" s="5" t="s">
        <v>2707</v>
      </c>
      <c r="X414" s="5" t="s">
        <v>1244</v>
      </c>
      <c r="Y414" s="4">
        <v>160</v>
      </c>
      <c r="Z414" s="4">
        <v>139</v>
      </c>
      <c r="AA414" s="4">
        <v>1038</v>
      </c>
      <c r="AB414" s="4">
        <v>2</v>
      </c>
      <c r="AC414" s="4">
        <v>5</v>
      </c>
      <c r="AD414" s="4">
        <v>10</v>
      </c>
      <c r="AE414" s="4">
        <v>30</v>
      </c>
      <c r="AF414" s="4">
        <v>0</v>
      </c>
      <c r="AG414" s="4">
        <v>12</v>
      </c>
      <c r="AH414" s="4">
        <v>5</v>
      </c>
      <c r="AI414" s="4">
        <v>8</v>
      </c>
      <c r="AJ414" s="4">
        <v>7</v>
      </c>
      <c r="AK414" s="4">
        <v>14</v>
      </c>
      <c r="AL414" s="4">
        <v>0</v>
      </c>
      <c r="AM414" s="4">
        <v>3</v>
      </c>
      <c r="AN414" s="4">
        <v>0</v>
      </c>
      <c r="AO414" s="4">
        <v>0</v>
      </c>
      <c r="AP414" s="3" t="s">
        <v>51</v>
      </c>
      <c r="AQ414" s="3" t="s">
        <v>49</v>
      </c>
      <c r="AR414" s="6" t="str">
        <f>HYPERLINK("http://catalog.hathitrust.org/Record/004097919","HathiTrust Record")</f>
        <v>HathiTrust Record</v>
      </c>
      <c r="AS414" s="6" t="str">
        <f>HYPERLINK("https://creighton-primo.hosted.exlibrisgroup.com/primo-explore/search?tab=default_tab&amp;search_scope=EVERYTHING&amp;vid=01CRU&amp;lang=en_US&amp;offset=0&amp;query=any,contains,991001761399702656","Catalog Record")</f>
        <v>Catalog Record</v>
      </c>
      <c r="AT414" s="6" t="str">
        <f>HYPERLINK("http://www.worldcat.org/oclc/41508760","WorldCat Record")</f>
        <v>WorldCat Record</v>
      </c>
    </row>
    <row r="415" spans="1:46" ht="41.25" customHeight="1" x14ac:dyDescent="0.25">
      <c r="A415" s="8" t="s">
        <v>51</v>
      </c>
      <c r="B415" s="2" t="s">
        <v>1245</v>
      </c>
      <c r="C415" s="2" t="s">
        <v>1246</v>
      </c>
      <c r="D415" s="2" t="s">
        <v>1247</v>
      </c>
      <c r="F415" s="3" t="s">
        <v>51</v>
      </c>
      <c r="G415" s="3" t="s">
        <v>50</v>
      </c>
      <c r="H415" s="3" t="s">
        <v>49</v>
      </c>
      <c r="I415" s="3" t="s">
        <v>51</v>
      </c>
      <c r="J415" s="3" t="s">
        <v>52</v>
      </c>
      <c r="K415" s="2" t="s">
        <v>1248</v>
      </c>
      <c r="L415" s="2" t="s">
        <v>1249</v>
      </c>
      <c r="M415" s="3" t="s">
        <v>194</v>
      </c>
      <c r="O415" s="3" t="s">
        <v>56</v>
      </c>
      <c r="P415" s="3" t="s">
        <v>992</v>
      </c>
      <c r="Q415" s="2" t="s">
        <v>1250</v>
      </c>
      <c r="R415" s="3" t="s">
        <v>59</v>
      </c>
      <c r="S415" s="4">
        <v>4</v>
      </c>
      <c r="T415" s="4">
        <v>15</v>
      </c>
      <c r="U415" s="5" t="s">
        <v>2708</v>
      </c>
      <c r="V415" s="5" t="s">
        <v>1251</v>
      </c>
      <c r="W415" s="5" t="s">
        <v>2628</v>
      </c>
      <c r="X415" s="5" t="s">
        <v>1252</v>
      </c>
      <c r="Y415" s="4">
        <v>439</v>
      </c>
      <c r="Z415" s="4">
        <v>405</v>
      </c>
      <c r="AA415" s="4">
        <v>408</v>
      </c>
      <c r="AB415" s="4">
        <v>2</v>
      </c>
      <c r="AC415" s="4">
        <v>2</v>
      </c>
      <c r="AD415" s="4">
        <v>25</v>
      </c>
      <c r="AE415" s="4">
        <v>25</v>
      </c>
      <c r="AF415" s="4">
        <v>9</v>
      </c>
      <c r="AG415" s="4">
        <v>9</v>
      </c>
      <c r="AH415" s="4">
        <v>4</v>
      </c>
      <c r="AI415" s="4">
        <v>4</v>
      </c>
      <c r="AJ415" s="4">
        <v>12</v>
      </c>
      <c r="AK415" s="4">
        <v>12</v>
      </c>
      <c r="AL415" s="4">
        <v>0</v>
      </c>
      <c r="AM415" s="4">
        <v>0</v>
      </c>
      <c r="AN415" s="4">
        <v>6</v>
      </c>
      <c r="AO415" s="4">
        <v>6</v>
      </c>
      <c r="AP415" s="3" t="s">
        <v>51</v>
      </c>
      <c r="AQ415" s="3" t="s">
        <v>49</v>
      </c>
      <c r="AR415" s="6" t="str">
        <f>HYPERLINK("http://catalog.hathitrust.org/Record/000136964","HathiTrust Record")</f>
        <v>HathiTrust Record</v>
      </c>
      <c r="AS415" s="6" t="str">
        <f>HYPERLINK("https://creighton-primo.hosted.exlibrisgroup.com/primo-explore/search?tab=default_tab&amp;search_scope=EVERYTHING&amp;vid=01CRU&amp;lang=en_US&amp;offset=0&amp;query=any,contains,991001805779702656","Catalog Record")</f>
        <v>Catalog Record</v>
      </c>
      <c r="AT415" s="6" t="str">
        <f>HYPERLINK("http://www.worldcat.org/oclc/3884524","WorldCat Record")</f>
        <v>WorldCat Record</v>
      </c>
    </row>
    <row r="416" spans="1:46" ht="41.25" customHeight="1" x14ac:dyDescent="0.25">
      <c r="A416" s="8" t="s">
        <v>51</v>
      </c>
      <c r="B416" s="2" t="s">
        <v>2709</v>
      </c>
      <c r="C416" s="2" t="s">
        <v>2710</v>
      </c>
      <c r="D416" s="2" t="s">
        <v>2711</v>
      </c>
      <c r="F416" s="3" t="s">
        <v>51</v>
      </c>
      <c r="G416" s="3" t="s">
        <v>50</v>
      </c>
      <c r="H416" s="3" t="s">
        <v>51</v>
      </c>
      <c r="I416" s="3" t="s">
        <v>51</v>
      </c>
      <c r="J416" s="3" t="s">
        <v>50</v>
      </c>
      <c r="K416" s="2" t="s">
        <v>2712</v>
      </c>
      <c r="L416" s="2" t="s">
        <v>585</v>
      </c>
      <c r="M416" s="3" t="s">
        <v>586</v>
      </c>
      <c r="O416" s="3" t="s">
        <v>56</v>
      </c>
      <c r="P416" s="3" t="s">
        <v>87</v>
      </c>
      <c r="R416" s="3" t="s">
        <v>59</v>
      </c>
      <c r="S416" s="4">
        <v>13</v>
      </c>
      <c r="T416" s="4">
        <v>13</v>
      </c>
      <c r="U416" s="5" t="s">
        <v>1406</v>
      </c>
      <c r="V416" s="5" t="s">
        <v>1406</v>
      </c>
      <c r="W416" s="5" t="s">
        <v>2713</v>
      </c>
      <c r="X416" s="5" t="s">
        <v>2713</v>
      </c>
      <c r="Y416" s="4">
        <v>1000</v>
      </c>
      <c r="Z416" s="4">
        <v>901</v>
      </c>
      <c r="AA416" s="4">
        <v>1682</v>
      </c>
      <c r="AB416" s="4">
        <v>4</v>
      </c>
      <c r="AC416" s="4">
        <v>15</v>
      </c>
      <c r="AD416" s="4">
        <v>51</v>
      </c>
      <c r="AE416" s="4">
        <v>76</v>
      </c>
      <c r="AF416" s="4">
        <v>18</v>
      </c>
      <c r="AG416" s="4">
        <v>25</v>
      </c>
      <c r="AH416" s="4">
        <v>5</v>
      </c>
      <c r="AI416" s="4">
        <v>10</v>
      </c>
      <c r="AJ416" s="4">
        <v>19</v>
      </c>
      <c r="AK416" s="4">
        <v>23</v>
      </c>
      <c r="AL416" s="4">
        <v>2</v>
      </c>
      <c r="AM416" s="4">
        <v>12</v>
      </c>
      <c r="AN416" s="4">
        <v>15</v>
      </c>
      <c r="AO416" s="4">
        <v>16</v>
      </c>
      <c r="AP416" s="3" t="s">
        <v>51</v>
      </c>
      <c r="AQ416" s="3" t="s">
        <v>49</v>
      </c>
      <c r="AR416" s="6" t="str">
        <f>HYPERLINK("http://catalog.hathitrust.org/Record/002647827","HathiTrust Record")</f>
        <v>HathiTrust Record</v>
      </c>
      <c r="AS416" s="6" t="str">
        <f>HYPERLINK("https://creighton-primo.hosted.exlibrisgroup.com/primo-explore/search?tab=default_tab&amp;search_scope=EVERYTHING&amp;vid=01CRU&amp;lang=en_US&amp;offset=0&amp;query=any,contains,991001480629702656","Catalog Record")</f>
        <v>Catalog Record</v>
      </c>
      <c r="AT416" s="6" t="str">
        <f>HYPERLINK("http://www.worldcat.org/oclc/26592579","WorldCat Record")</f>
        <v>WorldCat Record</v>
      </c>
    </row>
    <row r="417" spans="1:46" ht="41.25" customHeight="1" x14ac:dyDescent="0.25">
      <c r="A417" s="8" t="s">
        <v>51</v>
      </c>
      <c r="B417" s="2" t="s">
        <v>1357</v>
      </c>
      <c r="C417" s="2" t="s">
        <v>1358</v>
      </c>
      <c r="D417" s="2" t="s">
        <v>1359</v>
      </c>
      <c r="E417" s="3" t="s">
        <v>2714</v>
      </c>
      <c r="F417" s="3" t="s">
        <v>51</v>
      </c>
      <c r="G417" s="3" t="s">
        <v>50</v>
      </c>
      <c r="H417" s="3" t="s">
        <v>51</v>
      </c>
      <c r="I417" s="3" t="s">
        <v>51</v>
      </c>
      <c r="J417" s="3" t="s">
        <v>52</v>
      </c>
      <c r="L417" s="2" t="s">
        <v>1360</v>
      </c>
      <c r="M417" s="3" t="s">
        <v>553</v>
      </c>
      <c r="O417" s="3" t="s">
        <v>56</v>
      </c>
      <c r="P417" s="3" t="s">
        <v>57</v>
      </c>
      <c r="Q417" s="2" t="s">
        <v>1361</v>
      </c>
      <c r="R417" s="3" t="s">
        <v>59</v>
      </c>
      <c r="S417" s="4">
        <v>9</v>
      </c>
      <c r="T417" s="4">
        <v>29</v>
      </c>
      <c r="U417" s="5" t="s">
        <v>2715</v>
      </c>
      <c r="V417" s="5" t="s">
        <v>1362</v>
      </c>
      <c r="W417" s="5" t="s">
        <v>2716</v>
      </c>
      <c r="X417" s="5" t="s">
        <v>1363</v>
      </c>
      <c r="Y417" s="4">
        <v>388</v>
      </c>
      <c r="Z417" s="4">
        <v>303</v>
      </c>
      <c r="AA417" s="4">
        <v>312</v>
      </c>
      <c r="AB417" s="4">
        <v>2</v>
      </c>
      <c r="AC417" s="4">
        <v>2</v>
      </c>
      <c r="AD417" s="4">
        <v>35</v>
      </c>
      <c r="AE417" s="4">
        <v>35</v>
      </c>
      <c r="AF417" s="4">
        <v>10</v>
      </c>
      <c r="AG417" s="4">
        <v>10</v>
      </c>
      <c r="AH417" s="4">
        <v>11</v>
      </c>
      <c r="AI417" s="4">
        <v>11</v>
      </c>
      <c r="AJ417" s="4">
        <v>23</v>
      </c>
      <c r="AK417" s="4">
        <v>23</v>
      </c>
      <c r="AL417" s="4">
        <v>0</v>
      </c>
      <c r="AM417" s="4">
        <v>0</v>
      </c>
      <c r="AN417" s="4">
        <v>3</v>
      </c>
      <c r="AO417" s="4">
        <v>3</v>
      </c>
      <c r="AP417" s="3" t="s">
        <v>51</v>
      </c>
      <c r="AQ417" s="3" t="s">
        <v>49</v>
      </c>
      <c r="AR417" s="6" t="str">
        <f>HYPERLINK("http://catalog.hathitrust.org/Record/001105803","HathiTrust Record")</f>
        <v>HathiTrust Record</v>
      </c>
      <c r="AS417" s="6" t="str">
        <f>HYPERLINK("https://creighton-primo.hosted.exlibrisgroup.com/primo-explore/search?tab=default_tab&amp;search_scope=EVERYTHING&amp;vid=01CRU&amp;lang=en_US&amp;offset=0&amp;query=any,contains,991001794269702656","Catalog Record")</f>
        <v>Catalog Record</v>
      </c>
      <c r="AT417" s="6" t="str">
        <f>HYPERLINK("http://www.worldcat.org/oclc/18327337","WorldCat Record")</f>
        <v>WorldCat Record</v>
      </c>
    </row>
    <row r="418" spans="1:46" ht="41.25" customHeight="1" x14ac:dyDescent="0.25">
      <c r="A418" s="8" t="s">
        <v>51</v>
      </c>
      <c r="B418" s="2" t="s">
        <v>2717</v>
      </c>
      <c r="C418" s="2" t="s">
        <v>2718</v>
      </c>
      <c r="D418" s="2" t="s">
        <v>1066</v>
      </c>
      <c r="F418" s="3" t="s">
        <v>51</v>
      </c>
      <c r="G418" s="3" t="s">
        <v>50</v>
      </c>
      <c r="H418" s="3" t="s">
        <v>49</v>
      </c>
      <c r="I418" s="3" t="s">
        <v>49</v>
      </c>
      <c r="J418" s="3" t="s">
        <v>52</v>
      </c>
      <c r="K418" s="2" t="s">
        <v>1067</v>
      </c>
      <c r="L418" s="2" t="s">
        <v>2719</v>
      </c>
      <c r="M418" s="3" t="s">
        <v>103</v>
      </c>
      <c r="O418" s="3" t="s">
        <v>56</v>
      </c>
      <c r="P418" s="3" t="s">
        <v>113</v>
      </c>
      <c r="R418" s="3" t="s">
        <v>59</v>
      </c>
      <c r="S418" s="4">
        <v>9</v>
      </c>
      <c r="T418" s="4">
        <v>9</v>
      </c>
      <c r="U418" s="5" t="s">
        <v>2720</v>
      </c>
      <c r="V418" s="5" t="s">
        <v>2720</v>
      </c>
      <c r="W418" s="5" t="s">
        <v>2653</v>
      </c>
      <c r="X418" s="5" t="s">
        <v>1114</v>
      </c>
      <c r="Y418" s="4">
        <v>202</v>
      </c>
      <c r="Z418" s="4">
        <v>101</v>
      </c>
      <c r="AA418" s="4">
        <v>187</v>
      </c>
      <c r="AB418" s="4">
        <v>3</v>
      </c>
      <c r="AC418" s="4">
        <v>4</v>
      </c>
      <c r="AD418" s="4">
        <v>11</v>
      </c>
      <c r="AE418" s="4">
        <v>21</v>
      </c>
      <c r="AF418" s="4">
        <v>3</v>
      </c>
      <c r="AG418" s="4">
        <v>5</v>
      </c>
      <c r="AH418" s="4">
        <v>1</v>
      </c>
      <c r="AI418" s="4">
        <v>4</v>
      </c>
      <c r="AJ418" s="4">
        <v>9</v>
      </c>
      <c r="AK418" s="4">
        <v>17</v>
      </c>
      <c r="AL418" s="4">
        <v>1</v>
      </c>
      <c r="AM418" s="4">
        <v>1</v>
      </c>
      <c r="AN418" s="4">
        <v>0</v>
      </c>
      <c r="AO418" s="4">
        <v>0</v>
      </c>
      <c r="AP418" s="3" t="s">
        <v>51</v>
      </c>
      <c r="AQ418" s="3" t="s">
        <v>49</v>
      </c>
      <c r="AR418" s="6" t="str">
        <f>HYPERLINK("http://catalog.hathitrust.org/Record/000412692","HathiTrust Record")</f>
        <v>HathiTrust Record</v>
      </c>
      <c r="AS418" s="6" t="str">
        <f>HYPERLINK("https://creighton-primo.hosted.exlibrisgroup.com/primo-explore/search?tab=default_tab&amp;search_scope=EVERYTHING&amp;vid=01CRU&amp;lang=en_US&amp;offset=0&amp;query=any,contains,991001792319702656","Catalog Record")</f>
        <v>Catalog Record</v>
      </c>
      <c r="AT418" s="6" t="str">
        <f>HYPERLINK("http://www.worldcat.org/oclc/12941223","WorldCat Record")</f>
        <v>WorldCat Record</v>
      </c>
    </row>
    <row r="419" spans="1:46" ht="41.25" customHeight="1" x14ac:dyDescent="0.25">
      <c r="A419" s="8" t="s">
        <v>51</v>
      </c>
      <c r="B419" s="2" t="s">
        <v>1383</v>
      </c>
      <c r="C419" s="2" t="s">
        <v>1384</v>
      </c>
      <c r="D419" s="2" t="s">
        <v>1385</v>
      </c>
      <c r="F419" s="3" t="s">
        <v>51</v>
      </c>
      <c r="G419" s="3" t="s">
        <v>50</v>
      </c>
      <c r="H419" s="3" t="s">
        <v>49</v>
      </c>
      <c r="I419" s="3" t="s">
        <v>51</v>
      </c>
      <c r="J419" s="3" t="s">
        <v>52</v>
      </c>
      <c r="L419" s="2" t="s">
        <v>1386</v>
      </c>
      <c r="M419" s="3" t="s">
        <v>586</v>
      </c>
      <c r="O419" s="3" t="s">
        <v>56</v>
      </c>
      <c r="P419" s="3" t="s">
        <v>1017</v>
      </c>
      <c r="R419" s="3" t="s">
        <v>59</v>
      </c>
      <c r="S419" s="4">
        <v>9</v>
      </c>
      <c r="T419" s="4">
        <v>36</v>
      </c>
      <c r="U419" s="5" t="s">
        <v>2721</v>
      </c>
      <c r="V419" s="5" t="s">
        <v>845</v>
      </c>
      <c r="W419" s="5" t="s">
        <v>2722</v>
      </c>
      <c r="X419" s="5" t="s">
        <v>1387</v>
      </c>
      <c r="Y419" s="4">
        <v>472</v>
      </c>
      <c r="Z419" s="4">
        <v>371</v>
      </c>
      <c r="AA419" s="4">
        <v>374</v>
      </c>
      <c r="AB419" s="4">
        <v>2</v>
      </c>
      <c r="AC419" s="4">
        <v>2</v>
      </c>
      <c r="AD419" s="4">
        <v>23</v>
      </c>
      <c r="AE419" s="4">
        <v>23</v>
      </c>
      <c r="AF419" s="4">
        <v>10</v>
      </c>
      <c r="AG419" s="4">
        <v>10</v>
      </c>
      <c r="AH419" s="4">
        <v>4</v>
      </c>
      <c r="AI419" s="4">
        <v>4</v>
      </c>
      <c r="AJ419" s="4">
        <v>12</v>
      </c>
      <c r="AK419" s="4">
        <v>12</v>
      </c>
      <c r="AL419" s="4">
        <v>0</v>
      </c>
      <c r="AM419" s="4">
        <v>0</v>
      </c>
      <c r="AN419" s="4">
        <v>2</v>
      </c>
      <c r="AO419" s="4">
        <v>2</v>
      </c>
      <c r="AP419" s="3" t="s">
        <v>51</v>
      </c>
      <c r="AQ419" s="3" t="s">
        <v>49</v>
      </c>
      <c r="AR419" s="6" t="str">
        <f>HYPERLINK("http://catalog.hathitrust.org/Record/003016154","HathiTrust Record")</f>
        <v>HathiTrust Record</v>
      </c>
      <c r="AS419" s="6" t="str">
        <f>HYPERLINK("https://creighton-primo.hosted.exlibrisgroup.com/primo-explore/search?tab=default_tab&amp;search_scope=EVERYTHING&amp;vid=01CRU&amp;lang=en_US&amp;offset=0&amp;query=any,contains,991001802629702656","Catalog Record")</f>
        <v>Catalog Record</v>
      </c>
      <c r="AT419" s="6" t="str">
        <f>HYPERLINK("http://www.worldcat.org/oclc/27066826","WorldCat Record")</f>
        <v>WorldCat Record</v>
      </c>
    </row>
    <row r="420" spans="1:46" ht="41.25" customHeight="1" x14ac:dyDescent="0.25">
      <c r="A420" s="8" t="s">
        <v>51</v>
      </c>
      <c r="B420" s="2" t="s">
        <v>1388</v>
      </c>
      <c r="C420" s="2" t="s">
        <v>1389</v>
      </c>
      <c r="D420" s="2" t="s">
        <v>1390</v>
      </c>
      <c r="F420" s="3" t="s">
        <v>51</v>
      </c>
      <c r="G420" s="3" t="s">
        <v>50</v>
      </c>
      <c r="H420" s="3" t="s">
        <v>49</v>
      </c>
      <c r="I420" s="3" t="s">
        <v>51</v>
      </c>
      <c r="J420" s="3" t="s">
        <v>52</v>
      </c>
      <c r="L420" s="2" t="s">
        <v>1391</v>
      </c>
      <c r="M420" s="3" t="s">
        <v>263</v>
      </c>
      <c r="O420" s="3" t="s">
        <v>56</v>
      </c>
      <c r="P420" s="3" t="s">
        <v>87</v>
      </c>
      <c r="R420" s="3" t="s">
        <v>59</v>
      </c>
      <c r="S420" s="4">
        <v>16</v>
      </c>
      <c r="T420" s="4">
        <v>67</v>
      </c>
      <c r="U420" s="5" t="s">
        <v>2723</v>
      </c>
      <c r="V420" s="5" t="s">
        <v>1392</v>
      </c>
      <c r="W420" s="5" t="s">
        <v>2597</v>
      </c>
      <c r="X420" s="5" t="s">
        <v>1393</v>
      </c>
      <c r="Y420" s="4">
        <v>1183</v>
      </c>
      <c r="Z420" s="4">
        <v>1052</v>
      </c>
      <c r="AA420" s="4">
        <v>1066</v>
      </c>
      <c r="AB420" s="4">
        <v>9</v>
      </c>
      <c r="AC420" s="4">
        <v>9</v>
      </c>
      <c r="AD420" s="4">
        <v>41</v>
      </c>
      <c r="AE420" s="4">
        <v>42</v>
      </c>
      <c r="AF420" s="4">
        <v>13</v>
      </c>
      <c r="AG420" s="4">
        <v>14</v>
      </c>
      <c r="AH420" s="4">
        <v>6</v>
      </c>
      <c r="AI420" s="4">
        <v>6</v>
      </c>
      <c r="AJ420" s="4">
        <v>17</v>
      </c>
      <c r="AK420" s="4">
        <v>17</v>
      </c>
      <c r="AL420" s="4">
        <v>5</v>
      </c>
      <c r="AM420" s="4">
        <v>5</v>
      </c>
      <c r="AN420" s="4">
        <v>8</v>
      </c>
      <c r="AO420" s="4">
        <v>8</v>
      </c>
      <c r="AP420" s="3" t="s">
        <v>51</v>
      </c>
      <c r="AQ420" s="3" t="s">
        <v>49</v>
      </c>
      <c r="AR420" s="6" t="str">
        <f>HYPERLINK("http://catalog.hathitrust.org/Record/000044758","HathiTrust Record")</f>
        <v>HathiTrust Record</v>
      </c>
      <c r="AS420" s="6" t="str">
        <f>HYPERLINK("https://creighton-primo.hosted.exlibrisgroup.com/primo-explore/search?tab=default_tab&amp;search_scope=EVERYTHING&amp;vid=01CRU&amp;lang=en_US&amp;offset=0&amp;query=any,contains,991001789009702656","Catalog Record")</f>
        <v>Catalog Record</v>
      </c>
      <c r="AT420" s="6" t="str">
        <f>HYPERLINK("http://www.worldcat.org/oclc/1527377","WorldCat Record")</f>
        <v>WorldCat Record</v>
      </c>
    </row>
    <row r="421" spans="1:46" ht="41.25" customHeight="1" x14ac:dyDescent="0.25">
      <c r="A421" s="8" t="s">
        <v>51</v>
      </c>
      <c r="B421" s="2" t="s">
        <v>1420</v>
      </c>
      <c r="C421" s="2" t="s">
        <v>1421</v>
      </c>
      <c r="D421" s="2" t="s">
        <v>1422</v>
      </c>
      <c r="F421" s="3" t="s">
        <v>51</v>
      </c>
      <c r="G421" s="3" t="s">
        <v>50</v>
      </c>
      <c r="H421" s="3" t="s">
        <v>49</v>
      </c>
      <c r="I421" s="3" t="s">
        <v>51</v>
      </c>
      <c r="J421" s="3" t="s">
        <v>52</v>
      </c>
      <c r="L421" s="2" t="s">
        <v>1423</v>
      </c>
      <c r="M421" s="3" t="s">
        <v>211</v>
      </c>
      <c r="O421" s="3" t="s">
        <v>56</v>
      </c>
      <c r="P421" s="3" t="s">
        <v>545</v>
      </c>
      <c r="Q421" s="2" t="s">
        <v>1424</v>
      </c>
      <c r="R421" s="3" t="s">
        <v>59</v>
      </c>
      <c r="S421" s="4">
        <v>8</v>
      </c>
      <c r="T421" s="4">
        <v>41</v>
      </c>
      <c r="U421" s="5" t="s">
        <v>2724</v>
      </c>
      <c r="V421" s="5" t="s">
        <v>1425</v>
      </c>
      <c r="W421" s="5" t="s">
        <v>2653</v>
      </c>
      <c r="X421" s="5" t="s">
        <v>1426</v>
      </c>
      <c r="Y421" s="4">
        <v>379</v>
      </c>
      <c r="Z421" s="4">
        <v>244</v>
      </c>
      <c r="AA421" s="4">
        <v>249</v>
      </c>
      <c r="AB421" s="4">
        <v>5</v>
      </c>
      <c r="AC421" s="4">
        <v>5</v>
      </c>
      <c r="AD421" s="4">
        <v>11</v>
      </c>
      <c r="AE421" s="4">
        <v>11</v>
      </c>
      <c r="AF421" s="4">
        <v>3</v>
      </c>
      <c r="AG421" s="4">
        <v>3</v>
      </c>
      <c r="AH421" s="4">
        <v>1</v>
      </c>
      <c r="AI421" s="4">
        <v>1</v>
      </c>
      <c r="AJ421" s="4">
        <v>4</v>
      </c>
      <c r="AK421" s="4">
        <v>4</v>
      </c>
      <c r="AL421" s="4">
        <v>3</v>
      </c>
      <c r="AM421" s="4">
        <v>3</v>
      </c>
      <c r="AN421" s="4">
        <v>1</v>
      </c>
      <c r="AO421" s="4">
        <v>1</v>
      </c>
      <c r="AP421" s="3" t="s">
        <v>51</v>
      </c>
      <c r="AQ421" s="3" t="s">
        <v>51</v>
      </c>
      <c r="AS421" s="6" t="str">
        <f>HYPERLINK("https://creighton-primo.hosted.exlibrisgroup.com/primo-explore/search?tab=default_tab&amp;search_scope=EVERYTHING&amp;vid=01CRU&amp;lang=en_US&amp;offset=0&amp;query=any,contains,991001789229702656","Catalog Record")</f>
        <v>Catalog Record</v>
      </c>
      <c r="AT421" s="6" t="str">
        <f>HYPERLINK("http://www.worldcat.org/oclc/6329029","WorldCat Record")</f>
        <v>WorldCat Record</v>
      </c>
    </row>
    <row r="422" spans="1:46" ht="41.25" customHeight="1" x14ac:dyDescent="0.25">
      <c r="A422" s="8" t="s">
        <v>51</v>
      </c>
      <c r="B422" s="2" t="s">
        <v>1578</v>
      </c>
      <c r="C422" s="2" t="s">
        <v>1579</v>
      </c>
      <c r="D422" s="2" t="s">
        <v>1580</v>
      </c>
      <c r="F422" s="3" t="s">
        <v>51</v>
      </c>
      <c r="G422" s="3" t="s">
        <v>50</v>
      </c>
      <c r="H422" s="3" t="s">
        <v>49</v>
      </c>
      <c r="I422" s="3" t="s">
        <v>51</v>
      </c>
      <c r="J422" s="3" t="s">
        <v>52</v>
      </c>
      <c r="L422" s="2" t="s">
        <v>1581</v>
      </c>
      <c r="M422" s="3" t="s">
        <v>211</v>
      </c>
      <c r="O422" s="3" t="s">
        <v>56</v>
      </c>
      <c r="P422" s="3" t="s">
        <v>69</v>
      </c>
      <c r="R422" s="3" t="s">
        <v>59</v>
      </c>
      <c r="S422" s="4">
        <v>30</v>
      </c>
      <c r="T422" s="4">
        <v>37</v>
      </c>
      <c r="U422" s="5" t="s">
        <v>1583</v>
      </c>
      <c r="V422" s="5" t="s">
        <v>1583</v>
      </c>
      <c r="W422" s="5" t="s">
        <v>2725</v>
      </c>
      <c r="X422" s="5" t="s">
        <v>1584</v>
      </c>
      <c r="Y422" s="4">
        <v>357</v>
      </c>
      <c r="Z422" s="4">
        <v>270</v>
      </c>
      <c r="AA422" s="4">
        <v>280</v>
      </c>
      <c r="AB422" s="4">
        <v>2</v>
      </c>
      <c r="AC422" s="4">
        <v>2</v>
      </c>
      <c r="AD422" s="4">
        <v>11</v>
      </c>
      <c r="AE422" s="4">
        <v>11</v>
      </c>
      <c r="AF422" s="4">
        <v>3</v>
      </c>
      <c r="AG422" s="4">
        <v>3</v>
      </c>
      <c r="AH422" s="4">
        <v>4</v>
      </c>
      <c r="AI422" s="4">
        <v>4</v>
      </c>
      <c r="AJ422" s="4">
        <v>7</v>
      </c>
      <c r="AK422" s="4">
        <v>7</v>
      </c>
      <c r="AL422" s="4">
        <v>0</v>
      </c>
      <c r="AM422" s="4">
        <v>0</v>
      </c>
      <c r="AN422" s="4">
        <v>0</v>
      </c>
      <c r="AO422" s="4">
        <v>0</v>
      </c>
      <c r="AP422" s="3" t="s">
        <v>51</v>
      </c>
      <c r="AQ422" s="3" t="s">
        <v>49</v>
      </c>
      <c r="AR422" s="6" t="str">
        <f>HYPERLINK("http://catalog.hathitrust.org/Record/000309917","HathiTrust Record")</f>
        <v>HathiTrust Record</v>
      </c>
      <c r="AS422" s="6" t="str">
        <f>HYPERLINK("https://creighton-primo.hosted.exlibrisgroup.com/primo-explore/search?tab=default_tab&amp;search_scope=EVERYTHING&amp;vid=01CRU&amp;lang=en_US&amp;offset=0&amp;query=any,contains,991001753429702656","Catalog Record")</f>
        <v>Catalog Record</v>
      </c>
      <c r="AT422" s="6" t="str">
        <f>HYPERLINK("http://www.worldcat.org/oclc/4493661","WorldCat Record")</f>
        <v>WorldCat Record</v>
      </c>
    </row>
    <row r="423" spans="1:46" ht="41.25" customHeight="1" x14ac:dyDescent="0.25">
      <c r="A423" s="8" t="s">
        <v>51</v>
      </c>
      <c r="B423" s="2" t="s">
        <v>1611</v>
      </c>
      <c r="C423" s="2" t="s">
        <v>1612</v>
      </c>
      <c r="D423" s="2" t="s">
        <v>1613</v>
      </c>
      <c r="F423" s="3" t="s">
        <v>51</v>
      </c>
      <c r="G423" s="3" t="s">
        <v>50</v>
      </c>
      <c r="H423" s="3" t="s">
        <v>49</v>
      </c>
      <c r="I423" s="3" t="s">
        <v>51</v>
      </c>
      <c r="J423" s="3" t="s">
        <v>52</v>
      </c>
      <c r="L423" s="2" t="s">
        <v>1614</v>
      </c>
      <c r="M423" s="3" t="s">
        <v>313</v>
      </c>
      <c r="O423" s="3" t="s">
        <v>56</v>
      </c>
      <c r="P423" s="3" t="s">
        <v>538</v>
      </c>
      <c r="Q423" s="2" t="s">
        <v>1615</v>
      </c>
      <c r="R423" s="3" t="s">
        <v>59</v>
      </c>
      <c r="S423" s="4">
        <v>41</v>
      </c>
      <c r="T423" s="4">
        <v>63</v>
      </c>
      <c r="U423" s="5" t="s">
        <v>1617</v>
      </c>
      <c r="V423" s="5" t="s">
        <v>1617</v>
      </c>
      <c r="W423" s="5" t="s">
        <v>2655</v>
      </c>
      <c r="X423" s="5" t="s">
        <v>1584</v>
      </c>
      <c r="Y423" s="4">
        <v>42</v>
      </c>
      <c r="Z423" s="4">
        <v>34</v>
      </c>
      <c r="AA423" s="4">
        <v>168</v>
      </c>
      <c r="AB423" s="4">
        <v>2</v>
      </c>
      <c r="AC423" s="4">
        <v>3</v>
      </c>
      <c r="AD423" s="4">
        <v>1</v>
      </c>
      <c r="AE423" s="4">
        <v>10</v>
      </c>
      <c r="AF423" s="4">
        <v>0</v>
      </c>
      <c r="AG423" s="4">
        <v>3</v>
      </c>
      <c r="AH423" s="4">
        <v>0</v>
      </c>
      <c r="AI423" s="4">
        <v>2</v>
      </c>
      <c r="AJ423" s="4">
        <v>1</v>
      </c>
      <c r="AK423" s="4">
        <v>6</v>
      </c>
      <c r="AL423" s="4">
        <v>0</v>
      </c>
      <c r="AM423" s="4">
        <v>1</v>
      </c>
      <c r="AN423" s="4">
        <v>0</v>
      </c>
      <c r="AO423" s="4">
        <v>0</v>
      </c>
      <c r="AP423" s="3" t="s">
        <v>51</v>
      </c>
      <c r="AQ423" s="3" t="s">
        <v>51</v>
      </c>
      <c r="AS423" s="6" t="str">
        <f>HYPERLINK("https://creighton-primo.hosted.exlibrisgroup.com/primo-explore/search?tab=default_tab&amp;search_scope=EVERYTHING&amp;vid=01CRU&amp;lang=en_US&amp;offset=0&amp;query=any,contains,991001760489702656","Catalog Record")</f>
        <v>Catalog Record</v>
      </c>
      <c r="AT423" s="6" t="str">
        <f>HYPERLINK("http://www.worldcat.org/oclc/1365644","WorldCat Record")</f>
        <v>WorldCat Record</v>
      </c>
    </row>
    <row r="424" spans="1:46" ht="41.25" customHeight="1" x14ac:dyDescent="0.25">
      <c r="A424" s="8" t="s">
        <v>51</v>
      </c>
      <c r="B424" s="2" t="s">
        <v>1668</v>
      </c>
      <c r="C424" s="2" t="s">
        <v>1669</v>
      </c>
      <c r="D424" s="2" t="s">
        <v>1670</v>
      </c>
      <c r="F424" s="3" t="s">
        <v>51</v>
      </c>
      <c r="G424" s="3" t="s">
        <v>50</v>
      </c>
      <c r="H424" s="3" t="s">
        <v>49</v>
      </c>
      <c r="I424" s="3" t="s">
        <v>51</v>
      </c>
      <c r="J424" s="3" t="s">
        <v>52</v>
      </c>
      <c r="K424" s="2" t="s">
        <v>1671</v>
      </c>
      <c r="L424" s="2" t="s">
        <v>1672</v>
      </c>
      <c r="M424" s="3" t="s">
        <v>586</v>
      </c>
      <c r="N424" s="2" t="s">
        <v>245</v>
      </c>
      <c r="O424" s="3" t="s">
        <v>56</v>
      </c>
      <c r="P424" s="3" t="s">
        <v>87</v>
      </c>
      <c r="R424" s="3" t="s">
        <v>59</v>
      </c>
      <c r="S424" s="4">
        <v>33</v>
      </c>
      <c r="T424" s="4">
        <v>68</v>
      </c>
      <c r="U424" s="5" t="s">
        <v>940</v>
      </c>
      <c r="V424" s="5" t="s">
        <v>1673</v>
      </c>
      <c r="W424" s="5" t="s">
        <v>2726</v>
      </c>
      <c r="X424" s="5" t="s">
        <v>1674</v>
      </c>
      <c r="Y424" s="4">
        <v>2699</v>
      </c>
      <c r="Z424" s="4">
        <v>2550</v>
      </c>
      <c r="AA424" s="4">
        <v>2702</v>
      </c>
      <c r="AB424" s="4">
        <v>28</v>
      </c>
      <c r="AC424" s="4">
        <v>28</v>
      </c>
      <c r="AD424" s="4">
        <v>36</v>
      </c>
      <c r="AE424" s="4">
        <v>38</v>
      </c>
      <c r="AF424" s="4">
        <v>17</v>
      </c>
      <c r="AG424" s="4">
        <v>18</v>
      </c>
      <c r="AH424" s="4">
        <v>5</v>
      </c>
      <c r="AI424" s="4">
        <v>5</v>
      </c>
      <c r="AJ424" s="4">
        <v>16</v>
      </c>
      <c r="AK424" s="4">
        <v>17</v>
      </c>
      <c r="AL424" s="4">
        <v>5</v>
      </c>
      <c r="AM424" s="4">
        <v>5</v>
      </c>
      <c r="AN424" s="4">
        <v>0</v>
      </c>
      <c r="AO424" s="4">
        <v>0</v>
      </c>
      <c r="AP424" s="3" t="s">
        <v>51</v>
      </c>
      <c r="AQ424" s="3" t="s">
        <v>49</v>
      </c>
      <c r="AR424" s="6" t="str">
        <f>HYPERLINK("http://catalog.hathitrust.org/Record/002640652","HathiTrust Record")</f>
        <v>HathiTrust Record</v>
      </c>
      <c r="AS424" s="6" t="str">
        <f>HYPERLINK("https://creighton-primo.hosted.exlibrisgroup.com/primo-explore/search?tab=default_tab&amp;search_scope=EVERYTHING&amp;vid=01CRU&amp;lang=en_US&amp;offset=0&amp;query=any,contains,991001799729702656","Catalog Record")</f>
        <v>Catalog Record</v>
      </c>
      <c r="AT424" s="6" t="str">
        <f>HYPERLINK("http://www.worldcat.org/oclc/26590817","WorldCat Record")</f>
        <v>WorldCat Record</v>
      </c>
    </row>
    <row r="425" spans="1:46" ht="41.25" customHeight="1" x14ac:dyDescent="0.25">
      <c r="A425" s="8" t="s">
        <v>51</v>
      </c>
      <c r="B425" s="2" t="s">
        <v>1763</v>
      </c>
      <c r="C425" s="2" t="s">
        <v>1764</v>
      </c>
      <c r="D425" s="2" t="s">
        <v>1765</v>
      </c>
      <c r="F425" s="3" t="s">
        <v>51</v>
      </c>
      <c r="G425" s="3" t="s">
        <v>50</v>
      </c>
      <c r="H425" s="3" t="s">
        <v>49</v>
      </c>
      <c r="I425" s="3" t="s">
        <v>51</v>
      </c>
      <c r="J425" s="3" t="s">
        <v>52</v>
      </c>
      <c r="L425" s="2" t="s">
        <v>1766</v>
      </c>
      <c r="M425" s="3" t="s">
        <v>851</v>
      </c>
      <c r="N425" s="2" t="s">
        <v>245</v>
      </c>
      <c r="O425" s="3" t="s">
        <v>56</v>
      </c>
      <c r="P425" s="3" t="s">
        <v>202</v>
      </c>
      <c r="R425" s="3" t="s">
        <v>59</v>
      </c>
      <c r="S425" s="4">
        <v>0</v>
      </c>
      <c r="T425" s="4">
        <v>3</v>
      </c>
      <c r="V425" s="5" t="s">
        <v>1767</v>
      </c>
      <c r="W425" s="5" t="s">
        <v>1768</v>
      </c>
      <c r="X425" s="5" t="s">
        <v>1768</v>
      </c>
      <c r="Y425" s="4">
        <v>481</v>
      </c>
      <c r="Z425" s="4">
        <v>387</v>
      </c>
      <c r="AA425" s="4">
        <v>461</v>
      </c>
      <c r="AB425" s="4">
        <v>2</v>
      </c>
      <c r="AC425" s="4">
        <v>3</v>
      </c>
      <c r="AD425" s="4">
        <v>20</v>
      </c>
      <c r="AE425" s="4">
        <v>23</v>
      </c>
      <c r="AF425" s="4">
        <v>7</v>
      </c>
      <c r="AG425" s="4">
        <v>8</v>
      </c>
      <c r="AH425" s="4">
        <v>5</v>
      </c>
      <c r="AI425" s="4">
        <v>5</v>
      </c>
      <c r="AJ425" s="4">
        <v>13</v>
      </c>
      <c r="AK425" s="4">
        <v>14</v>
      </c>
      <c r="AL425" s="4">
        <v>1</v>
      </c>
      <c r="AM425" s="4">
        <v>2</v>
      </c>
      <c r="AN425" s="4">
        <v>0</v>
      </c>
      <c r="AO425" s="4">
        <v>0</v>
      </c>
      <c r="AP425" s="3" t="s">
        <v>51</v>
      </c>
      <c r="AQ425" s="3" t="s">
        <v>51</v>
      </c>
      <c r="AS425" s="6" t="str">
        <f>HYPERLINK("https://creighton-primo.hosted.exlibrisgroup.com/primo-explore/search?tab=default_tab&amp;search_scope=EVERYTHING&amp;vid=01CRU&amp;lang=en_US&amp;offset=0&amp;query=any,contains,991001812889702656","Catalog Record")</f>
        <v>Catalog Record</v>
      </c>
      <c r="AT425" s="6" t="str">
        <f>HYPERLINK("http://www.worldcat.org/oclc/35325353","WorldCat Record")</f>
        <v>WorldCat Record</v>
      </c>
    </row>
    <row r="426" spans="1:46" ht="41.25" customHeight="1" x14ac:dyDescent="0.25">
      <c r="A426" s="8" t="s">
        <v>51</v>
      </c>
      <c r="B426" s="2" t="s">
        <v>2727</v>
      </c>
      <c r="C426" s="2" t="s">
        <v>2728</v>
      </c>
      <c r="D426" s="2" t="s">
        <v>2729</v>
      </c>
      <c r="F426" s="3" t="s">
        <v>51</v>
      </c>
      <c r="G426" s="3" t="s">
        <v>50</v>
      </c>
      <c r="H426" s="3" t="s">
        <v>49</v>
      </c>
      <c r="I426" s="3" t="s">
        <v>51</v>
      </c>
      <c r="J426" s="3" t="s">
        <v>52</v>
      </c>
      <c r="L426" s="2" t="s">
        <v>2730</v>
      </c>
      <c r="M426" s="3" t="s">
        <v>218</v>
      </c>
      <c r="O426" s="3" t="s">
        <v>56</v>
      </c>
      <c r="P426" s="3" t="s">
        <v>992</v>
      </c>
      <c r="R426" s="3" t="s">
        <v>59</v>
      </c>
      <c r="S426" s="4">
        <v>10</v>
      </c>
      <c r="T426" s="4">
        <v>19</v>
      </c>
      <c r="U426" s="5" t="s">
        <v>2731</v>
      </c>
      <c r="V426" s="5" t="s">
        <v>2731</v>
      </c>
      <c r="W426" s="5" t="s">
        <v>2684</v>
      </c>
      <c r="X426" s="5" t="s">
        <v>2732</v>
      </c>
      <c r="Y426" s="4">
        <v>256</v>
      </c>
      <c r="Z426" s="4">
        <v>235</v>
      </c>
      <c r="AA426" s="4">
        <v>237</v>
      </c>
      <c r="AB426" s="4">
        <v>4</v>
      </c>
      <c r="AC426" s="4">
        <v>4</v>
      </c>
      <c r="AD426" s="4">
        <v>17</v>
      </c>
      <c r="AE426" s="4">
        <v>17</v>
      </c>
      <c r="AF426" s="4">
        <v>2</v>
      </c>
      <c r="AG426" s="4">
        <v>2</v>
      </c>
      <c r="AH426" s="4">
        <v>5</v>
      </c>
      <c r="AI426" s="4">
        <v>5</v>
      </c>
      <c r="AJ426" s="4">
        <v>7</v>
      </c>
      <c r="AK426" s="4">
        <v>7</v>
      </c>
      <c r="AL426" s="4">
        <v>1</v>
      </c>
      <c r="AM426" s="4">
        <v>1</v>
      </c>
      <c r="AN426" s="4">
        <v>6</v>
      </c>
      <c r="AO426" s="4">
        <v>6</v>
      </c>
      <c r="AP426" s="3" t="s">
        <v>51</v>
      </c>
      <c r="AQ426" s="3" t="s">
        <v>49</v>
      </c>
      <c r="AR426" s="6" t="str">
        <f>HYPERLINK("http://catalog.hathitrust.org/Record/000193169","HathiTrust Record")</f>
        <v>HathiTrust Record</v>
      </c>
      <c r="AS426" s="6" t="str">
        <f>HYPERLINK("https://creighton-primo.hosted.exlibrisgroup.com/primo-explore/search?tab=default_tab&amp;search_scope=EVERYTHING&amp;vid=01CRU&amp;lang=en_US&amp;offset=0&amp;query=any,contains,991001760169702656","Catalog Record")</f>
        <v>Catalog Record</v>
      </c>
      <c r="AT426" s="6" t="str">
        <f>HYPERLINK("http://www.worldcat.org/oclc/2331224","WorldCat Record")</f>
        <v>WorldCat Record</v>
      </c>
    </row>
    <row r="427" spans="1:46" ht="41.25" customHeight="1" x14ac:dyDescent="0.25">
      <c r="A427" s="8" t="s">
        <v>51</v>
      </c>
      <c r="B427" s="2" t="s">
        <v>1806</v>
      </c>
      <c r="C427" s="2" t="s">
        <v>1807</v>
      </c>
      <c r="D427" s="2" t="s">
        <v>1808</v>
      </c>
      <c r="F427" s="3" t="s">
        <v>51</v>
      </c>
      <c r="G427" s="3" t="s">
        <v>50</v>
      </c>
      <c r="H427" s="3" t="s">
        <v>49</v>
      </c>
      <c r="I427" s="3" t="s">
        <v>51</v>
      </c>
      <c r="J427" s="3" t="s">
        <v>52</v>
      </c>
      <c r="L427" s="2" t="s">
        <v>1809</v>
      </c>
      <c r="M427" s="3" t="s">
        <v>154</v>
      </c>
      <c r="O427" s="3" t="s">
        <v>56</v>
      </c>
      <c r="P427" s="3" t="s">
        <v>202</v>
      </c>
      <c r="Q427" s="2" t="s">
        <v>1810</v>
      </c>
      <c r="R427" s="3" t="s">
        <v>59</v>
      </c>
      <c r="S427" s="4">
        <v>9</v>
      </c>
      <c r="T427" s="4">
        <v>16</v>
      </c>
      <c r="U427" s="5" t="s">
        <v>1812</v>
      </c>
      <c r="V427" s="5" t="s">
        <v>1812</v>
      </c>
      <c r="W427" s="5" t="s">
        <v>2733</v>
      </c>
      <c r="X427" s="5" t="s">
        <v>1813</v>
      </c>
      <c r="Y427" s="4">
        <v>260</v>
      </c>
      <c r="Z427" s="4">
        <v>211</v>
      </c>
      <c r="AA427" s="4">
        <v>217</v>
      </c>
      <c r="AB427" s="4">
        <v>4</v>
      </c>
      <c r="AC427" s="4">
        <v>4</v>
      </c>
      <c r="AD427" s="4">
        <v>7</v>
      </c>
      <c r="AE427" s="4">
        <v>7</v>
      </c>
      <c r="AF427" s="4">
        <v>2</v>
      </c>
      <c r="AG427" s="4">
        <v>2</v>
      </c>
      <c r="AH427" s="4">
        <v>1</v>
      </c>
      <c r="AI427" s="4">
        <v>1</v>
      </c>
      <c r="AJ427" s="4">
        <v>2</v>
      </c>
      <c r="AK427" s="4">
        <v>2</v>
      </c>
      <c r="AL427" s="4">
        <v>2</v>
      </c>
      <c r="AM427" s="4">
        <v>2</v>
      </c>
      <c r="AN427" s="4">
        <v>0</v>
      </c>
      <c r="AO427" s="4">
        <v>0</v>
      </c>
      <c r="AP427" s="3" t="s">
        <v>51</v>
      </c>
      <c r="AQ427" s="3" t="s">
        <v>51</v>
      </c>
      <c r="AS427" s="6" t="str">
        <f>HYPERLINK("https://creighton-primo.hosted.exlibrisgroup.com/primo-explore/search?tab=default_tab&amp;search_scope=EVERYTHING&amp;vid=01CRU&amp;lang=en_US&amp;offset=0&amp;query=any,contains,991001778409702656","Catalog Record")</f>
        <v>Catalog Record</v>
      </c>
      <c r="AT427" s="6" t="str">
        <f>HYPERLINK("http://www.worldcat.org/oclc/8033277","WorldCat Record")</f>
        <v>WorldCat Record</v>
      </c>
    </row>
    <row r="428" spans="1:46" ht="41.25" customHeight="1" x14ac:dyDescent="0.25">
      <c r="A428" s="8" t="s">
        <v>51</v>
      </c>
      <c r="B428" s="2" t="s">
        <v>1819</v>
      </c>
      <c r="C428" s="2" t="s">
        <v>1820</v>
      </c>
      <c r="D428" s="2" t="s">
        <v>1821</v>
      </c>
      <c r="F428" s="3" t="s">
        <v>51</v>
      </c>
      <c r="G428" s="3" t="s">
        <v>50</v>
      </c>
      <c r="H428" s="3" t="s">
        <v>49</v>
      </c>
      <c r="I428" s="3" t="s">
        <v>51</v>
      </c>
      <c r="J428" s="3" t="s">
        <v>52</v>
      </c>
      <c r="K428" s="2" t="s">
        <v>1822</v>
      </c>
      <c r="L428" s="2" t="s">
        <v>1823</v>
      </c>
      <c r="M428" s="3" t="s">
        <v>171</v>
      </c>
      <c r="O428" s="3" t="s">
        <v>56</v>
      </c>
      <c r="P428" s="3" t="s">
        <v>87</v>
      </c>
      <c r="R428" s="3" t="s">
        <v>59</v>
      </c>
      <c r="S428" s="4">
        <v>5</v>
      </c>
      <c r="T428" s="4">
        <v>11</v>
      </c>
      <c r="U428" s="5" t="s">
        <v>2734</v>
      </c>
      <c r="V428" s="5" t="s">
        <v>1800</v>
      </c>
      <c r="W428" s="5" t="s">
        <v>2735</v>
      </c>
      <c r="X428" s="5" t="s">
        <v>1824</v>
      </c>
      <c r="Y428" s="4">
        <v>947</v>
      </c>
      <c r="Z428" s="4">
        <v>870</v>
      </c>
      <c r="AA428" s="4">
        <v>887</v>
      </c>
      <c r="AB428" s="4">
        <v>7</v>
      </c>
      <c r="AC428" s="4">
        <v>7</v>
      </c>
      <c r="AD428" s="4">
        <v>25</v>
      </c>
      <c r="AE428" s="4">
        <v>25</v>
      </c>
      <c r="AF428" s="4">
        <v>11</v>
      </c>
      <c r="AG428" s="4">
        <v>11</v>
      </c>
      <c r="AH428" s="4">
        <v>5</v>
      </c>
      <c r="AI428" s="4">
        <v>5</v>
      </c>
      <c r="AJ428" s="4">
        <v>12</v>
      </c>
      <c r="AK428" s="4">
        <v>12</v>
      </c>
      <c r="AL428" s="4">
        <v>4</v>
      </c>
      <c r="AM428" s="4">
        <v>4</v>
      </c>
      <c r="AN428" s="4">
        <v>0</v>
      </c>
      <c r="AO428" s="4">
        <v>0</v>
      </c>
      <c r="AP428" s="3" t="s">
        <v>51</v>
      </c>
      <c r="AQ428" s="3" t="s">
        <v>49</v>
      </c>
      <c r="AR428" s="6" t="str">
        <f>HYPERLINK("http://catalog.hathitrust.org/Record/000037902","HathiTrust Record")</f>
        <v>HathiTrust Record</v>
      </c>
      <c r="AS428" s="6" t="str">
        <f>HYPERLINK("https://creighton-primo.hosted.exlibrisgroup.com/primo-explore/search?tab=default_tab&amp;search_scope=EVERYTHING&amp;vid=01CRU&amp;lang=en_US&amp;offset=0&amp;query=any,contains,991001777049702656","Catalog Record")</f>
        <v>Catalog Record</v>
      </c>
      <c r="AT428" s="6" t="str">
        <f>HYPERLINK("http://www.worldcat.org/oclc/4857949","WorldCat Record")</f>
        <v>WorldCat Record</v>
      </c>
    </row>
    <row r="429" spans="1:46" ht="41.25" customHeight="1" x14ac:dyDescent="0.25">
      <c r="A429" s="8" t="s">
        <v>51</v>
      </c>
      <c r="B429" s="2" t="s">
        <v>1841</v>
      </c>
      <c r="C429" s="2" t="s">
        <v>1842</v>
      </c>
      <c r="D429" s="2" t="s">
        <v>1843</v>
      </c>
      <c r="F429" s="3" t="s">
        <v>51</v>
      </c>
      <c r="G429" s="3" t="s">
        <v>50</v>
      </c>
      <c r="H429" s="3" t="s">
        <v>49</v>
      </c>
      <c r="I429" s="3" t="s">
        <v>51</v>
      </c>
      <c r="J429" s="3" t="s">
        <v>52</v>
      </c>
      <c r="L429" s="2" t="s">
        <v>1844</v>
      </c>
      <c r="M429" s="3" t="s">
        <v>211</v>
      </c>
      <c r="O429" s="3" t="s">
        <v>56</v>
      </c>
      <c r="P429" s="3" t="s">
        <v>1017</v>
      </c>
      <c r="R429" s="3" t="s">
        <v>59</v>
      </c>
      <c r="S429" s="4">
        <v>2</v>
      </c>
      <c r="T429" s="4">
        <v>8</v>
      </c>
      <c r="U429" s="5" t="s">
        <v>2736</v>
      </c>
      <c r="V429" s="5" t="s">
        <v>1800</v>
      </c>
      <c r="W429" s="5" t="s">
        <v>2735</v>
      </c>
      <c r="X429" s="5" t="s">
        <v>1824</v>
      </c>
      <c r="Y429" s="4">
        <v>888</v>
      </c>
      <c r="Z429" s="4">
        <v>817</v>
      </c>
      <c r="AA429" s="4">
        <v>832</v>
      </c>
      <c r="AB429" s="4">
        <v>8</v>
      </c>
      <c r="AC429" s="4">
        <v>8</v>
      </c>
      <c r="AD429" s="4">
        <v>28</v>
      </c>
      <c r="AE429" s="4">
        <v>28</v>
      </c>
      <c r="AF429" s="4">
        <v>13</v>
      </c>
      <c r="AG429" s="4">
        <v>13</v>
      </c>
      <c r="AH429" s="4">
        <v>3</v>
      </c>
      <c r="AI429" s="4">
        <v>3</v>
      </c>
      <c r="AJ429" s="4">
        <v>14</v>
      </c>
      <c r="AK429" s="4">
        <v>14</v>
      </c>
      <c r="AL429" s="4">
        <v>5</v>
      </c>
      <c r="AM429" s="4">
        <v>5</v>
      </c>
      <c r="AN429" s="4">
        <v>0</v>
      </c>
      <c r="AO429" s="4">
        <v>0</v>
      </c>
      <c r="AP429" s="3" t="s">
        <v>51</v>
      </c>
      <c r="AQ429" s="3" t="s">
        <v>49</v>
      </c>
      <c r="AR429" s="6" t="str">
        <f>HYPERLINK("http://catalog.hathitrust.org/Record/000018748","HathiTrust Record")</f>
        <v>HathiTrust Record</v>
      </c>
      <c r="AS429" s="6" t="str">
        <f>HYPERLINK("https://creighton-primo.hosted.exlibrisgroup.com/primo-explore/search?tab=default_tab&amp;search_scope=EVERYTHING&amp;vid=01CRU&amp;lang=en_US&amp;offset=0&amp;query=any,contains,991001777019702656","Catalog Record")</f>
        <v>Catalog Record</v>
      </c>
      <c r="AT429" s="6" t="str">
        <f>HYPERLINK("http://www.worldcat.org/oclc/5333869","WorldCat Record")</f>
        <v>WorldCat Record</v>
      </c>
    </row>
    <row r="430" spans="1:46" ht="41.25" customHeight="1" x14ac:dyDescent="0.25">
      <c r="A430" s="8" t="s">
        <v>51</v>
      </c>
      <c r="B430" s="2" t="s">
        <v>1845</v>
      </c>
      <c r="C430" s="2" t="s">
        <v>1846</v>
      </c>
      <c r="D430" s="2" t="s">
        <v>1847</v>
      </c>
      <c r="F430" s="3" t="s">
        <v>51</v>
      </c>
      <c r="G430" s="3" t="s">
        <v>50</v>
      </c>
      <c r="H430" s="3" t="s">
        <v>49</v>
      </c>
      <c r="I430" s="3" t="s">
        <v>51</v>
      </c>
      <c r="J430" s="3" t="s">
        <v>52</v>
      </c>
      <c r="L430" s="2" t="s">
        <v>1848</v>
      </c>
      <c r="M430" s="3" t="s">
        <v>154</v>
      </c>
      <c r="O430" s="3" t="s">
        <v>56</v>
      </c>
      <c r="P430" s="3" t="s">
        <v>1849</v>
      </c>
      <c r="R430" s="3" t="s">
        <v>59</v>
      </c>
      <c r="S430" s="4">
        <v>7</v>
      </c>
      <c r="T430" s="4">
        <v>16</v>
      </c>
      <c r="U430" s="5" t="s">
        <v>2737</v>
      </c>
      <c r="V430" s="5" t="s">
        <v>1800</v>
      </c>
      <c r="W430" s="5" t="s">
        <v>2738</v>
      </c>
      <c r="X430" s="5" t="s">
        <v>1419</v>
      </c>
      <c r="Y430" s="4">
        <v>101</v>
      </c>
      <c r="Z430" s="4">
        <v>101</v>
      </c>
      <c r="AA430" s="4">
        <v>106</v>
      </c>
      <c r="AB430" s="4">
        <v>2</v>
      </c>
      <c r="AC430" s="4">
        <v>2</v>
      </c>
      <c r="AD430" s="4">
        <v>2</v>
      </c>
      <c r="AE430" s="4">
        <v>2</v>
      </c>
      <c r="AF430" s="4">
        <v>0</v>
      </c>
      <c r="AG430" s="4">
        <v>0</v>
      </c>
      <c r="AH430" s="4">
        <v>1</v>
      </c>
      <c r="AI430" s="4">
        <v>1</v>
      </c>
      <c r="AJ430" s="4">
        <v>1</v>
      </c>
      <c r="AK430" s="4">
        <v>1</v>
      </c>
      <c r="AL430" s="4">
        <v>0</v>
      </c>
      <c r="AM430" s="4">
        <v>0</v>
      </c>
      <c r="AN430" s="4">
        <v>0</v>
      </c>
      <c r="AO430" s="4">
        <v>0</v>
      </c>
      <c r="AP430" s="3" t="s">
        <v>51</v>
      </c>
      <c r="AQ430" s="3" t="s">
        <v>51</v>
      </c>
      <c r="AS430" s="6" t="str">
        <f>HYPERLINK("https://creighton-primo.hosted.exlibrisgroup.com/primo-explore/search?tab=default_tab&amp;search_scope=EVERYTHING&amp;vid=01CRU&amp;lang=en_US&amp;offset=0&amp;query=any,contains,991001776949702656","Catalog Record")</f>
        <v>Catalog Record</v>
      </c>
      <c r="AT430" s="6" t="str">
        <f>HYPERLINK("http://www.worldcat.org/oclc/9664332","WorldCat Record")</f>
        <v>WorldCat Record</v>
      </c>
    </row>
    <row r="431" spans="1:46" ht="41.25" customHeight="1" x14ac:dyDescent="0.25">
      <c r="A431" s="8" t="s">
        <v>51</v>
      </c>
      <c r="B431" s="2" t="s">
        <v>2739</v>
      </c>
      <c r="C431" s="2" t="s">
        <v>2740</v>
      </c>
      <c r="D431" s="2" t="s">
        <v>2741</v>
      </c>
      <c r="F431" s="3" t="s">
        <v>51</v>
      </c>
      <c r="G431" s="3" t="s">
        <v>50</v>
      </c>
      <c r="H431" s="3" t="s">
        <v>51</v>
      </c>
      <c r="I431" s="3" t="s">
        <v>51</v>
      </c>
      <c r="J431" s="3" t="s">
        <v>52</v>
      </c>
      <c r="K431" s="2" t="s">
        <v>2742</v>
      </c>
      <c r="L431" s="2" t="s">
        <v>2743</v>
      </c>
      <c r="M431" s="3" t="s">
        <v>660</v>
      </c>
      <c r="O431" s="3" t="s">
        <v>56</v>
      </c>
      <c r="P431" s="3" t="s">
        <v>113</v>
      </c>
      <c r="R431" s="3" t="s">
        <v>59</v>
      </c>
      <c r="S431" s="4">
        <v>4</v>
      </c>
      <c r="T431" s="4">
        <v>4</v>
      </c>
      <c r="U431" s="5" t="s">
        <v>2744</v>
      </c>
      <c r="V431" s="5" t="s">
        <v>2744</v>
      </c>
      <c r="W431" s="5" t="s">
        <v>2745</v>
      </c>
      <c r="X431" s="5" t="s">
        <v>2745</v>
      </c>
      <c r="Y431" s="4">
        <v>120</v>
      </c>
      <c r="Z431" s="4">
        <v>18</v>
      </c>
      <c r="AA431" s="4">
        <v>52</v>
      </c>
      <c r="AB431" s="4">
        <v>1</v>
      </c>
      <c r="AC431" s="4">
        <v>1</v>
      </c>
      <c r="AD431" s="4">
        <v>0</v>
      </c>
      <c r="AE431" s="4">
        <v>0</v>
      </c>
      <c r="AF431" s="4">
        <v>0</v>
      </c>
      <c r="AG431" s="4">
        <v>0</v>
      </c>
      <c r="AH431" s="4">
        <v>0</v>
      </c>
      <c r="AI431" s="4">
        <v>0</v>
      </c>
      <c r="AJ431" s="4">
        <v>0</v>
      </c>
      <c r="AK431" s="4">
        <v>0</v>
      </c>
      <c r="AL431" s="4">
        <v>0</v>
      </c>
      <c r="AM431" s="4">
        <v>0</v>
      </c>
      <c r="AN431" s="4">
        <v>0</v>
      </c>
      <c r="AO431" s="4">
        <v>0</v>
      </c>
      <c r="AP431" s="3" t="s">
        <v>51</v>
      </c>
      <c r="AQ431" s="3" t="s">
        <v>49</v>
      </c>
      <c r="AR431" s="6" t="str">
        <f>HYPERLINK("http://catalog.hathitrust.org/Record/004361398","HathiTrust Record")</f>
        <v>HathiTrust Record</v>
      </c>
      <c r="AS431" s="6" t="str">
        <f>HYPERLINK("https://creighton-primo.hosted.exlibrisgroup.com/primo-explore/search?tab=default_tab&amp;search_scope=EVERYTHING&amp;vid=01CRU&amp;lang=en_US&amp;offset=0&amp;query=any,contains,991000388299702656","Catalog Record")</f>
        <v>Catalog Record</v>
      </c>
      <c r="AT431" s="6" t="str">
        <f>HYPERLINK("http://www.worldcat.org/oclc/48979878","WorldCat Record")</f>
        <v>WorldCat Record</v>
      </c>
    </row>
    <row r="432" spans="1:46" ht="41.25" customHeight="1" x14ac:dyDescent="0.25">
      <c r="A432" s="8" t="s">
        <v>51</v>
      </c>
      <c r="B432" s="2" t="s">
        <v>1875</v>
      </c>
      <c r="C432" s="2" t="s">
        <v>1876</v>
      </c>
      <c r="D432" s="2" t="s">
        <v>1877</v>
      </c>
      <c r="F432" s="3" t="s">
        <v>51</v>
      </c>
      <c r="G432" s="3" t="s">
        <v>50</v>
      </c>
      <c r="H432" s="3" t="s">
        <v>49</v>
      </c>
      <c r="I432" s="3" t="s">
        <v>51</v>
      </c>
      <c r="J432" s="3" t="s">
        <v>52</v>
      </c>
      <c r="K432" s="2" t="s">
        <v>1878</v>
      </c>
      <c r="L432" s="2" t="s">
        <v>1879</v>
      </c>
      <c r="M432" s="3" t="s">
        <v>271</v>
      </c>
      <c r="O432" s="3" t="s">
        <v>56</v>
      </c>
      <c r="P432" s="3" t="s">
        <v>748</v>
      </c>
      <c r="Q432" s="2" t="s">
        <v>1880</v>
      </c>
      <c r="R432" s="3" t="s">
        <v>59</v>
      </c>
      <c r="S432" s="4">
        <v>7</v>
      </c>
      <c r="T432" s="4">
        <v>13</v>
      </c>
      <c r="U432" s="5" t="s">
        <v>1882</v>
      </c>
      <c r="V432" s="5" t="s">
        <v>1882</v>
      </c>
      <c r="W432" s="5" t="s">
        <v>2746</v>
      </c>
      <c r="X432" s="5" t="s">
        <v>1528</v>
      </c>
      <c r="Y432" s="4">
        <v>954</v>
      </c>
      <c r="Z432" s="4">
        <v>820</v>
      </c>
      <c r="AA432" s="4">
        <v>835</v>
      </c>
      <c r="AB432" s="4">
        <v>9</v>
      </c>
      <c r="AC432" s="4">
        <v>9</v>
      </c>
      <c r="AD432" s="4">
        <v>31</v>
      </c>
      <c r="AE432" s="4">
        <v>33</v>
      </c>
      <c r="AF432" s="4">
        <v>11</v>
      </c>
      <c r="AG432" s="4">
        <v>12</v>
      </c>
      <c r="AH432" s="4">
        <v>5</v>
      </c>
      <c r="AI432" s="4">
        <v>6</v>
      </c>
      <c r="AJ432" s="4">
        <v>15</v>
      </c>
      <c r="AK432" s="4">
        <v>15</v>
      </c>
      <c r="AL432" s="4">
        <v>7</v>
      </c>
      <c r="AM432" s="4">
        <v>7</v>
      </c>
      <c r="AN432" s="4">
        <v>0</v>
      </c>
      <c r="AO432" s="4">
        <v>0</v>
      </c>
      <c r="AP432" s="3" t="s">
        <v>51</v>
      </c>
      <c r="AQ432" s="3" t="s">
        <v>49</v>
      </c>
      <c r="AR432" s="6" t="str">
        <f>HYPERLINK("http://catalog.hathitrust.org/Record/000735322","HathiTrust Record")</f>
        <v>HathiTrust Record</v>
      </c>
      <c r="AS432" s="6" t="str">
        <f>HYPERLINK("https://creighton-primo.hosted.exlibrisgroup.com/primo-explore/search?tab=default_tab&amp;search_scope=EVERYTHING&amp;vid=01CRU&amp;lang=en_US&amp;offset=0&amp;query=any,contains,991001799499702656","Catalog Record")</f>
        <v>Catalog Record</v>
      </c>
      <c r="AT432" s="6" t="str">
        <f>HYPERLINK("http://www.worldcat.org/oclc/2493509","WorldCat Record")</f>
        <v>WorldCat Record</v>
      </c>
    </row>
    <row r="433" spans="1:46" ht="41.25" customHeight="1" x14ac:dyDescent="0.25">
      <c r="A433" s="8" t="s">
        <v>51</v>
      </c>
      <c r="B433" s="2" t="s">
        <v>1912</v>
      </c>
      <c r="C433" s="2" t="s">
        <v>1913</v>
      </c>
      <c r="D433" s="2" t="s">
        <v>1914</v>
      </c>
      <c r="F433" s="3" t="s">
        <v>51</v>
      </c>
      <c r="G433" s="3" t="s">
        <v>50</v>
      </c>
      <c r="H433" s="3" t="s">
        <v>49</v>
      </c>
      <c r="I433" s="3" t="s">
        <v>51</v>
      </c>
      <c r="J433" s="3" t="s">
        <v>52</v>
      </c>
      <c r="K433" s="2" t="s">
        <v>1915</v>
      </c>
      <c r="L433" s="2" t="s">
        <v>1916</v>
      </c>
      <c r="M433" s="3" t="s">
        <v>1917</v>
      </c>
      <c r="N433" s="2" t="s">
        <v>1918</v>
      </c>
      <c r="O433" s="3" t="s">
        <v>56</v>
      </c>
      <c r="P433" s="3" t="s">
        <v>69</v>
      </c>
      <c r="R433" s="3" t="s">
        <v>59</v>
      </c>
      <c r="S433" s="4">
        <v>2</v>
      </c>
      <c r="T433" s="4">
        <v>5</v>
      </c>
      <c r="V433" s="5" t="s">
        <v>1919</v>
      </c>
      <c r="W433" s="5" t="s">
        <v>2653</v>
      </c>
      <c r="X433" s="5" t="s">
        <v>1920</v>
      </c>
      <c r="Y433" s="4">
        <v>14</v>
      </c>
      <c r="Z433" s="4">
        <v>12</v>
      </c>
      <c r="AA433" s="4">
        <v>65</v>
      </c>
      <c r="AB433" s="4">
        <v>2</v>
      </c>
      <c r="AC433" s="4">
        <v>3</v>
      </c>
      <c r="AD433" s="4">
        <v>3</v>
      </c>
      <c r="AE433" s="4">
        <v>11</v>
      </c>
      <c r="AF433" s="4">
        <v>0</v>
      </c>
      <c r="AG433" s="4">
        <v>1</v>
      </c>
      <c r="AH433" s="4">
        <v>1</v>
      </c>
      <c r="AI433" s="4">
        <v>3</v>
      </c>
      <c r="AJ433" s="4">
        <v>2</v>
      </c>
      <c r="AK433" s="4">
        <v>7</v>
      </c>
      <c r="AL433" s="4">
        <v>0</v>
      </c>
      <c r="AM433" s="4">
        <v>0</v>
      </c>
      <c r="AN433" s="4">
        <v>0</v>
      </c>
      <c r="AO433" s="4">
        <v>1</v>
      </c>
      <c r="AP433" s="3" t="s">
        <v>51</v>
      </c>
      <c r="AQ433" s="3" t="s">
        <v>51</v>
      </c>
      <c r="AS433" s="6" t="str">
        <f>HYPERLINK("https://creighton-primo.hosted.exlibrisgroup.com/primo-explore/search?tab=default_tab&amp;search_scope=EVERYTHING&amp;vid=01CRU&amp;lang=en_US&amp;offset=0&amp;query=any,contains,991001792239702656","Catalog Record")</f>
        <v>Catalog Record</v>
      </c>
      <c r="AT433" s="6" t="str">
        <f>HYPERLINK("http://www.worldcat.org/oclc/4355579","WorldCat Record")</f>
        <v>WorldCat Record</v>
      </c>
    </row>
    <row r="434" spans="1:46" ht="41.25" customHeight="1" x14ac:dyDescent="0.25">
      <c r="A434" s="8" t="s">
        <v>51</v>
      </c>
      <c r="B434" s="2" t="s">
        <v>1938</v>
      </c>
      <c r="C434" s="2" t="s">
        <v>1939</v>
      </c>
      <c r="D434" s="2" t="s">
        <v>1940</v>
      </c>
      <c r="E434" s="3" t="s">
        <v>2747</v>
      </c>
      <c r="F434" s="3" t="s">
        <v>51</v>
      </c>
      <c r="G434" s="3" t="s">
        <v>50</v>
      </c>
      <c r="H434" s="3" t="s">
        <v>51</v>
      </c>
      <c r="I434" s="3" t="s">
        <v>51</v>
      </c>
      <c r="J434" s="3" t="s">
        <v>52</v>
      </c>
      <c r="L434" s="2" t="s">
        <v>1941</v>
      </c>
      <c r="M434" s="3" t="s">
        <v>186</v>
      </c>
      <c r="O434" s="3" t="s">
        <v>56</v>
      </c>
      <c r="P434" s="3" t="s">
        <v>57</v>
      </c>
      <c r="Q434" s="2" t="s">
        <v>1942</v>
      </c>
      <c r="R434" s="3" t="s">
        <v>59</v>
      </c>
      <c r="S434" s="4">
        <v>3</v>
      </c>
      <c r="T434" s="4">
        <v>9</v>
      </c>
      <c r="U434" s="5" t="s">
        <v>1943</v>
      </c>
      <c r="V434" s="5" t="s">
        <v>1943</v>
      </c>
      <c r="W434" s="5" t="s">
        <v>2628</v>
      </c>
      <c r="X434" s="5" t="s">
        <v>1624</v>
      </c>
      <c r="Y434" s="4">
        <v>292</v>
      </c>
      <c r="Z434" s="4">
        <v>229</v>
      </c>
      <c r="AA434" s="4">
        <v>239</v>
      </c>
      <c r="AB434" s="4">
        <v>2</v>
      </c>
      <c r="AC434" s="4">
        <v>2</v>
      </c>
      <c r="AD434" s="4">
        <v>17</v>
      </c>
      <c r="AE434" s="4">
        <v>18</v>
      </c>
      <c r="AF434" s="4">
        <v>5</v>
      </c>
      <c r="AG434" s="4">
        <v>6</v>
      </c>
      <c r="AH434" s="4">
        <v>5</v>
      </c>
      <c r="AI434" s="4">
        <v>5</v>
      </c>
      <c r="AJ434" s="4">
        <v>12</v>
      </c>
      <c r="AK434" s="4">
        <v>13</v>
      </c>
      <c r="AL434" s="4">
        <v>0</v>
      </c>
      <c r="AM434" s="4">
        <v>0</v>
      </c>
      <c r="AN434" s="4">
        <v>1</v>
      </c>
      <c r="AO434" s="4">
        <v>1</v>
      </c>
      <c r="AP434" s="3" t="s">
        <v>51</v>
      </c>
      <c r="AQ434" s="3" t="s">
        <v>51</v>
      </c>
      <c r="AS434" s="6" t="str">
        <f>HYPERLINK("https://creighton-primo.hosted.exlibrisgroup.com/primo-explore/search?tab=default_tab&amp;search_scope=EVERYTHING&amp;vid=01CRU&amp;lang=en_US&amp;offset=0&amp;query=any,contains,991001806029702656","Catalog Record")</f>
        <v>Catalog Record</v>
      </c>
      <c r="AT434" s="6" t="str">
        <f>HYPERLINK("http://www.worldcat.org/oclc/9896299","WorldCat Record")</f>
        <v>WorldCat Record</v>
      </c>
    </row>
    <row r="435" spans="1:46" ht="41.25" customHeight="1" x14ac:dyDescent="0.25">
      <c r="A435" s="8" t="s">
        <v>51</v>
      </c>
      <c r="B435" s="2" t="s">
        <v>2059</v>
      </c>
      <c r="C435" s="2" t="s">
        <v>2060</v>
      </c>
      <c r="D435" s="2" t="s">
        <v>2061</v>
      </c>
      <c r="F435" s="3" t="s">
        <v>51</v>
      </c>
      <c r="G435" s="3" t="s">
        <v>50</v>
      </c>
      <c r="H435" s="3" t="s">
        <v>49</v>
      </c>
      <c r="I435" s="3" t="s">
        <v>51</v>
      </c>
      <c r="J435" s="3" t="s">
        <v>52</v>
      </c>
      <c r="K435" s="2" t="s">
        <v>2062</v>
      </c>
      <c r="L435" s="2" t="s">
        <v>2063</v>
      </c>
      <c r="M435" s="3" t="s">
        <v>263</v>
      </c>
      <c r="O435" s="3" t="s">
        <v>56</v>
      </c>
      <c r="P435" s="3" t="s">
        <v>87</v>
      </c>
      <c r="R435" s="3" t="s">
        <v>59</v>
      </c>
      <c r="S435" s="4">
        <v>5</v>
      </c>
      <c r="T435" s="4">
        <v>10</v>
      </c>
      <c r="V435" s="5" t="s">
        <v>2032</v>
      </c>
      <c r="W435" s="5" t="s">
        <v>2748</v>
      </c>
      <c r="X435" s="5" t="s">
        <v>1700</v>
      </c>
      <c r="Y435" s="4">
        <v>384</v>
      </c>
      <c r="Z435" s="4">
        <v>293</v>
      </c>
      <c r="AA435" s="4">
        <v>368</v>
      </c>
      <c r="AB435" s="4">
        <v>4</v>
      </c>
      <c r="AC435" s="4">
        <v>6</v>
      </c>
      <c r="AD435" s="4">
        <v>15</v>
      </c>
      <c r="AE435" s="4">
        <v>19</v>
      </c>
      <c r="AF435" s="4">
        <v>5</v>
      </c>
      <c r="AG435" s="4">
        <v>6</v>
      </c>
      <c r="AH435" s="4">
        <v>3</v>
      </c>
      <c r="AI435" s="4">
        <v>3</v>
      </c>
      <c r="AJ435" s="4">
        <v>10</v>
      </c>
      <c r="AK435" s="4">
        <v>12</v>
      </c>
      <c r="AL435" s="4">
        <v>2</v>
      </c>
      <c r="AM435" s="4">
        <v>4</v>
      </c>
      <c r="AN435" s="4">
        <v>0</v>
      </c>
      <c r="AO435" s="4">
        <v>0</v>
      </c>
      <c r="AP435" s="3" t="s">
        <v>51</v>
      </c>
      <c r="AQ435" s="3" t="s">
        <v>49</v>
      </c>
      <c r="AR435" s="6" t="str">
        <f>HYPERLINK("http://catalog.hathitrust.org/Record/009917756","HathiTrust Record")</f>
        <v>HathiTrust Record</v>
      </c>
      <c r="AS435" s="6" t="str">
        <f>HYPERLINK("https://creighton-primo.hosted.exlibrisgroup.com/primo-explore/search?tab=default_tab&amp;search_scope=EVERYTHING&amp;vid=01CRU&amp;lang=en_US&amp;offset=0&amp;query=any,contains,991001753559702656","Catalog Record")</f>
        <v>Catalog Record</v>
      </c>
      <c r="AT435" s="6" t="str">
        <f>HYPERLINK("http://www.worldcat.org/oclc/1858263","WorldCat Record")</f>
        <v>WorldCat Record</v>
      </c>
    </row>
    <row r="436" spans="1:46" ht="41.25" customHeight="1" x14ac:dyDescent="0.25">
      <c r="A436" s="8" t="s">
        <v>51</v>
      </c>
      <c r="B436" s="2" t="s">
        <v>2077</v>
      </c>
      <c r="C436" s="2" t="s">
        <v>2078</v>
      </c>
      <c r="D436" s="2" t="s">
        <v>2079</v>
      </c>
      <c r="F436" s="3" t="s">
        <v>51</v>
      </c>
      <c r="G436" s="3" t="s">
        <v>50</v>
      </c>
      <c r="H436" s="3" t="s">
        <v>49</v>
      </c>
      <c r="I436" s="3" t="s">
        <v>51</v>
      </c>
      <c r="J436" s="3" t="s">
        <v>52</v>
      </c>
      <c r="K436" s="2" t="s">
        <v>2080</v>
      </c>
      <c r="L436" s="2" t="s">
        <v>2081</v>
      </c>
      <c r="M436" s="3" t="s">
        <v>553</v>
      </c>
      <c r="O436" s="3" t="s">
        <v>56</v>
      </c>
      <c r="P436" s="3" t="s">
        <v>87</v>
      </c>
      <c r="R436" s="3" t="s">
        <v>59</v>
      </c>
      <c r="S436" s="4">
        <v>8</v>
      </c>
      <c r="T436" s="4">
        <v>10</v>
      </c>
      <c r="U436" s="5" t="s">
        <v>398</v>
      </c>
      <c r="V436" s="5" t="s">
        <v>398</v>
      </c>
      <c r="W436" s="5" t="s">
        <v>2749</v>
      </c>
      <c r="X436" s="5" t="s">
        <v>2083</v>
      </c>
      <c r="Y436" s="4">
        <v>725</v>
      </c>
      <c r="Z436" s="4">
        <v>643</v>
      </c>
      <c r="AA436" s="4">
        <v>645</v>
      </c>
      <c r="AB436" s="4">
        <v>4</v>
      </c>
      <c r="AC436" s="4">
        <v>4</v>
      </c>
      <c r="AD436" s="4">
        <v>26</v>
      </c>
      <c r="AE436" s="4">
        <v>26</v>
      </c>
      <c r="AF436" s="4">
        <v>13</v>
      </c>
      <c r="AG436" s="4">
        <v>13</v>
      </c>
      <c r="AH436" s="4">
        <v>5</v>
      </c>
      <c r="AI436" s="4">
        <v>5</v>
      </c>
      <c r="AJ436" s="4">
        <v>14</v>
      </c>
      <c r="AK436" s="4">
        <v>14</v>
      </c>
      <c r="AL436" s="4">
        <v>2</v>
      </c>
      <c r="AM436" s="4">
        <v>2</v>
      </c>
      <c r="AN436" s="4">
        <v>1</v>
      </c>
      <c r="AO436" s="4">
        <v>1</v>
      </c>
      <c r="AP436" s="3" t="s">
        <v>51</v>
      </c>
      <c r="AQ436" s="3" t="s">
        <v>49</v>
      </c>
      <c r="AR436" s="6" t="str">
        <f>HYPERLINK("http://catalog.hathitrust.org/Record/002544695","HathiTrust Record")</f>
        <v>HathiTrust Record</v>
      </c>
      <c r="AS436" s="6" t="str">
        <f>HYPERLINK("https://creighton-primo.hosted.exlibrisgroup.com/primo-explore/search?tab=default_tab&amp;search_scope=EVERYTHING&amp;vid=01CRU&amp;lang=en_US&amp;offset=0&amp;query=any,contains,991001800769702656","Catalog Record")</f>
        <v>Catalog Record</v>
      </c>
      <c r="AT436" s="6" t="str">
        <f>HYPERLINK("http://www.worldcat.org/oclc/18588017","WorldCat Record")</f>
        <v>WorldCat Record</v>
      </c>
    </row>
    <row r="437" spans="1:46" ht="41.25" customHeight="1" x14ac:dyDescent="0.25">
      <c r="A437" s="8" t="s">
        <v>51</v>
      </c>
      <c r="B437" s="2" t="s">
        <v>2118</v>
      </c>
      <c r="C437" s="2" t="s">
        <v>2119</v>
      </c>
      <c r="D437" s="2" t="s">
        <v>2120</v>
      </c>
      <c r="F437" s="3" t="s">
        <v>51</v>
      </c>
      <c r="G437" s="3" t="s">
        <v>50</v>
      </c>
      <c r="H437" s="3" t="s">
        <v>49</v>
      </c>
      <c r="I437" s="3" t="s">
        <v>51</v>
      </c>
      <c r="J437" s="3" t="s">
        <v>52</v>
      </c>
      <c r="K437" s="2" t="s">
        <v>2121</v>
      </c>
      <c r="L437" s="2" t="s">
        <v>2122</v>
      </c>
      <c r="M437" s="3" t="s">
        <v>201</v>
      </c>
      <c r="O437" s="3" t="s">
        <v>56</v>
      </c>
      <c r="P437" s="3" t="s">
        <v>87</v>
      </c>
      <c r="R437" s="3" t="s">
        <v>59</v>
      </c>
      <c r="S437" s="4">
        <v>5</v>
      </c>
      <c r="T437" s="4">
        <v>16</v>
      </c>
      <c r="U437" s="5" t="s">
        <v>2750</v>
      </c>
      <c r="V437" s="5" t="s">
        <v>1137</v>
      </c>
      <c r="W437" s="5" t="s">
        <v>2684</v>
      </c>
      <c r="X437" s="5" t="s">
        <v>2108</v>
      </c>
      <c r="Y437" s="4">
        <v>218</v>
      </c>
      <c r="Z437" s="4">
        <v>189</v>
      </c>
      <c r="AA437" s="4">
        <v>193</v>
      </c>
      <c r="AB437" s="4">
        <v>3</v>
      </c>
      <c r="AC437" s="4">
        <v>3</v>
      </c>
      <c r="AD437" s="4">
        <v>3</v>
      </c>
      <c r="AE437" s="4">
        <v>3</v>
      </c>
      <c r="AF437" s="4">
        <v>1</v>
      </c>
      <c r="AG437" s="4">
        <v>1</v>
      </c>
      <c r="AH437" s="4">
        <v>0</v>
      </c>
      <c r="AI437" s="4">
        <v>0</v>
      </c>
      <c r="AJ437" s="4">
        <v>1</v>
      </c>
      <c r="AK437" s="4">
        <v>1</v>
      </c>
      <c r="AL437" s="4">
        <v>1</v>
      </c>
      <c r="AM437" s="4">
        <v>1</v>
      </c>
      <c r="AN437" s="4">
        <v>0</v>
      </c>
      <c r="AO437" s="4">
        <v>0</v>
      </c>
      <c r="AP437" s="3" t="s">
        <v>51</v>
      </c>
      <c r="AQ437" s="3" t="s">
        <v>49</v>
      </c>
      <c r="AR437" s="6" t="str">
        <f>HYPERLINK("http://catalog.hathitrust.org/Record/001577204","HathiTrust Record")</f>
        <v>HathiTrust Record</v>
      </c>
      <c r="AS437" s="6" t="str">
        <f>HYPERLINK("https://creighton-primo.hosted.exlibrisgroup.com/primo-explore/search?tab=default_tab&amp;search_scope=EVERYTHING&amp;vid=01CRU&amp;lang=en_US&amp;offset=0&amp;query=any,contains,991001788489702656","Catalog Record")</f>
        <v>Catalog Record</v>
      </c>
      <c r="AT437" s="6" t="str">
        <f>HYPERLINK("http://www.worldcat.org/oclc/702981","WorldCat Record")</f>
        <v>WorldCat Record</v>
      </c>
    </row>
    <row r="438" spans="1:46" ht="41.25" customHeight="1" x14ac:dyDescent="0.25">
      <c r="A438" s="8" t="s">
        <v>51</v>
      </c>
      <c r="B438" s="2" t="s">
        <v>2150</v>
      </c>
      <c r="C438" s="2" t="s">
        <v>2151</v>
      </c>
      <c r="D438" s="2" t="s">
        <v>2152</v>
      </c>
      <c r="F438" s="3" t="s">
        <v>51</v>
      </c>
      <c r="G438" s="3" t="s">
        <v>50</v>
      </c>
      <c r="H438" s="3" t="s">
        <v>49</v>
      </c>
      <c r="I438" s="3" t="s">
        <v>51</v>
      </c>
      <c r="J438" s="3" t="s">
        <v>52</v>
      </c>
      <c r="K438" s="2" t="s">
        <v>2153</v>
      </c>
      <c r="L438" s="2" t="s">
        <v>2154</v>
      </c>
      <c r="M438" s="3" t="s">
        <v>112</v>
      </c>
      <c r="O438" s="3" t="s">
        <v>56</v>
      </c>
      <c r="P438" s="3" t="s">
        <v>1017</v>
      </c>
      <c r="R438" s="3" t="s">
        <v>59</v>
      </c>
      <c r="S438" s="4">
        <v>4</v>
      </c>
      <c r="T438" s="4">
        <v>6</v>
      </c>
      <c r="U438" s="5" t="s">
        <v>2751</v>
      </c>
      <c r="V438" s="5" t="s">
        <v>2155</v>
      </c>
      <c r="W438" s="5" t="s">
        <v>2752</v>
      </c>
      <c r="X438" s="5" t="s">
        <v>2117</v>
      </c>
      <c r="Y438" s="4">
        <v>518</v>
      </c>
      <c r="Z438" s="4">
        <v>493</v>
      </c>
      <c r="AA438" s="4">
        <v>498</v>
      </c>
      <c r="AB438" s="4">
        <v>7</v>
      </c>
      <c r="AC438" s="4">
        <v>7</v>
      </c>
      <c r="AD438" s="4">
        <v>24</v>
      </c>
      <c r="AE438" s="4">
        <v>24</v>
      </c>
      <c r="AF438" s="4">
        <v>9</v>
      </c>
      <c r="AG438" s="4">
        <v>9</v>
      </c>
      <c r="AH438" s="4">
        <v>4</v>
      </c>
      <c r="AI438" s="4">
        <v>4</v>
      </c>
      <c r="AJ438" s="4">
        <v>11</v>
      </c>
      <c r="AK438" s="4">
        <v>11</v>
      </c>
      <c r="AL438" s="4">
        <v>5</v>
      </c>
      <c r="AM438" s="4">
        <v>5</v>
      </c>
      <c r="AN438" s="4">
        <v>0</v>
      </c>
      <c r="AO438" s="4">
        <v>0</v>
      </c>
      <c r="AP438" s="3" t="s">
        <v>51</v>
      </c>
      <c r="AQ438" s="3" t="s">
        <v>49</v>
      </c>
      <c r="AR438" s="6" t="str">
        <f>HYPERLINK("http://catalog.hathitrust.org/Record/000401265","HathiTrust Record")</f>
        <v>HathiTrust Record</v>
      </c>
      <c r="AS438" s="6" t="str">
        <f>HYPERLINK("https://creighton-primo.hosted.exlibrisgroup.com/primo-explore/search?tab=default_tab&amp;search_scope=EVERYTHING&amp;vid=01CRU&amp;lang=en_US&amp;offset=0&amp;query=any,contains,991001788379702656","Catalog Record")</f>
        <v>Catalog Record</v>
      </c>
      <c r="AT438" s="6" t="str">
        <f>HYPERLINK("http://www.worldcat.org/oclc/17353744","WorldCat Record")</f>
        <v>WorldCat Record</v>
      </c>
    </row>
    <row r="439" spans="1:46" ht="41.25" customHeight="1" x14ac:dyDescent="0.25">
      <c r="A439" s="8" t="s">
        <v>51</v>
      </c>
      <c r="B439" s="2" t="s">
        <v>2167</v>
      </c>
      <c r="C439" s="2" t="s">
        <v>2168</v>
      </c>
      <c r="D439" s="2" t="s">
        <v>2169</v>
      </c>
      <c r="F439" s="3" t="s">
        <v>51</v>
      </c>
      <c r="G439" s="3" t="s">
        <v>50</v>
      </c>
      <c r="H439" s="3" t="s">
        <v>49</v>
      </c>
      <c r="I439" s="3" t="s">
        <v>51</v>
      </c>
      <c r="J439" s="3" t="s">
        <v>52</v>
      </c>
      <c r="K439" s="2" t="s">
        <v>2170</v>
      </c>
      <c r="L439" s="2" t="s">
        <v>2171</v>
      </c>
      <c r="M439" s="3" t="s">
        <v>218</v>
      </c>
      <c r="O439" s="3" t="s">
        <v>56</v>
      </c>
      <c r="P439" s="3" t="s">
        <v>359</v>
      </c>
      <c r="R439" s="3" t="s">
        <v>59</v>
      </c>
      <c r="S439" s="4">
        <v>1</v>
      </c>
      <c r="T439" s="4">
        <v>3</v>
      </c>
      <c r="V439" s="5" t="s">
        <v>2172</v>
      </c>
      <c r="W439" s="5" t="s">
        <v>2752</v>
      </c>
      <c r="X439" s="5" t="s">
        <v>2173</v>
      </c>
      <c r="Y439" s="4">
        <v>225</v>
      </c>
      <c r="Z439" s="4">
        <v>194</v>
      </c>
      <c r="AA439" s="4">
        <v>196</v>
      </c>
      <c r="AB439" s="4">
        <v>3</v>
      </c>
      <c r="AC439" s="4">
        <v>3</v>
      </c>
      <c r="AD439" s="4">
        <v>14</v>
      </c>
      <c r="AE439" s="4">
        <v>14</v>
      </c>
      <c r="AF439" s="4">
        <v>3</v>
      </c>
      <c r="AG439" s="4">
        <v>3</v>
      </c>
      <c r="AH439" s="4">
        <v>4</v>
      </c>
      <c r="AI439" s="4">
        <v>4</v>
      </c>
      <c r="AJ439" s="4">
        <v>10</v>
      </c>
      <c r="AK439" s="4">
        <v>10</v>
      </c>
      <c r="AL439" s="4">
        <v>1</v>
      </c>
      <c r="AM439" s="4">
        <v>1</v>
      </c>
      <c r="AN439" s="4">
        <v>1</v>
      </c>
      <c r="AO439" s="4">
        <v>1</v>
      </c>
      <c r="AP439" s="3" t="s">
        <v>51</v>
      </c>
      <c r="AQ439" s="3" t="s">
        <v>49</v>
      </c>
      <c r="AR439" s="6" t="str">
        <f>HYPERLINK("http://catalog.hathitrust.org/Record/000695793","HathiTrust Record")</f>
        <v>HathiTrust Record</v>
      </c>
      <c r="AS439" s="6" t="str">
        <f>HYPERLINK("https://creighton-primo.hosted.exlibrisgroup.com/primo-explore/search?tab=default_tab&amp;search_scope=EVERYTHING&amp;vid=01CRU&amp;lang=en_US&amp;offset=0&amp;query=any,contains,991001788419702656","Catalog Record")</f>
        <v>Catalog Record</v>
      </c>
      <c r="AT439" s="6" t="str">
        <f>HYPERLINK("http://www.worldcat.org/oclc/1993212","WorldCat Record")</f>
        <v>WorldCat Record</v>
      </c>
    </row>
    <row r="440" spans="1:46" ht="41.25" customHeight="1" x14ac:dyDescent="0.25">
      <c r="A440" s="8" t="s">
        <v>51</v>
      </c>
      <c r="B440" s="2" t="s">
        <v>2753</v>
      </c>
      <c r="C440" s="2" t="s">
        <v>2754</v>
      </c>
      <c r="D440" s="2" t="s">
        <v>2755</v>
      </c>
      <c r="F440" s="3" t="s">
        <v>51</v>
      </c>
      <c r="G440" s="3" t="s">
        <v>50</v>
      </c>
      <c r="H440" s="3" t="s">
        <v>51</v>
      </c>
      <c r="I440" s="3" t="s">
        <v>51</v>
      </c>
      <c r="J440" s="3" t="s">
        <v>52</v>
      </c>
      <c r="L440" s="2" t="s">
        <v>2756</v>
      </c>
      <c r="M440" s="3" t="s">
        <v>218</v>
      </c>
      <c r="O440" s="3" t="s">
        <v>56</v>
      </c>
      <c r="P440" s="3" t="s">
        <v>87</v>
      </c>
      <c r="R440" s="3" t="s">
        <v>59</v>
      </c>
      <c r="S440" s="4">
        <v>1</v>
      </c>
      <c r="T440" s="4">
        <v>1</v>
      </c>
      <c r="U440" s="5" t="s">
        <v>2757</v>
      </c>
      <c r="V440" s="5" t="s">
        <v>2757</v>
      </c>
      <c r="W440" s="5" t="s">
        <v>2621</v>
      </c>
      <c r="X440" s="5" t="s">
        <v>2621</v>
      </c>
      <c r="Y440" s="4">
        <v>148</v>
      </c>
      <c r="Z440" s="4">
        <v>114</v>
      </c>
      <c r="AA440" s="4">
        <v>116</v>
      </c>
      <c r="AB440" s="4">
        <v>1</v>
      </c>
      <c r="AC440" s="4">
        <v>1</v>
      </c>
      <c r="AD440" s="4">
        <v>3</v>
      </c>
      <c r="AE440" s="4">
        <v>3</v>
      </c>
      <c r="AF440" s="4">
        <v>1</v>
      </c>
      <c r="AG440" s="4">
        <v>1</v>
      </c>
      <c r="AH440" s="4">
        <v>0</v>
      </c>
      <c r="AI440" s="4">
        <v>0</v>
      </c>
      <c r="AJ440" s="4">
        <v>2</v>
      </c>
      <c r="AK440" s="4">
        <v>2</v>
      </c>
      <c r="AL440" s="4">
        <v>0</v>
      </c>
      <c r="AM440" s="4">
        <v>0</v>
      </c>
      <c r="AN440" s="4">
        <v>0</v>
      </c>
      <c r="AO440" s="4">
        <v>0</v>
      </c>
      <c r="AP440" s="3" t="s">
        <v>51</v>
      </c>
      <c r="AQ440" s="3" t="s">
        <v>49</v>
      </c>
      <c r="AR440" s="6" t="str">
        <f>HYPERLINK("http://catalog.hathitrust.org/Record/000129657","HathiTrust Record")</f>
        <v>HathiTrust Record</v>
      </c>
      <c r="AS440" s="6" t="str">
        <f>HYPERLINK("https://creighton-primo.hosted.exlibrisgroup.com/primo-explore/search?tab=default_tab&amp;search_scope=EVERYTHING&amp;vid=01CRU&amp;lang=en_US&amp;offset=0&amp;query=any,contains,991001168899702656","Catalog Record")</f>
        <v>Catalog Record</v>
      </c>
      <c r="AT440" s="6" t="str">
        <f>HYPERLINK("http://www.worldcat.org/oclc/2644246","WorldCat Record")</f>
        <v>WorldCat Record</v>
      </c>
    </row>
    <row r="441" spans="1:46" ht="41.25" customHeight="1" x14ac:dyDescent="0.25">
      <c r="A441" s="8" t="s">
        <v>51</v>
      </c>
      <c r="B441" s="2" t="s">
        <v>2758</v>
      </c>
      <c r="C441" s="2" t="s">
        <v>2759</v>
      </c>
      <c r="D441" s="2" t="s">
        <v>2760</v>
      </c>
      <c r="F441" s="3" t="s">
        <v>51</v>
      </c>
      <c r="G441" s="3" t="s">
        <v>50</v>
      </c>
      <c r="H441" s="3" t="s">
        <v>49</v>
      </c>
      <c r="I441" s="3" t="s">
        <v>51</v>
      </c>
      <c r="J441" s="3" t="s">
        <v>50</v>
      </c>
      <c r="K441" s="2" t="s">
        <v>2761</v>
      </c>
      <c r="L441" s="2" t="s">
        <v>2638</v>
      </c>
      <c r="M441" s="3" t="s">
        <v>211</v>
      </c>
      <c r="O441" s="3" t="s">
        <v>56</v>
      </c>
      <c r="P441" s="3" t="s">
        <v>748</v>
      </c>
      <c r="R441" s="3" t="s">
        <v>59</v>
      </c>
      <c r="S441" s="4">
        <v>1</v>
      </c>
      <c r="T441" s="4">
        <v>4</v>
      </c>
      <c r="U441" s="5" t="s">
        <v>2762</v>
      </c>
      <c r="V441" s="5" t="s">
        <v>2762</v>
      </c>
      <c r="W441" s="5" t="s">
        <v>2608</v>
      </c>
      <c r="X441" s="5" t="s">
        <v>2142</v>
      </c>
      <c r="Y441" s="4">
        <v>175</v>
      </c>
      <c r="Z441" s="4">
        <v>155</v>
      </c>
      <c r="AA441" s="4">
        <v>809</v>
      </c>
      <c r="AB441" s="4">
        <v>3</v>
      </c>
      <c r="AC441" s="4">
        <v>13</v>
      </c>
      <c r="AD441" s="4">
        <v>5</v>
      </c>
      <c r="AE441" s="4">
        <v>37</v>
      </c>
      <c r="AF441" s="4">
        <v>1</v>
      </c>
      <c r="AG441" s="4">
        <v>12</v>
      </c>
      <c r="AH441" s="4">
        <v>1</v>
      </c>
      <c r="AI441" s="4">
        <v>7</v>
      </c>
      <c r="AJ441" s="4">
        <v>2</v>
      </c>
      <c r="AK441" s="4">
        <v>12</v>
      </c>
      <c r="AL441" s="4">
        <v>1</v>
      </c>
      <c r="AM441" s="4">
        <v>11</v>
      </c>
      <c r="AN441" s="4">
        <v>0</v>
      </c>
      <c r="AO441" s="4">
        <v>1</v>
      </c>
      <c r="AP441" s="3" t="s">
        <v>51</v>
      </c>
      <c r="AQ441" s="3" t="s">
        <v>51</v>
      </c>
      <c r="AS441" s="6" t="str">
        <f>HYPERLINK("https://creighton-primo.hosted.exlibrisgroup.com/primo-explore/search?tab=default_tab&amp;search_scope=EVERYTHING&amp;vid=01CRU&amp;lang=en_US&amp;offset=0&amp;query=any,contains,991001788809702656","Catalog Record")</f>
        <v>Catalog Record</v>
      </c>
      <c r="AT441" s="6" t="str">
        <f>HYPERLINK("http://www.worldcat.org/oclc/5263686","WorldCat Record")</f>
        <v>WorldCat Record</v>
      </c>
    </row>
    <row r="442" spans="1:46" ht="41.25" customHeight="1" x14ac:dyDescent="0.25">
      <c r="A442" s="8" t="s">
        <v>51</v>
      </c>
      <c r="B442" s="2" t="s">
        <v>2274</v>
      </c>
      <c r="C442" s="2" t="s">
        <v>2275</v>
      </c>
      <c r="D442" s="2" t="s">
        <v>2276</v>
      </c>
      <c r="F442" s="3" t="s">
        <v>51</v>
      </c>
      <c r="G442" s="3" t="s">
        <v>50</v>
      </c>
      <c r="H442" s="3" t="s">
        <v>49</v>
      </c>
      <c r="I442" s="3" t="s">
        <v>51</v>
      </c>
      <c r="J442" s="3" t="s">
        <v>52</v>
      </c>
      <c r="K442" s="2" t="s">
        <v>884</v>
      </c>
      <c r="L442" s="2" t="s">
        <v>2277</v>
      </c>
      <c r="M442" s="3" t="s">
        <v>171</v>
      </c>
      <c r="O442" s="3" t="s">
        <v>56</v>
      </c>
      <c r="P442" s="3" t="s">
        <v>1240</v>
      </c>
      <c r="R442" s="3" t="s">
        <v>59</v>
      </c>
      <c r="S442" s="4">
        <v>8</v>
      </c>
      <c r="T442" s="4">
        <v>12</v>
      </c>
      <c r="U442" s="5" t="s">
        <v>2279</v>
      </c>
      <c r="V442" s="5" t="s">
        <v>2279</v>
      </c>
      <c r="W442" s="5" t="s">
        <v>2763</v>
      </c>
      <c r="X442" s="5" t="s">
        <v>247</v>
      </c>
      <c r="Y442" s="4">
        <v>2</v>
      </c>
      <c r="Z442" s="4">
        <v>2</v>
      </c>
      <c r="AA442" s="4">
        <v>2</v>
      </c>
      <c r="AB442" s="4">
        <v>2</v>
      </c>
      <c r="AC442" s="4">
        <v>2</v>
      </c>
      <c r="AD442" s="4">
        <v>0</v>
      </c>
      <c r="AE442" s="4">
        <v>0</v>
      </c>
      <c r="AF442" s="4">
        <v>0</v>
      </c>
      <c r="AG442" s="4">
        <v>0</v>
      </c>
      <c r="AH442" s="4">
        <v>0</v>
      </c>
      <c r="AI442" s="4">
        <v>0</v>
      </c>
      <c r="AJ442" s="4">
        <v>0</v>
      </c>
      <c r="AK442" s="4">
        <v>0</v>
      </c>
      <c r="AL442" s="4">
        <v>0</v>
      </c>
      <c r="AM442" s="4">
        <v>0</v>
      </c>
      <c r="AN442" s="4">
        <v>0</v>
      </c>
      <c r="AO442" s="4">
        <v>0</v>
      </c>
      <c r="AP442" s="3" t="s">
        <v>51</v>
      </c>
      <c r="AQ442" s="3" t="s">
        <v>51</v>
      </c>
      <c r="AS442" s="6" t="str">
        <f>HYPERLINK("https://creighton-primo.hosted.exlibrisgroup.com/primo-explore/search?tab=default_tab&amp;search_scope=EVERYTHING&amp;vid=01CRU&amp;lang=en_US&amp;offset=0&amp;query=any,contains,991001788769702656","Catalog Record")</f>
        <v>Catalog Record</v>
      </c>
      <c r="AT442" s="6" t="str">
        <f>HYPERLINK("http://www.worldcat.org/oclc/10125530","WorldCat Record")</f>
        <v>WorldCat Record</v>
      </c>
    </row>
    <row r="443" spans="1:46" ht="41.25" customHeight="1" x14ac:dyDescent="0.25">
      <c r="A443" s="8" t="s">
        <v>51</v>
      </c>
      <c r="B443" s="2" t="s">
        <v>2764</v>
      </c>
      <c r="C443" s="2" t="s">
        <v>2765</v>
      </c>
      <c r="D443" s="2" t="s">
        <v>2766</v>
      </c>
      <c r="F443" s="3" t="s">
        <v>51</v>
      </c>
      <c r="G443" s="3" t="s">
        <v>50</v>
      </c>
      <c r="H443" s="3" t="s">
        <v>51</v>
      </c>
      <c r="I443" s="3" t="s">
        <v>51</v>
      </c>
      <c r="J443" s="3" t="s">
        <v>52</v>
      </c>
      <c r="L443" s="2" t="s">
        <v>2767</v>
      </c>
      <c r="M443" s="3" t="s">
        <v>263</v>
      </c>
      <c r="O443" s="3" t="s">
        <v>56</v>
      </c>
      <c r="P443" s="3" t="s">
        <v>202</v>
      </c>
      <c r="Q443" s="2" t="s">
        <v>2768</v>
      </c>
      <c r="R443" s="3" t="s">
        <v>59</v>
      </c>
      <c r="S443" s="4">
        <v>6</v>
      </c>
      <c r="T443" s="4">
        <v>6</v>
      </c>
      <c r="U443" s="5" t="s">
        <v>2769</v>
      </c>
      <c r="V443" s="5" t="s">
        <v>2769</v>
      </c>
      <c r="W443" s="5" t="s">
        <v>2597</v>
      </c>
      <c r="X443" s="5" t="s">
        <v>2597</v>
      </c>
      <c r="Y443" s="4">
        <v>587</v>
      </c>
      <c r="Z443" s="4">
        <v>531</v>
      </c>
      <c r="AA443" s="4">
        <v>538</v>
      </c>
      <c r="AB443" s="4">
        <v>4</v>
      </c>
      <c r="AC443" s="4">
        <v>4</v>
      </c>
      <c r="AD443" s="4">
        <v>29</v>
      </c>
      <c r="AE443" s="4">
        <v>29</v>
      </c>
      <c r="AF443" s="4">
        <v>4</v>
      </c>
      <c r="AG443" s="4">
        <v>4</v>
      </c>
      <c r="AH443" s="4">
        <v>7</v>
      </c>
      <c r="AI443" s="4">
        <v>7</v>
      </c>
      <c r="AJ443" s="4">
        <v>14</v>
      </c>
      <c r="AK443" s="4">
        <v>14</v>
      </c>
      <c r="AL443" s="4">
        <v>2</v>
      </c>
      <c r="AM443" s="4">
        <v>2</v>
      </c>
      <c r="AN443" s="4">
        <v>7</v>
      </c>
      <c r="AO443" s="4">
        <v>7</v>
      </c>
      <c r="AP443" s="3" t="s">
        <v>51</v>
      </c>
      <c r="AQ443" s="3" t="s">
        <v>49</v>
      </c>
      <c r="AR443" s="6" t="str">
        <f>HYPERLINK("http://catalog.hathitrust.org/Record/000045183","HathiTrust Record")</f>
        <v>HathiTrust Record</v>
      </c>
      <c r="AS443" s="6" t="str">
        <f>HYPERLINK("https://creighton-primo.hosted.exlibrisgroup.com/primo-explore/search?tab=default_tab&amp;search_scope=EVERYTHING&amp;vid=01CRU&amp;lang=en_US&amp;offset=0&amp;query=any,contains,991001173579702656","Catalog Record")</f>
        <v>Catalog Record</v>
      </c>
      <c r="AT443" s="6" t="str">
        <f>HYPERLINK("http://www.worldcat.org/oclc/1529266","WorldCat Record")</f>
        <v>WorldCat Record</v>
      </c>
    </row>
    <row r="444" spans="1:46" ht="41.25" customHeight="1" x14ac:dyDescent="0.25">
      <c r="A444" s="8" t="s">
        <v>51</v>
      </c>
      <c r="B444" s="2" t="s">
        <v>2280</v>
      </c>
      <c r="C444" s="2" t="s">
        <v>2281</v>
      </c>
      <c r="D444" s="2" t="s">
        <v>2282</v>
      </c>
      <c r="F444" s="3" t="s">
        <v>51</v>
      </c>
      <c r="G444" s="3" t="s">
        <v>50</v>
      </c>
      <c r="H444" s="3" t="s">
        <v>49</v>
      </c>
      <c r="I444" s="3" t="s">
        <v>51</v>
      </c>
      <c r="J444" s="3" t="s">
        <v>52</v>
      </c>
      <c r="K444" s="2" t="s">
        <v>1172</v>
      </c>
      <c r="L444" s="2" t="s">
        <v>2283</v>
      </c>
      <c r="M444" s="3" t="s">
        <v>263</v>
      </c>
      <c r="O444" s="3" t="s">
        <v>56</v>
      </c>
      <c r="P444" s="3" t="s">
        <v>578</v>
      </c>
      <c r="Q444" s="2" t="s">
        <v>2284</v>
      </c>
      <c r="R444" s="3" t="s">
        <v>59</v>
      </c>
      <c r="S444" s="4">
        <v>4</v>
      </c>
      <c r="T444" s="4">
        <v>25</v>
      </c>
      <c r="U444" s="5" t="s">
        <v>2770</v>
      </c>
      <c r="V444" s="5" t="s">
        <v>2285</v>
      </c>
      <c r="W444" s="5" t="s">
        <v>2771</v>
      </c>
      <c r="X444" s="5" t="s">
        <v>2286</v>
      </c>
      <c r="Y444" s="4">
        <v>994</v>
      </c>
      <c r="Z444" s="4">
        <v>852</v>
      </c>
      <c r="AA444" s="4">
        <v>854</v>
      </c>
      <c r="AB444" s="4">
        <v>5</v>
      </c>
      <c r="AC444" s="4">
        <v>5</v>
      </c>
      <c r="AD444" s="4">
        <v>44</v>
      </c>
      <c r="AE444" s="4">
        <v>44</v>
      </c>
      <c r="AF444" s="4">
        <v>13</v>
      </c>
      <c r="AG444" s="4">
        <v>13</v>
      </c>
      <c r="AH444" s="4">
        <v>8</v>
      </c>
      <c r="AI444" s="4">
        <v>8</v>
      </c>
      <c r="AJ444" s="4">
        <v>20</v>
      </c>
      <c r="AK444" s="4">
        <v>20</v>
      </c>
      <c r="AL444" s="4">
        <v>1</v>
      </c>
      <c r="AM444" s="4">
        <v>1</v>
      </c>
      <c r="AN444" s="4">
        <v>12</v>
      </c>
      <c r="AO444" s="4">
        <v>12</v>
      </c>
      <c r="AP444" s="3" t="s">
        <v>51</v>
      </c>
      <c r="AQ444" s="3" t="s">
        <v>51</v>
      </c>
      <c r="AS444" s="6" t="str">
        <f>HYPERLINK("https://creighton-primo.hosted.exlibrisgroup.com/primo-explore/search?tab=default_tab&amp;search_scope=EVERYTHING&amp;vid=01CRU&amp;lang=en_US&amp;offset=0&amp;query=any,contains,991001790269702656","Catalog Record")</f>
        <v>Catalog Record</v>
      </c>
      <c r="AT444" s="6" t="str">
        <f>HYPERLINK("http://www.worldcat.org/oclc/1266071","WorldCat Record")</f>
        <v>WorldCat Record</v>
      </c>
    </row>
    <row r="445" spans="1:46" ht="41.25" customHeight="1" x14ac:dyDescent="0.25">
      <c r="A445" s="8" t="s">
        <v>51</v>
      </c>
      <c r="B445" s="2" t="s">
        <v>2320</v>
      </c>
      <c r="C445" s="2" t="s">
        <v>2321</v>
      </c>
      <c r="D445" s="2" t="s">
        <v>2322</v>
      </c>
      <c r="E445" s="3" t="s">
        <v>48</v>
      </c>
      <c r="F445" s="3" t="s">
        <v>49</v>
      </c>
      <c r="G445" s="3" t="s">
        <v>50</v>
      </c>
      <c r="H445" s="3" t="s">
        <v>49</v>
      </c>
      <c r="I445" s="3" t="s">
        <v>51</v>
      </c>
      <c r="J445" s="3" t="s">
        <v>52</v>
      </c>
      <c r="K445" s="2" t="s">
        <v>2323</v>
      </c>
      <c r="L445" s="2" t="s">
        <v>2324</v>
      </c>
      <c r="M445" s="3" t="s">
        <v>2325</v>
      </c>
      <c r="N445" s="2" t="s">
        <v>1220</v>
      </c>
      <c r="O445" s="3" t="s">
        <v>56</v>
      </c>
      <c r="P445" s="3" t="s">
        <v>79</v>
      </c>
      <c r="R445" s="3" t="s">
        <v>59</v>
      </c>
      <c r="S445" s="4">
        <v>0</v>
      </c>
      <c r="T445" s="4">
        <v>2</v>
      </c>
      <c r="V445" s="5" t="s">
        <v>2326</v>
      </c>
      <c r="W445" s="5" t="s">
        <v>2608</v>
      </c>
      <c r="X445" s="5" t="s">
        <v>2327</v>
      </c>
      <c r="Y445" s="4">
        <v>389</v>
      </c>
      <c r="Z445" s="4">
        <v>340</v>
      </c>
      <c r="AA445" s="4">
        <v>365</v>
      </c>
      <c r="AB445" s="4">
        <v>4</v>
      </c>
      <c r="AC445" s="4">
        <v>4</v>
      </c>
      <c r="AD445" s="4">
        <v>13</v>
      </c>
      <c r="AE445" s="4">
        <v>13</v>
      </c>
      <c r="AF445" s="4">
        <v>4</v>
      </c>
      <c r="AG445" s="4">
        <v>4</v>
      </c>
      <c r="AH445" s="4">
        <v>3</v>
      </c>
      <c r="AI445" s="4">
        <v>3</v>
      </c>
      <c r="AJ445" s="4">
        <v>7</v>
      </c>
      <c r="AK445" s="4">
        <v>7</v>
      </c>
      <c r="AL445" s="4">
        <v>2</v>
      </c>
      <c r="AM445" s="4">
        <v>2</v>
      </c>
      <c r="AN445" s="4">
        <v>0</v>
      </c>
      <c r="AO445" s="4">
        <v>0</v>
      </c>
      <c r="AP445" s="3" t="s">
        <v>51</v>
      </c>
      <c r="AQ445" s="3" t="s">
        <v>49</v>
      </c>
      <c r="AR445" s="6" t="str">
        <f>HYPERLINK("http://catalog.hathitrust.org/Record/004416443","HathiTrust Record")</f>
        <v>HathiTrust Record</v>
      </c>
      <c r="AS445" s="6" t="str">
        <f>HYPERLINK("https://creighton-primo.hosted.exlibrisgroup.com/primo-explore/search?tab=default_tab&amp;search_scope=EVERYTHING&amp;vid=01CRU&amp;lang=en_US&amp;offset=0&amp;query=any,contains,991001788659702656","Catalog Record")</f>
        <v>Catalog Record</v>
      </c>
      <c r="AT445" s="6" t="str">
        <f>HYPERLINK("http://www.worldcat.org/oclc/14659796","WorldCat Record")</f>
        <v>WorldCat Record</v>
      </c>
    </row>
    <row r="446" spans="1:46" ht="41.25" customHeight="1" x14ac:dyDescent="0.25">
      <c r="A446" s="8" t="s">
        <v>51</v>
      </c>
      <c r="B446" s="2" t="s">
        <v>2320</v>
      </c>
      <c r="C446" s="2" t="s">
        <v>2321</v>
      </c>
      <c r="D446" s="2" t="s">
        <v>2322</v>
      </c>
      <c r="E446" s="3" t="s">
        <v>62</v>
      </c>
      <c r="F446" s="3" t="s">
        <v>49</v>
      </c>
      <c r="G446" s="3" t="s">
        <v>50</v>
      </c>
      <c r="H446" s="3" t="s">
        <v>49</v>
      </c>
      <c r="I446" s="3" t="s">
        <v>51</v>
      </c>
      <c r="J446" s="3" t="s">
        <v>52</v>
      </c>
      <c r="K446" s="2" t="s">
        <v>2323</v>
      </c>
      <c r="L446" s="2" t="s">
        <v>2324</v>
      </c>
      <c r="M446" s="3" t="s">
        <v>2325</v>
      </c>
      <c r="N446" s="2" t="s">
        <v>1220</v>
      </c>
      <c r="O446" s="3" t="s">
        <v>56</v>
      </c>
      <c r="P446" s="3" t="s">
        <v>79</v>
      </c>
      <c r="R446" s="3" t="s">
        <v>59</v>
      </c>
      <c r="S446" s="4">
        <v>0</v>
      </c>
      <c r="T446" s="4">
        <v>2</v>
      </c>
      <c r="V446" s="5" t="s">
        <v>2326</v>
      </c>
      <c r="W446" s="5" t="s">
        <v>2608</v>
      </c>
      <c r="X446" s="5" t="s">
        <v>2327</v>
      </c>
      <c r="Y446" s="4">
        <v>389</v>
      </c>
      <c r="Z446" s="4">
        <v>340</v>
      </c>
      <c r="AA446" s="4">
        <v>365</v>
      </c>
      <c r="AB446" s="4">
        <v>4</v>
      </c>
      <c r="AC446" s="4">
        <v>4</v>
      </c>
      <c r="AD446" s="4">
        <v>13</v>
      </c>
      <c r="AE446" s="4">
        <v>13</v>
      </c>
      <c r="AF446" s="4">
        <v>4</v>
      </c>
      <c r="AG446" s="4">
        <v>4</v>
      </c>
      <c r="AH446" s="4">
        <v>3</v>
      </c>
      <c r="AI446" s="4">
        <v>3</v>
      </c>
      <c r="AJ446" s="4">
        <v>7</v>
      </c>
      <c r="AK446" s="4">
        <v>7</v>
      </c>
      <c r="AL446" s="4">
        <v>2</v>
      </c>
      <c r="AM446" s="4">
        <v>2</v>
      </c>
      <c r="AN446" s="4">
        <v>0</v>
      </c>
      <c r="AO446" s="4">
        <v>0</v>
      </c>
      <c r="AP446" s="3" t="s">
        <v>51</v>
      </c>
      <c r="AQ446" s="3" t="s">
        <v>49</v>
      </c>
      <c r="AR446" s="6" t="str">
        <f>HYPERLINK("http://catalog.hathitrust.org/Record/004416443","HathiTrust Record")</f>
        <v>HathiTrust Record</v>
      </c>
      <c r="AS446" s="6" t="str">
        <f>HYPERLINK("https://creighton-primo.hosted.exlibrisgroup.com/primo-explore/search?tab=default_tab&amp;search_scope=EVERYTHING&amp;vid=01CRU&amp;lang=en_US&amp;offset=0&amp;query=any,contains,991001788659702656","Catalog Record")</f>
        <v>Catalog Record</v>
      </c>
      <c r="AT446" s="6" t="str">
        <f>HYPERLINK("http://www.worldcat.org/oclc/14659796","WorldCat Record")</f>
        <v>WorldCat Record</v>
      </c>
    </row>
    <row r="447" spans="1:46" ht="41.25" customHeight="1" x14ac:dyDescent="0.25">
      <c r="A447" s="8" t="s">
        <v>51</v>
      </c>
      <c r="B447" s="2" t="s">
        <v>2772</v>
      </c>
      <c r="C447" s="2" t="s">
        <v>2773</v>
      </c>
      <c r="D447" s="2" t="s">
        <v>2774</v>
      </c>
      <c r="F447" s="3" t="s">
        <v>51</v>
      </c>
      <c r="G447" s="3" t="s">
        <v>50</v>
      </c>
      <c r="H447" s="3" t="s">
        <v>51</v>
      </c>
      <c r="I447" s="3" t="s">
        <v>51</v>
      </c>
      <c r="J447" s="3" t="s">
        <v>52</v>
      </c>
      <c r="L447" s="2" t="s">
        <v>2775</v>
      </c>
      <c r="M447" s="3" t="s">
        <v>146</v>
      </c>
      <c r="O447" s="3" t="s">
        <v>56</v>
      </c>
      <c r="P447" s="3" t="s">
        <v>113</v>
      </c>
      <c r="Q447" s="2" t="s">
        <v>2776</v>
      </c>
      <c r="R447" s="3" t="s">
        <v>59</v>
      </c>
      <c r="S447" s="4">
        <v>3</v>
      </c>
      <c r="T447" s="4">
        <v>3</v>
      </c>
      <c r="U447" s="5" t="s">
        <v>2777</v>
      </c>
      <c r="V447" s="5" t="s">
        <v>2777</v>
      </c>
      <c r="W447" s="5" t="s">
        <v>2777</v>
      </c>
      <c r="X447" s="5" t="s">
        <v>2777</v>
      </c>
      <c r="Y447" s="4">
        <v>200</v>
      </c>
      <c r="Z447" s="4">
        <v>125</v>
      </c>
      <c r="AA447" s="4">
        <v>125</v>
      </c>
      <c r="AB447" s="4">
        <v>1</v>
      </c>
      <c r="AC447" s="4">
        <v>1</v>
      </c>
      <c r="AD447" s="4">
        <v>0</v>
      </c>
      <c r="AE447" s="4">
        <v>0</v>
      </c>
      <c r="AF447" s="4">
        <v>0</v>
      </c>
      <c r="AG447" s="4">
        <v>0</v>
      </c>
      <c r="AH447" s="4">
        <v>0</v>
      </c>
      <c r="AI447" s="4">
        <v>0</v>
      </c>
      <c r="AJ447" s="4">
        <v>0</v>
      </c>
      <c r="AK447" s="4">
        <v>0</v>
      </c>
      <c r="AL447" s="4">
        <v>0</v>
      </c>
      <c r="AM447" s="4">
        <v>0</v>
      </c>
      <c r="AN447" s="4">
        <v>0</v>
      </c>
      <c r="AO447" s="4">
        <v>0</v>
      </c>
      <c r="AP447" s="3" t="s">
        <v>51</v>
      </c>
      <c r="AQ447" s="3" t="s">
        <v>51</v>
      </c>
      <c r="AS447" s="6" t="str">
        <f>HYPERLINK("https://creighton-primo.hosted.exlibrisgroup.com/primo-explore/search?tab=default_tab&amp;search_scope=EVERYTHING&amp;vid=01CRU&amp;lang=en_US&amp;offset=0&amp;query=any,contains,991001220459702656","Catalog Record")</f>
        <v>Catalog Record</v>
      </c>
      <c r="AT447" s="6" t="str">
        <f>HYPERLINK("http://www.worldcat.org/oclc/21483332","WorldCat Record")</f>
        <v>WorldCat Record</v>
      </c>
    </row>
    <row r="448" spans="1:46" ht="41.25" customHeight="1" x14ac:dyDescent="0.25">
      <c r="A448" s="8" t="s">
        <v>51</v>
      </c>
      <c r="B448" s="2" t="s">
        <v>2772</v>
      </c>
      <c r="C448" s="2" t="s">
        <v>2773</v>
      </c>
      <c r="D448" s="2" t="s">
        <v>2778</v>
      </c>
      <c r="F448" s="3" t="s">
        <v>51</v>
      </c>
      <c r="G448" s="3" t="s">
        <v>50</v>
      </c>
      <c r="H448" s="3" t="s">
        <v>51</v>
      </c>
      <c r="I448" s="3" t="s">
        <v>51</v>
      </c>
      <c r="J448" s="3" t="s">
        <v>52</v>
      </c>
      <c r="L448" s="2" t="s">
        <v>2779</v>
      </c>
      <c r="M448" s="3" t="s">
        <v>146</v>
      </c>
      <c r="O448" s="3" t="s">
        <v>56</v>
      </c>
      <c r="P448" s="3" t="s">
        <v>843</v>
      </c>
      <c r="Q448" s="2" t="s">
        <v>2780</v>
      </c>
      <c r="R448" s="3" t="s">
        <v>59</v>
      </c>
      <c r="S448" s="4">
        <v>0</v>
      </c>
      <c r="T448" s="4">
        <v>0</v>
      </c>
      <c r="U448" s="5" t="s">
        <v>2781</v>
      </c>
      <c r="V448" s="5" t="s">
        <v>2781</v>
      </c>
      <c r="W448" s="5" t="s">
        <v>812</v>
      </c>
      <c r="X448" s="5" t="s">
        <v>812</v>
      </c>
      <c r="Y448" s="4">
        <v>42</v>
      </c>
      <c r="Z448" s="4">
        <v>34</v>
      </c>
      <c r="AA448" s="4">
        <v>34</v>
      </c>
      <c r="AB448" s="4">
        <v>2</v>
      </c>
      <c r="AC448" s="4">
        <v>2</v>
      </c>
      <c r="AD448" s="4">
        <v>1</v>
      </c>
      <c r="AE448" s="4">
        <v>1</v>
      </c>
      <c r="AF448" s="4">
        <v>0</v>
      </c>
      <c r="AG448" s="4">
        <v>0</v>
      </c>
      <c r="AH448" s="4">
        <v>0</v>
      </c>
      <c r="AI448" s="4">
        <v>0</v>
      </c>
      <c r="AJ448" s="4">
        <v>0</v>
      </c>
      <c r="AK448" s="4">
        <v>0</v>
      </c>
      <c r="AL448" s="4">
        <v>1</v>
      </c>
      <c r="AM448" s="4">
        <v>1</v>
      </c>
      <c r="AN448" s="4">
        <v>0</v>
      </c>
      <c r="AO448" s="4">
        <v>0</v>
      </c>
      <c r="AP448" s="3" t="s">
        <v>51</v>
      </c>
      <c r="AQ448" s="3" t="s">
        <v>51</v>
      </c>
      <c r="AS448" s="6" t="str">
        <f>HYPERLINK("https://creighton-primo.hosted.exlibrisgroup.com/primo-explore/search?tab=default_tab&amp;search_scope=EVERYTHING&amp;vid=01CRU&amp;lang=en_US&amp;offset=0&amp;query=any,contains,991000216409702656","Catalog Record")</f>
        <v>Catalog Record</v>
      </c>
      <c r="AT448" s="6" t="str">
        <f>HYPERLINK("http://www.worldcat.org/oclc/19400117","WorldCat Record")</f>
        <v>WorldCat Record</v>
      </c>
    </row>
    <row r="449" spans="1:46" ht="41.25" customHeight="1" x14ac:dyDescent="0.25">
      <c r="A449" s="8" t="s">
        <v>51</v>
      </c>
      <c r="C449" s="2"/>
      <c r="D449" s="2" t="s">
        <v>2782</v>
      </c>
      <c r="F449" s="3" t="s">
        <v>51</v>
      </c>
      <c r="G449" s="3" t="s">
        <v>50</v>
      </c>
      <c r="H449" s="3" t="s">
        <v>51</v>
      </c>
      <c r="I449" s="3" t="s">
        <v>51</v>
      </c>
      <c r="J449" s="3" t="s">
        <v>52</v>
      </c>
      <c r="L449" s="2" t="s">
        <v>2783</v>
      </c>
      <c r="M449" s="3" t="s">
        <v>660</v>
      </c>
      <c r="O449" s="3" t="s">
        <v>56</v>
      </c>
      <c r="P449" s="3" t="s">
        <v>229</v>
      </c>
      <c r="Q449" s="2" t="s">
        <v>2784</v>
      </c>
      <c r="R449" s="3" t="s">
        <v>59</v>
      </c>
      <c r="S449" s="4">
        <v>4</v>
      </c>
      <c r="T449" s="4">
        <v>4</v>
      </c>
      <c r="U449" s="5" t="s">
        <v>2785</v>
      </c>
      <c r="V449" s="5" t="s">
        <v>2785</v>
      </c>
      <c r="W449" s="5" t="s">
        <v>2786</v>
      </c>
      <c r="X449" s="5" t="s">
        <v>2786</v>
      </c>
      <c r="Y449" s="4">
        <v>32</v>
      </c>
      <c r="Z449" s="4">
        <v>24</v>
      </c>
      <c r="AA449" s="4">
        <v>24</v>
      </c>
      <c r="AB449" s="4">
        <v>1</v>
      </c>
      <c r="AC449" s="4">
        <v>1</v>
      </c>
      <c r="AD449" s="4">
        <v>1</v>
      </c>
      <c r="AE449" s="4">
        <v>1</v>
      </c>
      <c r="AF449" s="4">
        <v>0</v>
      </c>
      <c r="AG449" s="4">
        <v>0</v>
      </c>
      <c r="AH449" s="4">
        <v>1</v>
      </c>
      <c r="AI449" s="4">
        <v>1</v>
      </c>
      <c r="AJ449" s="4">
        <v>0</v>
      </c>
      <c r="AK449" s="4">
        <v>0</v>
      </c>
      <c r="AL449" s="4">
        <v>0</v>
      </c>
      <c r="AM449" s="4">
        <v>0</v>
      </c>
      <c r="AN449" s="4">
        <v>0</v>
      </c>
      <c r="AO449" s="4">
        <v>0</v>
      </c>
      <c r="AP449" s="3" t="s">
        <v>51</v>
      </c>
      <c r="AQ449" s="3" t="s">
        <v>51</v>
      </c>
      <c r="AS449" s="6" t="str">
        <f>HYPERLINK("https://creighton-primo.hosted.exlibrisgroup.com/primo-explore/search?tab=default_tab&amp;search_scope=EVERYTHING&amp;vid=01CRU&amp;lang=en_US&amp;offset=0&amp;query=any,contains,991000367139702656","Catalog Record")</f>
        <v>Catalog Record</v>
      </c>
      <c r="AT449" s="6" t="str">
        <f>HYPERLINK("http://www.worldcat.org/oclc/51100786","WorldCat Record")</f>
        <v>WorldCat Record</v>
      </c>
    </row>
  </sheetData>
  <sheetProtection sheet="1" objects="1" scenarios="1"/>
  <protectedRanges>
    <protectedRange sqref="A1:A1048576" name="Range1"/>
  </protectedRanges>
  <dataValidations count="1">
    <dataValidation type="list" allowBlank="1" showInputMessage="1" showErrorMessage="1" sqref="A2:A1048576" xr:uid="{4073F1E8-5192-4166-8AD4-7B767A6EE647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6F01C16E-9CBA-4BC0-9BC5-061BF3900527}"/>
</file>

<file path=customXml/itemProps2.xml><?xml version="1.0" encoding="utf-8"?>
<ds:datastoreItem xmlns:ds="http://schemas.openxmlformats.org/officeDocument/2006/customXml" ds:itemID="{71C82F95-0570-4D93-BE9E-5D9C5B4F06B0}"/>
</file>

<file path=customXml/itemProps3.xml><?xml version="1.0" encoding="utf-8"?>
<ds:datastoreItem xmlns:ds="http://schemas.openxmlformats.org/officeDocument/2006/customXml" ds:itemID="{670F54F0-3813-4108-BB75-57F8D9E10F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Kiscaden, Elizabeth J</dc:creator>
  <cp:lastModifiedBy>Kiscaden, Elizabeth J</cp:lastModifiedBy>
  <dcterms:created xsi:type="dcterms:W3CDTF">2022-03-03T17:30:39Z</dcterms:created>
  <dcterms:modified xsi:type="dcterms:W3CDTF">2022-03-03T17:35:29Z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288800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